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12" windowWidth="23064" windowHeight="9696"/>
  </bookViews>
  <sheets>
    <sheet name="BirdList" sheetId="25" r:id="rId1"/>
    <sheet name="Sortable Species List" sheetId="26" r:id="rId2"/>
    <sheet name="Sortable SubSpecies List" sheetId="27" r:id="rId3"/>
    <sheet name="Statistics" sheetId="28" r:id="rId4"/>
  </sheets>
  <definedNames>
    <definedName name="_xlnm._FilterDatabase" localSheetId="0" hidden="1">BirdList!$J$4:$L$888</definedName>
    <definedName name="_xlnm._FilterDatabase" localSheetId="1" hidden="1">'Sortable Species List'!$A$1:$AA$701</definedName>
    <definedName name="_xlnm._FilterDatabase" localSheetId="2" hidden="1">'Sortable SubSpecies List'!$A$1:$AE$2718</definedName>
  </definedNames>
  <calcPr calcId="145621"/>
</workbook>
</file>

<file path=xl/calcChain.xml><?xml version="1.0" encoding="utf-8"?>
<calcChain xmlns="http://schemas.openxmlformats.org/spreadsheetml/2006/main">
  <c r="H38" i="28" l="1"/>
  <c r="C41" i="28" l="1"/>
  <c r="C40" i="28"/>
  <c r="C39" i="28"/>
  <c r="C38" i="28"/>
  <c r="C37" i="28"/>
  <c r="C36" i="28"/>
  <c r="C35" i="28"/>
  <c r="C34" i="28"/>
  <c r="C33" i="28"/>
  <c r="C32" i="28"/>
  <c r="C31" i="28"/>
  <c r="C30" i="28"/>
  <c r="J29" i="28"/>
  <c r="I29" i="28"/>
  <c r="H29" i="28"/>
  <c r="C29" i="28"/>
  <c r="J28" i="28"/>
  <c r="I28" i="28"/>
  <c r="H28" i="28"/>
  <c r="C28" i="28"/>
  <c r="J27" i="28"/>
  <c r="I27" i="28"/>
  <c r="H27" i="28"/>
  <c r="C27" i="28"/>
  <c r="J26" i="28"/>
  <c r="I26" i="28"/>
  <c r="H26" i="28"/>
  <c r="C26" i="28"/>
  <c r="J25" i="28"/>
  <c r="I25" i="28"/>
  <c r="H25" i="28"/>
  <c r="C25" i="28"/>
  <c r="J24" i="28"/>
  <c r="I24" i="28"/>
  <c r="H24" i="28"/>
  <c r="C24" i="28"/>
  <c r="J23" i="28"/>
  <c r="I23" i="28"/>
  <c r="H23" i="28"/>
  <c r="C23" i="28"/>
  <c r="C22" i="28"/>
  <c r="E16" i="28"/>
  <c r="E15" i="28"/>
  <c r="E14" i="28"/>
  <c r="E13" i="28"/>
  <c r="E12" i="28"/>
  <c r="E11" i="28"/>
  <c r="E9" i="28"/>
  <c r="E7" i="28"/>
  <c r="E5" i="28"/>
  <c r="E8" i="28"/>
  <c r="E6" i="28"/>
  <c r="H30" i="28" l="1"/>
  <c r="I30" i="28"/>
  <c r="J30" i="28"/>
  <c r="C4" i="28"/>
  <c r="C10" i="28"/>
  <c r="E17" i="28"/>
  <c r="C42" i="28"/>
  <c r="D22" i="28" s="1"/>
  <c r="D23" i="28"/>
  <c r="D26" i="28"/>
  <c r="D28" i="28"/>
  <c r="D30" i="28"/>
  <c r="D32" i="28"/>
  <c r="D36" i="28"/>
  <c r="D38" i="28"/>
  <c r="E888" i="25"/>
  <c r="D888" i="25"/>
  <c r="C888" i="25"/>
  <c r="B888" i="25"/>
  <c r="A888" i="25"/>
  <c r="E887" i="25"/>
  <c r="D887" i="25"/>
  <c r="C887" i="25"/>
  <c r="B887" i="25"/>
  <c r="A887" i="25"/>
  <c r="E886" i="25"/>
  <c r="D886" i="25"/>
  <c r="C886" i="25"/>
  <c r="B886" i="25"/>
  <c r="A886" i="25"/>
  <c r="E885" i="25"/>
  <c r="D885" i="25"/>
  <c r="C885" i="25"/>
  <c r="B885" i="25"/>
  <c r="A885" i="25"/>
  <c r="E882" i="25"/>
  <c r="D882" i="25"/>
  <c r="C882" i="25"/>
  <c r="B882" i="25"/>
  <c r="A882" i="25"/>
  <c r="E881" i="25"/>
  <c r="D881" i="25"/>
  <c r="C881" i="25"/>
  <c r="B881" i="25"/>
  <c r="A881" i="25"/>
  <c r="E880" i="25"/>
  <c r="D880" i="25"/>
  <c r="C880" i="25"/>
  <c r="B880" i="25"/>
  <c r="A880" i="25"/>
  <c r="E879" i="25"/>
  <c r="D879" i="25"/>
  <c r="C879" i="25"/>
  <c r="B879" i="25"/>
  <c r="A879" i="25"/>
  <c r="E878" i="25"/>
  <c r="D878" i="25"/>
  <c r="C878" i="25"/>
  <c r="B878" i="25"/>
  <c r="A878" i="25"/>
  <c r="E877" i="25"/>
  <c r="D877" i="25"/>
  <c r="C877" i="25"/>
  <c r="B877" i="25"/>
  <c r="A877" i="25"/>
  <c r="E876" i="25"/>
  <c r="D876" i="25"/>
  <c r="C876" i="25"/>
  <c r="B876" i="25"/>
  <c r="A876" i="25"/>
  <c r="E873" i="25"/>
  <c r="D873" i="25"/>
  <c r="C873" i="25"/>
  <c r="B873" i="25"/>
  <c r="A873" i="25"/>
  <c r="E872" i="25"/>
  <c r="D872" i="25"/>
  <c r="C872" i="25"/>
  <c r="B872" i="25"/>
  <c r="A872" i="25"/>
  <c r="E871" i="25"/>
  <c r="D871" i="25"/>
  <c r="C871" i="25"/>
  <c r="B871" i="25"/>
  <c r="A871" i="25"/>
  <c r="E870" i="25"/>
  <c r="D870" i="25"/>
  <c r="C870" i="25"/>
  <c r="B870" i="25"/>
  <c r="A870" i="25"/>
  <c r="E869" i="25"/>
  <c r="D869" i="25"/>
  <c r="C869" i="25"/>
  <c r="B869" i="25"/>
  <c r="A869" i="25"/>
  <c r="E868" i="25"/>
  <c r="D868" i="25"/>
  <c r="C868" i="25"/>
  <c r="B868" i="25"/>
  <c r="A868" i="25"/>
  <c r="E867" i="25"/>
  <c r="D867" i="25"/>
  <c r="C867" i="25"/>
  <c r="B867" i="25"/>
  <c r="A867" i="25"/>
  <c r="E866" i="25"/>
  <c r="D866" i="25"/>
  <c r="C866" i="25"/>
  <c r="B866" i="25"/>
  <c r="A866" i="25"/>
  <c r="E865" i="25"/>
  <c r="D865" i="25"/>
  <c r="C865" i="25"/>
  <c r="B865" i="25"/>
  <c r="A865" i="25"/>
  <c r="E864" i="25"/>
  <c r="D864" i="25"/>
  <c r="C864" i="25"/>
  <c r="B864" i="25"/>
  <c r="A864" i="25"/>
  <c r="E861" i="25"/>
  <c r="D861" i="25"/>
  <c r="C861" i="25"/>
  <c r="B861" i="25"/>
  <c r="A861" i="25"/>
  <c r="E860" i="25"/>
  <c r="D860" i="25"/>
  <c r="C860" i="25"/>
  <c r="B860" i="25"/>
  <c r="A860" i="25"/>
  <c r="E859" i="25"/>
  <c r="D859" i="25"/>
  <c r="C859" i="25"/>
  <c r="B859" i="25"/>
  <c r="A859" i="25"/>
  <c r="E858" i="25"/>
  <c r="D858" i="25"/>
  <c r="C858" i="25"/>
  <c r="B858" i="25"/>
  <c r="A858" i="25"/>
  <c r="E857" i="25"/>
  <c r="D857" i="25"/>
  <c r="C857" i="25"/>
  <c r="B857" i="25"/>
  <c r="A857" i="25"/>
  <c r="E856" i="25"/>
  <c r="D856" i="25"/>
  <c r="C856" i="25"/>
  <c r="B856" i="25"/>
  <c r="A856" i="25"/>
  <c r="E855" i="25"/>
  <c r="D855" i="25"/>
  <c r="C855" i="25"/>
  <c r="B855" i="25"/>
  <c r="A855" i="25"/>
  <c r="E854" i="25"/>
  <c r="D854" i="25"/>
  <c r="C854" i="25"/>
  <c r="B854" i="25"/>
  <c r="A854" i="25"/>
  <c r="E853" i="25"/>
  <c r="D853" i="25"/>
  <c r="C853" i="25"/>
  <c r="B853" i="25"/>
  <c r="A853" i="25"/>
  <c r="E850" i="25"/>
  <c r="D850" i="25"/>
  <c r="C850" i="25"/>
  <c r="B850" i="25"/>
  <c r="A850" i="25"/>
  <c r="E849" i="25"/>
  <c r="D849" i="25"/>
  <c r="C849" i="25"/>
  <c r="B849" i="25"/>
  <c r="A849" i="25"/>
  <c r="E846" i="25"/>
  <c r="D846" i="25"/>
  <c r="C846" i="25"/>
  <c r="B846" i="25"/>
  <c r="A846" i="25"/>
  <c r="E845" i="25"/>
  <c r="D845" i="25"/>
  <c r="C845" i="25"/>
  <c r="B845" i="25"/>
  <c r="A845" i="25"/>
  <c r="E844" i="25"/>
  <c r="D844" i="25"/>
  <c r="C844" i="25"/>
  <c r="B844" i="25"/>
  <c r="A844" i="25"/>
  <c r="E843" i="25"/>
  <c r="D843" i="25"/>
  <c r="C843" i="25"/>
  <c r="B843" i="25"/>
  <c r="A843" i="25"/>
  <c r="E842" i="25"/>
  <c r="D842" i="25"/>
  <c r="C842" i="25"/>
  <c r="B842" i="25"/>
  <c r="A842" i="25"/>
  <c r="E841" i="25"/>
  <c r="D841" i="25"/>
  <c r="C841" i="25"/>
  <c r="B841" i="25"/>
  <c r="A841" i="25"/>
  <c r="E840" i="25"/>
  <c r="D840" i="25"/>
  <c r="C840" i="25"/>
  <c r="B840" i="25"/>
  <c r="A840" i="25"/>
  <c r="E839" i="25"/>
  <c r="D839" i="25"/>
  <c r="C839" i="25"/>
  <c r="B839" i="25"/>
  <c r="A839" i="25"/>
  <c r="E838" i="25"/>
  <c r="D838" i="25"/>
  <c r="C838" i="25"/>
  <c r="B838" i="25"/>
  <c r="A838" i="25"/>
  <c r="E837" i="25"/>
  <c r="D837" i="25"/>
  <c r="C837" i="25"/>
  <c r="B837" i="25"/>
  <c r="A837" i="25"/>
  <c r="E836" i="25"/>
  <c r="D836" i="25"/>
  <c r="C836" i="25"/>
  <c r="B836" i="25"/>
  <c r="A836" i="25"/>
  <c r="E835" i="25"/>
  <c r="D835" i="25"/>
  <c r="C835" i="25"/>
  <c r="B835" i="25"/>
  <c r="A835" i="25"/>
  <c r="E834" i="25"/>
  <c r="D834" i="25"/>
  <c r="C834" i="25"/>
  <c r="B834" i="25"/>
  <c r="A834" i="25"/>
  <c r="E833" i="25"/>
  <c r="D833" i="25"/>
  <c r="C833" i="25"/>
  <c r="B833" i="25"/>
  <c r="A833" i="25"/>
  <c r="E832" i="25"/>
  <c r="D832" i="25"/>
  <c r="C832" i="25"/>
  <c r="B832" i="25"/>
  <c r="A832" i="25"/>
  <c r="E831" i="25"/>
  <c r="D831" i="25"/>
  <c r="C831" i="25"/>
  <c r="B831" i="25"/>
  <c r="A831" i="25"/>
  <c r="E830" i="25"/>
  <c r="D830" i="25"/>
  <c r="C830" i="25"/>
  <c r="B830" i="25"/>
  <c r="A830" i="25"/>
  <c r="E829" i="25"/>
  <c r="D829" i="25"/>
  <c r="C829" i="25"/>
  <c r="B829" i="25"/>
  <c r="A829" i="25"/>
  <c r="E828" i="25"/>
  <c r="D828" i="25"/>
  <c r="C828" i="25"/>
  <c r="B828" i="25"/>
  <c r="A828" i="25"/>
  <c r="E825" i="25"/>
  <c r="D825" i="25"/>
  <c r="C825" i="25"/>
  <c r="B825" i="25"/>
  <c r="A825" i="25"/>
  <c r="E824" i="25"/>
  <c r="D824" i="25"/>
  <c r="C824" i="25"/>
  <c r="B824" i="25"/>
  <c r="A824" i="25"/>
  <c r="E823" i="25"/>
  <c r="D823" i="25"/>
  <c r="C823" i="25"/>
  <c r="B823" i="25"/>
  <c r="A823" i="25"/>
  <c r="E822" i="25"/>
  <c r="D822" i="25"/>
  <c r="C822" i="25"/>
  <c r="B822" i="25"/>
  <c r="A822" i="25"/>
  <c r="E821" i="25"/>
  <c r="D821" i="25"/>
  <c r="C821" i="25"/>
  <c r="B821" i="25"/>
  <c r="A821" i="25"/>
  <c r="E820" i="25"/>
  <c r="D820" i="25"/>
  <c r="C820" i="25"/>
  <c r="B820" i="25"/>
  <c r="A820" i="25"/>
  <c r="E819" i="25"/>
  <c r="D819" i="25"/>
  <c r="C819" i="25"/>
  <c r="B819" i="25"/>
  <c r="A819" i="25"/>
  <c r="E818" i="25"/>
  <c r="D818" i="25"/>
  <c r="C818" i="25"/>
  <c r="B818" i="25"/>
  <c r="A818" i="25"/>
  <c r="E817" i="25"/>
  <c r="D817" i="25"/>
  <c r="C817" i="25"/>
  <c r="B817" i="25"/>
  <c r="A817" i="25"/>
  <c r="E816" i="25"/>
  <c r="D816" i="25"/>
  <c r="C816" i="25"/>
  <c r="B816" i="25"/>
  <c r="A816" i="25"/>
  <c r="E815" i="25"/>
  <c r="D815" i="25"/>
  <c r="C815" i="25"/>
  <c r="B815" i="25"/>
  <c r="A815" i="25"/>
  <c r="E814" i="25"/>
  <c r="D814" i="25"/>
  <c r="C814" i="25"/>
  <c r="B814" i="25"/>
  <c r="A814" i="25"/>
  <c r="E813" i="25"/>
  <c r="D813" i="25"/>
  <c r="C813" i="25"/>
  <c r="B813" i="25"/>
  <c r="A813" i="25"/>
  <c r="E812" i="25"/>
  <c r="D812" i="25"/>
  <c r="C812" i="25"/>
  <c r="B812" i="25"/>
  <c r="A812" i="25"/>
  <c r="E811" i="25"/>
  <c r="D811" i="25"/>
  <c r="C811" i="25"/>
  <c r="B811" i="25"/>
  <c r="A811" i="25"/>
  <c r="E808" i="25"/>
  <c r="D808" i="25"/>
  <c r="C808" i="25"/>
  <c r="B808" i="25"/>
  <c r="A808" i="25"/>
  <c r="E807" i="25"/>
  <c r="D807" i="25"/>
  <c r="C807" i="25"/>
  <c r="B807" i="25"/>
  <c r="A807" i="25"/>
  <c r="E804" i="25"/>
  <c r="D804" i="25"/>
  <c r="C804" i="25"/>
  <c r="B804" i="25"/>
  <c r="A804" i="25"/>
  <c r="E803" i="25"/>
  <c r="D803" i="25"/>
  <c r="C803" i="25"/>
  <c r="B803" i="25"/>
  <c r="A803" i="25"/>
  <c r="E802" i="25"/>
  <c r="D802" i="25"/>
  <c r="C802" i="25"/>
  <c r="B802" i="25"/>
  <c r="A802" i="25"/>
  <c r="E801" i="25"/>
  <c r="D801" i="25"/>
  <c r="C801" i="25"/>
  <c r="B801" i="25"/>
  <c r="A801" i="25"/>
  <c r="E800" i="25"/>
  <c r="D800" i="25"/>
  <c r="C800" i="25"/>
  <c r="B800" i="25"/>
  <c r="A800" i="25"/>
  <c r="E799" i="25"/>
  <c r="D799" i="25"/>
  <c r="C799" i="25"/>
  <c r="B799" i="25"/>
  <c r="A799" i="25"/>
  <c r="E798" i="25"/>
  <c r="D798" i="25"/>
  <c r="C798" i="25"/>
  <c r="B798" i="25"/>
  <c r="A798" i="25"/>
  <c r="E797" i="25"/>
  <c r="D797" i="25"/>
  <c r="C797" i="25"/>
  <c r="B797" i="25"/>
  <c r="A797" i="25"/>
  <c r="E796" i="25"/>
  <c r="D796" i="25"/>
  <c r="C796" i="25"/>
  <c r="B796" i="25"/>
  <c r="A796" i="25"/>
  <c r="E795" i="25"/>
  <c r="D795" i="25"/>
  <c r="C795" i="25"/>
  <c r="B795" i="25"/>
  <c r="A795" i="25"/>
  <c r="E794" i="25"/>
  <c r="D794" i="25"/>
  <c r="C794" i="25"/>
  <c r="B794" i="25"/>
  <c r="A794" i="25"/>
  <c r="E793" i="25"/>
  <c r="D793" i="25"/>
  <c r="C793" i="25"/>
  <c r="B793" i="25"/>
  <c r="A793" i="25"/>
  <c r="E792" i="25"/>
  <c r="D792" i="25"/>
  <c r="C792" i="25"/>
  <c r="B792" i="25"/>
  <c r="A792" i="25"/>
  <c r="E791" i="25"/>
  <c r="D791" i="25"/>
  <c r="C791" i="25"/>
  <c r="B791" i="25"/>
  <c r="A791" i="25"/>
  <c r="E790" i="25"/>
  <c r="D790" i="25"/>
  <c r="C790" i="25"/>
  <c r="B790" i="25"/>
  <c r="A790" i="25"/>
  <c r="E789" i="25"/>
  <c r="D789" i="25"/>
  <c r="C789" i="25"/>
  <c r="B789" i="25"/>
  <c r="A789" i="25"/>
  <c r="E788" i="25"/>
  <c r="D788" i="25"/>
  <c r="C788" i="25"/>
  <c r="B788" i="25"/>
  <c r="A788" i="25"/>
  <c r="E787" i="25"/>
  <c r="D787" i="25"/>
  <c r="C787" i="25"/>
  <c r="B787" i="25"/>
  <c r="A787" i="25"/>
  <c r="E786" i="25"/>
  <c r="D786" i="25"/>
  <c r="C786" i="25"/>
  <c r="B786" i="25"/>
  <c r="A786" i="25"/>
  <c r="E785" i="25"/>
  <c r="D785" i="25"/>
  <c r="C785" i="25"/>
  <c r="B785" i="25"/>
  <c r="A785" i="25"/>
  <c r="E784" i="25"/>
  <c r="D784" i="25"/>
  <c r="C784" i="25"/>
  <c r="B784" i="25"/>
  <c r="A784" i="25"/>
  <c r="E783" i="25"/>
  <c r="D783" i="25"/>
  <c r="C783" i="25"/>
  <c r="B783" i="25"/>
  <c r="A783" i="25"/>
  <c r="E782" i="25"/>
  <c r="D782" i="25"/>
  <c r="C782" i="25"/>
  <c r="B782" i="25"/>
  <c r="A782" i="25"/>
  <c r="E781" i="25"/>
  <c r="D781" i="25"/>
  <c r="C781" i="25"/>
  <c r="B781" i="25"/>
  <c r="A781" i="25"/>
  <c r="E780" i="25"/>
  <c r="D780" i="25"/>
  <c r="C780" i="25"/>
  <c r="B780" i="25"/>
  <c r="A780" i="25"/>
  <c r="E779" i="25"/>
  <c r="D779" i="25"/>
  <c r="C779" i="25"/>
  <c r="B779" i="25"/>
  <c r="A779" i="25"/>
  <c r="E778" i="25"/>
  <c r="D778" i="25"/>
  <c r="C778" i="25"/>
  <c r="B778" i="25"/>
  <c r="A778" i="25"/>
  <c r="E777" i="25"/>
  <c r="D777" i="25"/>
  <c r="C777" i="25"/>
  <c r="B777" i="25"/>
  <c r="A777" i="25"/>
  <c r="E776" i="25"/>
  <c r="D776" i="25"/>
  <c r="C776" i="25"/>
  <c r="B776" i="25"/>
  <c r="A776" i="25"/>
  <c r="E775" i="25"/>
  <c r="D775" i="25"/>
  <c r="C775" i="25"/>
  <c r="B775" i="25"/>
  <c r="A775" i="25"/>
  <c r="E774" i="25"/>
  <c r="D774" i="25"/>
  <c r="C774" i="25"/>
  <c r="B774" i="25"/>
  <c r="A774" i="25"/>
  <c r="E773" i="25"/>
  <c r="D773" i="25"/>
  <c r="C773" i="25"/>
  <c r="B773" i="25"/>
  <c r="A773" i="25"/>
  <c r="E772" i="25"/>
  <c r="D772" i="25"/>
  <c r="C772" i="25"/>
  <c r="B772" i="25"/>
  <c r="A772" i="25"/>
  <c r="E771" i="25"/>
  <c r="D771" i="25"/>
  <c r="C771" i="25"/>
  <c r="B771" i="25"/>
  <c r="A771" i="25"/>
  <c r="E770" i="25"/>
  <c r="D770" i="25"/>
  <c r="C770" i="25"/>
  <c r="B770" i="25"/>
  <c r="A770" i="25"/>
  <c r="E769" i="25"/>
  <c r="D769" i="25"/>
  <c r="C769" i="25"/>
  <c r="B769" i="25"/>
  <c r="A769" i="25"/>
  <c r="E768" i="25"/>
  <c r="D768" i="25"/>
  <c r="C768" i="25"/>
  <c r="B768" i="25"/>
  <c r="A768" i="25"/>
  <c r="E767" i="25"/>
  <c r="D767" i="25"/>
  <c r="C767" i="25"/>
  <c r="B767" i="25"/>
  <c r="A767" i="25"/>
  <c r="E766" i="25"/>
  <c r="D766" i="25"/>
  <c r="C766" i="25"/>
  <c r="B766" i="25"/>
  <c r="A766" i="25"/>
  <c r="E765" i="25"/>
  <c r="D765" i="25"/>
  <c r="C765" i="25"/>
  <c r="B765" i="25"/>
  <c r="A765" i="25"/>
  <c r="E764" i="25"/>
  <c r="D764" i="25"/>
  <c r="C764" i="25"/>
  <c r="B764" i="25"/>
  <c r="A764" i="25"/>
  <c r="E761" i="25"/>
  <c r="D761" i="25"/>
  <c r="C761" i="25"/>
  <c r="B761" i="25"/>
  <c r="A761" i="25"/>
  <c r="E760" i="25"/>
  <c r="D760" i="25"/>
  <c r="C760" i="25"/>
  <c r="B760" i="25"/>
  <c r="A760" i="25"/>
  <c r="E759" i="25"/>
  <c r="D759" i="25"/>
  <c r="C759" i="25"/>
  <c r="B759" i="25"/>
  <c r="A759" i="25"/>
  <c r="E758" i="25"/>
  <c r="D758" i="25"/>
  <c r="C758" i="25"/>
  <c r="B758" i="25"/>
  <c r="A758" i="25"/>
  <c r="E757" i="25"/>
  <c r="D757" i="25"/>
  <c r="C757" i="25"/>
  <c r="B757" i="25"/>
  <c r="A757" i="25"/>
  <c r="E756" i="25"/>
  <c r="D756" i="25"/>
  <c r="C756" i="25"/>
  <c r="B756" i="25"/>
  <c r="A756" i="25"/>
  <c r="E755" i="25"/>
  <c r="D755" i="25"/>
  <c r="C755" i="25"/>
  <c r="B755" i="25"/>
  <c r="A755" i="25"/>
  <c r="E754" i="25"/>
  <c r="D754" i="25"/>
  <c r="C754" i="25"/>
  <c r="B754" i="25"/>
  <c r="A754" i="25"/>
  <c r="E753" i="25"/>
  <c r="D753" i="25"/>
  <c r="C753" i="25"/>
  <c r="B753" i="25"/>
  <c r="A753" i="25"/>
  <c r="E752" i="25"/>
  <c r="D752" i="25"/>
  <c r="C752" i="25"/>
  <c r="B752" i="25"/>
  <c r="A752" i="25"/>
  <c r="E751" i="25"/>
  <c r="D751" i="25"/>
  <c r="C751" i="25"/>
  <c r="B751" i="25"/>
  <c r="A751" i="25"/>
  <c r="E748" i="25"/>
  <c r="D748" i="25"/>
  <c r="C748" i="25"/>
  <c r="B748" i="25"/>
  <c r="A748" i="25"/>
  <c r="E747" i="25"/>
  <c r="D747" i="25"/>
  <c r="C747" i="25"/>
  <c r="B747" i="25"/>
  <c r="A747" i="25"/>
  <c r="E746" i="25"/>
  <c r="D746" i="25"/>
  <c r="C746" i="25"/>
  <c r="B746" i="25"/>
  <c r="A746" i="25"/>
  <c r="E745" i="25"/>
  <c r="D745" i="25"/>
  <c r="C745" i="25"/>
  <c r="B745" i="25"/>
  <c r="A745" i="25"/>
  <c r="E744" i="25"/>
  <c r="D744" i="25"/>
  <c r="C744" i="25"/>
  <c r="B744" i="25"/>
  <c r="A744" i="25"/>
  <c r="E743" i="25"/>
  <c r="D743" i="25"/>
  <c r="C743" i="25"/>
  <c r="B743" i="25"/>
  <c r="A743" i="25"/>
  <c r="E742" i="25"/>
  <c r="D742" i="25"/>
  <c r="C742" i="25"/>
  <c r="B742" i="25"/>
  <c r="A742" i="25"/>
  <c r="E741" i="25"/>
  <c r="D741" i="25"/>
  <c r="C741" i="25"/>
  <c r="B741" i="25"/>
  <c r="A741" i="25"/>
  <c r="E740" i="25"/>
  <c r="D740" i="25"/>
  <c r="C740" i="25"/>
  <c r="B740" i="25"/>
  <c r="A740" i="25"/>
  <c r="E739" i="25"/>
  <c r="D739" i="25"/>
  <c r="C739" i="25"/>
  <c r="B739" i="25"/>
  <c r="A739" i="25"/>
  <c r="E738" i="25"/>
  <c r="D738" i="25"/>
  <c r="C738" i="25"/>
  <c r="B738" i="25"/>
  <c r="A738" i="25"/>
  <c r="E737" i="25"/>
  <c r="D737" i="25"/>
  <c r="C737" i="25"/>
  <c r="B737" i="25"/>
  <c r="A737" i="25"/>
  <c r="E736" i="25"/>
  <c r="D736" i="25"/>
  <c r="C736" i="25"/>
  <c r="B736" i="25"/>
  <c r="A736" i="25"/>
  <c r="E735" i="25"/>
  <c r="D735" i="25"/>
  <c r="C735" i="25"/>
  <c r="B735" i="25"/>
  <c r="A735" i="25"/>
  <c r="E734" i="25"/>
  <c r="D734" i="25"/>
  <c r="C734" i="25"/>
  <c r="B734" i="25"/>
  <c r="A734" i="25"/>
  <c r="E733" i="25"/>
  <c r="D733" i="25"/>
  <c r="C733" i="25"/>
  <c r="B733" i="25"/>
  <c r="A733" i="25"/>
  <c r="E730" i="25"/>
  <c r="D730" i="25"/>
  <c r="C730" i="25"/>
  <c r="B730" i="25"/>
  <c r="A730" i="25"/>
  <c r="E729" i="25"/>
  <c r="D729" i="25"/>
  <c r="C729" i="25"/>
  <c r="B729" i="25"/>
  <c r="A729" i="25"/>
  <c r="E726" i="25"/>
  <c r="D726" i="25"/>
  <c r="C726" i="25"/>
  <c r="B726" i="25"/>
  <c r="A726" i="25"/>
  <c r="E725" i="25"/>
  <c r="D725" i="25"/>
  <c r="C725" i="25"/>
  <c r="B725" i="25"/>
  <c r="A725" i="25"/>
  <c r="E722" i="25"/>
  <c r="D722" i="25"/>
  <c r="C722" i="25"/>
  <c r="B722" i="25"/>
  <c r="A722" i="25"/>
  <c r="E721" i="25"/>
  <c r="D721" i="25"/>
  <c r="C721" i="25"/>
  <c r="B721" i="25"/>
  <c r="A721" i="25"/>
  <c r="E720" i="25"/>
  <c r="D720" i="25"/>
  <c r="C720" i="25"/>
  <c r="B720" i="25"/>
  <c r="A720" i="25"/>
  <c r="E719" i="25"/>
  <c r="D719" i="25"/>
  <c r="C719" i="25"/>
  <c r="B719" i="25"/>
  <c r="A719" i="25"/>
  <c r="E718" i="25"/>
  <c r="D718" i="25"/>
  <c r="C718" i="25"/>
  <c r="B718" i="25"/>
  <c r="A718" i="25"/>
  <c r="E717" i="25"/>
  <c r="D717" i="25"/>
  <c r="C717" i="25"/>
  <c r="B717" i="25"/>
  <c r="A717" i="25"/>
  <c r="E716" i="25"/>
  <c r="D716" i="25"/>
  <c r="C716" i="25"/>
  <c r="B716" i="25"/>
  <c r="A716" i="25"/>
  <c r="E715" i="25"/>
  <c r="D715" i="25"/>
  <c r="C715" i="25"/>
  <c r="B715" i="25"/>
  <c r="A715" i="25"/>
  <c r="E714" i="25"/>
  <c r="D714" i="25"/>
  <c r="C714" i="25"/>
  <c r="B714" i="25"/>
  <c r="A714" i="25"/>
  <c r="E713" i="25"/>
  <c r="D713" i="25"/>
  <c r="C713" i="25"/>
  <c r="B713" i="25"/>
  <c r="A713" i="25"/>
  <c r="E712" i="25"/>
  <c r="D712" i="25"/>
  <c r="C712" i="25"/>
  <c r="B712" i="25"/>
  <c r="A712" i="25"/>
  <c r="E711" i="25"/>
  <c r="D711" i="25"/>
  <c r="C711" i="25"/>
  <c r="B711" i="25"/>
  <c r="A711" i="25"/>
  <c r="E710" i="25"/>
  <c r="D710" i="25"/>
  <c r="C710" i="25"/>
  <c r="B710" i="25"/>
  <c r="A710" i="25"/>
  <c r="E709" i="25"/>
  <c r="D709" i="25"/>
  <c r="C709" i="25"/>
  <c r="B709" i="25"/>
  <c r="A709" i="25"/>
  <c r="E708" i="25"/>
  <c r="D708" i="25"/>
  <c r="C708" i="25"/>
  <c r="B708" i="25"/>
  <c r="A708" i="25"/>
  <c r="E707" i="25"/>
  <c r="D707" i="25"/>
  <c r="C707" i="25"/>
  <c r="B707" i="25"/>
  <c r="A707" i="25"/>
  <c r="E704" i="25"/>
  <c r="D704" i="25"/>
  <c r="C704" i="25"/>
  <c r="B704" i="25"/>
  <c r="A704" i="25"/>
  <c r="E703" i="25"/>
  <c r="D703" i="25"/>
  <c r="C703" i="25"/>
  <c r="B703" i="25"/>
  <c r="A703" i="25"/>
  <c r="E702" i="25"/>
  <c r="D702" i="25"/>
  <c r="C702" i="25"/>
  <c r="B702" i="25"/>
  <c r="A702" i="25"/>
  <c r="E701" i="25"/>
  <c r="D701" i="25"/>
  <c r="C701" i="25"/>
  <c r="B701" i="25"/>
  <c r="A701" i="25"/>
  <c r="E698" i="25"/>
  <c r="D698" i="25"/>
  <c r="C698" i="25"/>
  <c r="B698" i="25"/>
  <c r="A698" i="25"/>
  <c r="E697" i="25"/>
  <c r="D697" i="25"/>
  <c r="C697" i="25"/>
  <c r="B697" i="25"/>
  <c r="A697" i="25"/>
  <c r="E696" i="25"/>
  <c r="D696" i="25"/>
  <c r="C696" i="25"/>
  <c r="B696" i="25"/>
  <c r="A696" i="25"/>
  <c r="E693" i="25"/>
  <c r="D693" i="25"/>
  <c r="C693" i="25"/>
  <c r="B693" i="25"/>
  <c r="A693" i="25"/>
  <c r="E692" i="25"/>
  <c r="D692" i="25"/>
  <c r="C692" i="25"/>
  <c r="B692" i="25"/>
  <c r="A692" i="25"/>
  <c r="E691" i="25"/>
  <c r="D691" i="25"/>
  <c r="C691" i="25"/>
  <c r="B691" i="25"/>
  <c r="A691" i="25"/>
  <c r="E690" i="25"/>
  <c r="D690" i="25"/>
  <c r="C690" i="25"/>
  <c r="B690" i="25"/>
  <c r="A690" i="25"/>
  <c r="E689" i="25"/>
  <c r="D689" i="25"/>
  <c r="C689" i="25"/>
  <c r="B689" i="25"/>
  <c r="A689" i="25"/>
  <c r="E688" i="25"/>
  <c r="D688" i="25"/>
  <c r="C688" i="25"/>
  <c r="B688" i="25"/>
  <c r="A688" i="25"/>
  <c r="E687" i="25"/>
  <c r="D687" i="25"/>
  <c r="C687" i="25"/>
  <c r="B687" i="25"/>
  <c r="A687" i="25"/>
  <c r="E686" i="25"/>
  <c r="D686" i="25"/>
  <c r="C686" i="25"/>
  <c r="B686" i="25"/>
  <c r="A686" i="25"/>
  <c r="E685" i="25"/>
  <c r="D685" i="25"/>
  <c r="C685" i="25"/>
  <c r="B685" i="25"/>
  <c r="A685" i="25"/>
  <c r="E682" i="25"/>
  <c r="D682" i="25"/>
  <c r="C682" i="25"/>
  <c r="B682" i="25"/>
  <c r="A682" i="25"/>
  <c r="E681" i="25"/>
  <c r="D681" i="25"/>
  <c r="C681" i="25"/>
  <c r="B681" i="25"/>
  <c r="A681" i="25"/>
  <c r="E678" i="25"/>
  <c r="D678" i="25"/>
  <c r="C678" i="25"/>
  <c r="B678" i="25"/>
  <c r="A678" i="25"/>
  <c r="E677" i="25"/>
  <c r="D677" i="25"/>
  <c r="C677" i="25"/>
  <c r="B677" i="25"/>
  <c r="A677" i="25"/>
  <c r="E674" i="25"/>
  <c r="D674" i="25"/>
  <c r="C674" i="25"/>
  <c r="B674" i="25"/>
  <c r="A674" i="25"/>
  <c r="E673" i="25"/>
  <c r="D673" i="25"/>
  <c r="C673" i="25"/>
  <c r="B673" i="25"/>
  <c r="A673" i="25"/>
  <c r="E672" i="25"/>
  <c r="D672" i="25"/>
  <c r="C672" i="25"/>
  <c r="B672" i="25"/>
  <c r="A672" i="25"/>
  <c r="E671" i="25"/>
  <c r="D671" i="25"/>
  <c r="C671" i="25"/>
  <c r="B671" i="25"/>
  <c r="A671" i="25"/>
  <c r="E670" i="25"/>
  <c r="D670" i="25"/>
  <c r="C670" i="25"/>
  <c r="B670" i="25"/>
  <c r="A670" i="25"/>
  <c r="E669" i="25"/>
  <c r="D669" i="25"/>
  <c r="C669" i="25"/>
  <c r="B669" i="25"/>
  <c r="A669" i="25"/>
  <c r="E668" i="25"/>
  <c r="D668" i="25"/>
  <c r="C668" i="25"/>
  <c r="B668" i="25"/>
  <c r="A668" i="25"/>
  <c r="E667" i="25"/>
  <c r="D667" i="25"/>
  <c r="C667" i="25"/>
  <c r="B667" i="25"/>
  <c r="A667" i="25"/>
  <c r="E666" i="25"/>
  <c r="D666" i="25"/>
  <c r="C666" i="25"/>
  <c r="B666" i="25"/>
  <c r="A666" i="25"/>
  <c r="E665" i="25"/>
  <c r="D665" i="25"/>
  <c r="C665" i="25"/>
  <c r="B665" i="25"/>
  <c r="A665" i="25"/>
  <c r="E664" i="25"/>
  <c r="D664" i="25"/>
  <c r="C664" i="25"/>
  <c r="B664" i="25"/>
  <c r="A664" i="25"/>
  <c r="E661" i="25"/>
  <c r="D661" i="25"/>
  <c r="C661" i="25"/>
  <c r="B661" i="25"/>
  <c r="A661" i="25"/>
  <c r="E660" i="25"/>
  <c r="D660" i="25"/>
  <c r="C660" i="25"/>
  <c r="B660" i="25"/>
  <c r="A660" i="25"/>
  <c r="E659" i="25"/>
  <c r="D659" i="25"/>
  <c r="C659" i="25"/>
  <c r="B659" i="25"/>
  <c r="A659" i="25"/>
  <c r="E658" i="25"/>
  <c r="D658" i="25"/>
  <c r="C658" i="25"/>
  <c r="B658" i="25"/>
  <c r="A658" i="25"/>
  <c r="E655" i="25"/>
  <c r="D655" i="25"/>
  <c r="C655" i="25"/>
  <c r="B655" i="25"/>
  <c r="A655" i="25"/>
  <c r="E654" i="25"/>
  <c r="D654" i="25"/>
  <c r="C654" i="25"/>
  <c r="B654" i="25"/>
  <c r="A654" i="25"/>
  <c r="E653" i="25"/>
  <c r="D653" i="25"/>
  <c r="C653" i="25"/>
  <c r="B653" i="25"/>
  <c r="A653" i="25"/>
  <c r="E652" i="25"/>
  <c r="D652" i="25"/>
  <c r="C652" i="25"/>
  <c r="B652" i="25"/>
  <c r="A652" i="25"/>
  <c r="E651" i="25"/>
  <c r="D651" i="25"/>
  <c r="C651" i="25"/>
  <c r="B651" i="25"/>
  <c r="A651" i="25"/>
  <c r="E650" i="25"/>
  <c r="D650" i="25"/>
  <c r="C650" i="25"/>
  <c r="B650" i="25"/>
  <c r="A650" i="25"/>
  <c r="E649" i="25"/>
  <c r="D649" i="25"/>
  <c r="C649" i="25"/>
  <c r="B649" i="25"/>
  <c r="A649" i="25"/>
  <c r="E648" i="25"/>
  <c r="D648" i="25"/>
  <c r="C648" i="25"/>
  <c r="B648" i="25"/>
  <c r="A648" i="25"/>
  <c r="E647" i="25"/>
  <c r="D647" i="25"/>
  <c r="C647" i="25"/>
  <c r="B647" i="25"/>
  <c r="A647" i="25"/>
  <c r="E646" i="25"/>
  <c r="D646" i="25"/>
  <c r="C646" i="25"/>
  <c r="B646" i="25"/>
  <c r="A646" i="25"/>
  <c r="E645" i="25"/>
  <c r="D645" i="25"/>
  <c r="C645" i="25"/>
  <c r="B645" i="25"/>
  <c r="A645" i="25"/>
  <c r="E644" i="25"/>
  <c r="D644" i="25"/>
  <c r="C644" i="25"/>
  <c r="B644" i="25"/>
  <c r="A644" i="25"/>
  <c r="E641" i="25"/>
  <c r="D641" i="25"/>
  <c r="C641" i="25"/>
  <c r="B641" i="25"/>
  <c r="A641" i="25"/>
  <c r="E640" i="25"/>
  <c r="D640" i="25"/>
  <c r="C640" i="25"/>
  <c r="B640" i="25"/>
  <c r="A640" i="25"/>
  <c r="E639" i="25"/>
  <c r="D639" i="25"/>
  <c r="C639" i="25"/>
  <c r="B639" i="25"/>
  <c r="A639" i="25"/>
  <c r="E638" i="25"/>
  <c r="D638" i="25"/>
  <c r="C638" i="25"/>
  <c r="B638" i="25"/>
  <c r="A638" i="25"/>
  <c r="E637" i="25"/>
  <c r="D637" i="25"/>
  <c r="C637" i="25"/>
  <c r="B637" i="25"/>
  <c r="A637" i="25"/>
  <c r="E636" i="25"/>
  <c r="D636" i="25"/>
  <c r="C636" i="25"/>
  <c r="B636" i="25"/>
  <c r="A636" i="25"/>
  <c r="E635" i="25"/>
  <c r="D635" i="25"/>
  <c r="C635" i="25"/>
  <c r="B635" i="25"/>
  <c r="A635" i="25"/>
  <c r="E632" i="25"/>
  <c r="D632" i="25"/>
  <c r="C632" i="25"/>
  <c r="B632" i="25"/>
  <c r="A632" i="25"/>
  <c r="E631" i="25"/>
  <c r="D631" i="25"/>
  <c r="C631" i="25"/>
  <c r="B631" i="25"/>
  <c r="A631" i="25"/>
  <c r="E630" i="25"/>
  <c r="D630" i="25"/>
  <c r="C630" i="25"/>
  <c r="B630" i="25"/>
  <c r="A630" i="25"/>
  <c r="E629" i="25"/>
  <c r="D629" i="25"/>
  <c r="C629" i="25"/>
  <c r="B629" i="25"/>
  <c r="A629" i="25"/>
  <c r="E628" i="25"/>
  <c r="D628" i="25"/>
  <c r="C628" i="25"/>
  <c r="B628" i="25"/>
  <c r="A628" i="25"/>
  <c r="E627" i="25"/>
  <c r="D627" i="25"/>
  <c r="C627" i="25"/>
  <c r="B627" i="25"/>
  <c r="A627" i="25"/>
  <c r="E624" i="25"/>
  <c r="D624" i="25"/>
  <c r="C624" i="25"/>
  <c r="B624" i="25"/>
  <c r="A624" i="25"/>
  <c r="E623" i="25"/>
  <c r="D623" i="25"/>
  <c r="C623" i="25"/>
  <c r="B623" i="25"/>
  <c r="A623" i="25"/>
  <c r="E622" i="25"/>
  <c r="D622" i="25"/>
  <c r="C622" i="25"/>
  <c r="B622" i="25"/>
  <c r="A622" i="25"/>
  <c r="E621" i="25"/>
  <c r="D621" i="25"/>
  <c r="C621" i="25"/>
  <c r="B621" i="25"/>
  <c r="A621" i="25"/>
  <c r="E620" i="25"/>
  <c r="D620" i="25"/>
  <c r="C620" i="25"/>
  <c r="B620" i="25"/>
  <c r="A620" i="25"/>
  <c r="E619" i="25"/>
  <c r="D619" i="25"/>
  <c r="C619" i="25"/>
  <c r="B619" i="25"/>
  <c r="A619" i="25"/>
  <c r="E618" i="25"/>
  <c r="D618" i="25"/>
  <c r="C618" i="25"/>
  <c r="B618" i="25"/>
  <c r="A618" i="25"/>
  <c r="E617" i="25"/>
  <c r="D617" i="25"/>
  <c r="C617" i="25"/>
  <c r="B617" i="25"/>
  <c r="A617" i="25"/>
  <c r="E616" i="25"/>
  <c r="D616" i="25"/>
  <c r="C616" i="25"/>
  <c r="B616" i="25"/>
  <c r="A616" i="25"/>
  <c r="E615" i="25"/>
  <c r="D615" i="25"/>
  <c r="C615" i="25"/>
  <c r="B615" i="25"/>
  <c r="A615" i="25"/>
  <c r="E614" i="25"/>
  <c r="D614" i="25"/>
  <c r="C614" i="25"/>
  <c r="B614" i="25"/>
  <c r="A614" i="25"/>
  <c r="E613" i="25"/>
  <c r="D613" i="25"/>
  <c r="C613" i="25"/>
  <c r="B613" i="25"/>
  <c r="A613" i="25"/>
  <c r="E612" i="25"/>
  <c r="D612" i="25"/>
  <c r="C612" i="25"/>
  <c r="B612" i="25"/>
  <c r="A612" i="25"/>
  <c r="E611" i="25"/>
  <c r="D611" i="25"/>
  <c r="C611" i="25"/>
  <c r="B611" i="25"/>
  <c r="A611" i="25"/>
  <c r="E610" i="25"/>
  <c r="D610" i="25"/>
  <c r="C610" i="25"/>
  <c r="B610" i="25"/>
  <c r="A610" i="25"/>
  <c r="E607" i="25"/>
  <c r="D607" i="25"/>
  <c r="C607" i="25"/>
  <c r="B607" i="25"/>
  <c r="A607" i="25"/>
  <c r="E606" i="25"/>
  <c r="D606" i="25"/>
  <c r="C606" i="25"/>
  <c r="B606" i="25"/>
  <c r="A606" i="25"/>
  <c r="E603" i="25"/>
  <c r="D603" i="25"/>
  <c r="C603" i="25"/>
  <c r="B603" i="25"/>
  <c r="A603" i="25"/>
  <c r="E602" i="25"/>
  <c r="D602" i="25"/>
  <c r="C602" i="25"/>
  <c r="B602" i="25"/>
  <c r="A602" i="25"/>
  <c r="E601" i="25"/>
  <c r="D601" i="25"/>
  <c r="C601" i="25"/>
  <c r="B601" i="25"/>
  <c r="A601" i="25"/>
  <c r="E598" i="25"/>
  <c r="D598" i="25"/>
  <c r="C598" i="25"/>
  <c r="B598" i="25"/>
  <c r="A598" i="25"/>
  <c r="E595" i="25"/>
  <c r="D595" i="25"/>
  <c r="C595" i="25"/>
  <c r="B595" i="25"/>
  <c r="A595" i="25"/>
  <c r="E592" i="25"/>
  <c r="D592" i="25"/>
  <c r="C592" i="25"/>
  <c r="B592" i="25"/>
  <c r="A592" i="25"/>
  <c r="E591" i="25"/>
  <c r="D591" i="25"/>
  <c r="C591" i="25"/>
  <c r="B591" i="25"/>
  <c r="A591" i="25"/>
  <c r="E588" i="25"/>
  <c r="D588" i="25"/>
  <c r="C588" i="25"/>
  <c r="B588" i="25"/>
  <c r="A588" i="25"/>
  <c r="E587" i="25"/>
  <c r="D587" i="25"/>
  <c r="C587" i="25"/>
  <c r="B587" i="25"/>
  <c r="A587" i="25"/>
  <c r="E586" i="25"/>
  <c r="D586" i="25"/>
  <c r="C586" i="25"/>
  <c r="B586" i="25"/>
  <c r="A586" i="25"/>
  <c r="E585" i="25"/>
  <c r="D585" i="25"/>
  <c r="C585" i="25"/>
  <c r="B585" i="25"/>
  <c r="A585" i="25"/>
  <c r="E584" i="25"/>
  <c r="D584" i="25"/>
  <c r="C584" i="25"/>
  <c r="B584" i="25"/>
  <c r="A584" i="25"/>
  <c r="E583" i="25"/>
  <c r="D583" i="25"/>
  <c r="C583" i="25"/>
  <c r="B583" i="25"/>
  <c r="A583" i="25"/>
  <c r="E582" i="25"/>
  <c r="D582" i="25"/>
  <c r="C582" i="25"/>
  <c r="B582" i="25"/>
  <c r="A582" i="25"/>
  <c r="E579" i="25"/>
  <c r="D579" i="25"/>
  <c r="C579" i="25"/>
  <c r="B579" i="25"/>
  <c r="A579" i="25"/>
  <c r="E578" i="25"/>
  <c r="D578" i="25"/>
  <c r="C578" i="25"/>
  <c r="B578" i="25"/>
  <c r="A578" i="25"/>
  <c r="E577" i="25"/>
  <c r="D577" i="25"/>
  <c r="C577" i="25"/>
  <c r="B577" i="25"/>
  <c r="A577" i="25"/>
  <c r="E576" i="25"/>
  <c r="D576" i="25"/>
  <c r="C576" i="25"/>
  <c r="B576" i="25"/>
  <c r="A576" i="25"/>
  <c r="E575" i="25"/>
  <c r="D575" i="25"/>
  <c r="C575" i="25"/>
  <c r="B575" i="25"/>
  <c r="A575" i="25"/>
  <c r="E574" i="25"/>
  <c r="D574" i="25"/>
  <c r="C574" i="25"/>
  <c r="B574" i="25"/>
  <c r="A574" i="25"/>
  <c r="E573" i="25"/>
  <c r="D573" i="25"/>
  <c r="C573" i="25"/>
  <c r="B573" i="25"/>
  <c r="A573" i="25"/>
  <c r="E570" i="25"/>
  <c r="D570" i="25"/>
  <c r="C570" i="25"/>
  <c r="B570" i="25"/>
  <c r="A570" i="25"/>
  <c r="E569" i="25"/>
  <c r="D569" i="25"/>
  <c r="C569" i="25"/>
  <c r="B569" i="25"/>
  <c r="A569" i="25"/>
  <c r="E568" i="25"/>
  <c r="D568" i="25"/>
  <c r="C568" i="25"/>
  <c r="B568" i="25"/>
  <c r="A568" i="25"/>
  <c r="E567" i="25"/>
  <c r="D567" i="25"/>
  <c r="C567" i="25"/>
  <c r="B567" i="25"/>
  <c r="A567" i="25"/>
  <c r="E566" i="25"/>
  <c r="D566" i="25"/>
  <c r="C566" i="25"/>
  <c r="B566" i="25"/>
  <c r="A566" i="25"/>
  <c r="E565" i="25"/>
  <c r="D565" i="25"/>
  <c r="C565" i="25"/>
  <c r="B565" i="25"/>
  <c r="A565" i="25"/>
  <c r="E562" i="25"/>
  <c r="D562" i="25"/>
  <c r="C562" i="25"/>
  <c r="B562" i="25"/>
  <c r="A562" i="25"/>
  <c r="E561" i="25"/>
  <c r="D561" i="25"/>
  <c r="C561" i="25"/>
  <c r="B561" i="25"/>
  <c r="A561" i="25"/>
  <c r="E560" i="25"/>
  <c r="D560" i="25"/>
  <c r="C560" i="25"/>
  <c r="B560" i="25"/>
  <c r="A560" i="25"/>
  <c r="E559" i="25"/>
  <c r="D559" i="25"/>
  <c r="C559" i="25"/>
  <c r="B559" i="25"/>
  <c r="A559" i="25"/>
  <c r="E558" i="25"/>
  <c r="D558" i="25"/>
  <c r="C558" i="25"/>
  <c r="B558" i="25"/>
  <c r="A558" i="25"/>
  <c r="E555" i="25"/>
  <c r="D555" i="25"/>
  <c r="C555" i="25"/>
  <c r="B555" i="25"/>
  <c r="A555" i="25"/>
  <c r="E554" i="25"/>
  <c r="D554" i="25"/>
  <c r="C554" i="25"/>
  <c r="B554" i="25"/>
  <c r="A554" i="25"/>
  <c r="E553" i="25"/>
  <c r="D553" i="25"/>
  <c r="C553" i="25"/>
  <c r="B553" i="25"/>
  <c r="A553" i="25"/>
  <c r="E552" i="25"/>
  <c r="D552" i="25"/>
  <c r="C552" i="25"/>
  <c r="B552" i="25"/>
  <c r="A552" i="25"/>
  <c r="E549" i="25"/>
  <c r="D549" i="25"/>
  <c r="C549" i="25"/>
  <c r="B549" i="25"/>
  <c r="A549" i="25"/>
  <c r="E548" i="25"/>
  <c r="D548" i="25"/>
  <c r="C548" i="25"/>
  <c r="B548" i="25"/>
  <c r="A548" i="25"/>
  <c r="E547" i="25"/>
  <c r="D547" i="25"/>
  <c r="C547" i="25"/>
  <c r="B547" i="25"/>
  <c r="A547" i="25"/>
  <c r="E546" i="25"/>
  <c r="D546" i="25"/>
  <c r="C546" i="25"/>
  <c r="B546" i="25"/>
  <c r="A546" i="25"/>
  <c r="E543" i="25"/>
  <c r="D543" i="25"/>
  <c r="C543" i="25"/>
  <c r="B543" i="25"/>
  <c r="A543" i="25"/>
  <c r="E542" i="25"/>
  <c r="D542" i="25"/>
  <c r="C542" i="25"/>
  <c r="B542" i="25"/>
  <c r="A542" i="25"/>
  <c r="E541" i="25"/>
  <c r="D541" i="25"/>
  <c r="C541" i="25"/>
  <c r="B541" i="25"/>
  <c r="A541" i="25"/>
  <c r="E540" i="25"/>
  <c r="D540" i="25"/>
  <c r="C540" i="25"/>
  <c r="B540" i="25"/>
  <c r="A540" i="25"/>
  <c r="E539" i="25"/>
  <c r="D539" i="25"/>
  <c r="C539" i="25"/>
  <c r="B539" i="25"/>
  <c r="A539" i="25"/>
  <c r="E538" i="25"/>
  <c r="D538" i="25"/>
  <c r="C538" i="25"/>
  <c r="B538" i="25"/>
  <c r="A538" i="25"/>
  <c r="E537" i="25"/>
  <c r="D537" i="25"/>
  <c r="C537" i="25"/>
  <c r="B537" i="25"/>
  <c r="A537" i="25"/>
  <c r="E536" i="25"/>
  <c r="D536" i="25"/>
  <c r="C536" i="25"/>
  <c r="B536" i="25"/>
  <c r="A536" i="25"/>
  <c r="E535" i="25"/>
  <c r="D535" i="25"/>
  <c r="C535" i="25"/>
  <c r="B535" i="25"/>
  <c r="A535" i="25"/>
  <c r="E534" i="25"/>
  <c r="D534" i="25"/>
  <c r="C534" i="25"/>
  <c r="B534" i="25"/>
  <c r="A534" i="25"/>
  <c r="E533" i="25"/>
  <c r="D533" i="25"/>
  <c r="C533" i="25"/>
  <c r="B533" i="25"/>
  <c r="A533" i="25"/>
  <c r="E530" i="25"/>
  <c r="D530" i="25"/>
  <c r="C530" i="25"/>
  <c r="B530" i="25"/>
  <c r="A530" i="25"/>
  <c r="E527" i="25"/>
  <c r="D527" i="25"/>
  <c r="C527" i="25"/>
  <c r="B527" i="25"/>
  <c r="A527" i="25"/>
  <c r="E524" i="25"/>
  <c r="D524" i="25"/>
  <c r="C524" i="25"/>
  <c r="B524" i="25"/>
  <c r="A524" i="25"/>
  <c r="E521" i="25"/>
  <c r="D521" i="25"/>
  <c r="C521" i="25"/>
  <c r="B521" i="25"/>
  <c r="A521" i="25"/>
  <c r="E520" i="25"/>
  <c r="D520" i="25"/>
  <c r="C520" i="25"/>
  <c r="B520" i="25"/>
  <c r="A520" i="25"/>
  <c r="E519" i="25"/>
  <c r="D519" i="25"/>
  <c r="C519" i="25"/>
  <c r="B519" i="25"/>
  <c r="A519" i="25"/>
  <c r="E518" i="25"/>
  <c r="D518" i="25"/>
  <c r="C518" i="25"/>
  <c r="B518" i="25"/>
  <c r="A518" i="25"/>
  <c r="E517" i="25"/>
  <c r="D517" i="25"/>
  <c r="C517" i="25"/>
  <c r="B517" i="25"/>
  <c r="A517" i="25"/>
  <c r="E516" i="25"/>
  <c r="D516" i="25"/>
  <c r="C516" i="25"/>
  <c r="B516" i="25"/>
  <c r="A516" i="25"/>
  <c r="E513" i="25"/>
  <c r="D513" i="25"/>
  <c r="C513" i="25"/>
  <c r="B513" i="25"/>
  <c r="A513" i="25"/>
  <c r="E512" i="25"/>
  <c r="D512" i="25"/>
  <c r="C512" i="25"/>
  <c r="B512" i="25"/>
  <c r="A512" i="25"/>
  <c r="E509" i="25"/>
  <c r="D509" i="25"/>
  <c r="C509" i="25"/>
  <c r="B509" i="25"/>
  <c r="A509" i="25"/>
  <c r="E508" i="25"/>
  <c r="D508" i="25"/>
  <c r="C508" i="25"/>
  <c r="B508" i="25"/>
  <c r="A508" i="25"/>
  <c r="E507" i="25"/>
  <c r="D507" i="25"/>
  <c r="C507" i="25"/>
  <c r="B507" i="25"/>
  <c r="A507" i="25"/>
  <c r="E506" i="25"/>
  <c r="D506" i="25"/>
  <c r="C506" i="25"/>
  <c r="B506" i="25"/>
  <c r="A506" i="25"/>
  <c r="E505" i="25"/>
  <c r="D505" i="25"/>
  <c r="C505" i="25"/>
  <c r="B505" i="25"/>
  <c r="A505" i="25"/>
  <c r="E504" i="25"/>
  <c r="D504" i="25"/>
  <c r="C504" i="25"/>
  <c r="B504" i="25"/>
  <c r="A504" i="25"/>
  <c r="E503" i="25"/>
  <c r="D503" i="25"/>
  <c r="C503" i="25"/>
  <c r="B503" i="25"/>
  <c r="A503" i="25"/>
  <c r="E502" i="25"/>
  <c r="D502" i="25"/>
  <c r="C502" i="25"/>
  <c r="B502" i="25"/>
  <c r="A502" i="25"/>
  <c r="E501" i="25"/>
  <c r="D501" i="25"/>
  <c r="C501" i="25"/>
  <c r="B501" i="25"/>
  <c r="A501" i="25"/>
  <c r="E500" i="25"/>
  <c r="D500" i="25"/>
  <c r="C500" i="25"/>
  <c r="B500" i="25"/>
  <c r="A500" i="25"/>
  <c r="E499" i="25"/>
  <c r="D499" i="25"/>
  <c r="C499" i="25"/>
  <c r="B499" i="25"/>
  <c r="A499" i="25"/>
  <c r="E498" i="25"/>
  <c r="D498" i="25"/>
  <c r="C498" i="25"/>
  <c r="B498" i="25"/>
  <c r="A498" i="25"/>
  <c r="E497" i="25"/>
  <c r="D497" i="25"/>
  <c r="C497" i="25"/>
  <c r="B497" i="25"/>
  <c r="A497" i="25"/>
  <c r="E496" i="25"/>
  <c r="D496" i="25"/>
  <c r="C496" i="25"/>
  <c r="B496" i="25"/>
  <c r="A496" i="25"/>
  <c r="E495" i="25"/>
  <c r="D495" i="25"/>
  <c r="C495" i="25"/>
  <c r="B495" i="25"/>
  <c r="A495" i="25"/>
  <c r="E492" i="25"/>
  <c r="D492" i="25"/>
  <c r="C492" i="25"/>
  <c r="B492" i="25"/>
  <c r="A492" i="25"/>
  <c r="E489" i="25"/>
  <c r="D489" i="25"/>
  <c r="C489" i="25"/>
  <c r="B489" i="25"/>
  <c r="A489" i="25"/>
  <c r="E488" i="25"/>
  <c r="D488" i="25"/>
  <c r="C488" i="25"/>
  <c r="B488" i="25"/>
  <c r="A488" i="25"/>
  <c r="E487" i="25"/>
  <c r="D487" i="25"/>
  <c r="C487" i="25"/>
  <c r="B487" i="25"/>
  <c r="A487" i="25"/>
  <c r="E486" i="25"/>
  <c r="D486" i="25"/>
  <c r="C486" i="25"/>
  <c r="B486" i="25"/>
  <c r="A486" i="25"/>
  <c r="E485" i="25"/>
  <c r="D485" i="25"/>
  <c r="C485" i="25"/>
  <c r="B485" i="25"/>
  <c r="A485" i="25"/>
  <c r="E484" i="25"/>
  <c r="D484" i="25"/>
  <c r="C484" i="25"/>
  <c r="B484" i="25"/>
  <c r="A484" i="25"/>
  <c r="E483" i="25"/>
  <c r="D483" i="25"/>
  <c r="C483" i="25"/>
  <c r="B483" i="25"/>
  <c r="A483" i="25"/>
  <c r="E482" i="25"/>
  <c r="D482" i="25"/>
  <c r="C482" i="25"/>
  <c r="B482" i="25"/>
  <c r="A482" i="25"/>
  <c r="E479" i="25"/>
  <c r="D479" i="25"/>
  <c r="C479" i="25"/>
  <c r="B479" i="25"/>
  <c r="A479" i="25"/>
  <c r="E478" i="25"/>
  <c r="D478" i="25"/>
  <c r="C478" i="25"/>
  <c r="B478" i="25"/>
  <c r="A478" i="25"/>
  <c r="E477" i="25"/>
  <c r="D477" i="25"/>
  <c r="C477" i="25"/>
  <c r="B477" i="25"/>
  <c r="A477" i="25"/>
  <c r="E476" i="25"/>
  <c r="D476" i="25"/>
  <c r="C476" i="25"/>
  <c r="B476" i="25"/>
  <c r="A476" i="25"/>
  <c r="E475" i="25"/>
  <c r="D475" i="25"/>
  <c r="C475" i="25"/>
  <c r="B475" i="25"/>
  <c r="A475" i="25"/>
  <c r="E474" i="25"/>
  <c r="D474" i="25"/>
  <c r="C474" i="25"/>
  <c r="B474" i="25"/>
  <c r="A474" i="25"/>
  <c r="E473" i="25"/>
  <c r="D473" i="25"/>
  <c r="C473" i="25"/>
  <c r="B473" i="25"/>
  <c r="A473" i="25"/>
  <c r="E472" i="25"/>
  <c r="D472" i="25"/>
  <c r="C472" i="25"/>
  <c r="B472" i="25"/>
  <c r="A472" i="25"/>
  <c r="E471" i="25"/>
  <c r="D471" i="25"/>
  <c r="C471" i="25"/>
  <c r="B471" i="25"/>
  <c r="A471" i="25"/>
  <c r="E470" i="25"/>
  <c r="D470" i="25"/>
  <c r="C470" i="25"/>
  <c r="B470" i="25"/>
  <c r="A470" i="25"/>
  <c r="E467" i="25"/>
  <c r="D467" i="25"/>
  <c r="C467" i="25"/>
  <c r="B467" i="25"/>
  <c r="A467" i="25"/>
  <c r="E464" i="25"/>
  <c r="D464" i="25"/>
  <c r="C464" i="25"/>
  <c r="B464" i="25"/>
  <c r="A464" i="25"/>
  <c r="E463" i="25"/>
  <c r="D463" i="25"/>
  <c r="C463" i="25"/>
  <c r="B463" i="25"/>
  <c r="A463" i="25"/>
  <c r="E462" i="25"/>
  <c r="D462" i="25"/>
  <c r="C462" i="25"/>
  <c r="B462" i="25"/>
  <c r="A462" i="25"/>
  <c r="E461" i="25"/>
  <c r="D461" i="25"/>
  <c r="C461" i="25"/>
  <c r="B461" i="25"/>
  <c r="A461" i="25"/>
  <c r="E460" i="25"/>
  <c r="D460" i="25"/>
  <c r="C460" i="25"/>
  <c r="B460" i="25"/>
  <c r="A460" i="25"/>
  <c r="E459" i="25"/>
  <c r="D459" i="25"/>
  <c r="C459" i="25"/>
  <c r="B459" i="25"/>
  <c r="A459" i="25"/>
  <c r="E458" i="25"/>
  <c r="D458" i="25"/>
  <c r="C458" i="25"/>
  <c r="B458" i="25"/>
  <c r="A458" i="25"/>
  <c r="E457" i="25"/>
  <c r="D457" i="25"/>
  <c r="C457" i="25"/>
  <c r="B457" i="25"/>
  <c r="A457" i="25"/>
  <c r="E456" i="25"/>
  <c r="D456" i="25"/>
  <c r="C456" i="25"/>
  <c r="B456" i="25"/>
  <c r="A456" i="25"/>
  <c r="E455" i="25"/>
  <c r="D455" i="25"/>
  <c r="C455" i="25"/>
  <c r="B455" i="25"/>
  <c r="A455" i="25"/>
  <c r="E452" i="25"/>
  <c r="D452" i="25"/>
  <c r="C452" i="25"/>
  <c r="B452" i="25"/>
  <c r="A452" i="25"/>
  <c r="E449" i="25"/>
  <c r="D449" i="25"/>
  <c r="C449" i="25"/>
  <c r="B449" i="25"/>
  <c r="A449" i="25"/>
  <c r="E448" i="25"/>
  <c r="D448" i="25"/>
  <c r="C448" i="25"/>
  <c r="B448" i="25"/>
  <c r="A448" i="25"/>
  <c r="E445" i="25"/>
  <c r="D445" i="25"/>
  <c r="C445" i="25"/>
  <c r="B445" i="25"/>
  <c r="A445" i="25"/>
  <c r="E444" i="25"/>
  <c r="D444" i="25"/>
  <c r="C444" i="25"/>
  <c r="B444" i="25"/>
  <c r="A444" i="25"/>
  <c r="E443" i="25"/>
  <c r="D443" i="25"/>
  <c r="C443" i="25"/>
  <c r="B443" i="25"/>
  <c r="A443" i="25"/>
  <c r="E442" i="25"/>
  <c r="D442" i="25"/>
  <c r="C442" i="25"/>
  <c r="B442" i="25"/>
  <c r="A442" i="25"/>
  <c r="E441" i="25"/>
  <c r="D441" i="25"/>
  <c r="C441" i="25"/>
  <c r="B441" i="25"/>
  <c r="A441" i="25"/>
  <c r="E440" i="25"/>
  <c r="D440" i="25"/>
  <c r="C440" i="25"/>
  <c r="B440" i="25"/>
  <c r="A440" i="25"/>
  <c r="E439" i="25"/>
  <c r="D439" i="25"/>
  <c r="C439" i="25"/>
  <c r="B439" i="25"/>
  <c r="A439" i="25"/>
  <c r="E438" i="25"/>
  <c r="D438" i="25"/>
  <c r="C438" i="25"/>
  <c r="B438" i="25"/>
  <c r="A438" i="25"/>
  <c r="E437" i="25"/>
  <c r="D437" i="25"/>
  <c r="C437" i="25"/>
  <c r="B437" i="25"/>
  <c r="A437" i="25"/>
  <c r="E436" i="25"/>
  <c r="D436" i="25"/>
  <c r="C436" i="25"/>
  <c r="B436" i="25"/>
  <c r="A436" i="25"/>
  <c r="E435" i="25"/>
  <c r="D435" i="25"/>
  <c r="C435" i="25"/>
  <c r="B435" i="25"/>
  <c r="A435" i="25"/>
  <c r="E434" i="25"/>
  <c r="D434" i="25"/>
  <c r="C434" i="25"/>
  <c r="B434" i="25"/>
  <c r="A434" i="25"/>
  <c r="E433" i="25"/>
  <c r="D433" i="25"/>
  <c r="C433" i="25"/>
  <c r="B433" i="25"/>
  <c r="A433" i="25"/>
  <c r="E432" i="25"/>
  <c r="D432" i="25"/>
  <c r="C432" i="25"/>
  <c r="B432" i="25"/>
  <c r="A432" i="25"/>
  <c r="E431" i="25"/>
  <c r="D431" i="25"/>
  <c r="C431" i="25"/>
  <c r="B431" i="25"/>
  <c r="A431" i="25"/>
  <c r="E430" i="25"/>
  <c r="D430" i="25"/>
  <c r="C430" i="25"/>
  <c r="B430" i="25"/>
  <c r="A430" i="25"/>
  <c r="E429" i="25"/>
  <c r="D429" i="25"/>
  <c r="C429" i="25"/>
  <c r="B429" i="25"/>
  <c r="A429" i="25"/>
  <c r="E426" i="25"/>
  <c r="D426" i="25"/>
  <c r="C426" i="25"/>
  <c r="B426" i="25"/>
  <c r="A426" i="25"/>
  <c r="E423" i="25"/>
  <c r="D423" i="25"/>
  <c r="C423" i="25"/>
  <c r="B423" i="25"/>
  <c r="A423" i="25"/>
  <c r="E420" i="25"/>
  <c r="D420" i="25"/>
  <c r="C420" i="25"/>
  <c r="B420" i="25"/>
  <c r="A420" i="25"/>
  <c r="E419" i="25"/>
  <c r="D419" i="25"/>
  <c r="C419" i="25"/>
  <c r="B419" i="25"/>
  <c r="A419" i="25"/>
  <c r="E418" i="25"/>
  <c r="D418" i="25"/>
  <c r="C418" i="25"/>
  <c r="B418" i="25"/>
  <c r="A418" i="25"/>
  <c r="E417" i="25"/>
  <c r="D417" i="25"/>
  <c r="C417" i="25"/>
  <c r="B417" i="25"/>
  <c r="A417" i="25"/>
  <c r="E416" i="25"/>
  <c r="D416" i="25"/>
  <c r="C416" i="25"/>
  <c r="B416" i="25"/>
  <c r="A416" i="25"/>
  <c r="E415" i="25"/>
  <c r="D415" i="25"/>
  <c r="C415" i="25"/>
  <c r="B415" i="25"/>
  <c r="A415" i="25"/>
  <c r="E414" i="25"/>
  <c r="D414" i="25"/>
  <c r="C414" i="25"/>
  <c r="B414" i="25"/>
  <c r="A414" i="25"/>
  <c r="E413" i="25"/>
  <c r="D413" i="25"/>
  <c r="C413" i="25"/>
  <c r="B413" i="25"/>
  <c r="A413" i="25"/>
  <c r="E412" i="25"/>
  <c r="D412" i="25"/>
  <c r="C412" i="25"/>
  <c r="B412" i="25"/>
  <c r="A412" i="25"/>
  <c r="E411" i="25"/>
  <c r="D411" i="25"/>
  <c r="C411" i="25"/>
  <c r="B411" i="25"/>
  <c r="A411" i="25"/>
  <c r="E410" i="25"/>
  <c r="D410" i="25"/>
  <c r="C410" i="25"/>
  <c r="B410" i="25"/>
  <c r="A410" i="25"/>
  <c r="E409" i="25"/>
  <c r="D409" i="25"/>
  <c r="C409" i="25"/>
  <c r="B409" i="25"/>
  <c r="A409" i="25"/>
  <c r="E408" i="25"/>
  <c r="D408" i="25"/>
  <c r="C408" i="25"/>
  <c r="B408" i="25"/>
  <c r="A408" i="25"/>
  <c r="E407" i="25"/>
  <c r="D407" i="25"/>
  <c r="C407" i="25"/>
  <c r="B407" i="25"/>
  <c r="A407" i="25"/>
  <c r="E406" i="25"/>
  <c r="D406" i="25"/>
  <c r="C406" i="25"/>
  <c r="B406" i="25"/>
  <c r="A406" i="25"/>
  <c r="E405" i="25"/>
  <c r="D405" i="25"/>
  <c r="C405" i="25"/>
  <c r="B405" i="25"/>
  <c r="A405" i="25"/>
  <c r="E402" i="25"/>
  <c r="D402" i="25"/>
  <c r="C402" i="25"/>
  <c r="B402" i="25"/>
  <c r="A402" i="25"/>
  <c r="E401" i="25"/>
  <c r="D401" i="25"/>
  <c r="C401" i="25"/>
  <c r="B401" i="25"/>
  <c r="A401" i="25"/>
  <c r="E398" i="25"/>
  <c r="D398" i="25"/>
  <c r="C398" i="25"/>
  <c r="B398" i="25"/>
  <c r="A398" i="25"/>
  <c r="E397" i="25"/>
  <c r="D397" i="25"/>
  <c r="C397" i="25"/>
  <c r="B397" i="25"/>
  <c r="A397" i="25"/>
  <c r="E396" i="25"/>
  <c r="D396" i="25"/>
  <c r="C396" i="25"/>
  <c r="B396" i="25"/>
  <c r="A396" i="25"/>
  <c r="E395" i="25"/>
  <c r="D395" i="25"/>
  <c r="C395" i="25"/>
  <c r="B395" i="25"/>
  <c r="A395" i="25"/>
  <c r="E394" i="25"/>
  <c r="D394" i="25"/>
  <c r="C394" i="25"/>
  <c r="B394" i="25"/>
  <c r="A394" i="25"/>
  <c r="E391" i="25"/>
  <c r="D391" i="25"/>
  <c r="C391" i="25"/>
  <c r="B391" i="25"/>
  <c r="A391" i="25"/>
  <c r="E390" i="25"/>
  <c r="D390" i="25"/>
  <c r="C390" i="25"/>
  <c r="B390" i="25"/>
  <c r="A390" i="25"/>
  <c r="E387" i="25"/>
  <c r="D387" i="25"/>
  <c r="C387" i="25"/>
  <c r="B387" i="25"/>
  <c r="A387" i="25"/>
  <c r="E386" i="25"/>
  <c r="D386" i="25"/>
  <c r="C386" i="25"/>
  <c r="B386" i="25"/>
  <c r="A386" i="25"/>
  <c r="E385" i="25"/>
  <c r="D385" i="25"/>
  <c r="C385" i="25"/>
  <c r="B385" i="25"/>
  <c r="A385" i="25"/>
  <c r="E384" i="25"/>
  <c r="D384" i="25"/>
  <c r="C384" i="25"/>
  <c r="B384" i="25"/>
  <c r="A384" i="25"/>
  <c r="E383" i="25"/>
  <c r="D383" i="25"/>
  <c r="C383" i="25"/>
  <c r="B383" i="25"/>
  <c r="A383" i="25"/>
  <c r="E382" i="25"/>
  <c r="D382" i="25"/>
  <c r="C382" i="25"/>
  <c r="B382" i="25"/>
  <c r="A382" i="25"/>
  <c r="E381" i="25"/>
  <c r="D381" i="25"/>
  <c r="C381" i="25"/>
  <c r="B381" i="25"/>
  <c r="A381" i="25"/>
  <c r="E380" i="25"/>
  <c r="D380" i="25"/>
  <c r="C380" i="25"/>
  <c r="B380" i="25"/>
  <c r="A380" i="25"/>
  <c r="E379" i="25"/>
  <c r="D379" i="25"/>
  <c r="C379" i="25"/>
  <c r="B379" i="25"/>
  <c r="A379" i="25"/>
  <c r="E378" i="25"/>
  <c r="D378" i="25"/>
  <c r="C378" i="25"/>
  <c r="B378" i="25"/>
  <c r="A378" i="25"/>
  <c r="E377" i="25"/>
  <c r="D377" i="25"/>
  <c r="C377" i="25"/>
  <c r="B377" i="25"/>
  <c r="A377" i="25"/>
  <c r="E376" i="25"/>
  <c r="D376" i="25"/>
  <c r="C376" i="25"/>
  <c r="B376" i="25"/>
  <c r="A376" i="25"/>
  <c r="E375" i="25"/>
  <c r="D375" i="25"/>
  <c r="C375" i="25"/>
  <c r="B375" i="25"/>
  <c r="A375" i="25"/>
  <c r="E374" i="25"/>
  <c r="D374" i="25"/>
  <c r="C374" i="25"/>
  <c r="B374" i="25"/>
  <c r="A374" i="25"/>
  <c r="E373" i="25"/>
  <c r="D373" i="25"/>
  <c r="C373" i="25"/>
  <c r="B373" i="25"/>
  <c r="A373" i="25"/>
  <c r="E372" i="25"/>
  <c r="D372" i="25"/>
  <c r="C372" i="25"/>
  <c r="B372" i="25"/>
  <c r="A372" i="25"/>
  <c r="E371" i="25"/>
  <c r="D371" i="25"/>
  <c r="C371" i="25"/>
  <c r="B371" i="25"/>
  <c r="A371" i="25"/>
  <c r="E370" i="25"/>
  <c r="D370" i="25"/>
  <c r="C370" i="25"/>
  <c r="B370" i="25"/>
  <c r="A370" i="25"/>
  <c r="E369" i="25"/>
  <c r="D369" i="25"/>
  <c r="C369" i="25"/>
  <c r="B369" i="25"/>
  <c r="A369" i="25"/>
  <c r="E368" i="25"/>
  <c r="D368" i="25"/>
  <c r="C368" i="25"/>
  <c r="B368" i="25"/>
  <c r="A368" i="25"/>
  <c r="E367" i="25"/>
  <c r="D367" i="25"/>
  <c r="C367" i="25"/>
  <c r="B367" i="25"/>
  <c r="A367" i="25"/>
  <c r="E366" i="25"/>
  <c r="D366" i="25"/>
  <c r="C366" i="25"/>
  <c r="B366" i="25"/>
  <c r="A366" i="25"/>
  <c r="E365" i="25"/>
  <c r="D365" i="25"/>
  <c r="C365" i="25"/>
  <c r="B365" i="25"/>
  <c r="A365" i="25"/>
  <c r="E364" i="25"/>
  <c r="D364" i="25"/>
  <c r="C364" i="25"/>
  <c r="B364" i="25"/>
  <c r="A364" i="25"/>
  <c r="E361" i="25"/>
  <c r="D361" i="25"/>
  <c r="C361" i="25"/>
  <c r="B361" i="25"/>
  <c r="A361" i="25"/>
  <c r="E358" i="25"/>
  <c r="D358" i="25"/>
  <c r="C358" i="25"/>
  <c r="B358" i="25"/>
  <c r="A358" i="25"/>
  <c r="E357" i="25"/>
  <c r="D357" i="25"/>
  <c r="C357" i="25"/>
  <c r="B357" i="25"/>
  <c r="A357" i="25"/>
  <c r="E356" i="25"/>
  <c r="D356" i="25"/>
  <c r="C356" i="25"/>
  <c r="B356" i="25"/>
  <c r="A356" i="25"/>
  <c r="E355" i="25"/>
  <c r="D355" i="25"/>
  <c r="C355" i="25"/>
  <c r="B355" i="25"/>
  <c r="A355" i="25"/>
  <c r="E354" i="25"/>
  <c r="D354" i="25"/>
  <c r="C354" i="25"/>
  <c r="B354" i="25"/>
  <c r="A354" i="25"/>
  <c r="E353" i="25"/>
  <c r="D353" i="25"/>
  <c r="C353" i="25"/>
  <c r="B353" i="25"/>
  <c r="A353" i="25"/>
  <c r="E352" i="25"/>
  <c r="D352" i="25"/>
  <c r="C352" i="25"/>
  <c r="B352" i="25"/>
  <c r="A352" i="25"/>
  <c r="E351" i="25"/>
  <c r="D351" i="25"/>
  <c r="C351" i="25"/>
  <c r="B351" i="25"/>
  <c r="A351" i="25"/>
  <c r="E350" i="25"/>
  <c r="D350" i="25"/>
  <c r="C350" i="25"/>
  <c r="B350" i="25"/>
  <c r="A350" i="25"/>
  <c r="E349" i="25"/>
  <c r="D349" i="25"/>
  <c r="C349" i="25"/>
  <c r="B349" i="25"/>
  <c r="A349" i="25"/>
  <c r="E348" i="25"/>
  <c r="D348" i="25"/>
  <c r="C348" i="25"/>
  <c r="B348" i="25"/>
  <c r="A348" i="25"/>
  <c r="E347" i="25"/>
  <c r="D347" i="25"/>
  <c r="C347" i="25"/>
  <c r="B347" i="25"/>
  <c r="A347" i="25"/>
  <c r="E346" i="25"/>
  <c r="D346" i="25"/>
  <c r="C346" i="25"/>
  <c r="B346" i="25"/>
  <c r="A346" i="25"/>
  <c r="E345" i="25"/>
  <c r="D345" i="25"/>
  <c r="C345" i="25"/>
  <c r="B345" i="25"/>
  <c r="A345" i="25"/>
  <c r="E344" i="25"/>
  <c r="D344" i="25"/>
  <c r="C344" i="25"/>
  <c r="B344" i="25"/>
  <c r="A344" i="25"/>
  <c r="E343" i="25"/>
  <c r="D343" i="25"/>
  <c r="C343" i="25"/>
  <c r="B343" i="25"/>
  <c r="A343" i="25"/>
  <c r="E342" i="25"/>
  <c r="D342" i="25"/>
  <c r="C342" i="25"/>
  <c r="B342" i="25"/>
  <c r="A342" i="25"/>
  <c r="E341" i="25"/>
  <c r="D341" i="25"/>
  <c r="C341" i="25"/>
  <c r="B341" i="25"/>
  <c r="A341" i="25"/>
  <c r="E340" i="25"/>
  <c r="D340" i="25"/>
  <c r="C340" i="25"/>
  <c r="B340" i="25"/>
  <c r="A340" i="25"/>
  <c r="E339" i="25"/>
  <c r="D339" i="25"/>
  <c r="C339" i="25"/>
  <c r="B339" i="25"/>
  <c r="A339" i="25"/>
  <c r="E338" i="25"/>
  <c r="D338" i="25"/>
  <c r="C338" i="25"/>
  <c r="B338" i="25"/>
  <c r="A338" i="25"/>
  <c r="E337" i="25"/>
  <c r="D337" i="25"/>
  <c r="C337" i="25"/>
  <c r="B337" i="25"/>
  <c r="A337" i="25"/>
  <c r="E336" i="25"/>
  <c r="D336" i="25"/>
  <c r="C336" i="25"/>
  <c r="B336" i="25"/>
  <c r="A336" i="25"/>
  <c r="E335" i="25"/>
  <c r="D335" i="25"/>
  <c r="C335" i="25"/>
  <c r="B335" i="25"/>
  <c r="A335" i="25"/>
  <c r="E334" i="25"/>
  <c r="D334" i="25"/>
  <c r="C334" i="25"/>
  <c r="B334" i="25"/>
  <c r="A334" i="25"/>
  <c r="E331" i="25"/>
  <c r="D331" i="25"/>
  <c r="C331" i="25"/>
  <c r="B331" i="25"/>
  <c r="A331" i="25"/>
  <c r="E330" i="25"/>
  <c r="D330" i="25"/>
  <c r="C330" i="25"/>
  <c r="B330" i="25"/>
  <c r="A330" i="25"/>
  <c r="E329" i="25"/>
  <c r="D329" i="25"/>
  <c r="C329" i="25"/>
  <c r="B329" i="25"/>
  <c r="A329" i="25"/>
  <c r="E328" i="25"/>
  <c r="D328" i="25"/>
  <c r="C328" i="25"/>
  <c r="B328" i="25"/>
  <c r="A328" i="25"/>
  <c r="E327" i="25"/>
  <c r="D327" i="25"/>
  <c r="C327" i="25"/>
  <c r="B327" i="25"/>
  <c r="A327" i="25"/>
  <c r="E326" i="25"/>
  <c r="D326" i="25"/>
  <c r="C326" i="25"/>
  <c r="B326" i="25"/>
  <c r="A326" i="25"/>
  <c r="E325" i="25"/>
  <c r="D325" i="25"/>
  <c r="C325" i="25"/>
  <c r="B325" i="25"/>
  <c r="A325" i="25"/>
  <c r="E324" i="25"/>
  <c r="D324" i="25"/>
  <c r="C324" i="25"/>
  <c r="B324" i="25"/>
  <c r="A324" i="25"/>
  <c r="E323" i="25"/>
  <c r="D323" i="25"/>
  <c r="C323" i="25"/>
  <c r="B323" i="25"/>
  <c r="A323" i="25"/>
  <c r="E322" i="25"/>
  <c r="D322" i="25"/>
  <c r="C322" i="25"/>
  <c r="B322" i="25"/>
  <c r="A322" i="25"/>
  <c r="E321" i="25"/>
  <c r="D321" i="25"/>
  <c r="C321" i="25"/>
  <c r="B321" i="25"/>
  <c r="A321" i="25"/>
  <c r="E320" i="25"/>
  <c r="D320" i="25"/>
  <c r="C320" i="25"/>
  <c r="B320" i="25"/>
  <c r="A320" i="25"/>
  <c r="E319" i="25"/>
  <c r="D319" i="25"/>
  <c r="C319" i="25"/>
  <c r="B319" i="25"/>
  <c r="A319" i="25"/>
  <c r="E318" i="25"/>
  <c r="D318" i="25"/>
  <c r="C318" i="25"/>
  <c r="B318" i="25"/>
  <c r="A318" i="25"/>
  <c r="E317" i="25"/>
  <c r="D317" i="25"/>
  <c r="C317" i="25"/>
  <c r="B317" i="25"/>
  <c r="A317" i="25"/>
  <c r="E316" i="25"/>
  <c r="D316" i="25"/>
  <c r="C316" i="25"/>
  <c r="B316" i="25"/>
  <c r="A316" i="25"/>
  <c r="E315" i="25"/>
  <c r="D315" i="25"/>
  <c r="C315" i="25"/>
  <c r="B315" i="25"/>
  <c r="A315" i="25"/>
  <c r="E314" i="25"/>
  <c r="D314" i="25"/>
  <c r="C314" i="25"/>
  <c r="B314" i="25"/>
  <c r="A314" i="25"/>
  <c r="E313" i="25"/>
  <c r="D313" i="25"/>
  <c r="C313" i="25"/>
  <c r="B313" i="25"/>
  <c r="A313" i="25"/>
  <c r="E312" i="25"/>
  <c r="D312" i="25"/>
  <c r="C312" i="25"/>
  <c r="B312" i="25"/>
  <c r="A312" i="25"/>
  <c r="E311" i="25"/>
  <c r="D311" i="25"/>
  <c r="C311" i="25"/>
  <c r="B311" i="25"/>
  <c r="A311" i="25"/>
  <c r="E310" i="25"/>
  <c r="D310" i="25"/>
  <c r="C310" i="25"/>
  <c r="B310" i="25"/>
  <c r="A310" i="25"/>
  <c r="E309" i="25"/>
  <c r="D309" i="25"/>
  <c r="C309" i="25"/>
  <c r="B309" i="25"/>
  <c r="A309" i="25"/>
  <c r="E308" i="25"/>
  <c r="D308" i="25"/>
  <c r="C308" i="25"/>
  <c r="B308" i="25"/>
  <c r="A308" i="25"/>
  <c r="E307" i="25"/>
  <c r="D307" i="25"/>
  <c r="C307" i="25"/>
  <c r="B307" i="25"/>
  <c r="A307" i="25"/>
  <c r="E306" i="25"/>
  <c r="D306" i="25"/>
  <c r="C306" i="25"/>
  <c r="B306" i="25"/>
  <c r="A306" i="25"/>
  <c r="E305" i="25"/>
  <c r="D305" i="25"/>
  <c r="C305" i="25"/>
  <c r="B305" i="25"/>
  <c r="A305" i="25"/>
  <c r="E304" i="25"/>
  <c r="D304" i="25"/>
  <c r="C304" i="25"/>
  <c r="B304" i="25"/>
  <c r="A304" i="25"/>
  <c r="E303" i="25"/>
  <c r="D303" i="25"/>
  <c r="C303" i="25"/>
  <c r="B303" i="25"/>
  <c r="A303" i="25"/>
  <c r="E302" i="25"/>
  <c r="D302" i="25"/>
  <c r="C302" i="25"/>
  <c r="B302" i="25"/>
  <c r="A302" i="25"/>
  <c r="E301" i="25"/>
  <c r="D301" i="25"/>
  <c r="C301" i="25"/>
  <c r="B301" i="25"/>
  <c r="A301" i="25"/>
  <c r="E300" i="25"/>
  <c r="D300" i="25"/>
  <c r="C300" i="25"/>
  <c r="B300" i="25"/>
  <c r="A300" i="25"/>
  <c r="E299" i="25"/>
  <c r="D299" i="25"/>
  <c r="C299" i="25"/>
  <c r="B299" i="25"/>
  <c r="A299" i="25"/>
  <c r="E298" i="25"/>
  <c r="D298" i="25"/>
  <c r="C298" i="25"/>
  <c r="B298" i="25"/>
  <c r="A298" i="25"/>
  <c r="E297" i="25"/>
  <c r="D297" i="25"/>
  <c r="C297" i="25"/>
  <c r="B297" i="25"/>
  <c r="A297" i="25"/>
  <c r="E296" i="25"/>
  <c r="D296" i="25"/>
  <c r="C296" i="25"/>
  <c r="B296" i="25"/>
  <c r="A296" i="25"/>
  <c r="E293" i="25"/>
  <c r="D293" i="25"/>
  <c r="C293" i="25"/>
  <c r="B293" i="25"/>
  <c r="A293" i="25"/>
  <c r="E292" i="25"/>
  <c r="D292" i="25"/>
  <c r="C292" i="25"/>
  <c r="B292" i="25"/>
  <c r="A292" i="25"/>
  <c r="E291" i="25"/>
  <c r="D291" i="25"/>
  <c r="C291" i="25"/>
  <c r="B291" i="25"/>
  <c r="A291" i="25"/>
  <c r="E288" i="25"/>
  <c r="D288" i="25"/>
  <c r="C288" i="25"/>
  <c r="B288" i="25"/>
  <c r="A288" i="25"/>
  <c r="E287" i="25"/>
  <c r="D287" i="25"/>
  <c r="C287" i="25"/>
  <c r="B287" i="25"/>
  <c r="A287" i="25"/>
  <c r="E286" i="25"/>
  <c r="D286" i="25"/>
  <c r="C286" i="25"/>
  <c r="B286" i="25"/>
  <c r="A286" i="25"/>
  <c r="E285" i="25"/>
  <c r="D285" i="25"/>
  <c r="C285" i="25"/>
  <c r="B285" i="25"/>
  <c r="A285" i="25"/>
  <c r="E284" i="25"/>
  <c r="D284" i="25"/>
  <c r="C284" i="25"/>
  <c r="B284" i="25"/>
  <c r="A284" i="25"/>
  <c r="E283" i="25"/>
  <c r="D283" i="25"/>
  <c r="C283" i="25"/>
  <c r="B283" i="25"/>
  <c r="A283" i="25"/>
  <c r="E282" i="25"/>
  <c r="D282" i="25"/>
  <c r="C282" i="25"/>
  <c r="B282" i="25"/>
  <c r="A282" i="25"/>
  <c r="E281" i="25"/>
  <c r="D281" i="25"/>
  <c r="C281" i="25"/>
  <c r="B281" i="25"/>
  <c r="A281" i="25"/>
  <c r="E280" i="25"/>
  <c r="D280" i="25"/>
  <c r="C280" i="25"/>
  <c r="B280" i="25"/>
  <c r="A280" i="25"/>
  <c r="E279" i="25"/>
  <c r="D279" i="25"/>
  <c r="C279" i="25"/>
  <c r="B279" i="25"/>
  <c r="A279" i="25"/>
  <c r="E278" i="25"/>
  <c r="D278" i="25"/>
  <c r="C278" i="25"/>
  <c r="B278" i="25"/>
  <c r="A278" i="25"/>
  <c r="E277" i="25"/>
  <c r="D277" i="25"/>
  <c r="C277" i="25"/>
  <c r="B277" i="25"/>
  <c r="A277" i="25"/>
  <c r="E276" i="25"/>
  <c r="D276" i="25"/>
  <c r="C276" i="25"/>
  <c r="B276" i="25"/>
  <c r="A276" i="25"/>
  <c r="E275" i="25"/>
  <c r="D275" i="25"/>
  <c r="C275" i="25"/>
  <c r="B275" i="25"/>
  <c r="A275" i="25"/>
  <c r="E274" i="25"/>
  <c r="D274" i="25"/>
  <c r="C274" i="25"/>
  <c r="B274" i="25"/>
  <c r="A274" i="25"/>
  <c r="E273" i="25"/>
  <c r="D273" i="25"/>
  <c r="C273" i="25"/>
  <c r="B273" i="25"/>
  <c r="A273" i="25"/>
  <c r="E272" i="25"/>
  <c r="D272" i="25"/>
  <c r="C272" i="25"/>
  <c r="B272" i="25"/>
  <c r="A272" i="25"/>
  <c r="E271" i="25"/>
  <c r="D271" i="25"/>
  <c r="C271" i="25"/>
  <c r="B271" i="25"/>
  <c r="A271" i="25"/>
  <c r="E270" i="25"/>
  <c r="D270" i="25"/>
  <c r="C270" i="25"/>
  <c r="B270" i="25"/>
  <c r="A270" i="25"/>
  <c r="E269" i="25"/>
  <c r="D269" i="25"/>
  <c r="C269" i="25"/>
  <c r="B269" i="25"/>
  <c r="A269" i="25"/>
  <c r="E268" i="25"/>
  <c r="D268" i="25"/>
  <c r="C268" i="25"/>
  <c r="B268" i="25"/>
  <c r="A268" i="25"/>
  <c r="E267" i="25"/>
  <c r="D267" i="25"/>
  <c r="C267" i="25"/>
  <c r="B267" i="25"/>
  <c r="A267" i="25"/>
  <c r="E266" i="25"/>
  <c r="D266" i="25"/>
  <c r="C266" i="25"/>
  <c r="B266" i="25"/>
  <c r="A266" i="25"/>
  <c r="E265" i="25"/>
  <c r="D265" i="25"/>
  <c r="C265" i="25"/>
  <c r="B265" i="25"/>
  <c r="A265" i="25"/>
  <c r="E264" i="25"/>
  <c r="D264" i="25"/>
  <c r="C264" i="25"/>
  <c r="B264" i="25"/>
  <c r="A264" i="25"/>
  <c r="E261" i="25"/>
  <c r="D261" i="25"/>
  <c r="C261" i="25"/>
  <c r="B261" i="25"/>
  <c r="A261" i="25"/>
  <c r="E258" i="25"/>
  <c r="D258" i="25"/>
  <c r="C258" i="25"/>
  <c r="B258" i="25"/>
  <c r="A258" i="25"/>
  <c r="E257" i="25"/>
  <c r="D257" i="25"/>
  <c r="C257" i="25"/>
  <c r="B257" i="25"/>
  <c r="A257" i="25"/>
  <c r="E256" i="25"/>
  <c r="D256" i="25"/>
  <c r="C256" i="25"/>
  <c r="B256" i="25"/>
  <c r="A256" i="25"/>
  <c r="E255" i="25"/>
  <c r="D255" i="25"/>
  <c r="C255" i="25"/>
  <c r="B255" i="25"/>
  <c r="A255" i="25"/>
  <c r="E254" i="25"/>
  <c r="D254" i="25"/>
  <c r="C254" i="25"/>
  <c r="B254" i="25"/>
  <c r="A254" i="25"/>
  <c r="E253" i="25"/>
  <c r="D253" i="25"/>
  <c r="C253" i="25"/>
  <c r="B253" i="25"/>
  <c r="A253" i="25"/>
  <c r="E252" i="25"/>
  <c r="D252" i="25"/>
  <c r="C252" i="25"/>
  <c r="B252" i="25"/>
  <c r="A252" i="25"/>
  <c r="E251" i="25"/>
  <c r="D251" i="25"/>
  <c r="C251" i="25"/>
  <c r="B251" i="25"/>
  <c r="A251" i="25"/>
  <c r="E250" i="25"/>
  <c r="D250" i="25"/>
  <c r="C250" i="25"/>
  <c r="B250" i="25"/>
  <c r="A250" i="25"/>
  <c r="E249" i="25"/>
  <c r="D249" i="25"/>
  <c r="C249" i="25"/>
  <c r="B249" i="25"/>
  <c r="A249" i="25"/>
  <c r="E248" i="25"/>
  <c r="D248" i="25"/>
  <c r="C248" i="25"/>
  <c r="B248" i="25"/>
  <c r="A248" i="25"/>
  <c r="E247" i="25"/>
  <c r="D247" i="25"/>
  <c r="C247" i="25"/>
  <c r="B247" i="25"/>
  <c r="A247" i="25"/>
  <c r="E246" i="25"/>
  <c r="D246" i="25"/>
  <c r="C246" i="25"/>
  <c r="B246" i="25"/>
  <c r="A246" i="25"/>
  <c r="E245" i="25"/>
  <c r="D245" i="25"/>
  <c r="C245" i="25"/>
  <c r="B245" i="25"/>
  <c r="A245" i="25"/>
  <c r="E244" i="25"/>
  <c r="D244" i="25"/>
  <c r="C244" i="25"/>
  <c r="B244" i="25"/>
  <c r="A244" i="25"/>
  <c r="E243" i="25"/>
  <c r="D243" i="25"/>
  <c r="C243" i="25"/>
  <c r="B243" i="25"/>
  <c r="A243" i="25"/>
  <c r="E242" i="25"/>
  <c r="D242" i="25"/>
  <c r="C242" i="25"/>
  <c r="B242" i="25"/>
  <c r="A242" i="25"/>
  <c r="E241" i="25"/>
  <c r="D241" i="25"/>
  <c r="C241" i="25"/>
  <c r="B241" i="25"/>
  <c r="A241" i="25"/>
  <c r="E240" i="25"/>
  <c r="D240" i="25"/>
  <c r="C240" i="25"/>
  <c r="B240" i="25"/>
  <c r="A240" i="25"/>
  <c r="E239" i="25"/>
  <c r="D239" i="25"/>
  <c r="C239" i="25"/>
  <c r="B239" i="25"/>
  <c r="A239" i="25"/>
  <c r="E238" i="25"/>
  <c r="D238" i="25"/>
  <c r="C238" i="25"/>
  <c r="B238" i="25"/>
  <c r="A238" i="25"/>
  <c r="E237" i="25"/>
  <c r="D237" i="25"/>
  <c r="C237" i="25"/>
  <c r="B237" i="25"/>
  <c r="A237" i="25"/>
  <c r="E236" i="25"/>
  <c r="D236" i="25"/>
  <c r="C236" i="25"/>
  <c r="B236" i="25"/>
  <c r="A236" i="25"/>
  <c r="E235" i="25"/>
  <c r="D235" i="25"/>
  <c r="C235" i="25"/>
  <c r="B235" i="25"/>
  <c r="A235" i="25"/>
  <c r="E234" i="25"/>
  <c r="D234" i="25"/>
  <c r="C234" i="25"/>
  <c r="B234" i="25"/>
  <c r="A234" i="25"/>
  <c r="E233" i="25"/>
  <c r="D233" i="25"/>
  <c r="C233" i="25"/>
  <c r="B233" i="25"/>
  <c r="A233" i="25"/>
  <c r="E232" i="25"/>
  <c r="D232" i="25"/>
  <c r="C232" i="25"/>
  <c r="B232" i="25"/>
  <c r="A232" i="25"/>
  <c r="E231" i="25"/>
  <c r="D231" i="25"/>
  <c r="C231" i="25"/>
  <c r="B231" i="25"/>
  <c r="A231" i="25"/>
  <c r="E230" i="25"/>
  <c r="D230" i="25"/>
  <c r="C230" i="25"/>
  <c r="B230" i="25"/>
  <c r="A230" i="25"/>
  <c r="E229" i="25"/>
  <c r="D229" i="25"/>
  <c r="C229" i="25"/>
  <c r="B229" i="25"/>
  <c r="A229" i="25"/>
  <c r="E228" i="25"/>
  <c r="D228" i="25"/>
  <c r="C228" i="25"/>
  <c r="B228" i="25"/>
  <c r="A228" i="25"/>
  <c r="E227" i="25"/>
  <c r="D227" i="25"/>
  <c r="C227" i="25"/>
  <c r="B227" i="25"/>
  <c r="A227" i="25"/>
  <c r="E226" i="25"/>
  <c r="D226" i="25"/>
  <c r="C226" i="25"/>
  <c r="B226" i="25"/>
  <c r="A226" i="25"/>
  <c r="E225" i="25"/>
  <c r="D225" i="25"/>
  <c r="C225" i="25"/>
  <c r="B225" i="25"/>
  <c r="A225" i="25"/>
  <c r="E224" i="25"/>
  <c r="D224" i="25"/>
  <c r="C224" i="25"/>
  <c r="B224" i="25"/>
  <c r="A224" i="25"/>
  <c r="E223" i="25"/>
  <c r="D223" i="25"/>
  <c r="C223" i="25"/>
  <c r="B223" i="25"/>
  <c r="A223" i="25"/>
  <c r="E222" i="25"/>
  <c r="D222" i="25"/>
  <c r="C222" i="25"/>
  <c r="B222" i="25"/>
  <c r="A222" i="25"/>
  <c r="E221" i="25"/>
  <c r="D221" i="25"/>
  <c r="C221" i="25"/>
  <c r="B221" i="25"/>
  <c r="A221" i="25"/>
  <c r="E220" i="25"/>
  <c r="D220" i="25"/>
  <c r="C220" i="25"/>
  <c r="B220" i="25"/>
  <c r="A220" i="25"/>
  <c r="E219" i="25"/>
  <c r="D219" i="25"/>
  <c r="C219" i="25"/>
  <c r="B219" i="25"/>
  <c r="A219" i="25"/>
  <c r="E218" i="25"/>
  <c r="D218" i="25"/>
  <c r="C218" i="25"/>
  <c r="B218" i="25"/>
  <c r="A218" i="25"/>
  <c r="E215" i="25"/>
  <c r="D215" i="25"/>
  <c r="C215" i="25"/>
  <c r="B215" i="25"/>
  <c r="A215" i="25"/>
  <c r="E214" i="25"/>
  <c r="D214" i="25"/>
  <c r="C214" i="25"/>
  <c r="B214" i="25"/>
  <c r="A214" i="25"/>
  <c r="E211" i="25"/>
  <c r="D211" i="25"/>
  <c r="C211" i="25"/>
  <c r="B211" i="25"/>
  <c r="A211" i="25"/>
  <c r="E208" i="25"/>
  <c r="D208" i="25"/>
  <c r="C208" i="25"/>
  <c r="B208" i="25"/>
  <c r="A208" i="25"/>
  <c r="E207" i="25"/>
  <c r="D207" i="25"/>
  <c r="C207" i="25"/>
  <c r="B207" i="25"/>
  <c r="A207" i="25"/>
  <c r="E206" i="25"/>
  <c r="D206" i="25"/>
  <c r="C206" i="25"/>
  <c r="B206" i="25"/>
  <c r="A206" i="25"/>
  <c r="E205" i="25"/>
  <c r="D205" i="25"/>
  <c r="C205" i="25"/>
  <c r="B205" i="25"/>
  <c r="A205" i="25"/>
  <c r="E204" i="25"/>
  <c r="D204" i="25"/>
  <c r="C204" i="25"/>
  <c r="B204" i="25"/>
  <c r="A204" i="25"/>
  <c r="E203" i="25"/>
  <c r="D203" i="25"/>
  <c r="C203" i="25"/>
  <c r="B203" i="25"/>
  <c r="A203" i="25"/>
  <c r="E202" i="25"/>
  <c r="D202" i="25"/>
  <c r="C202" i="25"/>
  <c r="B202" i="25"/>
  <c r="A202" i="25"/>
  <c r="E201" i="25"/>
  <c r="D201" i="25"/>
  <c r="C201" i="25"/>
  <c r="B201" i="25"/>
  <c r="A201" i="25"/>
  <c r="E200" i="25"/>
  <c r="D200" i="25"/>
  <c r="C200" i="25"/>
  <c r="B200" i="25"/>
  <c r="A200" i="25"/>
  <c r="E199" i="25"/>
  <c r="D199" i="25"/>
  <c r="C199" i="25"/>
  <c r="B199" i="25"/>
  <c r="A199" i="25"/>
  <c r="E198" i="25"/>
  <c r="D198" i="25"/>
  <c r="C198" i="25"/>
  <c r="B198" i="25"/>
  <c r="A198" i="25"/>
  <c r="E195" i="25"/>
  <c r="D195" i="25"/>
  <c r="C195" i="25"/>
  <c r="B195" i="25"/>
  <c r="A195" i="25"/>
  <c r="E194" i="25"/>
  <c r="D194" i="25"/>
  <c r="C194" i="25"/>
  <c r="B194" i="25"/>
  <c r="A194" i="25"/>
  <c r="E193" i="25"/>
  <c r="D193" i="25"/>
  <c r="C193" i="25"/>
  <c r="B193" i="25"/>
  <c r="A193" i="25"/>
  <c r="E190" i="25"/>
  <c r="D190" i="25"/>
  <c r="C190" i="25"/>
  <c r="B190" i="25"/>
  <c r="A190" i="25"/>
  <c r="E187" i="25"/>
  <c r="D187" i="25"/>
  <c r="C187" i="25"/>
  <c r="B187" i="25"/>
  <c r="A187" i="25"/>
  <c r="E184" i="25"/>
  <c r="D184" i="25"/>
  <c r="C184" i="25"/>
  <c r="B184" i="25"/>
  <c r="A184" i="25"/>
  <c r="E183" i="25"/>
  <c r="D183" i="25"/>
  <c r="C183" i="25"/>
  <c r="B183" i="25"/>
  <c r="A183" i="25"/>
  <c r="E182" i="25"/>
  <c r="D182" i="25"/>
  <c r="C182" i="25"/>
  <c r="B182" i="25"/>
  <c r="A182" i="25"/>
  <c r="E181" i="25"/>
  <c r="D181" i="25"/>
  <c r="C181" i="25"/>
  <c r="B181" i="25"/>
  <c r="A181" i="25"/>
  <c r="E178" i="25"/>
  <c r="D178" i="25"/>
  <c r="C178" i="25"/>
  <c r="B178" i="25"/>
  <c r="A178" i="25"/>
  <c r="E177" i="25"/>
  <c r="D177" i="25"/>
  <c r="C177" i="25"/>
  <c r="B177" i="25"/>
  <c r="A177" i="25"/>
  <c r="E174" i="25"/>
  <c r="D174" i="25"/>
  <c r="C174" i="25"/>
  <c r="B174" i="25"/>
  <c r="A174" i="25"/>
  <c r="E173" i="25"/>
  <c r="D173" i="25"/>
  <c r="C173" i="25"/>
  <c r="B173" i="25"/>
  <c r="A173" i="25"/>
  <c r="E172" i="25"/>
  <c r="D172" i="25"/>
  <c r="C172" i="25"/>
  <c r="B172" i="25"/>
  <c r="A172" i="25"/>
  <c r="E171" i="25"/>
  <c r="D171" i="25"/>
  <c r="C171" i="25"/>
  <c r="B171" i="25"/>
  <c r="A171" i="25"/>
  <c r="E170" i="25"/>
  <c r="D170" i="25"/>
  <c r="C170" i="25"/>
  <c r="B170" i="25"/>
  <c r="A170" i="25"/>
  <c r="E169" i="25"/>
  <c r="D169" i="25"/>
  <c r="C169" i="25"/>
  <c r="B169" i="25"/>
  <c r="A169" i="25"/>
  <c r="E168" i="25"/>
  <c r="D168" i="25"/>
  <c r="C168" i="25"/>
  <c r="B168" i="25"/>
  <c r="A168" i="25"/>
  <c r="E167" i="25"/>
  <c r="D167" i="25"/>
  <c r="C167" i="25"/>
  <c r="B167" i="25"/>
  <c r="A167" i="25"/>
  <c r="E166" i="25"/>
  <c r="D166" i="25"/>
  <c r="C166" i="25"/>
  <c r="B166" i="25"/>
  <c r="A166" i="25"/>
  <c r="E165" i="25"/>
  <c r="D165" i="25"/>
  <c r="C165" i="25"/>
  <c r="B165" i="25"/>
  <c r="A165" i="25"/>
  <c r="E164" i="25"/>
  <c r="D164" i="25"/>
  <c r="C164" i="25"/>
  <c r="B164" i="25"/>
  <c r="A164" i="25"/>
  <c r="E163" i="25"/>
  <c r="D163" i="25"/>
  <c r="C163" i="25"/>
  <c r="B163" i="25"/>
  <c r="A163" i="25"/>
  <c r="E162" i="25"/>
  <c r="D162" i="25"/>
  <c r="C162" i="25"/>
  <c r="B162" i="25"/>
  <c r="A162" i="25"/>
  <c r="E161" i="25"/>
  <c r="D161" i="25"/>
  <c r="C161" i="25"/>
  <c r="B161" i="25"/>
  <c r="A161" i="25"/>
  <c r="E160" i="25"/>
  <c r="D160" i="25"/>
  <c r="C160" i="25"/>
  <c r="B160" i="25"/>
  <c r="A160" i="25"/>
  <c r="E159" i="25"/>
  <c r="D159" i="25"/>
  <c r="C159" i="25"/>
  <c r="B159" i="25"/>
  <c r="A159" i="25"/>
  <c r="E158" i="25"/>
  <c r="D158" i="25"/>
  <c r="C158" i="25"/>
  <c r="B158" i="25"/>
  <c r="A158" i="25"/>
  <c r="E155" i="25"/>
  <c r="D155" i="25"/>
  <c r="C155" i="25"/>
  <c r="B155" i="25"/>
  <c r="A155" i="25"/>
  <c r="E154" i="25"/>
  <c r="D154" i="25"/>
  <c r="C154" i="25"/>
  <c r="B154" i="25"/>
  <c r="A154" i="25"/>
  <c r="E153" i="25"/>
  <c r="D153" i="25"/>
  <c r="C153" i="25"/>
  <c r="B153" i="25"/>
  <c r="A153" i="25"/>
  <c r="E152" i="25"/>
  <c r="D152" i="25"/>
  <c r="C152" i="25"/>
  <c r="B152" i="25"/>
  <c r="A152" i="25"/>
  <c r="E151" i="25"/>
  <c r="D151" i="25"/>
  <c r="C151" i="25"/>
  <c r="B151" i="25"/>
  <c r="A151" i="25"/>
  <c r="E150" i="25"/>
  <c r="D150" i="25"/>
  <c r="C150" i="25"/>
  <c r="B150" i="25"/>
  <c r="A150" i="25"/>
  <c r="E149" i="25"/>
  <c r="D149" i="25"/>
  <c r="C149" i="25"/>
  <c r="B149" i="25"/>
  <c r="A149" i="25"/>
  <c r="E148" i="25"/>
  <c r="D148" i="25"/>
  <c r="C148" i="25"/>
  <c r="B148" i="25"/>
  <c r="A148" i="25"/>
  <c r="E147" i="25"/>
  <c r="D147" i="25"/>
  <c r="C147" i="25"/>
  <c r="B147" i="25"/>
  <c r="A147" i="25"/>
  <c r="E146" i="25"/>
  <c r="D146" i="25"/>
  <c r="C146" i="25"/>
  <c r="B146" i="25"/>
  <c r="A146" i="25"/>
  <c r="E145" i="25"/>
  <c r="D145" i="25"/>
  <c r="C145" i="25"/>
  <c r="B145" i="25"/>
  <c r="A145" i="25"/>
  <c r="E144" i="25"/>
  <c r="D144" i="25"/>
  <c r="C144" i="25"/>
  <c r="B144" i="25"/>
  <c r="A144" i="25"/>
  <c r="E143" i="25"/>
  <c r="D143" i="25"/>
  <c r="C143" i="25"/>
  <c r="B143" i="25"/>
  <c r="A143" i="25"/>
  <c r="E142" i="25"/>
  <c r="D142" i="25"/>
  <c r="C142" i="25"/>
  <c r="B142" i="25"/>
  <c r="A142" i="25"/>
  <c r="E141" i="25"/>
  <c r="D141" i="25"/>
  <c r="C141" i="25"/>
  <c r="B141" i="25"/>
  <c r="A141" i="25"/>
  <c r="E140" i="25"/>
  <c r="D140" i="25"/>
  <c r="C140" i="25"/>
  <c r="B140" i="25"/>
  <c r="A140" i="25"/>
  <c r="E139" i="25"/>
  <c r="D139" i="25"/>
  <c r="C139" i="25"/>
  <c r="B139" i="25"/>
  <c r="A139" i="25"/>
  <c r="E138" i="25"/>
  <c r="D138" i="25"/>
  <c r="C138" i="25"/>
  <c r="B138" i="25"/>
  <c r="A138" i="25"/>
  <c r="E137" i="25"/>
  <c r="D137" i="25"/>
  <c r="C137" i="25"/>
  <c r="B137" i="25"/>
  <c r="A137" i="25"/>
  <c r="E136" i="25"/>
  <c r="D136" i="25"/>
  <c r="C136" i="25"/>
  <c r="B136" i="25"/>
  <c r="A136" i="25"/>
  <c r="E135" i="25"/>
  <c r="D135" i="25"/>
  <c r="C135" i="25"/>
  <c r="B135" i="25"/>
  <c r="A135" i="25"/>
  <c r="E134" i="25"/>
  <c r="D134" i="25"/>
  <c r="C134" i="25"/>
  <c r="B134" i="25"/>
  <c r="A134" i="25"/>
  <c r="E133" i="25"/>
  <c r="D133" i="25"/>
  <c r="C133" i="25"/>
  <c r="B133" i="25"/>
  <c r="A133" i="25"/>
  <c r="E132" i="25"/>
  <c r="D132" i="25"/>
  <c r="C132" i="25"/>
  <c r="B132" i="25"/>
  <c r="A132" i="25"/>
  <c r="E131" i="25"/>
  <c r="D131" i="25"/>
  <c r="C131" i="25"/>
  <c r="B131" i="25"/>
  <c r="A131" i="25"/>
  <c r="E128" i="25"/>
  <c r="D128" i="25"/>
  <c r="C128" i="25"/>
  <c r="B128" i="25"/>
  <c r="A128" i="25"/>
  <c r="E125" i="25"/>
  <c r="D125" i="25"/>
  <c r="C125" i="25"/>
  <c r="B125" i="25"/>
  <c r="A125" i="25"/>
  <c r="E122" i="25"/>
  <c r="D122" i="25"/>
  <c r="C122" i="25"/>
  <c r="B122" i="25"/>
  <c r="A122" i="25"/>
  <c r="E119" i="25"/>
  <c r="D119" i="25"/>
  <c r="C119" i="25"/>
  <c r="B119" i="25"/>
  <c r="A119" i="25"/>
  <c r="E118" i="25"/>
  <c r="D118" i="25"/>
  <c r="C118" i="25"/>
  <c r="B118" i="25"/>
  <c r="A118" i="25"/>
  <c r="E117" i="25"/>
  <c r="D117" i="25"/>
  <c r="C117" i="25"/>
  <c r="B117" i="25"/>
  <c r="A117" i="25"/>
  <c r="E114" i="25"/>
  <c r="D114" i="25"/>
  <c r="C114" i="25"/>
  <c r="B114" i="25"/>
  <c r="A114" i="25"/>
  <c r="E113" i="25"/>
  <c r="D113" i="25"/>
  <c r="C113" i="25"/>
  <c r="B113" i="25"/>
  <c r="A113" i="25"/>
  <c r="E112" i="25"/>
  <c r="D112" i="25"/>
  <c r="C112" i="25"/>
  <c r="B112" i="25"/>
  <c r="A112" i="25"/>
  <c r="E109" i="25"/>
  <c r="D109" i="25"/>
  <c r="C109" i="25"/>
  <c r="B109" i="25"/>
  <c r="A109" i="25"/>
  <c r="E108" i="25"/>
  <c r="D108" i="25"/>
  <c r="C108" i="25"/>
  <c r="B108" i="25"/>
  <c r="A108" i="25"/>
  <c r="E107" i="25"/>
  <c r="D107" i="25"/>
  <c r="C107" i="25"/>
  <c r="B107" i="25"/>
  <c r="A107" i="25"/>
  <c r="E104" i="25"/>
  <c r="D104" i="25"/>
  <c r="C104" i="25"/>
  <c r="B104" i="25"/>
  <c r="A104" i="25"/>
  <c r="E103" i="25"/>
  <c r="D103" i="25"/>
  <c r="C103" i="25"/>
  <c r="B103" i="25"/>
  <c r="A103" i="25"/>
  <c r="E102" i="25"/>
  <c r="D102" i="25"/>
  <c r="C102" i="25"/>
  <c r="B102" i="25"/>
  <c r="A102" i="25"/>
  <c r="E101" i="25"/>
  <c r="D101" i="25"/>
  <c r="C101" i="25"/>
  <c r="B101" i="25"/>
  <c r="A101" i="25"/>
  <c r="E100" i="25"/>
  <c r="D100" i="25"/>
  <c r="C100" i="25"/>
  <c r="B100" i="25"/>
  <c r="A100" i="25"/>
  <c r="E99" i="25"/>
  <c r="D99" i="25"/>
  <c r="C99" i="25"/>
  <c r="B99" i="25"/>
  <c r="A99" i="25"/>
  <c r="E98" i="25"/>
  <c r="D98" i="25"/>
  <c r="C98" i="25"/>
  <c r="B98" i="25"/>
  <c r="A98" i="25"/>
  <c r="E97" i="25"/>
  <c r="D97" i="25"/>
  <c r="C97" i="25"/>
  <c r="B97" i="25"/>
  <c r="A97" i="25"/>
  <c r="E96" i="25"/>
  <c r="D96" i="25"/>
  <c r="C96" i="25"/>
  <c r="B96" i="25"/>
  <c r="A96" i="25"/>
  <c r="E95" i="25"/>
  <c r="D95" i="25"/>
  <c r="C95" i="25"/>
  <c r="B95" i="25"/>
  <c r="A95" i="25"/>
  <c r="E94" i="25"/>
  <c r="D94" i="25"/>
  <c r="C94" i="25"/>
  <c r="B94" i="25"/>
  <c r="A94" i="25"/>
  <c r="E93" i="25"/>
  <c r="D93" i="25"/>
  <c r="C93" i="25"/>
  <c r="B93" i="25"/>
  <c r="A93" i="25"/>
  <c r="E92" i="25"/>
  <c r="D92" i="25"/>
  <c r="C92" i="25"/>
  <c r="B92" i="25"/>
  <c r="A92" i="25"/>
  <c r="E91" i="25"/>
  <c r="D91" i="25"/>
  <c r="C91" i="25"/>
  <c r="B91" i="25"/>
  <c r="A91" i="25"/>
  <c r="E90" i="25"/>
  <c r="D90" i="25"/>
  <c r="C90" i="25"/>
  <c r="B90" i="25"/>
  <c r="A90" i="25"/>
  <c r="E89" i="25"/>
  <c r="D89" i="25"/>
  <c r="C89" i="25"/>
  <c r="B89" i="25"/>
  <c r="A89" i="25"/>
  <c r="E88" i="25"/>
  <c r="D88" i="25"/>
  <c r="C88" i="25"/>
  <c r="B88" i="25"/>
  <c r="A88" i="25"/>
  <c r="E87" i="25"/>
  <c r="D87" i="25"/>
  <c r="C87" i="25"/>
  <c r="B87" i="25"/>
  <c r="A87" i="25"/>
  <c r="E86" i="25"/>
  <c r="D86" i="25"/>
  <c r="C86" i="25"/>
  <c r="B86" i="25"/>
  <c r="A86" i="25"/>
  <c r="E85" i="25"/>
  <c r="D85" i="25"/>
  <c r="C85" i="25"/>
  <c r="B85" i="25"/>
  <c r="A85" i="25"/>
  <c r="E84" i="25"/>
  <c r="D84" i="25"/>
  <c r="C84" i="25"/>
  <c r="B84" i="25"/>
  <c r="A84" i="25"/>
  <c r="E81" i="25"/>
  <c r="D81" i="25"/>
  <c r="C81" i="25"/>
  <c r="B81" i="25"/>
  <c r="A81" i="25"/>
  <c r="E80" i="25"/>
  <c r="D80" i="25"/>
  <c r="C80" i="25"/>
  <c r="B80" i="25"/>
  <c r="A80" i="25"/>
  <c r="E79" i="25"/>
  <c r="D79" i="25"/>
  <c r="C79" i="25"/>
  <c r="B79" i="25"/>
  <c r="A79" i="25"/>
  <c r="E78" i="25"/>
  <c r="D78" i="25"/>
  <c r="C78" i="25"/>
  <c r="B78" i="25"/>
  <c r="A78" i="25"/>
  <c r="E75" i="25"/>
  <c r="D75" i="25"/>
  <c r="C75" i="25"/>
  <c r="B75" i="25"/>
  <c r="A75" i="25"/>
  <c r="E74" i="25"/>
  <c r="D74" i="25"/>
  <c r="C74" i="25"/>
  <c r="B74" i="25"/>
  <c r="A74" i="25"/>
  <c r="E73" i="25"/>
  <c r="D73" i="25"/>
  <c r="C73" i="25"/>
  <c r="B73" i="25"/>
  <c r="A73" i="25"/>
  <c r="E70" i="25"/>
  <c r="D70" i="25"/>
  <c r="C70" i="25"/>
  <c r="B70" i="25"/>
  <c r="A70" i="25"/>
  <c r="E69" i="25"/>
  <c r="D69" i="25"/>
  <c r="C69" i="25"/>
  <c r="B69" i="25"/>
  <c r="A69" i="25"/>
  <c r="E66" i="25"/>
  <c r="D66" i="25"/>
  <c r="C66" i="25"/>
  <c r="B66" i="25"/>
  <c r="A66" i="25"/>
  <c r="E65" i="25"/>
  <c r="D65" i="25"/>
  <c r="C65" i="25"/>
  <c r="B65" i="25"/>
  <c r="A65" i="25"/>
  <c r="E62" i="25"/>
  <c r="D62" i="25"/>
  <c r="C62" i="25"/>
  <c r="B62" i="25"/>
  <c r="A62" i="25"/>
  <c r="E61" i="25"/>
  <c r="D61" i="25"/>
  <c r="C61" i="25"/>
  <c r="B61" i="25"/>
  <c r="A61" i="25"/>
  <c r="E60" i="25"/>
  <c r="D60" i="25"/>
  <c r="C60" i="25"/>
  <c r="B60" i="25"/>
  <c r="A60" i="25"/>
  <c r="E59" i="25"/>
  <c r="D59" i="25"/>
  <c r="C59" i="25"/>
  <c r="B59" i="25"/>
  <c r="A59" i="25"/>
  <c r="E58" i="25"/>
  <c r="D58" i="25"/>
  <c r="C58" i="25"/>
  <c r="B58" i="25"/>
  <c r="A58" i="25"/>
  <c r="E57" i="25"/>
  <c r="D57" i="25"/>
  <c r="C57" i="25"/>
  <c r="B57" i="25"/>
  <c r="A57" i="25"/>
  <c r="E56" i="25"/>
  <c r="D56" i="25"/>
  <c r="C56" i="25"/>
  <c r="B56" i="25"/>
  <c r="A56" i="25"/>
  <c r="E55" i="25"/>
  <c r="D55" i="25"/>
  <c r="C55" i="25"/>
  <c r="B55" i="25"/>
  <c r="A55" i="25"/>
  <c r="E52" i="25"/>
  <c r="D52" i="25"/>
  <c r="C52" i="25"/>
  <c r="B52" i="25"/>
  <c r="A52" i="25"/>
  <c r="E51" i="25"/>
  <c r="D51" i="25"/>
  <c r="C51" i="25"/>
  <c r="B51" i="25"/>
  <c r="A51" i="25"/>
  <c r="E48" i="25"/>
  <c r="D48" i="25"/>
  <c r="C48" i="25"/>
  <c r="B48" i="25"/>
  <c r="A48" i="25"/>
  <c r="E45" i="25"/>
  <c r="D45" i="25"/>
  <c r="C45" i="25"/>
  <c r="B45" i="25"/>
  <c r="A45" i="25"/>
  <c r="E44" i="25"/>
  <c r="D44" i="25"/>
  <c r="C44" i="25"/>
  <c r="B44" i="25"/>
  <c r="A44" i="25"/>
  <c r="E43" i="25"/>
  <c r="D43" i="25"/>
  <c r="C43" i="25"/>
  <c r="B43" i="25"/>
  <c r="A43" i="25"/>
  <c r="E42" i="25"/>
  <c r="D42" i="25"/>
  <c r="C42" i="25"/>
  <c r="B42" i="25"/>
  <c r="A42" i="25"/>
  <c r="E41" i="25"/>
  <c r="D41" i="25"/>
  <c r="C41" i="25"/>
  <c r="B41" i="25"/>
  <c r="A41" i="25"/>
  <c r="E40" i="25"/>
  <c r="D40" i="25"/>
  <c r="C40" i="25"/>
  <c r="B40" i="25"/>
  <c r="A40" i="25"/>
  <c r="E37" i="25"/>
  <c r="D37" i="25"/>
  <c r="C37" i="25"/>
  <c r="B37" i="25"/>
  <c r="A37" i="25"/>
  <c r="E34" i="25"/>
  <c r="D34" i="25"/>
  <c r="C34" i="25"/>
  <c r="B34" i="25"/>
  <c r="A34" i="25"/>
  <c r="E33" i="25"/>
  <c r="D33" i="25"/>
  <c r="C33" i="25"/>
  <c r="B33" i="25"/>
  <c r="A33" i="25"/>
  <c r="E32" i="25"/>
  <c r="D32" i="25"/>
  <c r="C32" i="25"/>
  <c r="B32" i="25"/>
  <c r="A32" i="25"/>
  <c r="E31" i="25"/>
  <c r="D31" i="25"/>
  <c r="C31" i="25"/>
  <c r="B31" i="25"/>
  <c r="A31" i="25"/>
  <c r="E30" i="25"/>
  <c r="D30" i="25"/>
  <c r="C30" i="25"/>
  <c r="B30" i="25"/>
  <c r="A30" i="25"/>
  <c r="E29" i="25"/>
  <c r="D29" i="25"/>
  <c r="C29" i="25"/>
  <c r="B29" i="25"/>
  <c r="A29" i="25"/>
  <c r="E28" i="25"/>
  <c r="D28" i="25"/>
  <c r="C28" i="25"/>
  <c r="B28" i="25"/>
  <c r="A28" i="25"/>
  <c r="E27" i="25"/>
  <c r="D27" i="25"/>
  <c r="C27" i="25"/>
  <c r="B27" i="25"/>
  <c r="A27" i="25"/>
  <c r="E26" i="25"/>
  <c r="D26" i="25"/>
  <c r="C26" i="25"/>
  <c r="B26" i="25"/>
  <c r="A26" i="25"/>
  <c r="E25" i="25"/>
  <c r="D25" i="25"/>
  <c r="C25" i="25"/>
  <c r="B25" i="25"/>
  <c r="A25" i="25"/>
  <c r="E24" i="25"/>
  <c r="D24" i="25"/>
  <c r="C24" i="25"/>
  <c r="B24" i="25"/>
  <c r="A24" i="25"/>
  <c r="E23" i="25"/>
  <c r="D23" i="25"/>
  <c r="C23" i="25"/>
  <c r="B23" i="25"/>
  <c r="A23" i="25"/>
  <c r="E22" i="25"/>
  <c r="D22" i="25"/>
  <c r="C22" i="25"/>
  <c r="B22" i="25"/>
  <c r="A22" i="25"/>
  <c r="E21" i="25"/>
  <c r="D21" i="25"/>
  <c r="C21" i="25"/>
  <c r="B21" i="25"/>
  <c r="A21" i="25"/>
  <c r="E20" i="25"/>
  <c r="D20" i="25"/>
  <c r="C20" i="25"/>
  <c r="B20" i="25"/>
  <c r="A20" i="25"/>
  <c r="E19" i="25"/>
  <c r="D19" i="25"/>
  <c r="C19" i="25"/>
  <c r="B19" i="25"/>
  <c r="A19" i="25"/>
  <c r="E18" i="25"/>
  <c r="D18" i="25"/>
  <c r="C18" i="25"/>
  <c r="B18" i="25"/>
  <c r="A18" i="25"/>
  <c r="E17" i="25"/>
  <c r="D17" i="25"/>
  <c r="C17" i="25"/>
  <c r="B17" i="25"/>
  <c r="A17" i="25"/>
  <c r="E16" i="25"/>
  <c r="D16" i="25"/>
  <c r="C16" i="25"/>
  <c r="B16" i="25"/>
  <c r="A16" i="25"/>
  <c r="E15" i="25"/>
  <c r="D15" i="25"/>
  <c r="C15" i="25"/>
  <c r="B15" i="25"/>
  <c r="A15" i="25"/>
  <c r="E14" i="25"/>
  <c r="D14" i="25"/>
  <c r="C14" i="25"/>
  <c r="B14" i="25"/>
  <c r="A14" i="25"/>
  <c r="E13" i="25"/>
  <c r="D13" i="25"/>
  <c r="C13" i="25"/>
  <c r="B13" i="25"/>
  <c r="A13" i="25"/>
  <c r="E12" i="25"/>
  <c r="D12" i="25"/>
  <c r="C12" i="25"/>
  <c r="B12" i="25"/>
  <c r="A12" i="25"/>
  <c r="E11" i="25"/>
  <c r="D11" i="25"/>
  <c r="C11" i="25"/>
  <c r="B11" i="25"/>
  <c r="A11" i="25"/>
  <c r="E10" i="25"/>
  <c r="D10" i="25"/>
  <c r="C10" i="25"/>
  <c r="B10" i="25"/>
  <c r="A10" i="25"/>
  <c r="E9" i="25"/>
  <c r="D9" i="25"/>
  <c r="C9" i="25"/>
  <c r="B9" i="25"/>
  <c r="A9" i="25"/>
  <c r="E8" i="25"/>
  <c r="D8" i="25"/>
  <c r="C8" i="25"/>
  <c r="B8" i="25"/>
  <c r="A8" i="25"/>
  <c r="E7" i="25"/>
  <c r="D7" i="25"/>
  <c r="C7" i="25"/>
  <c r="B7" i="25"/>
  <c r="A7" i="25"/>
</calcChain>
</file>

<file path=xl/sharedStrings.xml><?xml version="1.0" encoding="utf-8"?>
<sst xmlns="http://schemas.openxmlformats.org/spreadsheetml/2006/main" count="34296" uniqueCount="11442">
  <si>
    <t>#</t>
  </si>
  <si>
    <t>Family Scientific</t>
  </si>
  <si>
    <t>English Name</t>
  </si>
  <si>
    <t>Scientific Name</t>
  </si>
  <si>
    <t>Breeding Range IOC</t>
  </si>
  <si>
    <t>Note</t>
  </si>
  <si>
    <t>Ducks, Geese and Swans</t>
  </si>
  <si>
    <t>Anatidae</t>
  </si>
  <si>
    <t>Spotted Whistling Duck</t>
  </si>
  <si>
    <t>Dendrocygna guttata</t>
  </si>
  <si>
    <t>SU</t>
  </si>
  <si>
    <t>OR, AU : Philippines to New Guinea</t>
  </si>
  <si>
    <t>Since the last record of the species from Zamboanga in October 1945, there are claimed but unverified records by local communities in Ebpanan Marsh, Ligawasan Marshes, Maguindanao in 2010. See Laurie et al 2011</t>
  </si>
  <si>
    <t>Wandering Whistling Duck</t>
  </si>
  <si>
    <t>Dendrocygna arcuata</t>
  </si>
  <si>
    <t>R</t>
  </si>
  <si>
    <t>OR, AU : Philippines to Australia</t>
  </si>
  <si>
    <t>Brant Goose</t>
  </si>
  <si>
    <t>Branta bernicla</t>
  </si>
  <si>
    <t>A</t>
  </si>
  <si>
    <t>NA, EU : widespread</t>
  </si>
  <si>
    <t>Taiga Bean Goose</t>
  </si>
  <si>
    <t>Anser fabalis</t>
  </si>
  <si>
    <t>EU : n</t>
  </si>
  <si>
    <t>Tundra Bean Goose</t>
  </si>
  <si>
    <t>Anser serrirostris</t>
  </si>
  <si>
    <t>Greater White-fronted Goose</t>
  </si>
  <si>
    <t>Anser albifrons</t>
  </si>
  <si>
    <t>NA, MA, EU : widespread</t>
  </si>
  <si>
    <t>Tundra Swan</t>
  </si>
  <si>
    <t>Cygnus columbianus</t>
  </si>
  <si>
    <t>EU, NA : n</t>
  </si>
  <si>
    <t>Common Shelduck</t>
  </si>
  <si>
    <t>Tadorna tadorna</t>
  </si>
  <si>
    <t>EU, AF : w Europe to ne China</t>
  </si>
  <si>
    <t>Ruddy Shelduck</t>
  </si>
  <si>
    <t>Tadorna ferruginea</t>
  </si>
  <si>
    <t>EU : s Europe to c Asia, nw Africa and Ethiopia</t>
  </si>
  <si>
    <t>Mandarin Duck</t>
  </si>
  <si>
    <t>Aix galericulata</t>
  </si>
  <si>
    <t>EU : se Siberia, Korea, Japan and e China</t>
  </si>
  <si>
    <t>Cotton Pygmy Goose</t>
  </si>
  <si>
    <t>Nettapus coromandelianus</t>
  </si>
  <si>
    <t>OR : widespread</t>
  </si>
  <si>
    <t>Last recorded from Candaba Marsh in February 1979 by Edward Dickinson</t>
  </si>
  <si>
    <t>Baikal Teal</t>
  </si>
  <si>
    <t>Sibirionetta formosa</t>
  </si>
  <si>
    <t>EU : e Siberia</t>
  </si>
  <si>
    <t>Garganey</t>
  </si>
  <si>
    <t>Spatula querquedula</t>
  </si>
  <si>
    <t>M</t>
  </si>
  <si>
    <t>EU : w Europe to Japan</t>
  </si>
  <si>
    <t>Northern Shoveler</t>
  </si>
  <si>
    <t>Spatula clypeata</t>
  </si>
  <si>
    <t>Gadwall</t>
  </si>
  <si>
    <t>Mareca strepera</t>
  </si>
  <si>
    <t>Falcated Duck</t>
  </si>
  <si>
    <t>Mareca falcata</t>
  </si>
  <si>
    <t>NT</t>
  </si>
  <si>
    <t>EU : Mongolia, e Siberia and ne China</t>
  </si>
  <si>
    <t>Eurasian Wigeon</t>
  </si>
  <si>
    <t>Mareca penelope</t>
  </si>
  <si>
    <t>EU : n Eurasia</t>
  </si>
  <si>
    <t>Philippine Duck</t>
  </si>
  <si>
    <t>Anas luzonica</t>
  </si>
  <si>
    <t>E</t>
  </si>
  <si>
    <t>VU</t>
  </si>
  <si>
    <t>EN</t>
  </si>
  <si>
    <t>OR : Philippines</t>
  </si>
  <si>
    <t>Eastern Spot-billed Duck</t>
  </si>
  <si>
    <t>Anas zonorhyncha</t>
  </si>
  <si>
    <t>OR : China, Southeast Asia</t>
  </si>
  <si>
    <t>Mallard</t>
  </si>
  <si>
    <t>Anas platyrhynchos</t>
  </si>
  <si>
    <t>Northern Pintail</t>
  </si>
  <si>
    <t>Anas acuta</t>
  </si>
  <si>
    <t>NA, EU : Widespread</t>
  </si>
  <si>
    <t>Eurasian Teal</t>
  </si>
  <si>
    <t>Anas crecca</t>
  </si>
  <si>
    <t>EU, NA : n and c Europe and Asia, Aleutian Is.</t>
  </si>
  <si>
    <t>Common Pochard</t>
  </si>
  <si>
    <t>Aythya ferina</t>
  </si>
  <si>
    <t>EU : w Europe to c Asia and n China</t>
  </si>
  <si>
    <t>Baer's Pochard</t>
  </si>
  <si>
    <t>Aythya baeri</t>
  </si>
  <si>
    <t>CR</t>
  </si>
  <si>
    <t>EU : se Siberia and n China</t>
  </si>
  <si>
    <t>Ferruginous Duck</t>
  </si>
  <si>
    <t>Aythya nyroca</t>
  </si>
  <si>
    <t>EU : w Europe and nw Africa to c Asia</t>
  </si>
  <si>
    <t>Tufted Duck</t>
  </si>
  <si>
    <t>Aythya fuligula</t>
  </si>
  <si>
    <t>EU : widespread</t>
  </si>
  <si>
    <t>Greater Scaup</t>
  </si>
  <si>
    <t>Aythya marila</t>
  </si>
  <si>
    <t>Scaly-sided Merganser</t>
  </si>
  <si>
    <t>Mergus squamatus</t>
  </si>
  <si>
    <t>EU : e Siberia, Korea, ne China</t>
  </si>
  <si>
    <t>Megapodes</t>
  </si>
  <si>
    <t>Megapodiidae</t>
  </si>
  <si>
    <t>Philippine Megapode</t>
  </si>
  <si>
    <t>Megapodius cumingii</t>
  </si>
  <si>
    <t>OR : Philippines, Borneo, Sulawesi</t>
  </si>
  <si>
    <t>Pheasants and allies</t>
  </si>
  <si>
    <t>Phasianidae</t>
  </si>
  <si>
    <t>Chinese Francolin</t>
  </si>
  <si>
    <t>Francolinus pintadeanus</t>
  </si>
  <si>
    <t>I</t>
  </si>
  <si>
    <t>OR : Southeast Asia</t>
  </si>
  <si>
    <t>Introduced in the Manila area around 1918. Only recent records (1997-2013) are from Binan, Cabuyao, Nuvali and Sta. Rosa, Laguna</t>
  </si>
  <si>
    <t>Daurian Partridge</t>
  </si>
  <si>
    <t>Perdix dauurica</t>
  </si>
  <si>
    <t>EU : c Asia</t>
  </si>
  <si>
    <t>Introduced in the Manila area in 1915. Only one recent record (1999) of  a single bird from Silang, Cavite by J. P. Carino</t>
  </si>
  <si>
    <t>Japanese Quail</t>
  </si>
  <si>
    <t>Coturnix japonica</t>
  </si>
  <si>
    <t>EU : Mongolia and e Siberia, Japan and Korea</t>
  </si>
  <si>
    <t>King Quail</t>
  </si>
  <si>
    <t>Excalfactoria chinensis</t>
  </si>
  <si>
    <t>OR, AU : widespread</t>
  </si>
  <si>
    <t>Red Junglefowl</t>
  </si>
  <si>
    <t>Gallus gallus</t>
  </si>
  <si>
    <t>OR : India, Southeast Asia</t>
  </si>
  <si>
    <t xml:space="preserve"> </t>
  </si>
  <si>
    <t>Palawan Peacock-Pheasant</t>
  </si>
  <si>
    <t>Polyplectron napoleonis</t>
  </si>
  <si>
    <t>Albatrosses</t>
  </si>
  <si>
    <t>Diomedeidae</t>
  </si>
  <si>
    <t>Laysan Albatross</t>
  </si>
  <si>
    <t>Phoebastria immutabilis</t>
  </si>
  <si>
    <t>OTS</t>
  </si>
  <si>
    <t>PO : n, c</t>
  </si>
  <si>
    <t>Northern Storm Petrels</t>
  </si>
  <si>
    <t>Hydrobatidae</t>
  </si>
  <si>
    <t>Swinhoe's Storm Petrel</t>
  </si>
  <si>
    <t>Oceanodroma monorhis</t>
  </si>
  <si>
    <t>IO, PO : n IO, w PO</t>
  </si>
  <si>
    <t>Leach's Storm Petrel</t>
  </si>
  <si>
    <t>Oceanodroma leucorhoa</t>
  </si>
  <si>
    <t>PO, AO : n, c</t>
  </si>
  <si>
    <t>Petrels and Shearwaters</t>
  </si>
  <si>
    <t>Procellariidae</t>
  </si>
  <si>
    <t>Kermadec Petrel</t>
  </si>
  <si>
    <t>Pterodroma neglecta</t>
  </si>
  <si>
    <t>PO : widespread</t>
  </si>
  <si>
    <t>Hawaiian Petrel</t>
  </si>
  <si>
    <t>Pterodroma sandwichensis</t>
  </si>
  <si>
    <t>PO : c</t>
  </si>
  <si>
    <t>Bonin Petrel</t>
  </si>
  <si>
    <t>Pterodroma hypoleuca</t>
  </si>
  <si>
    <t>PO : nw</t>
  </si>
  <si>
    <t>Tahiti Petrel</t>
  </si>
  <si>
    <t>Pseudobulweria rostrata</t>
  </si>
  <si>
    <t>PO : sw</t>
  </si>
  <si>
    <t>Streaked Shearwater</t>
  </si>
  <si>
    <t>Calonectris leucomelas</t>
  </si>
  <si>
    <t>PO : w</t>
  </si>
  <si>
    <t>Wedge-tailed Shearwater</t>
  </si>
  <si>
    <t>Ardenna pacifica</t>
  </si>
  <si>
    <t>PO, IO : widespread</t>
  </si>
  <si>
    <t>Short-tailed Shearwater</t>
  </si>
  <si>
    <t>Ardenna tenuirostris</t>
  </si>
  <si>
    <t>PO : n, w</t>
  </si>
  <si>
    <t>Bulwer's Petrel</t>
  </si>
  <si>
    <t>Bulweria bulwerii</t>
  </si>
  <si>
    <t>TrO, TO : widespread</t>
  </si>
  <si>
    <t>Grebes</t>
  </si>
  <si>
    <t>Podicipedidae</t>
  </si>
  <si>
    <t>Little Grebe</t>
  </si>
  <si>
    <t>Tachybaptus ruficollis</t>
  </si>
  <si>
    <t>EU, AF, OR : widespread</t>
  </si>
  <si>
    <t>Black-necked Grebe</t>
  </si>
  <si>
    <t>Podiceps nigricollis</t>
  </si>
  <si>
    <t>EU, AF, NA, MA : widespread</t>
  </si>
  <si>
    <t>Tropicbirds</t>
  </si>
  <si>
    <t>Phaethontidae</t>
  </si>
  <si>
    <t>Red-tailed Tropicbird</t>
  </si>
  <si>
    <t>Phaethon rubricauda</t>
  </si>
  <si>
    <t>TrO : IO, PO</t>
  </si>
  <si>
    <t>White-tailed Tropicbird</t>
  </si>
  <si>
    <t>Phaethon lepturus</t>
  </si>
  <si>
    <t>TrO : widespread</t>
  </si>
  <si>
    <t>Storks</t>
  </si>
  <si>
    <t>Ciconiidae</t>
  </si>
  <si>
    <t>Black Stork</t>
  </si>
  <si>
    <t>Ciconia nigra</t>
  </si>
  <si>
    <t>AF, EU : Namibia and Malawi to South Africa, c Europe to n China</t>
  </si>
  <si>
    <t>Woolly-necked Stork</t>
  </si>
  <si>
    <t>Ciconia episcopus</t>
  </si>
  <si>
    <t>AF, OR : widespread</t>
  </si>
  <si>
    <t>May have become extirpated from Luzon</t>
  </si>
  <si>
    <t>Oriental Stork</t>
  </si>
  <si>
    <t>Ciconia boyciana</t>
  </si>
  <si>
    <t>EU : se Siberia, ne China, Korea, Japan</t>
  </si>
  <si>
    <t>Ibises and Spoonbills</t>
  </si>
  <si>
    <t>Threskiornithidae</t>
  </si>
  <si>
    <t>Black-headed Ibis</t>
  </si>
  <si>
    <t>Threskiornis melanocephalus</t>
  </si>
  <si>
    <t>Not recorded since 1973</t>
  </si>
  <si>
    <t>Glossy Ibis</t>
  </si>
  <si>
    <t>Plegadis falcinellus</t>
  </si>
  <si>
    <t>Worldwide : widespread</t>
  </si>
  <si>
    <t>Only recent breeding record is from Barat Bird Sanctuary, Sultan Kudarat (2014)  by Ramon Quisumbing. Since then recorded breeding annually in the sanctuary Stray birds recorded e.g.  from Davao City (2014) and Pagugpud, Ilocos Norte (2014)</t>
  </si>
  <si>
    <t>Eurasian Spoonbill</t>
  </si>
  <si>
    <t>Platalea leucorodia</t>
  </si>
  <si>
    <t>AF, EU, OR : widespread</t>
  </si>
  <si>
    <t>Black-faced Spoonbill</t>
  </si>
  <si>
    <t>Platalea minor</t>
  </si>
  <si>
    <t>EU : Korea, ne China</t>
  </si>
  <si>
    <t>Bitterns, Egrets and Herons</t>
  </si>
  <si>
    <t>Ardeidae</t>
  </si>
  <si>
    <t>Eurasian Bittern</t>
  </si>
  <si>
    <t>Botaurus stellaris</t>
  </si>
  <si>
    <t>Yellow Bittern</t>
  </si>
  <si>
    <t>Ixobrychus sinensis</t>
  </si>
  <si>
    <t>OR : widespread, also e Asia</t>
  </si>
  <si>
    <t>Von Schrenck's Bittern</t>
  </si>
  <si>
    <t>Ixobrychus eurhythmus</t>
  </si>
  <si>
    <t>Cinnamon Bittern</t>
  </si>
  <si>
    <t>Ixobrychus cinnamomeus</t>
  </si>
  <si>
    <t>Black Bittern</t>
  </si>
  <si>
    <t>Dupetor flavicollis</t>
  </si>
  <si>
    <t>Japanese Night Heron</t>
  </si>
  <si>
    <t>Gorsachius goisagi</t>
  </si>
  <si>
    <t>EU : Japan</t>
  </si>
  <si>
    <t>Malayan Night Heron</t>
  </si>
  <si>
    <t>Gorsachius melanolophus</t>
  </si>
  <si>
    <t>Black-crowned Night Heron</t>
  </si>
  <si>
    <t>Nycticorax nycticorax</t>
  </si>
  <si>
    <t>Worldwide : except AU</t>
  </si>
  <si>
    <t>First documented breeding record from Baras Bird Sanctuary, Sultan Kudarat (1996). In the Manila area first found breeding in Paranaque (2003); in Valenzuela there is an old breeding colony (2003). Has since spread and breeds in Luzon e.g. in Bulacan, Pampanga and Pangasinan</t>
  </si>
  <si>
    <t>Nankeen Night Heron</t>
  </si>
  <si>
    <t>Nycticorax caledonicus</t>
  </si>
  <si>
    <t>AU : widespread</t>
  </si>
  <si>
    <t>Striated Heron</t>
  </si>
  <si>
    <t>Butorides striata</t>
  </si>
  <si>
    <t>R,M</t>
  </si>
  <si>
    <t>SA, EU, AF, AU : widespread</t>
  </si>
  <si>
    <t>Chinese Pond Heron</t>
  </si>
  <si>
    <t>Ardeola bacchus</t>
  </si>
  <si>
    <t>OR : widespread in the east</t>
  </si>
  <si>
    <t>Javan Pond Heron</t>
  </si>
  <si>
    <t>Ardeola speciosa</t>
  </si>
  <si>
    <t>OR : se</t>
  </si>
  <si>
    <t>Eastern Cattle Egret</t>
  </si>
  <si>
    <t>Bubulcus coromandus</t>
  </si>
  <si>
    <t>OR : s, e Asia, Australasia</t>
  </si>
  <si>
    <t>Grey Heron</t>
  </si>
  <si>
    <t>Ardea cinerea</t>
  </si>
  <si>
    <t>Great-billed Heron</t>
  </si>
  <si>
    <t>Ardea sumatrana</t>
  </si>
  <si>
    <t>OR, AU : Southeast Asia to n Australia</t>
  </si>
  <si>
    <t>Purple Heron</t>
  </si>
  <si>
    <t>Ardea purpurea</t>
  </si>
  <si>
    <t>EU, OR, AF : widespread</t>
  </si>
  <si>
    <t>Great Egret</t>
  </si>
  <si>
    <t>Ardea alba</t>
  </si>
  <si>
    <t>NA, SA, AF, EU, OR, AU : Worldwide</t>
  </si>
  <si>
    <t>Intermediate Egret</t>
  </si>
  <si>
    <t>Ardea intermedia</t>
  </si>
  <si>
    <t>OR, AF, AU : widespread</t>
  </si>
  <si>
    <t>Little Egret</t>
  </si>
  <si>
    <t>Egretta garzetta</t>
  </si>
  <si>
    <t>EU, AF, OR, AU : widespread</t>
  </si>
  <si>
    <t>First documented breeding record is from Baras Bird Sanctuary, Sultan Kudarat (2007). On Luzon, first documented breeding in Bani, Pangasinan  (2009) by Rey St. Ana</t>
  </si>
  <si>
    <t>Pacific Reef Heron</t>
  </si>
  <si>
    <t>Egretta sacra</t>
  </si>
  <si>
    <t>OR, AU : Southeast Asia to New Zealand</t>
  </si>
  <si>
    <t>Chinese Egret</t>
  </si>
  <si>
    <t>Egretta eulophotes</t>
  </si>
  <si>
    <t>EU : e Asia</t>
  </si>
  <si>
    <t>Pelicans</t>
  </si>
  <si>
    <t>Pelecanidae</t>
  </si>
  <si>
    <t>Spot-billed Pelican</t>
  </si>
  <si>
    <t>Pelecanus philippensis</t>
  </si>
  <si>
    <t>EX</t>
  </si>
  <si>
    <t>OR : se India, Sri Lanka, Sumatra</t>
  </si>
  <si>
    <t>Extirpated. Last claimed record is from 1972: Salipada K. Pendatun Municipality, Ligawasan Marsh, Maguindanao reported by Abonawas Pendaliday, Cotabato City State Polytechnic College in communication to World Bank, Manila, 2006</t>
  </si>
  <si>
    <t>Dalmatian Pelican</t>
  </si>
  <si>
    <t>Pelecanus crispus</t>
  </si>
  <si>
    <t>EU : se Europe to China</t>
  </si>
  <si>
    <t>Australian Pelican</t>
  </si>
  <si>
    <t>Pelecanus conspicillatus</t>
  </si>
  <si>
    <t>Frigatebirds</t>
  </si>
  <si>
    <t>Fregatidae</t>
  </si>
  <si>
    <t>Christmas Frigatebird</t>
  </si>
  <si>
    <t>Fregata andrewsi</t>
  </si>
  <si>
    <t>IO : ne</t>
  </si>
  <si>
    <t>Great Frigatebird</t>
  </si>
  <si>
    <t>Fregata minor</t>
  </si>
  <si>
    <t>Published records do not include evidence that the species ever has been breeding in the Philippines</t>
  </si>
  <si>
    <t>Lesser Frigatebird</t>
  </si>
  <si>
    <t>Fregata ariel</t>
  </si>
  <si>
    <t>Boobies</t>
  </si>
  <si>
    <t>Sulidae</t>
  </si>
  <si>
    <t>Masked Booby</t>
  </si>
  <si>
    <t>Sula dactylatra</t>
  </si>
  <si>
    <t>Extirpated as breeding species in the Philippines. Last historical record of an adult bird is from Bird (North) Islet, Tubbataha Reefs Natural Park, Palawan (1995)  by Jose Ma. Lorenzo Tan. Since then one sub-adult  bird off Babuyan Islands, Cagayan (2003) and since 11 May 2016  one adult male has been with a female Brown Booby on Bird (North) Islet  in Tubbataha Reefs Natural Park. See Jensen, A.E., Songco, A.M. and Pagliawan, M.R. (2016).</t>
  </si>
  <si>
    <t>Red-footed Booby</t>
  </si>
  <si>
    <t>Sula sula</t>
  </si>
  <si>
    <t>Brown Booby</t>
  </si>
  <si>
    <t>Sula leucogaster</t>
  </si>
  <si>
    <t>Cormorants</t>
  </si>
  <si>
    <t>Phalacrocoracidae</t>
  </si>
  <si>
    <t>Great Cormorant</t>
  </si>
  <si>
    <t>Phalacrocorax carbo</t>
  </si>
  <si>
    <t>EU, AU, OR : also ne NA, n AF</t>
  </si>
  <si>
    <t>Darters</t>
  </si>
  <si>
    <t>Anhingidae</t>
  </si>
  <si>
    <t>Oriental Darter</t>
  </si>
  <si>
    <t>Anhinga melanogaster</t>
  </si>
  <si>
    <t>OR : Pakistan to se Asia through Greater Sundas, Sulawesi and Philippines.</t>
  </si>
  <si>
    <t>May have become extirpated from Luzon, Mindoro, Negros and Palawan</t>
  </si>
  <si>
    <t>Ospreys</t>
  </si>
  <si>
    <t>Pandionidae</t>
  </si>
  <si>
    <t>Western Osprey</t>
  </si>
  <si>
    <t>Pandion haliaetus</t>
  </si>
  <si>
    <t>M (R?)</t>
  </si>
  <si>
    <t>Worldwide : widespread,except AU and Sulawesi</t>
  </si>
  <si>
    <t>Resident population may occur. There are unverified claims of breeding from Agusan Marsh, Mindanao and from Lake Balinsasayo, Negros. Seen with nesting materials at La Mesa Dam, Quezon City/ Rizal Province</t>
  </si>
  <si>
    <t>Kites, Hawks and Eagles</t>
  </si>
  <si>
    <t>Accipitridae</t>
  </si>
  <si>
    <t>Black-winged Kite</t>
  </si>
  <si>
    <t>Elanus caeruleus</t>
  </si>
  <si>
    <t>Crested Honey Buzzard</t>
  </si>
  <si>
    <t>Pernis ptilorhynchus</t>
  </si>
  <si>
    <t>EU, OR : e EU, widespread OR</t>
  </si>
  <si>
    <t>Philippine Honey Buzzard</t>
  </si>
  <si>
    <t>Pernis steerei</t>
  </si>
  <si>
    <t>Jerdon's Baza</t>
  </si>
  <si>
    <t>Aviceda jerdoni</t>
  </si>
  <si>
    <t>R (M?)</t>
  </si>
  <si>
    <t>Cinereous Vulture</t>
  </si>
  <si>
    <t>Aegypius monachus</t>
  </si>
  <si>
    <t>EU : s Europe to c Asia, Pakistan and nw India</t>
  </si>
  <si>
    <t>Crested Serpent Eagle</t>
  </si>
  <si>
    <t>Spilornis cheela</t>
  </si>
  <si>
    <t>Philippine Serpent Eagle</t>
  </si>
  <si>
    <t>Spilornis holospilus</t>
  </si>
  <si>
    <t>Philippine Eagle</t>
  </si>
  <si>
    <t>Pithecophaga jefferyi</t>
  </si>
  <si>
    <t>Changeable Hawk-Eagle</t>
  </si>
  <si>
    <t>Nisaetus cirrhatus</t>
  </si>
  <si>
    <t>OR : Himalayas, c,s India and Sri Lanka to Greater Sundas and Philippines</t>
  </si>
  <si>
    <t>Philippine Hawk-Eagle</t>
  </si>
  <si>
    <t>Nisaetus philippensis</t>
  </si>
  <si>
    <t>OR : Luzon, Philippines</t>
  </si>
  <si>
    <t>Pinsker's Hawk-Eagle</t>
  </si>
  <si>
    <t>Nisaetus pinskeri</t>
  </si>
  <si>
    <t>OR : Philippines, except Luzon and Palawan.</t>
  </si>
  <si>
    <t>Rufous-bellied Eagle</t>
  </si>
  <si>
    <t>Lophotriorchis kienerii</t>
  </si>
  <si>
    <t>OR : s and se, also Sulawesi</t>
  </si>
  <si>
    <t>Crested Goshawk</t>
  </si>
  <si>
    <t>Accipiter trivirgatus</t>
  </si>
  <si>
    <t>Chinese Sparrowhawk</t>
  </si>
  <si>
    <t>Accipiter soloensis</t>
  </si>
  <si>
    <t>EU : e Siberia, Korea and China</t>
  </si>
  <si>
    <t>Japanese Sparrowhawk</t>
  </si>
  <si>
    <t>Accipiter gularis</t>
  </si>
  <si>
    <t>EU : c, e</t>
  </si>
  <si>
    <t>Besra</t>
  </si>
  <si>
    <t>Accipiter virgatus</t>
  </si>
  <si>
    <t>Eurasian Sparrowhawk</t>
  </si>
  <si>
    <t>Accipiter nisus</t>
  </si>
  <si>
    <t>Eastern Marsh Harrier</t>
  </si>
  <si>
    <t>Circus spilonotus</t>
  </si>
  <si>
    <t>EU : c Siberia to ne China and Japan</t>
  </si>
  <si>
    <t>Pied Harrier</t>
  </si>
  <si>
    <t>Circus melanoleucos</t>
  </si>
  <si>
    <t>EU : se Siberia, Korea and ne China</t>
  </si>
  <si>
    <t>Black Kite</t>
  </si>
  <si>
    <t>Milvus migrans</t>
  </si>
  <si>
    <t>Brahminy Kite</t>
  </si>
  <si>
    <t>Haliastur indus</t>
  </si>
  <si>
    <t>OR, AU : Pakistan to n Australia</t>
  </si>
  <si>
    <t>White-bellied Sea Eagle</t>
  </si>
  <si>
    <t>Haliaeetus leucogaster</t>
  </si>
  <si>
    <t>OR, AU : India to Tasmania</t>
  </si>
  <si>
    <t>Grey-headed Fish Eagle</t>
  </si>
  <si>
    <t>Haliaeetus ichthyaetus</t>
  </si>
  <si>
    <t>Grey-faced Buzzard</t>
  </si>
  <si>
    <t>Butastur indicus</t>
  </si>
  <si>
    <t>EU : e Siberia, Japan, Korea and ne China</t>
  </si>
  <si>
    <t>Eastern Buzzard</t>
  </si>
  <si>
    <t>Buteo japonicus</t>
  </si>
  <si>
    <t>OR : c, s Siberia, Mongolia, ne China, Japan</t>
  </si>
  <si>
    <t>Crakes, Rails and Coots</t>
  </si>
  <si>
    <t>Rallidae</t>
  </si>
  <si>
    <t>Red-legged Crake</t>
  </si>
  <si>
    <t>Rallina fasciata</t>
  </si>
  <si>
    <t>OR : s Myanmar to Lesser Sundas, Philippines</t>
  </si>
  <si>
    <t>Slaty-legged Crake</t>
  </si>
  <si>
    <t>Rallina eurizonoides</t>
  </si>
  <si>
    <t>Calayan Rail</t>
  </si>
  <si>
    <t>Gallirallus calayanensis</t>
  </si>
  <si>
    <t>Barred Rail</t>
  </si>
  <si>
    <t>Gallirallus torquatus</t>
  </si>
  <si>
    <t>AU : w New Guinea, Sulawesi, also Philippines</t>
  </si>
  <si>
    <t>Buff-banded Rail</t>
  </si>
  <si>
    <t>Gallirallus philippensis</t>
  </si>
  <si>
    <t>AU : widespread, also Philippines</t>
  </si>
  <si>
    <t>Slaty-breasted Rail</t>
  </si>
  <si>
    <t>Gallirallus striatus</t>
  </si>
  <si>
    <t>Brown-banded Rail</t>
  </si>
  <si>
    <t>Lewinia mirifica</t>
  </si>
  <si>
    <t>DD</t>
  </si>
  <si>
    <t>Plain Bush-hen</t>
  </si>
  <si>
    <t>Amaurornis olivacea</t>
  </si>
  <si>
    <t>White-breasted Waterhen</t>
  </si>
  <si>
    <t>Amaurornis phoenicurus</t>
  </si>
  <si>
    <t>Baillon's Crake</t>
  </si>
  <si>
    <t>Porzana pusilla</t>
  </si>
  <si>
    <t>Ruddy-breasted Crake</t>
  </si>
  <si>
    <t>Porzana fusca</t>
  </si>
  <si>
    <t>Spotless Crake</t>
  </si>
  <si>
    <t>Porzana tabuensis</t>
  </si>
  <si>
    <t>OR, AU : Philippines, Australasian region and Oceania</t>
  </si>
  <si>
    <t>White-browed Crake</t>
  </si>
  <si>
    <t>Porzana cinerea</t>
  </si>
  <si>
    <t>OR, AU : Malay Peninsula and Philippines to n Australia</t>
  </si>
  <si>
    <t>Watercock</t>
  </si>
  <si>
    <t>Gallicrex cinerea</t>
  </si>
  <si>
    <t>Philippine Swamphen</t>
  </si>
  <si>
    <t>Porphyrio pulverulentus</t>
  </si>
  <si>
    <t>OR : Philippines, Talaud Is.</t>
  </si>
  <si>
    <t>Common Moorhen</t>
  </si>
  <si>
    <t>Gallinula chloropus</t>
  </si>
  <si>
    <t>EU, AF, IO, OR, PO : widespread</t>
  </si>
  <si>
    <t>Eurasian Coot</t>
  </si>
  <si>
    <t>Fulica atra</t>
  </si>
  <si>
    <t>EU, OR, AU : widespread</t>
  </si>
  <si>
    <t>Cranes</t>
  </si>
  <si>
    <t>Gruidae</t>
  </si>
  <si>
    <t>Sarus Crane</t>
  </si>
  <si>
    <t>Antigone antigone</t>
  </si>
  <si>
    <t>OR, AU : n India, Southeast Asia, n Australia</t>
  </si>
  <si>
    <t>Extirpated. Not recorded since around 1910</t>
  </si>
  <si>
    <t>Demoiselle Crane</t>
  </si>
  <si>
    <t>Grus virgo</t>
  </si>
  <si>
    <t>EU : nw Africa, e Turkey, sw Russia to n China</t>
  </si>
  <si>
    <t>Buttonquails</t>
  </si>
  <si>
    <t>Turnicidae</t>
  </si>
  <si>
    <t>Common Buttonquail</t>
  </si>
  <si>
    <t>Turnix sylvaticus</t>
  </si>
  <si>
    <t>Spotted Buttonquail</t>
  </si>
  <si>
    <t>Turnix ocellatus</t>
  </si>
  <si>
    <t>Barred Buttonquail</t>
  </si>
  <si>
    <t>Turnix suscitator</t>
  </si>
  <si>
    <t>Worcester's Buttonquail</t>
  </si>
  <si>
    <t>Turnix worcesteri</t>
  </si>
  <si>
    <t>Stone-curlews, Thick-knees</t>
  </si>
  <si>
    <t>Burhinidae</t>
  </si>
  <si>
    <t>Beach Stone-curlew</t>
  </si>
  <si>
    <t>Esacus magnirostris</t>
  </si>
  <si>
    <t>May be extirpated from most Philippine islands. Only recent documented records are from Great Santa Cruz Island, Zamboanga City (2014 and  2015)  and from  Danjugan Island, Negros Occidental (2015)</t>
  </si>
  <si>
    <t>Oystercatchers</t>
  </si>
  <si>
    <t>Haematopodidae</t>
  </si>
  <si>
    <t>Eurasian Oystercatcher</t>
  </si>
  <si>
    <t>Haematopus ostralegus</t>
  </si>
  <si>
    <t>EU : nw, c, e</t>
  </si>
  <si>
    <t>Stilts and Avocets</t>
  </si>
  <si>
    <t>Recurvirostridae</t>
  </si>
  <si>
    <t>Black-winged Stilt</t>
  </si>
  <si>
    <t>Himantopus himantopus</t>
  </si>
  <si>
    <t>Pied Stilt</t>
  </si>
  <si>
    <t>Himantopus leucocephalus</t>
  </si>
  <si>
    <t>Pied Avocet</t>
  </si>
  <si>
    <t>Recurvirostra avosetta</t>
  </si>
  <si>
    <t>AF, EU : widespread</t>
  </si>
  <si>
    <t>Plovers</t>
  </si>
  <si>
    <t>Charadriidae</t>
  </si>
  <si>
    <t>Northern Lapwing</t>
  </si>
  <si>
    <t>Vanellus vanellus</t>
  </si>
  <si>
    <t>Grey-headed Lapwing</t>
  </si>
  <si>
    <t>Vanellus cinereus</t>
  </si>
  <si>
    <t>EU : e Siberia, Japan, ne and e China</t>
  </si>
  <si>
    <t>Pacific Golden Plover</t>
  </si>
  <si>
    <t>Pluvialis fulva</t>
  </si>
  <si>
    <t>EU : nc and ne Siberia, also Alaska</t>
  </si>
  <si>
    <t>Grey Plover</t>
  </si>
  <si>
    <t>Pluvialis squatarola</t>
  </si>
  <si>
    <t>NA, EU : n</t>
  </si>
  <si>
    <t>Common Ringed Plover</t>
  </si>
  <si>
    <t>Charadrius hiaticula</t>
  </si>
  <si>
    <t>EU : n, also ne Canada</t>
  </si>
  <si>
    <t>Little Ringed Plover</t>
  </si>
  <si>
    <t>Charadrius dubius</t>
  </si>
  <si>
    <t>EU, OR : widespread</t>
  </si>
  <si>
    <t>Kentish Plover</t>
  </si>
  <si>
    <t>Charadrius alexandrinus</t>
  </si>
  <si>
    <t>Malaysian Plover</t>
  </si>
  <si>
    <t>Charadrius peronii</t>
  </si>
  <si>
    <t>OR : Malay Peninsula to Philippines and Lesser Sundas</t>
  </si>
  <si>
    <t>Lesser Sand Plover</t>
  </si>
  <si>
    <t>Charadrius mongolus</t>
  </si>
  <si>
    <t>Greater Sand Plover</t>
  </si>
  <si>
    <t>Charadrius leschenaultii</t>
  </si>
  <si>
    <t>EU : c</t>
  </si>
  <si>
    <t>Oriental Plover</t>
  </si>
  <si>
    <t>Charadrius veredus</t>
  </si>
  <si>
    <t>EU : c Siberia to Mongolia and n China</t>
  </si>
  <si>
    <t>Painted-snipes</t>
  </si>
  <si>
    <t>Rostratulidae</t>
  </si>
  <si>
    <t>Greater Painted-snipe</t>
  </si>
  <si>
    <t>Rostratula benghalensis</t>
  </si>
  <si>
    <t>Jacanas</t>
  </si>
  <si>
    <t>Jacanidae</t>
  </si>
  <si>
    <t>Comb-crested Jacana</t>
  </si>
  <si>
    <t>Irediparra gallinacea</t>
  </si>
  <si>
    <t>AU : Sulawesi to n, e Australia, also Philippines</t>
  </si>
  <si>
    <t>Pheasant-tailed Jacana</t>
  </si>
  <si>
    <t>Hydrophasianus chirurgus</t>
  </si>
  <si>
    <t>Sandpipers and Snipes</t>
  </si>
  <si>
    <t>Scolopacidae</t>
  </si>
  <si>
    <t>Bristle-thighed Curlew</t>
  </si>
  <si>
    <t>Numenius tahitiensis</t>
  </si>
  <si>
    <t>NA : Alaska</t>
  </si>
  <si>
    <t>Whimbrel</t>
  </si>
  <si>
    <t>Numenius phaeopus</t>
  </si>
  <si>
    <t>Little Curlew</t>
  </si>
  <si>
    <t>Numenius minutus</t>
  </si>
  <si>
    <t>EU : nc and ne Siberia</t>
  </si>
  <si>
    <t>Far Eastern Curlew</t>
  </si>
  <si>
    <t>Numenius madagascariensis</t>
  </si>
  <si>
    <t>EU : e and se Siberia, ne China</t>
  </si>
  <si>
    <t>Eurasian Curlew</t>
  </si>
  <si>
    <t>Numenius arquata</t>
  </si>
  <si>
    <t>EU : c, w</t>
  </si>
  <si>
    <t>Bar-tailed Godwit</t>
  </si>
  <si>
    <t>Limosa lapponica</t>
  </si>
  <si>
    <t>EU : n, also Alaska</t>
  </si>
  <si>
    <t>Black-tailed Godwit</t>
  </si>
  <si>
    <t>Limosa limosa</t>
  </si>
  <si>
    <t>Ruddy Turnstone</t>
  </si>
  <si>
    <t>Arenaria interpres</t>
  </si>
  <si>
    <t>Great Knot</t>
  </si>
  <si>
    <t>Calidris tenuirostris</t>
  </si>
  <si>
    <t>EU : ne Siberia</t>
  </si>
  <si>
    <t>Red Knot</t>
  </si>
  <si>
    <t>Calidris canutus</t>
  </si>
  <si>
    <t>Ruff</t>
  </si>
  <si>
    <t>Calidris pugnax</t>
  </si>
  <si>
    <t>EU : Europe to e Siberia</t>
  </si>
  <si>
    <t>Broad-billed Sandpiper</t>
  </si>
  <si>
    <t>Calidris falcinellus</t>
  </si>
  <si>
    <t>Sharp-tailed Sandpiper</t>
  </si>
  <si>
    <t>Calidris acuminata</t>
  </si>
  <si>
    <t>EU : n Siberia</t>
  </si>
  <si>
    <t>Curlew Sandpiper</t>
  </si>
  <si>
    <t>Calidris ferruginea</t>
  </si>
  <si>
    <t>EU : n Asia</t>
  </si>
  <si>
    <t>Temminck's Stint</t>
  </si>
  <si>
    <t>Calidris temminckii</t>
  </si>
  <si>
    <t>EU : n Europe and n Asia</t>
  </si>
  <si>
    <t>Long-toed Stint</t>
  </si>
  <si>
    <t>Calidris subminuta</t>
  </si>
  <si>
    <t>EU : c and e Siberia</t>
  </si>
  <si>
    <t>Red-necked Stint</t>
  </si>
  <si>
    <t>Calidris ruficollis</t>
  </si>
  <si>
    <t>EU : n and ne Siberia</t>
  </si>
  <si>
    <t>Sanderling</t>
  </si>
  <si>
    <t>Calidris alba</t>
  </si>
  <si>
    <t>Dunlin</t>
  </si>
  <si>
    <t>Calidris alpina</t>
  </si>
  <si>
    <t>Little Stint</t>
  </si>
  <si>
    <t>Calidris minuta</t>
  </si>
  <si>
    <t>Pectoral Sandpiper</t>
  </si>
  <si>
    <t>Calidris melanotos</t>
  </si>
  <si>
    <t>NA, EU : n Siberia, w and n Alaska and n Canada</t>
  </si>
  <si>
    <t>First record at the International Rice Research Institute, Los Baños, Laguna, Luzon (October 2013) by Paul Bourding. See Jensen, A.E., Fisher, T. and Hutchinson, R. (2015)  Forktail 31: 24–36.</t>
  </si>
  <si>
    <t>Asian Dowitcher</t>
  </si>
  <si>
    <t>Limnodromus semipalmatus</t>
  </si>
  <si>
    <t>EU : c Asia and Mongolia to se Siberia and ne China</t>
  </si>
  <si>
    <t>Long-billed Dowitcher</t>
  </si>
  <si>
    <t>Limnodromus scolopaceus</t>
  </si>
  <si>
    <t>EU, NA : ne Siberia,  Alaska and n Canada</t>
  </si>
  <si>
    <t>Bukidnon Woodcock</t>
  </si>
  <si>
    <t>Scolopax bukidnonensis</t>
  </si>
  <si>
    <t>Jack Snipe</t>
  </si>
  <si>
    <t>Lymnocryptes minimus</t>
  </si>
  <si>
    <t>EU : n Europe to ne Siberia</t>
  </si>
  <si>
    <t>Latham's Snipe</t>
  </si>
  <si>
    <t>Gallinago hardwickii</t>
  </si>
  <si>
    <t>EU : e Siberia,  Japan</t>
  </si>
  <si>
    <t>Pin-tailed Snipe</t>
  </si>
  <si>
    <t>Gallinago stenura</t>
  </si>
  <si>
    <t>EU : nw Russia and Mongolia to e Siberia</t>
  </si>
  <si>
    <t>Swinhoe's Snipe</t>
  </si>
  <si>
    <t>Gallinago megala</t>
  </si>
  <si>
    <t>EU : c Asia and n Mongolia, se Siberia</t>
  </si>
  <si>
    <t>Common Snipe</t>
  </si>
  <si>
    <t>Gallinago gallinago</t>
  </si>
  <si>
    <t>Terek Sandpiper</t>
  </si>
  <si>
    <t>Xenus cinereus</t>
  </si>
  <si>
    <t>EU : e Europe to ne Siberia</t>
  </si>
  <si>
    <t>Red-necked Phalarope</t>
  </si>
  <si>
    <t>Phalaropus lobatus</t>
  </si>
  <si>
    <t>NA, EU : n Alaska, n Canada, n Europe and n Asia</t>
  </si>
  <si>
    <t>Red Phalarope</t>
  </si>
  <si>
    <t>Phalaropus fulicarius</t>
  </si>
  <si>
    <t>Common Sandpiper</t>
  </si>
  <si>
    <t>Actitis hypoleucos</t>
  </si>
  <si>
    <t>Green Sandpiper</t>
  </si>
  <si>
    <t>Tringa ochropus</t>
  </si>
  <si>
    <t>EU : n and c Europe to e Siberia and ne China</t>
  </si>
  <si>
    <t>Grey-tailed Tattler</t>
  </si>
  <si>
    <t>Tringa brevipes</t>
  </si>
  <si>
    <t>Common Redshank</t>
  </si>
  <si>
    <t>Tringa totanus</t>
  </si>
  <si>
    <t>EU : w, c</t>
  </si>
  <si>
    <t>Marsh Sandpiper</t>
  </si>
  <si>
    <t>Tringa stagnatilis</t>
  </si>
  <si>
    <t>EU : e Europe to e Siberia and ne China</t>
  </si>
  <si>
    <t>Wood Sandpiper</t>
  </si>
  <si>
    <t>Tringa glareola</t>
  </si>
  <si>
    <t>Spotted Redshank</t>
  </si>
  <si>
    <t>Tringa erythropus</t>
  </si>
  <si>
    <t>Common Greenshank</t>
  </si>
  <si>
    <t>Tringa nebularia</t>
  </si>
  <si>
    <t>EU : n Europe to e Siberia</t>
  </si>
  <si>
    <t>Nordmann's Greenshank</t>
  </si>
  <si>
    <t>Tringa guttifer</t>
  </si>
  <si>
    <t>Pratincoles</t>
  </si>
  <si>
    <t>Glareolidae</t>
  </si>
  <si>
    <t>Oriental Pratincole</t>
  </si>
  <si>
    <t>Glareola maldivarum</t>
  </si>
  <si>
    <t>EU, OR : c and e Siberia, Japan, China and widespread throughout the Orient</t>
  </si>
  <si>
    <t>Gulls and Terns</t>
  </si>
  <si>
    <t>Laridae</t>
  </si>
  <si>
    <t>Brown Noddy</t>
  </si>
  <si>
    <t>Anous stolidus</t>
  </si>
  <si>
    <t>Black Noddy</t>
  </si>
  <si>
    <t>Anous minutus</t>
  </si>
  <si>
    <t>PO, AO : tropical</t>
  </si>
  <si>
    <t>White Tern</t>
  </si>
  <si>
    <t>Gygis alba</t>
  </si>
  <si>
    <t>Black-headed Gull</t>
  </si>
  <si>
    <t>Chroicocephalus ridibundus</t>
  </si>
  <si>
    <t>Saunders's Gull</t>
  </si>
  <si>
    <t>Chroicocephalus saundersi</t>
  </si>
  <si>
    <t>EU : coastal e China</t>
  </si>
  <si>
    <t>First record in Sto. Tomas, La Union ( January 2015) by Romy Ocon</t>
  </si>
  <si>
    <t>Laughing Gull</t>
  </si>
  <si>
    <t>Leucophaeus atricilla</t>
  </si>
  <si>
    <t>NA, MA, SA : widespread coasts</t>
  </si>
  <si>
    <t>First record of one adult bird at Balanga, Bataan (February 2013) by Robert Hutchinson and Irene Dy. See Jensen, A.E., Fisher, T. and Hutchinson, R. (2015)  Forktail 31: 24–36.</t>
  </si>
  <si>
    <t>Franklin's Gull</t>
  </si>
  <si>
    <t>Leucophaeus pipixcan</t>
  </si>
  <si>
    <t>NA : sc canada and nc USA</t>
  </si>
  <si>
    <t>First record of one adult bird at Bucana Beach, Davao City, Davao del Sur, Mindanao (April 2014) by Peter Simpson</t>
  </si>
  <si>
    <t>Black-tailed Gull</t>
  </si>
  <si>
    <t>Larus crassirostris</t>
  </si>
  <si>
    <t>EU : e Siberia, Japan, Korea and e China</t>
  </si>
  <si>
    <t>Mew Gull</t>
  </si>
  <si>
    <t>Larus canus</t>
  </si>
  <si>
    <t>NA, EU : w Europe to Siberia and nw NA</t>
  </si>
  <si>
    <t>First record of one bird in first-winter plumage Laoag River Mouth, Ilocos Norte, Luzon, (December 2013 – January 2014)  by Robert Hutchinson, Marie Kathleen Arce, Irene Dy, Richard Ruiz and Melanie Tan. See Jensen, A.E., Fisher, T. and Hutchinson, R. (2015)  Forktail 31: 24–36.</t>
  </si>
  <si>
    <t>Vega Gull</t>
  </si>
  <si>
    <t>Larus vegae</t>
  </si>
  <si>
    <t>EU : ne, e</t>
  </si>
  <si>
    <t>Slaty-backed Gull</t>
  </si>
  <si>
    <t>Larus schistisagus</t>
  </si>
  <si>
    <t>EU : coastal ne and e Siberia, n Japan</t>
  </si>
  <si>
    <t>Lesser Black-backed Gull</t>
  </si>
  <si>
    <t>Larus fuscus</t>
  </si>
  <si>
    <t>EU : w Europe to c Northern Siberia; also Greenland and Iceland</t>
  </si>
  <si>
    <t xml:space="preserve">First record of one bird of the subspecies heuglini at Tibsoc, Enrique, Negros Occidental, Negros (January 2014) by Robert Hutchinson and Irene Dy </t>
  </si>
  <si>
    <t>Gull-billed Tern</t>
  </si>
  <si>
    <t>Gelochelidon nilotica</t>
  </si>
  <si>
    <t>Caspian Tern</t>
  </si>
  <si>
    <t>Hydroprogne caspia</t>
  </si>
  <si>
    <t>Worldwide : widespread except SA</t>
  </si>
  <si>
    <t>Greater Crested Tern</t>
  </si>
  <si>
    <t>Thalasseus bergii</t>
  </si>
  <si>
    <t>AU, OR, AF : coasts of e AF to the s Pacific</t>
  </si>
  <si>
    <t>Chinese Crested Tern</t>
  </si>
  <si>
    <t>Thalasseus bernsteini</t>
  </si>
  <si>
    <t>EU : islands off China's e coast</t>
  </si>
  <si>
    <t>Little Tern</t>
  </si>
  <si>
    <t>Sternula albifrons</t>
  </si>
  <si>
    <t>AF, EU, OR, AU : widespread</t>
  </si>
  <si>
    <t>Aleutian Tern</t>
  </si>
  <si>
    <t>Onychoprion aleuticus</t>
  </si>
  <si>
    <t>EU, NA : n Pacific coasts</t>
  </si>
  <si>
    <t>Bridled Tern</t>
  </si>
  <si>
    <t>Onychoprion anaethetus</t>
  </si>
  <si>
    <t>Sooty Tern</t>
  </si>
  <si>
    <t>Onychoprion fuscatus</t>
  </si>
  <si>
    <t>Roseate Tern</t>
  </si>
  <si>
    <t>Sterna dougallii</t>
  </si>
  <si>
    <t>Worldwide : widespread coasts</t>
  </si>
  <si>
    <t>Black-naped Tern</t>
  </si>
  <si>
    <t>Sterna sumatrana</t>
  </si>
  <si>
    <t>AF, OR, AU : coasts</t>
  </si>
  <si>
    <t>Common Tern</t>
  </si>
  <si>
    <t>Sterna hirundo</t>
  </si>
  <si>
    <t>EU, NA : widespread</t>
  </si>
  <si>
    <t>Whiskered Tern</t>
  </si>
  <si>
    <t>Chlidonias hybrida</t>
  </si>
  <si>
    <t>White-winged Tern</t>
  </si>
  <si>
    <t>Chlidonias leucopterus</t>
  </si>
  <si>
    <t>Skuas</t>
  </si>
  <si>
    <t>Stercorariidae</t>
  </si>
  <si>
    <t>Pomarine Jaeger</t>
  </si>
  <si>
    <t>Stercorarius pomarinus</t>
  </si>
  <si>
    <t>Parasitic Jaeger</t>
  </si>
  <si>
    <t>Stercorarius parasiticus</t>
  </si>
  <si>
    <t>First record of one immature bird, off the coast of Aparri, Cagayan, Luzon (April 2014) by Shotaro Nakagun.</t>
  </si>
  <si>
    <t>Long-tailed Jaeger</t>
  </si>
  <si>
    <t>Stercorarius longicaudus</t>
  </si>
  <si>
    <t>First record of one adult off the coast of Camiguin Norte Island, Babuyan Islands, Cagayan, Luzon (March 2011)</t>
  </si>
  <si>
    <t>Pigeons and Doves</t>
  </si>
  <si>
    <t>Columbidae</t>
  </si>
  <si>
    <t>Rock Dove</t>
  </si>
  <si>
    <t>Columba livia</t>
  </si>
  <si>
    <t>Introduced. Free-living population of domestic form, e.g. in Metro Manila, Cebu City and Davao City</t>
  </si>
  <si>
    <t>Metallic Pigeon</t>
  </si>
  <si>
    <t>Columba vitiensis</t>
  </si>
  <si>
    <t>OR, AU : Philippines to Samoa</t>
  </si>
  <si>
    <t>Oriental Turtle Dove</t>
  </si>
  <si>
    <t>Streptopelia orientalis</t>
  </si>
  <si>
    <t>EU, OR : c, e Asia through India and Southeast Asia</t>
  </si>
  <si>
    <t>Island Collared Dove</t>
  </si>
  <si>
    <t>Streptopelia bitorquata</t>
  </si>
  <si>
    <t>OR : Philippines, Java, Lesser Sundas</t>
  </si>
  <si>
    <t>Red Turtle Dove</t>
  </si>
  <si>
    <t>Streptopelia tranquebarica</t>
  </si>
  <si>
    <t>Spotted Dove</t>
  </si>
  <si>
    <t>Spilopelia chinensis</t>
  </si>
  <si>
    <t>Philippine Cuckoo-Dove</t>
  </si>
  <si>
    <t>Macropygia tenuirostris</t>
  </si>
  <si>
    <t>NE</t>
  </si>
  <si>
    <t>OR : Philippines, Borneo?</t>
  </si>
  <si>
    <t>Common Emerald Dove</t>
  </si>
  <si>
    <t>Chalcophaps indica</t>
  </si>
  <si>
    <t>Zebra Dove</t>
  </si>
  <si>
    <t>Geopelia striata</t>
  </si>
  <si>
    <t>OR : Malay Peninsula , Sumatra, Java</t>
  </si>
  <si>
    <t>Nicobar Pigeon</t>
  </si>
  <si>
    <t>Caloenas nicobarica</t>
  </si>
  <si>
    <t>OR, AU : Andaman Islands to Philippines and Solomon Islands</t>
  </si>
  <si>
    <t>Luzon Bleeding-heart</t>
  </si>
  <si>
    <t>Gallicolumba luzonica</t>
  </si>
  <si>
    <t>Mindanao Bleeding-heart</t>
  </si>
  <si>
    <t>Gallicolumba crinigera</t>
  </si>
  <si>
    <t>Mindoro Bleeding-heart</t>
  </si>
  <si>
    <t>Gallicolumba platenae</t>
  </si>
  <si>
    <t>Negros Bleeding-heart</t>
  </si>
  <si>
    <t>Gallicolumba keayi</t>
  </si>
  <si>
    <t>Sulu Bleeding-heart</t>
  </si>
  <si>
    <t>Gallicolumba menagei</t>
  </si>
  <si>
    <t xml:space="preserve">Known only from two specimens collected on Tawi-Tawi in 1891 </t>
  </si>
  <si>
    <t>White-eared Brown Dove</t>
  </si>
  <si>
    <t>Phapitreron leucotis</t>
  </si>
  <si>
    <t>Amethyst Brown Dove</t>
  </si>
  <si>
    <t>Phapitreron amethystinus</t>
  </si>
  <si>
    <t>Tawitawi Brown Dove</t>
  </si>
  <si>
    <t>Phapitreron cinereiceps</t>
  </si>
  <si>
    <t>OR : se Philippines on Tawitawi Is</t>
  </si>
  <si>
    <t>Mindanao Brown Dove</t>
  </si>
  <si>
    <t>Phapitreron brunneiceps</t>
  </si>
  <si>
    <t>OR : se Philippines on Mindanao and Basilan.</t>
  </si>
  <si>
    <t>Pink-necked Green Pigeon</t>
  </si>
  <si>
    <t>Treron vernans</t>
  </si>
  <si>
    <t>OR : Southeast Asia to Philippines, also Sulawesi</t>
  </si>
  <si>
    <t>Philippine Green Pigeon</t>
  </si>
  <si>
    <t>Treron axillaris</t>
  </si>
  <si>
    <t>Thick-billed Green Pigeon</t>
  </si>
  <si>
    <t>Treron curvirostra</t>
  </si>
  <si>
    <t>Whistling Green Pigeon</t>
  </si>
  <si>
    <t>Treron formosae</t>
  </si>
  <si>
    <t>EU, OR : islands s of Japan to Philippines</t>
  </si>
  <si>
    <t>Flame-breasted Fruit Dove</t>
  </si>
  <si>
    <t>Ptilinopus marchei</t>
  </si>
  <si>
    <t>Cream-breasted Fruit Dove</t>
  </si>
  <si>
    <t>Ptilinopus merrilli</t>
  </si>
  <si>
    <t>Yellow-breasted Fruit Dove</t>
  </si>
  <si>
    <t>Ptilinopus occipitalis</t>
  </si>
  <si>
    <t>Black-chinned Fruit Dove</t>
  </si>
  <si>
    <t>Ptilinopus leclancheri</t>
  </si>
  <si>
    <t>OR : Philippines and Taiwan</t>
  </si>
  <si>
    <t>Superb Fruit Dove</t>
  </si>
  <si>
    <t>Ptilinopus superbus</t>
  </si>
  <si>
    <t>AU : Sulawesi to Solomon Islands and ne Australia</t>
  </si>
  <si>
    <t>Known only from one specimen collected from the Sulu Archipelago in 1883. Origin of the record is possibly doubtful</t>
  </si>
  <si>
    <t>Black-naped Fruit Dove</t>
  </si>
  <si>
    <t>Ptilinopus melanospilus</t>
  </si>
  <si>
    <t>OR, AU : Java, Lesser Sundas, Sulawesi, Philippines</t>
  </si>
  <si>
    <t>Negros Fruit Dove</t>
  </si>
  <si>
    <t>Ptilinopus arcanus</t>
  </si>
  <si>
    <t>Known only from one specimen collected on Mount Canlaon, Negros Occidental  in May 1953</t>
  </si>
  <si>
    <t>Pink-bellied Imperial Pigeon</t>
  </si>
  <si>
    <t>Ducula poliocephala</t>
  </si>
  <si>
    <t>Mindoro Imperial Pigeon</t>
  </si>
  <si>
    <t>Ducula mindorensis</t>
  </si>
  <si>
    <t>Spotted Imperial Pigeon</t>
  </si>
  <si>
    <t>Ducula carola</t>
  </si>
  <si>
    <t>Green Imperial Pigeon</t>
  </si>
  <si>
    <t>Ducula aenea</t>
  </si>
  <si>
    <t>Grey Imperial Pigeon</t>
  </si>
  <si>
    <t>Ducula pickeringii</t>
  </si>
  <si>
    <t>OR : islands between Borneo and Philippines</t>
  </si>
  <si>
    <t>Pied Imperial Pigeon</t>
  </si>
  <si>
    <t>Ducula bicolor</t>
  </si>
  <si>
    <t>OR : Southeast Asia to Philippines, Indonesia and w New Guinea</t>
  </si>
  <si>
    <t>Cuckoos</t>
  </si>
  <si>
    <t>Cuculidae</t>
  </si>
  <si>
    <t>Rufous Coucal</t>
  </si>
  <si>
    <t>Centropus unirufus</t>
  </si>
  <si>
    <t>Black-faced Coucal</t>
  </si>
  <si>
    <t>Centropus melanops</t>
  </si>
  <si>
    <t>Black-hooded Coucal</t>
  </si>
  <si>
    <t>Centropus steerii</t>
  </si>
  <si>
    <t>Greater Coucal</t>
  </si>
  <si>
    <t>Centropus sinensis</t>
  </si>
  <si>
    <t>Philippine Coucal</t>
  </si>
  <si>
    <t>Centropus viridis</t>
  </si>
  <si>
    <t>Lesser Coucal</t>
  </si>
  <si>
    <t>Centropus bengalensis</t>
  </si>
  <si>
    <t>Chestnut-breasted Malkoha</t>
  </si>
  <si>
    <t>Phaenicophaeus curvirostris</t>
  </si>
  <si>
    <t>OR : Malay Peninsula, Greater Sundas</t>
  </si>
  <si>
    <t>Rough-crested Malkoha</t>
  </si>
  <si>
    <t>Dasylophus superciliosus</t>
  </si>
  <si>
    <t>Scale-feathered Malkoha</t>
  </si>
  <si>
    <t>Dasylophus cumingi</t>
  </si>
  <si>
    <t>Chestnut-winged Cuckoo</t>
  </si>
  <si>
    <t>Clamator coromandus</t>
  </si>
  <si>
    <t>OR : n India and Nepal to e China and Southeast Asia</t>
  </si>
  <si>
    <t>Jacobin Cuckoo</t>
  </si>
  <si>
    <t>Clamator jacobinus</t>
  </si>
  <si>
    <t>AF, OR : widespread in AF, India to Myanmar</t>
  </si>
  <si>
    <t>First record of one bird on Dalupiri Island, Babuyan Islands, Cagayan (May 2004)  by Desmond Allen. See Allen, D., Espanola, C., Broad, G. Oliveros, C. and Gonzales, J.C.T. (2006).</t>
  </si>
  <si>
    <t>Asian Koel</t>
  </si>
  <si>
    <t>Eudynamys scolopaceus</t>
  </si>
  <si>
    <t>OR : widespread, also Lesser Sundas</t>
  </si>
  <si>
    <t>Channel-billed Cuckoo</t>
  </si>
  <si>
    <t>Scythrops novaehollandiae</t>
  </si>
  <si>
    <t>Violet Cuckoo</t>
  </si>
  <si>
    <t>Chrysococcyx xanthorhynchus</t>
  </si>
  <si>
    <t>OR : Southeast Asia to Philippines</t>
  </si>
  <si>
    <t>Little Bronze Cuckoo</t>
  </si>
  <si>
    <t>Chrysococcyx minutillus</t>
  </si>
  <si>
    <t>OR, AU : Southeast Asia to e Australia</t>
  </si>
  <si>
    <t>Banded Bay Cuckoo</t>
  </si>
  <si>
    <t>Cacomantis sonneratii</t>
  </si>
  <si>
    <t>Plaintive Cuckoo</t>
  </si>
  <si>
    <t>Cacomantis merulinus</t>
  </si>
  <si>
    <t>Rusty-breasted Cuckoo</t>
  </si>
  <si>
    <t>Cacomantis sepulcralis</t>
  </si>
  <si>
    <t>OR : Malay Peninsula to Greater and Lesser Sundas, Sulawesi and sw Philippines</t>
  </si>
  <si>
    <t>Philippine Drongo-Cuckoo</t>
  </si>
  <si>
    <t>Surniculus velutinus</t>
  </si>
  <si>
    <t>Square-tailed Drongo-Cuckoo</t>
  </si>
  <si>
    <t>Surniculus lugubris</t>
  </si>
  <si>
    <t>OR : nw Himalayas to se China, south to s Thailand, Malaysia, Greater Sundas and Palawan</t>
  </si>
  <si>
    <t>Large Hawk-Cuckoo</t>
  </si>
  <si>
    <t>Hierococcyx sparverioides</t>
  </si>
  <si>
    <t>Philippine Hawk-Cuckoo</t>
  </si>
  <si>
    <t>Hierococcyx pectoralis</t>
  </si>
  <si>
    <t>Indian Cuckoo</t>
  </si>
  <si>
    <t>Cuculus micropterus</t>
  </si>
  <si>
    <t>Himalayan Cuckoo</t>
  </si>
  <si>
    <t>Cuculus saturatus</t>
  </si>
  <si>
    <t>OR : Himalayas to n China</t>
  </si>
  <si>
    <t>Oriental Cuckoo</t>
  </si>
  <si>
    <t>Cuculus optatus</t>
  </si>
  <si>
    <t>EU : ne Asia, Taiwan</t>
  </si>
  <si>
    <t>Barn Owls</t>
  </si>
  <si>
    <t>Tytonidae</t>
  </si>
  <si>
    <t>Eastern Grass Owl</t>
  </si>
  <si>
    <t>Tyto longimembris</t>
  </si>
  <si>
    <t>OR, AU : India to se China, Taiwan, Philippines, Sulawesi, se New Guinea, n, ne Australia, New Caledonia</t>
  </si>
  <si>
    <t>Owls</t>
  </si>
  <si>
    <t>Strigidae</t>
  </si>
  <si>
    <t>Giant Scops Owl</t>
  </si>
  <si>
    <t>Otus gurneyi</t>
  </si>
  <si>
    <t>Palawan Scops Owl</t>
  </si>
  <si>
    <t>Otus fuliginosus</t>
  </si>
  <si>
    <t>OR : Palawan  (w Philippines)</t>
  </si>
  <si>
    <t>Philippine Scops Owl</t>
  </si>
  <si>
    <t>Otus megalotis</t>
  </si>
  <si>
    <t>OR : Luzon, Catanduanes and Marinduque, Philippines</t>
  </si>
  <si>
    <t>Everett's Scops Owl</t>
  </si>
  <si>
    <t>Otus everetti</t>
  </si>
  <si>
    <t>OR : Bohol, Leyte, Samar, Mindanao and Basilan, Philippines</t>
  </si>
  <si>
    <t>Negros Scops Owl</t>
  </si>
  <si>
    <t>Otus nigrorum</t>
  </si>
  <si>
    <t>OR : Negros and Panay,  Philippines</t>
  </si>
  <si>
    <t>Mindanao Scops Owl</t>
  </si>
  <si>
    <t>Otus mirus</t>
  </si>
  <si>
    <t>OR : Mindanao  (s Philippines)</t>
  </si>
  <si>
    <t>Luzon Scops Owl</t>
  </si>
  <si>
    <t>Otus longicornis</t>
  </si>
  <si>
    <t>OR : Luzon  (n Philippines)</t>
  </si>
  <si>
    <t>Mindoro Scops Owl</t>
  </si>
  <si>
    <t>Otus mindorensis</t>
  </si>
  <si>
    <t>OR : Mindoro  (nc Philippines)</t>
  </si>
  <si>
    <t>Oriental Scops Owl</t>
  </si>
  <si>
    <t>Otus sunia</t>
  </si>
  <si>
    <t>Mantanani Scops Owl</t>
  </si>
  <si>
    <t>Otus mantananensis</t>
  </si>
  <si>
    <t>Ryukyu Scops Owl</t>
  </si>
  <si>
    <t>Otus elegans</t>
  </si>
  <si>
    <t>OR : islands s of Japan to Philippines</t>
  </si>
  <si>
    <t>Philippine Eagle-Owl</t>
  </si>
  <si>
    <t>Bubo philippensis</t>
  </si>
  <si>
    <t>Spotted Wood Owl</t>
  </si>
  <si>
    <t>Strix seloputo</t>
  </si>
  <si>
    <t>OR : Southeast Asia, Sumatra, Java, Philippines</t>
  </si>
  <si>
    <t>Brown Hawk-Owl</t>
  </si>
  <si>
    <t>Ninox scutulata</t>
  </si>
  <si>
    <t>OR, EU : e Asia through Orient</t>
  </si>
  <si>
    <t>Northern Boobook</t>
  </si>
  <si>
    <t>Ninox japonica</t>
  </si>
  <si>
    <t>OR : Russian Far East to Korea, Japan; Taiwan</t>
  </si>
  <si>
    <t>Chocolate Boobook</t>
  </si>
  <si>
    <t>Ninox randi</t>
  </si>
  <si>
    <t>OR : Philippines, except Palawan</t>
  </si>
  <si>
    <t>Luzon Hawk-Owl</t>
  </si>
  <si>
    <t>Ninox philippensis</t>
  </si>
  <si>
    <t>Mindanao Hawk-Owl</t>
  </si>
  <si>
    <t>Ninox spilocephala</t>
  </si>
  <si>
    <t>OR : Basilan, Mindanao, Siargao and Dinagat Is.  (s Philippines)</t>
  </si>
  <si>
    <t>Mindoro Hawk-Owl</t>
  </si>
  <si>
    <t>Ninox mindorensis</t>
  </si>
  <si>
    <t>OR : Mindoro  (wc Philippines)</t>
  </si>
  <si>
    <t>Romblon Hawk-Owl</t>
  </si>
  <si>
    <t>Ninox spilonotus</t>
  </si>
  <si>
    <t>OR : Sibuyan, Tablas Is.  (c Philippines)</t>
  </si>
  <si>
    <t>Cebu Hawk-Owl</t>
  </si>
  <si>
    <t>Ninox rumseyi</t>
  </si>
  <si>
    <t>OR : Cebu (w Philippines)</t>
  </si>
  <si>
    <t>Camiguin Hawk-Owl</t>
  </si>
  <si>
    <t>Ninox leventisi</t>
  </si>
  <si>
    <t>OR : Camiguin Sur (c Philippines)</t>
  </si>
  <si>
    <t>Sulu Hawk-Owl</t>
  </si>
  <si>
    <t>Ninox reyi</t>
  </si>
  <si>
    <t>OR : Sulu Arch.</t>
  </si>
  <si>
    <t>Short-eared Owl</t>
  </si>
  <si>
    <t>Asio flammeus</t>
  </si>
  <si>
    <t>Worldwide : widespread except AU</t>
  </si>
  <si>
    <t>Frogmouths</t>
  </si>
  <si>
    <t>Podargidae</t>
  </si>
  <si>
    <t>Philippine Frogmouth</t>
  </si>
  <si>
    <t>Batrachostomus septimus</t>
  </si>
  <si>
    <t>Palawan Frogmouth</t>
  </si>
  <si>
    <t>Batrachostomus chaseni</t>
  </si>
  <si>
    <t>OR : Banggi I. (n of Borneo) and Palawan  (Philippines)</t>
  </si>
  <si>
    <t>Nightjars</t>
  </si>
  <si>
    <t>Caprimulgidae</t>
  </si>
  <si>
    <t>Great Eared Nightjar</t>
  </si>
  <si>
    <t>Lyncornis macrotis</t>
  </si>
  <si>
    <t>OR : widespread, also Sulawesi</t>
  </si>
  <si>
    <t>Grey Nightjar</t>
  </si>
  <si>
    <t>Caprimulgus jotaka</t>
  </si>
  <si>
    <t>OR : Himalayas to e, se Asia</t>
  </si>
  <si>
    <t>Large-tailed Nightjar</t>
  </si>
  <si>
    <t>Caprimulgus macrurus</t>
  </si>
  <si>
    <t>OR, AU : e India to n Australia</t>
  </si>
  <si>
    <t>Philippine Nightjar</t>
  </si>
  <si>
    <t>Caprimulgus manillensis</t>
  </si>
  <si>
    <t>Savanna Nightjar</t>
  </si>
  <si>
    <t>Caprimulgus affinis</t>
  </si>
  <si>
    <t>Treeswifts</t>
  </si>
  <si>
    <t>Hemiprocnidae</t>
  </si>
  <si>
    <t>Grey-rumped Treeswift</t>
  </si>
  <si>
    <t>Hemiprocne longipennis</t>
  </si>
  <si>
    <t>OR, AU : Malay Peninsula To Sulawesi</t>
  </si>
  <si>
    <t>Whiskered Treeswift</t>
  </si>
  <si>
    <t>Hemiprocne comata</t>
  </si>
  <si>
    <t>OR : Malay Peninsula, Sumatra, Borneo, Philippines</t>
  </si>
  <si>
    <t>Swifts</t>
  </si>
  <si>
    <t>Apodidae</t>
  </si>
  <si>
    <t>Grey-rumped Swiftlet</t>
  </si>
  <si>
    <t>Collocalia marginata</t>
  </si>
  <si>
    <t>OR : Philippine Is</t>
  </si>
  <si>
    <t>Ridgetop Swiftlet</t>
  </si>
  <si>
    <t>Collocalia isonota</t>
  </si>
  <si>
    <t>Pygmy Swiftlet</t>
  </si>
  <si>
    <t>Collocalia troglodytes</t>
  </si>
  <si>
    <t>Philippine Swiftlet</t>
  </si>
  <si>
    <t>Aerodramus mearnsi</t>
  </si>
  <si>
    <t>Whitehead's Swiftlet</t>
  </si>
  <si>
    <t>Aerodramus whiteheadi</t>
  </si>
  <si>
    <t>Mossy-nest Swiftlet</t>
  </si>
  <si>
    <t>Aerodramus salangana</t>
  </si>
  <si>
    <t>OR : Sumatra, Java, Borneo</t>
  </si>
  <si>
    <t>Ameline Swiftlet</t>
  </si>
  <si>
    <t>Aerodramus amelis</t>
  </si>
  <si>
    <t>Black-nest Swiftlet</t>
  </si>
  <si>
    <t>Aerodramus maximus</t>
  </si>
  <si>
    <t>Germain's Swiftlet</t>
  </si>
  <si>
    <t>Aerodramus germani</t>
  </si>
  <si>
    <t>OR : Southeast Asia, Borneo, Philippines</t>
  </si>
  <si>
    <t>Philippine Spine-tailed Swift</t>
  </si>
  <si>
    <t>Mearnsia picina</t>
  </si>
  <si>
    <t>OR : s Philippines</t>
  </si>
  <si>
    <t>White-throated Needletail</t>
  </si>
  <si>
    <t>Hirundapus caudacutus</t>
  </si>
  <si>
    <t>EU : e, s Asia</t>
  </si>
  <si>
    <t>Brown-backed Needletail</t>
  </si>
  <si>
    <t>Hirundapus giganteus</t>
  </si>
  <si>
    <t>Purple Needletail</t>
  </si>
  <si>
    <t>Hirundapus celebensis</t>
  </si>
  <si>
    <t>OR, AU : Philippines,  n Sulawesi</t>
  </si>
  <si>
    <t>Asian Palm Swift</t>
  </si>
  <si>
    <t>Cypsiurus balasiensis</t>
  </si>
  <si>
    <t>Pacific Swift</t>
  </si>
  <si>
    <t>Apus pacificus</t>
  </si>
  <si>
    <t>EU : e</t>
  </si>
  <si>
    <t>House Swift</t>
  </si>
  <si>
    <t>Apus nipalensis</t>
  </si>
  <si>
    <t>OR : also s Japan</t>
  </si>
  <si>
    <t>Trogons</t>
  </si>
  <si>
    <t>Trogonidae</t>
  </si>
  <si>
    <t>Philippine Trogon</t>
  </si>
  <si>
    <t>Harpactes ardens</t>
  </si>
  <si>
    <t>Rollers</t>
  </si>
  <si>
    <t>Coraciidae</t>
  </si>
  <si>
    <t>Oriental Dollarbird</t>
  </si>
  <si>
    <t>Eurystomus orientalis</t>
  </si>
  <si>
    <t>EU, OR, AU : e Asia and Southeast Asia to e Australia</t>
  </si>
  <si>
    <t>Kingfishers</t>
  </si>
  <si>
    <t>Alcedinidae</t>
  </si>
  <si>
    <t>Spotted Wood Kingfisher</t>
  </si>
  <si>
    <t>Actenoides lindsayi</t>
  </si>
  <si>
    <t>Hombron's Kingfisher</t>
  </si>
  <si>
    <t>Actenoides hombroni</t>
  </si>
  <si>
    <t>Stork-billed Kingfisher</t>
  </si>
  <si>
    <t>Pelargopsis capensis</t>
  </si>
  <si>
    <t>Ruddy Kingfisher</t>
  </si>
  <si>
    <t>Halcyon coromanda</t>
  </si>
  <si>
    <t>White-throated Kingfisher</t>
  </si>
  <si>
    <t>Halcyon smyrnensis</t>
  </si>
  <si>
    <t>OR : widespread, also Middle East</t>
  </si>
  <si>
    <t>Black-capped Kingfisher</t>
  </si>
  <si>
    <t>Halcyon pileata</t>
  </si>
  <si>
    <t>OR : India through Myanmar and China to Korea</t>
  </si>
  <si>
    <t>Winchell's Kingfisher</t>
  </si>
  <si>
    <t>Todiramphus winchelli</t>
  </si>
  <si>
    <t>Collared Kingfisher</t>
  </si>
  <si>
    <t>Todiramphus chloris</t>
  </si>
  <si>
    <t>OR, AU : widespread from South Asia through Malaysia to Lesser Sundas, also ne AF and Arabian Peninsula</t>
  </si>
  <si>
    <t>Sacred Kingfisher</t>
  </si>
  <si>
    <t>Todiramphus sanctus</t>
  </si>
  <si>
    <t>OR, AU : Australia, New Zealand and islands in the region</t>
  </si>
  <si>
    <t>Blue-eared Kingfisher</t>
  </si>
  <si>
    <t>Alcedo meninting</t>
  </si>
  <si>
    <t>Common Kingfisher</t>
  </si>
  <si>
    <t>Alcedo atthis</t>
  </si>
  <si>
    <t>EU, OR : widespread, also n AF, New Guinea</t>
  </si>
  <si>
    <t>Oriental Dwarf Kingfisher</t>
  </si>
  <si>
    <t>Ceyx erithaca</t>
  </si>
  <si>
    <t>Philippine Dwarf Kingfisher</t>
  </si>
  <si>
    <t>Ceyx melanurus</t>
  </si>
  <si>
    <t>Dimorphic Dwarf Kingfisher</t>
  </si>
  <si>
    <t>Ceyx margarethae</t>
  </si>
  <si>
    <t>OR : c and s Philippines</t>
  </si>
  <si>
    <t>Indigo-banded Kingfisher</t>
  </si>
  <si>
    <t>Ceyx cyanopectus</t>
  </si>
  <si>
    <t>Southern Silvery Kingfisher</t>
  </si>
  <si>
    <t>Ceyx argentatus</t>
  </si>
  <si>
    <t>OR : s Philippines (Mindanao, Basilan, Dinagat and Siargao)</t>
  </si>
  <si>
    <t>Northern Silvery Kingfisher</t>
  </si>
  <si>
    <t>Ceyx flumenicola</t>
  </si>
  <si>
    <t>OR : Bohol, Leyte and Samar  (ec Philippines)</t>
  </si>
  <si>
    <t>Bee-eaters</t>
  </si>
  <si>
    <t>Meropidae</t>
  </si>
  <si>
    <t>Blue-tailed Bee-eater</t>
  </si>
  <si>
    <t>Merops philippinus</t>
  </si>
  <si>
    <t>OR, AU : India and Sri Lanka to s China, se Asia, Philippines, Sulawesi, Flores (Lesser Sundas), New Guinea and New Britain</t>
  </si>
  <si>
    <t>Blue-throated Bee-eater</t>
  </si>
  <si>
    <t>Merops viridis</t>
  </si>
  <si>
    <t>OR : s China to Java and Philippines</t>
  </si>
  <si>
    <t>Hoopoes</t>
  </si>
  <si>
    <t>Upupidae</t>
  </si>
  <si>
    <t>Eurasian Hoopoe</t>
  </si>
  <si>
    <t>Upupa epops</t>
  </si>
  <si>
    <t>Hornbills</t>
  </si>
  <si>
    <t>Bucerotidae</t>
  </si>
  <si>
    <t>Rufous Hornbill</t>
  </si>
  <si>
    <t>Buceros hydrocorax</t>
  </si>
  <si>
    <t>Palawan Hornbill</t>
  </si>
  <si>
    <t>Anthracoceros marchei</t>
  </si>
  <si>
    <t>Sulu Hornbill</t>
  </si>
  <si>
    <t>Anthracoceros montani</t>
  </si>
  <si>
    <t>OR : Sulu Archipelago</t>
  </si>
  <si>
    <t>Walden's Hornbill</t>
  </si>
  <si>
    <t>Rhabdotorrhinus waldeni</t>
  </si>
  <si>
    <t>Writhed Hornbill</t>
  </si>
  <si>
    <t>Rhabdotorrhinus leucocephalus</t>
  </si>
  <si>
    <t>Luzon Hornbill</t>
  </si>
  <si>
    <t>Penelopides manillae</t>
  </si>
  <si>
    <t>OR : n Philippines</t>
  </si>
  <si>
    <t>Mindoro Hornbill</t>
  </si>
  <si>
    <t>Penelopides mindorensis</t>
  </si>
  <si>
    <t>OR : Mindoro, Philippines</t>
  </si>
  <si>
    <t>Mindanao Hornbill</t>
  </si>
  <si>
    <t>Penelopides affinis</t>
  </si>
  <si>
    <t>Samar Hornbill</t>
  </si>
  <si>
    <t>Penelopides samarensis</t>
  </si>
  <si>
    <t>OR : c Philippines</t>
  </si>
  <si>
    <t>Visayan Hornbill</t>
  </si>
  <si>
    <t>Penelopides panini</t>
  </si>
  <si>
    <t>Asian Barbets</t>
  </si>
  <si>
    <t>Megalaimidae</t>
  </si>
  <si>
    <t>Coppersmith Barbet</t>
  </si>
  <si>
    <t>Psilopogon haemacephalus</t>
  </si>
  <si>
    <t>Woodpeckers</t>
  </si>
  <si>
    <t>Picidae</t>
  </si>
  <si>
    <t>Philippine Pygmy Woodpecker</t>
  </si>
  <si>
    <t>Yungipicus maculatus</t>
  </si>
  <si>
    <t>Sulu Pygmy Woodpecker</t>
  </si>
  <si>
    <t>Yungipicus ramsayi</t>
  </si>
  <si>
    <t>White-bellied Woodpecker</t>
  </si>
  <si>
    <t>Dryocopus javensis</t>
  </si>
  <si>
    <t>Spot-throated Flameback</t>
  </si>
  <si>
    <t>Dinopium everetti</t>
  </si>
  <si>
    <t>OR : w Philippines</t>
  </si>
  <si>
    <t>Buff-spotted Flameback</t>
  </si>
  <si>
    <t>Chrysocolaptes lucidus</t>
  </si>
  <si>
    <t>OR : ec, s Philippines</t>
  </si>
  <si>
    <t>Luzon Flameback</t>
  </si>
  <si>
    <t>Chrysocolaptes haematribon</t>
  </si>
  <si>
    <t>Yellow-faced Flameback</t>
  </si>
  <si>
    <t>Chrysocolaptes xanthocephalus</t>
  </si>
  <si>
    <t>OR : wc Philippines</t>
  </si>
  <si>
    <t>Red-headed Flameback</t>
  </si>
  <si>
    <t>Chrysocolaptes erythrocephalus</t>
  </si>
  <si>
    <t>OR : Palawan and other w Philippine Is.</t>
  </si>
  <si>
    <t>Sooty Woodpecker</t>
  </si>
  <si>
    <t>Mulleripicus funebris</t>
  </si>
  <si>
    <t>Great Slaty Woodpecker</t>
  </si>
  <si>
    <t>Mulleripicus pulverulentus</t>
  </si>
  <si>
    <t>Falconets and Falcons</t>
  </si>
  <si>
    <t>Falconidae</t>
  </si>
  <si>
    <t>Philippine Falconet</t>
  </si>
  <si>
    <t>Microhierax erythrogenys</t>
  </si>
  <si>
    <t>Common Kestrel</t>
  </si>
  <si>
    <t>Falco tinnunculus</t>
  </si>
  <si>
    <t>EU, AF : widespread</t>
  </si>
  <si>
    <t>Spotted Kestrel</t>
  </si>
  <si>
    <t>Falco moluccensis</t>
  </si>
  <si>
    <t>OR, AU : Moluccas, Sulawesi, Lesser Sundas, Java and Bali</t>
  </si>
  <si>
    <t>Amur Falcon</t>
  </si>
  <si>
    <t>Falco amurensis</t>
  </si>
  <si>
    <t>EU : e Siberia, Korea and ne China</t>
  </si>
  <si>
    <t>First record of one immature bird at Talogtog, San Juan, La Union, Luzon (November 2014) by Romy Ocon</t>
  </si>
  <si>
    <t>Merlin</t>
  </si>
  <si>
    <t>Falco columbarius</t>
  </si>
  <si>
    <t>Eurasian Hobby</t>
  </si>
  <si>
    <t>Falco subbuteo</t>
  </si>
  <si>
    <t>Oriental Hobby</t>
  </si>
  <si>
    <t>Falco severus</t>
  </si>
  <si>
    <t>OR, AU : nw India to Solomon Islands</t>
  </si>
  <si>
    <t>Peregrine Falcon</t>
  </si>
  <si>
    <t>Falco peregrinus</t>
  </si>
  <si>
    <t>Cockatoos</t>
  </si>
  <si>
    <t>Cacatuidae</t>
  </si>
  <si>
    <t>Red-vented Cockatoo</t>
  </si>
  <si>
    <t>Cacatua haematuropygia</t>
  </si>
  <si>
    <t>Old World Parrots</t>
  </si>
  <si>
    <t>Psittaculidae</t>
  </si>
  <si>
    <t>Mindanao Racket-tail</t>
  </si>
  <si>
    <t>Prioniturus waterstradti</t>
  </si>
  <si>
    <t>OR : Mindanao, Philippines</t>
  </si>
  <si>
    <t>Montane Racket-tail</t>
  </si>
  <si>
    <t>Prioniturus montanus</t>
  </si>
  <si>
    <t>Blue-headed Racket-tail</t>
  </si>
  <si>
    <t>Prioniturus platenae</t>
  </si>
  <si>
    <t>Mindoro Racket-tail</t>
  </si>
  <si>
    <t>Prioniturus mindorensis</t>
  </si>
  <si>
    <t>Blue-winged Racket-tail</t>
  </si>
  <si>
    <t>Prioniturus verticalis</t>
  </si>
  <si>
    <t>Green Racket-tail</t>
  </si>
  <si>
    <t>Prioniturus luconensis</t>
  </si>
  <si>
    <t>Blue-crowned Racket-tail</t>
  </si>
  <si>
    <t>Prioniturus discurus</t>
  </si>
  <si>
    <t>Great-billed Parrot</t>
  </si>
  <si>
    <t>Tanygnathus megalorynchos</t>
  </si>
  <si>
    <t>AU : Moluccas, Lesser Sundas,</t>
  </si>
  <si>
    <t>May have been introduced to the Philippines and now be extirpated, e.g. on Balut Island, Davao del Sur</t>
  </si>
  <si>
    <t>Blue-naped Parrot</t>
  </si>
  <si>
    <t>Tanygnathus lucionensis</t>
  </si>
  <si>
    <t>Blue-backed Parrot</t>
  </si>
  <si>
    <t>Tanygnathus sumatranus</t>
  </si>
  <si>
    <t>OR, AU : s Philippines, Sulawesi</t>
  </si>
  <si>
    <t>Rose-ringed Parakeet</t>
  </si>
  <si>
    <t>Psittacula krameri</t>
  </si>
  <si>
    <t>AF, OR : w, c, e AF, Pakistan to Myanmar</t>
  </si>
  <si>
    <t xml:space="preserve">Population established in Metro Manila since at least 1994: American War Cemetery, Taguig. Breeds also in Alabang Hills, Muntinlupa City and recorded from Cavite </t>
  </si>
  <si>
    <t>Mindanao Lorikeet</t>
  </si>
  <si>
    <t>Trichoglossus johnstoniae</t>
  </si>
  <si>
    <t>Guaiabero</t>
  </si>
  <si>
    <t>Bolbopsittacus lunulatus</t>
  </si>
  <si>
    <t>Philippine Hanging Parrot</t>
  </si>
  <si>
    <t>Loriculus philippensis</t>
  </si>
  <si>
    <t>Camiguin Hanging Parrot</t>
  </si>
  <si>
    <t>Loriculus camiguinensis</t>
  </si>
  <si>
    <t>OR : Camiguin Is. Philippines.</t>
  </si>
  <si>
    <t>Broadbills</t>
  </si>
  <si>
    <t>Eurylaimidae</t>
  </si>
  <si>
    <t>Wattled Broadbill</t>
  </si>
  <si>
    <t>Sarcophanops steerii</t>
  </si>
  <si>
    <t>Visayan Broadbill</t>
  </si>
  <si>
    <t>Sarcophanops samarensis</t>
  </si>
  <si>
    <t>Pittas</t>
  </si>
  <si>
    <t>Pittidae</t>
  </si>
  <si>
    <t>Whiskered Pitta</t>
  </si>
  <si>
    <t>Erythropitta kochi</t>
  </si>
  <si>
    <t>Philippine Pitta</t>
  </si>
  <si>
    <t>Erythropitta erythrogaster</t>
  </si>
  <si>
    <t>AU : Philippines, also Talaud Is.</t>
  </si>
  <si>
    <t>Hooded Pitta</t>
  </si>
  <si>
    <t>Pitta sordida</t>
  </si>
  <si>
    <t>OR, AU : Himalayas to New Guinea</t>
  </si>
  <si>
    <t>Azure-breasted Pitta</t>
  </si>
  <si>
    <t>Pitta steerii</t>
  </si>
  <si>
    <t>Fairy Pitta</t>
  </si>
  <si>
    <t>Pitta nympha</t>
  </si>
  <si>
    <t>OR, EU : Japan and Korea to se China</t>
  </si>
  <si>
    <t>First record of one immature bird in Pandanan, Malinsuno Island, Balabac, Palawan (September 2013) by a local fisherman and reported to Rene Antonio. See Jensen, A.E., Fisher, T. and Hutchinson, R. (2015) FORKTAIL 31: 24–36.</t>
  </si>
  <si>
    <t>Blue-winged Pitta</t>
  </si>
  <si>
    <t>Pitta moluccensis</t>
  </si>
  <si>
    <t>Australasian Warblers</t>
  </si>
  <si>
    <t>Acanthizidae</t>
  </si>
  <si>
    <t>Golden-bellied Gerygone</t>
  </si>
  <si>
    <t>Gerygone sulphurea</t>
  </si>
  <si>
    <t>OR, AU : Malay Peninsula, Sundas, Philippines, also Sulawesi</t>
  </si>
  <si>
    <t>Woodswallows</t>
  </si>
  <si>
    <t>Artamidae</t>
  </si>
  <si>
    <t>White-breasted Woodswallow</t>
  </si>
  <si>
    <t>Artamus leucorynchus</t>
  </si>
  <si>
    <t>AU : widespread, also Andaman Islands to Philippines</t>
  </si>
  <si>
    <t>Ioras</t>
  </si>
  <si>
    <t>Aegithinidae</t>
  </si>
  <si>
    <t>Common Iora</t>
  </si>
  <si>
    <t>Aegithina tiphia</t>
  </si>
  <si>
    <t>Cuckooshrikes</t>
  </si>
  <si>
    <t>Campephagidae</t>
  </si>
  <si>
    <t>Fiery Minivet</t>
  </si>
  <si>
    <t>Pericrocotus igneus</t>
  </si>
  <si>
    <t>OR : Myanmar to Borneo and Palawan</t>
  </si>
  <si>
    <t>Scarlet Minivet</t>
  </si>
  <si>
    <t>Pericrocotus speciosus</t>
  </si>
  <si>
    <t>OR : Himalayas to Indonesia, Philippines</t>
  </si>
  <si>
    <t>Ashy Minivet</t>
  </si>
  <si>
    <t>Pericrocotus divaricatus</t>
  </si>
  <si>
    <t>EU : se Siberia, ne China, Korea, Japan and islands to Taiwan</t>
  </si>
  <si>
    <t>Bar-bellied Cuckooshrike</t>
  </si>
  <si>
    <t>Coracina striata</t>
  </si>
  <si>
    <t>OR : se Asia to Philippines</t>
  </si>
  <si>
    <t>McGregor's Cuckooshrike</t>
  </si>
  <si>
    <t>Malindangia mcgregori</t>
  </si>
  <si>
    <t>White-winged Cuckooshrike</t>
  </si>
  <si>
    <t>Edolisoma ostentum</t>
  </si>
  <si>
    <t>Blackish Cuckooshrike</t>
  </si>
  <si>
    <t>Edolisoma coerulescens</t>
  </si>
  <si>
    <t>Black-bibbed Cicadabird</t>
  </si>
  <si>
    <t>Edolisoma mindanense</t>
  </si>
  <si>
    <t>Black-and-white Triller</t>
  </si>
  <si>
    <t>Lalage melanoleuca</t>
  </si>
  <si>
    <t>Pied Triller</t>
  </si>
  <si>
    <t>Lalage nigra</t>
  </si>
  <si>
    <t>OR : Malay Peninsula to Philippines</t>
  </si>
  <si>
    <t>Black-winged Cuckooshrike</t>
  </si>
  <si>
    <t>Lalage melaschistos</t>
  </si>
  <si>
    <t>OR : Himalayas through Southeast Asia</t>
  </si>
  <si>
    <t>First record of one male at Balanga, Bataan (December 2004) by Arne Jensen, Mark Villa, Mads Bajarias and Michael Lu. See Jensen, A.E., Fisher, T. and Hutchinson, R. (2015) FORKTAIL 31: 24–36.</t>
  </si>
  <si>
    <t>Whistlers</t>
  </si>
  <si>
    <t>Pachycephalidae</t>
  </si>
  <si>
    <t>Mangrove Whistler</t>
  </si>
  <si>
    <t>Pachycephala cinerea</t>
  </si>
  <si>
    <t>Green-backed Whistler</t>
  </si>
  <si>
    <t>Pachycephala albiventris</t>
  </si>
  <si>
    <t>White-vented Whistler</t>
  </si>
  <si>
    <t>Pachycephala homeyeri</t>
  </si>
  <si>
    <t>OR : Philippines, e Borneo</t>
  </si>
  <si>
    <t>Yellow-bellied Whistler</t>
  </si>
  <si>
    <t>Pachycephala philippinensis</t>
  </si>
  <si>
    <t>Shrikes</t>
  </si>
  <si>
    <t>Laniidae</t>
  </si>
  <si>
    <t>Tiger Shrike</t>
  </si>
  <si>
    <t>Lanius tigrinus</t>
  </si>
  <si>
    <t>EU : se Siberia, e and ne China, Korea and Japan</t>
  </si>
  <si>
    <t>Brown Shrike</t>
  </si>
  <si>
    <t>Lanius cristatus</t>
  </si>
  <si>
    <t>Long-tailed Shrike</t>
  </si>
  <si>
    <t>Lanius schach</t>
  </si>
  <si>
    <t>OR, AU : widespread, also Lesser Sundas and New Guinea</t>
  </si>
  <si>
    <t>Mountain Shrike</t>
  </si>
  <si>
    <t>Lanius validirostris</t>
  </si>
  <si>
    <t>Orioles</t>
  </si>
  <si>
    <t>Oriolidae</t>
  </si>
  <si>
    <t>Dark-throated Oriole</t>
  </si>
  <si>
    <t>Oriolus xanthonotus</t>
  </si>
  <si>
    <t>OR : Southeast Asia through Borneo and Philippines</t>
  </si>
  <si>
    <t>Philippine Oriole</t>
  </si>
  <si>
    <t>Oriolus steerii</t>
  </si>
  <si>
    <t>White-lored Oriole</t>
  </si>
  <si>
    <t>Oriolus albiloris</t>
  </si>
  <si>
    <t>Isabela Oriole</t>
  </si>
  <si>
    <t>Oriolus isabellae</t>
  </si>
  <si>
    <t>Black-naped Oriole</t>
  </si>
  <si>
    <t>Oriolus chinensis</t>
  </si>
  <si>
    <t>Drongos</t>
  </si>
  <si>
    <t>Dicruridae</t>
  </si>
  <si>
    <t>Black Drongo</t>
  </si>
  <si>
    <t>Dicrurus macrocercus</t>
  </si>
  <si>
    <t>Ashy Drongo</t>
  </si>
  <si>
    <t>Dicrurus leucophaeus</t>
  </si>
  <si>
    <t>Crow-billed Drongo</t>
  </si>
  <si>
    <t>Dicrurus annectens</t>
  </si>
  <si>
    <t>OR : e Himalayas to Southeast Asia</t>
  </si>
  <si>
    <t>Balicassiao</t>
  </si>
  <si>
    <t>Dicrurus balicassius</t>
  </si>
  <si>
    <t>Hair-crested Drongo</t>
  </si>
  <si>
    <t>Dicrurus hottentottus</t>
  </si>
  <si>
    <t>OR : widespread, also Sulawesi and Moluccas</t>
  </si>
  <si>
    <t>Tablas Drongo</t>
  </si>
  <si>
    <t>Dicrurus menagei</t>
  </si>
  <si>
    <t>OR : Tablas (c Philippines)</t>
  </si>
  <si>
    <t>Fantails</t>
  </si>
  <si>
    <t>Rhipiduridae</t>
  </si>
  <si>
    <t>Mindanao Blue Fantail</t>
  </si>
  <si>
    <t>Rhipidura superciliaris</t>
  </si>
  <si>
    <t>Visayan Blue Fantail</t>
  </si>
  <si>
    <t>Rhipidura samarensis</t>
  </si>
  <si>
    <t>OR : Bohol, Leyte and Samar (Philippines)</t>
  </si>
  <si>
    <t>Blue-headed Fantail</t>
  </si>
  <si>
    <t>Rhipidura cyaniceps</t>
  </si>
  <si>
    <t>Tablas Fantail</t>
  </si>
  <si>
    <t>Rhipidura sauli</t>
  </si>
  <si>
    <t>OR : Tablas I.  (c Philippines)</t>
  </si>
  <si>
    <t>Visayan Fantail</t>
  </si>
  <si>
    <t>Rhipidura albiventris</t>
  </si>
  <si>
    <t>OR : Ticao, Masbate, Panay, Guimaras and Negros  (c Philippines)</t>
  </si>
  <si>
    <t>Philippine Pied Fantail</t>
  </si>
  <si>
    <t>Rhipidura nigritorquis</t>
  </si>
  <si>
    <t>Black-and-cinnamon Fantail</t>
  </si>
  <si>
    <t>Rhipidura nigrocinnamomea</t>
  </si>
  <si>
    <t>Monarchs</t>
  </si>
  <si>
    <t>Monarchidae</t>
  </si>
  <si>
    <t>Black-naped Monarch</t>
  </si>
  <si>
    <t>Hypothymis azurea</t>
  </si>
  <si>
    <t>Short-crested Monarch</t>
  </si>
  <si>
    <t>Hypothymis helenae</t>
  </si>
  <si>
    <t>Celestial Monarch</t>
  </si>
  <si>
    <t>Hypothymis coelestis</t>
  </si>
  <si>
    <t>Amur Paradise Flycatcher</t>
  </si>
  <si>
    <t>Terpsiphone incei</t>
  </si>
  <si>
    <t>OR : c China to ne China, se Russia and North Korea</t>
  </si>
  <si>
    <t>Japanese Paradise Flycatcher</t>
  </si>
  <si>
    <t>Terpsiphone atrocaudata</t>
  </si>
  <si>
    <t>EU : e, also Philippines</t>
  </si>
  <si>
    <t>Blue Paradise Flycatcher</t>
  </si>
  <si>
    <t>Terpsiphone cyanescens</t>
  </si>
  <si>
    <t>Rufous Paradise Flycatcher</t>
  </si>
  <si>
    <t>Terpsiphone cinnamomea</t>
  </si>
  <si>
    <t>Crows</t>
  </si>
  <si>
    <t>Corvidae</t>
  </si>
  <si>
    <t>Slender-billed Crow</t>
  </si>
  <si>
    <t>Corvus enca</t>
  </si>
  <si>
    <t>OR : Malaysia to Borneo,  Philippines, also Sulawesi</t>
  </si>
  <si>
    <t>Large-billed Crow</t>
  </si>
  <si>
    <t>Corvus macrorhynchos</t>
  </si>
  <si>
    <t>EU, OR : e Eurasia also c, s Malay Peninsula, Sundas, Philippines</t>
  </si>
  <si>
    <t>Waxwings</t>
  </si>
  <si>
    <t>Bombycillidae</t>
  </si>
  <si>
    <t>Japanese Waxwing</t>
  </si>
  <si>
    <t>Bombycilla japonica</t>
  </si>
  <si>
    <t>First record of one individua, at Basco, Batanes (March 2013) by Val Borja. See Jensen, A.E., Fisher, T. and Hutchinson, R. (2015) FORKTAIL 31: 24–36.</t>
  </si>
  <si>
    <t>Fairy Flycatchers</t>
  </si>
  <si>
    <t>Stenostiridae</t>
  </si>
  <si>
    <t>Citrine Canary-flycatcher</t>
  </si>
  <si>
    <t>Culicicapa helianthea</t>
  </si>
  <si>
    <t>OR : Philippines, also Sulawesi</t>
  </si>
  <si>
    <t>Tits</t>
  </si>
  <si>
    <t>Paridae</t>
  </si>
  <si>
    <t>Elegant Tit</t>
  </si>
  <si>
    <t>Pardaliparus elegans</t>
  </si>
  <si>
    <t>Palawan Tit</t>
  </si>
  <si>
    <t>Pardaliparus amabilis</t>
  </si>
  <si>
    <t>White-fronted Tit</t>
  </si>
  <si>
    <t>Sittiparus semilarvatus</t>
  </si>
  <si>
    <t>Larks</t>
  </si>
  <si>
    <t>Alaudidae</t>
  </si>
  <si>
    <t>Horsfield's Bush Lark</t>
  </si>
  <si>
    <t>Mirafra javanica</t>
  </si>
  <si>
    <t>OR, AU : Southeast Asia through Australia</t>
  </si>
  <si>
    <t>Oriental Skylark</t>
  </si>
  <si>
    <t>Alauda gulgula</t>
  </si>
  <si>
    <t>OR : widespread, also c Asia</t>
  </si>
  <si>
    <t>Bulbuls</t>
  </si>
  <si>
    <t>Pycnonotidae</t>
  </si>
  <si>
    <t>Black-headed Bulbul</t>
  </si>
  <si>
    <t>Pycnonotus atriceps</t>
  </si>
  <si>
    <t>Yellow-wattled Bulbul</t>
  </si>
  <si>
    <t>Pycnonotus urostictus</t>
  </si>
  <si>
    <t>Yellow-vented Bulbul</t>
  </si>
  <si>
    <t>Pycnonotus goiavier</t>
  </si>
  <si>
    <t>OR : Southeast Asia, Philippines</t>
  </si>
  <si>
    <t>Olive-winged Bulbul</t>
  </si>
  <si>
    <t>Pycnonotus plumosus</t>
  </si>
  <si>
    <t>OR : s Myanmar and s Thailand, peninsular Malaysia, Greater Sundas</t>
  </si>
  <si>
    <t>Ashy-fronted Bulbul</t>
  </si>
  <si>
    <t>Pycnonotus cinereifrons</t>
  </si>
  <si>
    <t>OR : Palawan</t>
  </si>
  <si>
    <t>Palawan Bulbul</t>
  </si>
  <si>
    <t>Alophoixus frater</t>
  </si>
  <si>
    <t>Sulphur-bellied Bulbul</t>
  </si>
  <si>
    <t>Iole palawanensis</t>
  </si>
  <si>
    <t>Black Bulbul</t>
  </si>
  <si>
    <t>Hypsipetes leucocephalus</t>
  </si>
  <si>
    <t>Philippine Bulbul</t>
  </si>
  <si>
    <t>Hypsipetes philippinus</t>
  </si>
  <si>
    <t>Mindoro Bulbul</t>
  </si>
  <si>
    <t>Hypsipetes mindorensis</t>
  </si>
  <si>
    <t>OR : Mindoro</t>
  </si>
  <si>
    <t>Visayan Bulbul</t>
  </si>
  <si>
    <t>Hypsipetes guimarasensis</t>
  </si>
  <si>
    <t>OR : western Visayas (Philippines)</t>
  </si>
  <si>
    <t>Zamboanga Bulbul</t>
  </si>
  <si>
    <t>Hypsipetes rufigularis</t>
  </si>
  <si>
    <t>Streak-breasted Bulbul</t>
  </si>
  <si>
    <t>Hypsipetes siquijorensis</t>
  </si>
  <si>
    <t>Yellowish Bulbul</t>
  </si>
  <si>
    <t>Hypsipetes everetti</t>
  </si>
  <si>
    <t>Brown-eared Bulbul</t>
  </si>
  <si>
    <t>Hypsipetes amaurotis</t>
  </si>
  <si>
    <t>EU : Japan to n Philippines</t>
  </si>
  <si>
    <t>Swallows and Martins</t>
  </si>
  <si>
    <t>Hirundinidae</t>
  </si>
  <si>
    <t>Grey-throated Martin</t>
  </si>
  <si>
    <t>Riparia chinensis</t>
  </si>
  <si>
    <t>OR : c, e, se Asia</t>
  </si>
  <si>
    <t>Sand Martin</t>
  </si>
  <si>
    <t>Riparia riparia</t>
  </si>
  <si>
    <t>Barn Swallow</t>
  </si>
  <si>
    <t>Hirundo rustica</t>
  </si>
  <si>
    <t>Pacific Swallow</t>
  </si>
  <si>
    <t>Hirundo tahitica</t>
  </si>
  <si>
    <t>OR, AU : se Asia to New Guinea and Society Islands</t>
  </si>
  <si>
    <t>Asian House Martin</t>
  </si>
  <si>
    <t>Delichon dasypus</t>
  </si>
  <si>
    <t>EU : s, e</t>
  </si>
  <si>
    <t>Striated Swallow</t>
  </si>
  <si>
    <t>Cecropis striolata</t>
  </si>
  <si>
    <t>Cettia Bush Warblers and allies</t>
  </si>
  <si>
    <t>Cettiidae</t>
  </si>
  <si>
    <t>Mountain Tailorbird</t>
  </si>
  <si>
    <t>Phyllergates cucullatus</t>
  </si>
  <si>
    <t>Rufous-headed Tailorbird</t>
  </si>
  <si>
    <t>Phyllergates heterolaemus</t>
  </si>
  <si>
    <t>Philippine Bush Warbler</t>
  </si>
  <si>
    <t>Horornis seebohmi</t>
  </si>
  <si>
    <t>Japanese Bush Warbler</t>
  </si>
  <si>
    <t>Horornis diphone</t>
  </si>
  <si>
    <t>EU : Sakhalin Is. to Japan and Ryukyu islands and e, c China</t>
  </si>
  <si>
    <t>Manchurian Bush Warbler</t>
  </si>
  <si>
    <t>Horornis canturians</t>
  </si>
  <si>
    <t>EU : c, e China, se Siberia and Korea</t>
  </si>
  <si>
    <t>Sunda Bush Warbler</t>
  </si>
  <si>
    <t>Horornis vulcanius</t>
  </si>
  <si>
    <t>OR : Sumatra to Philippines, also Lesser Sundas</t>
  </si>
  <si>
    <t>Asian Stubtail</t>
  </si>
  <si>
    <t>Urosphena squameiceps</t>
  </si>
  <si>
    <t>EU : se Russia, ne China, North and South Korea and Japan</t>
  </si>
  <si>
    <t>Leaf Warblers and allies</t>
  </si>
  <si>
    <t>Phylloscopidae</t>
  </si>
  <si>
    <t>Yellow-browed Warbler</t>
  </si>
  <si>
    <t>Phylloscopus inornatus</t>
  </si>
  <si>
    <t>EU : c Russia and n Kazakhstan to e Russia, ne China and North Korea</t>
  </si>
  <si>
    <t>Radde's Warbler</t>
  </si>
  <si>
    <t>Phylloscopus schwarzi</t>
  </si>
  <si>
    <t>EU : e Kazakhstan and s Russia to se Russia and North Korea</t>
  </si>
  <si>
    <t>Dusky Warbler</t>
  </si>
  <si>
    <t>Phylloscopus fuscatus</t>
  </si>
  <si>
    <t>EU : ne Asia, nc China</t>
  </si>
  <si>
    <t>Willow Warbler</t>
  </si>
  <si>
    <t>Phylloscopus trochilus</t>
  </si>
  <si>
    <t>First record of one or possibly two individuals, probably of subspecies yakutensis, at Mt. Mariveles Watershed, Bataan (October 2006) by Jon Hornbuckle and Dan Brimmer. See Jensen, A.E., Fisher, T. and Hutchinson, R. (2015) FORKTAIL 31: 24–36.</t>
  </si>
  <si>
    <t>Ijima's Leaf Warbler</t>
  </si>
  <si>
    <t>Phylloscopus ijimae</t>
  </si>
  <si>
    <t>EU : Izu Islands</t>
  </si>
  <si>
    <t>Philippine Leaf Warbler</t>
  </si>
  <si>
    <t>Phylloscopus olivaceus</t>
  </si>
  <si>
    <t>Lemon-throated Leaf Warbler</t>
  </si>
  <si>
    <t>Phylloscopus cebuensis</t>
  </si>
  <si>
    <t>Japanese Leaf Warbler</t>
  </si>
  <si>
    <t>Phylloscopus xanthodryas</t>
  </si>
  <si>
    <t>EU : Japan (except Hokkaido)</t>
  </si>
  <si>
    <t>Kamchatka Leaf Warbler</t>
  </si>
  <si>
    <t>Phylloscopus examinandus</t>
  </si>
  <si>
    <t>EU : Kamchatka, Sakhalin, Hokkaido and the Kurile Islands</t>
  </si>
  <si>
    <t>Arctic Warbler</t>
  </si>
  <si>
    <t>Phylloscopus borealis</t>
  </si>
  <si>
    <t>EU : n, also w Alaska</t>
  </si>
  <si>
    <t>Yellow-breasted Warbler</t>
  </si>
  <si>
    <t>Phylloscopus montis</t>
  </si>
  <si>
    <t>OR : Malay Peninsula to Philippines, also Lesser Sundas</t>
  </si>
  <si>
    <t>Negros Leaf Warbler</t>
  </si>
  <si>
    <t>Phylloscopus nigrorum</t>
  </si>
  <si>
    <t>Reed Warblers and allies</t>
  </si>
  <si>
    <t>Acrocephalidae</t>
  </si>
  <si>
    <t>Oriental Reed Warbler</t>
  </si>
  <si>
    <t>Acrocephalus orientalis</t>
  </si>
  <si>
    <t>EU : c Mongolia and se Russia south to n and e China ,the  Korean Pen. and Japan</t>
  </si>
  <si>
    <t>Black-browed Reed Warbler</t>
  </si>
  <si>
    <t>Acrocephalus bistrigiceps</t>
  </si>
  <si>
    <t>EU : e Mongolia snd se Russia to e China and Japan</t>
  </si>
  <si>
    <t>Speckled Reed Warbler</t>
  </si>
  <si>
    <t>Acrocephalus sorghophilus</t>
  </si>
  <si>
    <t>EU : ne China</t>
  </si>
  <si>
    <t>Grassbirds and allies</t>
  </si>
  <si>
    <t>Locustellidae</t>
  </si>
  <si>
    <t>Cordillera Ground Warbler</t>
  </si>
  <si>
    <t>Robsonius rabori</t>
  </si>
  <si>
    <t>OR : nc Luzon (Cordillera Central), Philippines</t>
  </si>
  <si>
    <t>Sierra Madre Ground Warbler</t>
  </si>
  <si>
    <t>Robsonius thompsoni</t>
  </si>
  <si>
    <t>OR : n Luzon (Sierra Madre), Philippines</t>
  </si>
  <si>
    <t>Bicol Ground Warbler</t>
  </si>
  <si>
    <t>Robsonius sorsogonensis</t>
  </si>
  <si>
    <t>OR : s Luzon, Philippines</t>
  </si>
  <si>
    <t>Gray's Grasshopper Warbler</t>
  </si>
  <si>
    <t>Helopsaltes fasciolatus</t>
  </si>
  <si>
    <t>EU : s Russia and n Mongolia to se Russia, ne China, the Korean Pen. and n Japan</t>
  </si>
  <si>
    <t>Pallas's Grasshopper Warbler</t>
  </si>
  <si>
    <t>Helopsaltes certhiola</t>
  </si>
  <si>
    <t>Middendorff's Grasshopper Warbler</t>
  </si>
  <si>
    <t>Helopsaltes ochotensis</t>
  </si>
  <si>
    <t>EU : far eastern Russia and n Japan</t>
  </si>
  <si>
    <t>Lanceolated Warbler</t>
  </si>
  <si>
    <t>Locustella lanceolata</t>
  </si>
  <si>
    <t>EU : n, ne</t>
  </si>
  <si>
    <t>Long-tailed Bush Warbler</t>
  </si>
  <si>
    <t>Locustella caudata</t>
  </si>
  <si>
    <t>Benguet Bush Warbler</t>
  </si>
  <si>
    <t>Locustella seebohmi</t>
  </si>
  <si>
    <t>Tawny Grassbird</t>
  </si>
  <si>
    <t>Cincloramphus timoriensis</t>
  </si>
  <si>
    <t>Striated Grassbird</t>
  </si>
  <si>
    <t>Megalurus palustris</t>
  </si>
  <si>
    <t>Cisticolas and allies</t>
  </si>
  <si>
    <t>Cisticolidae</t>
  </si>
  <si>
    <t>Zitting Cisticola</t>
  </si>
  <si>
    <t>Cisticola juncidis</t>
  </si>
  <si>
    <t>EU, OR, AU, AF : widespread</t>
  </si>
  <si>
    <t>Golden-headed Cisticola</t>
  </si>
  <si>
    <t>Cisticola exilis</t>
  </si>
  <si>
    <t>Timaliidae</t>
  </si>
  <si>
    <t>Visayan Miniature Babbler</t>
  </si>
  <si>
    <t>Micromacronus leytensis</t>
  </si>
  <si>
    <t>OR : Leyte and Samar, Philippines</t>
  </si>
  <si>
    <t>Mindanao Miniature Babbler</t>
  </si>
  <si>
    <t>Micromacronus sordidus</t>
  </si>
  <si>
    <t>Philippine Tailorbird</t>
  </si>
  <si>
    <t>Orthotomus castaneiceps</t>
  </si>
  <si>
    <t>Trilling Tailorbird</t>
  </si>
  <si>
    <t>Orthotomus chloronotus</t>
  </si>
  <si>
    <t>OR : n and c Luzon</t>
  </si>
  <si>
    <t>Rufous-fronted Tailorbird</t>
  </si>
  <si>
    <t>Orthotomus frontalis</t>
  </si>
  <si>
    <t>Grey-backed Tailorbird</t>
  </si>
  <si>
    <t>Orthotomus derbianus</t>
  </si>
  <si>
    <t>Rufous-tailed Tailorbird</t>
  </si>
  <si>
    <t>Orthotomus sericeus</t>
  </si>
  <si>
    <t>Ashy Tailorbird</t>
  </si>
  <si>
    <t>Orthotomus ruficeps</t>
  </si>
  <si>
    <t>White-eared Tailorbird</t>
  </si>
  <si>
    <t>Orthotomus cinereiceps</t>
  </si>
  <si>
    <t>Black-headed Tailorbird</t>
  </si>
  <si>
    <t>Orthotomus nigriceps</t>
  </si>
  <si>
    <t>Yellow-breasted Tailorbird</t>
  </si>
  <si>
    <t>Orthotomus samarensis</t>
  </si>
  <si>
    <t>Babblers</t>
  </si>
  <si>
    <t>Pin-striped Tit-Babbler</t>
  </si>
  <si>
    <t>Macronus gularis</t>
  </si>
  <si>
    <t>OR : India, sw China, se Asia, Sumatra, Wallacea, sw Philippines.</t>
  </si>
  <si>
    <t>Bold-striped Tit-Babbler</t>
  </si>
  <si>
    <t>Macronus bornensis</t>
  </si>
  <si>
    <t>OR : Java, Borneo, Wallacea.</t>
  </si>
  <si>
    <t>Brown Tit-Babbler</t>
  </si>
  <si>
    <t>Macronus striaticeps</t>
  </si>
  <si>
    <t>Ground Babblers</t>
  </si>
  <si>
    <t>Pellorneidae</t>
  </si>
  <si>
    <t>Striated Wren-Babbler</t>
  </si>
  <si>
    <t>Ptilocichla mindanensis</t>
  </si>
  <si>
    <t>Falcated Wren-Babbler</t>
  </si>
  <si>
    <t>Ptilocichla falcata</t>
  </si>
  <si>
    <t>Ashy-headed Babbler</t>
  </si>
  <si>
    <t>Malacocincla cinereiceps</t>
  </si>
  <si>
    <t>Melodious Babbler</t>
  </si>
  <si>
    <t>Malacopteron palawanense</t>
  </si>
  <si>
    <t>White-eyes</t>
  </si>
  <si>
    <t>Zosteropidae</t>
  </si>
  <si>
    <t>Chestnut-faced Babbler</t>
  </si>
  <si>
    <t>Zosterornis whiteheadi</t>
  </si>
  <si>
    <t>Luzon Striped Babbler</t>
  </si>
  <si>
    <t>Zosterornis striatus</t>
  </si>
  <si>
    <t>Panay Striped Babbler</t>
  </si>
  <si>
    <t>Zosterornis latistriatus</t>
  </si>
  <si>
    <t>Negros Striped Babbler</t>
  </si>
  <si>
    <t>Zosterornis nigrorum</t>
  </si>
  <si>
    <t>Palawan Striped Babbler</t>
  </si>
  <si>
    <t>Zosterornis hypogrammicus</t>
  </si>
  <si>
    <t>Flame-templed Babbler</t>
  </si>
  <si>
    <t>Dasycrotapha speciosa</t>
  </si>
  <si>
    <t>Mindanao Pygmy Babbler</t>
  </si>
  <si>
    <t>Dasycrotapha plateni</t>
  </si>
  <si>
    <t>Visayan Pygmy Babbler</t>
  </si>
  <si>
    <t>Dasycrotapha pygmaea</t>
  </si>
  <si>
    <t>Golden-crowned Babbler</t>
  </si>
  <si>
    <t>Sterrhoptilus dennistouni</t>
  </si>
  <si>
    <t>Black-crowned Babbler</t>
  </si>
  <si>
    <t>Sterrhoptilus nigrocapitatus</t>
  </si>
  <si>
    <t>Rusty-crowned Babbler</t>
  </si>
  <si>
    <t>Sterrhoptilus capitalis</t>
  </si>
  <si>
    <t>Mindanao White-eye</t>
  </si>
  <si>
    <t>Lophozosterops goodfellowi</t>
  </si>
  <si>
    <t>Warbling White-eye</t>
  </si>
  <si>
    <t>Zosterops japonicus</t>
  </si>
  <si>
    <t>EU : Widespread e Asia, Japan to Greater Sundas, Lesser Sundas and Philippines</t>
  </si>
  <si>
    <t>Lowland White-eye</t>
  </si>
  <si>
    <t>Zosterops meyeni</t>
  </si>
  <si>
    <t>OR : Philippines, Taiwan</t>
  </si>
  <si>
    <t>Everett's White-eye</t>
  </si>
  <si>
    <t>Zosterops everetti</t>
  </si>
  <si>
    <t>OR : Thailand to Philippines</t>
  </si>
  <si>
    <t>Yellowish White-eye</t>
  </si>
  <si>
    <t>Zosterops nigrorum</t>
  </si>
  <si>
    <t>Fairy-bluebirds</t>
  </si>
  <si>
    <t>Irenidae</t>
  </si>
  <si>
    <t>Asian Fairy-bluebird</t>
  </si>
  <si>
    <t>Irena puella</t>
  </si>
  <si>
    <t>Philippine Fairy-bluebird</t>
  </si>
  <si>
    <t>Irena cyanogastra</t>
  </si>
  <si>
    <t>Nuthatches</t>
  </si>
  <si>
    <t>Sittidae</t>
  </si>
  <si>
    <t>Velvet-fronted Nuthatch</t>
  </si>
  <si>
    <t>Sitta frontalis</t>
  </si>
  <si>
    <t>Sulphur-billed Nuthatch</t>
  </si>
  <si>
    <t>Sitta oenochlamys</t>
  </si>
  <si>
    <t>Starlings and Rhabdornis</t>
  </si>
  <si>
    <t>Sturnidae</t>
  </si>
  <si>
    <t>Asian Glossy Starling</t>
  </si>
  <si>
    <t>Aplonis panayensis</t>
  </si>
  <si>
    <t>Short-tailed Starling</t>
  </si>
  <si>
    <t>Aplonis minor</t>
  </si>
  <si>
    <t>AU : Sulawesi, lesser Sundas, also s Philippines</t>
  </si>
  <si>
    <t>Apo Myna</t>
  </si>
  <si>
    <t>Basilornis mirandus</t>
  </si>
  <si>
    <t>Coleto</t>
  </si>
  <si>
    <t>Sarcops calvus</t>
  </si>
  <si>
    <t>Common Hill Myna</t>
  </si>
  <si>
    <t>Gracula religiosa</t>
  </si>
  <si>
    <t>Crested Myna</t>
  </si>
  <si>
    <t>Acridotheres cristatellus</t>
  </si>
  <si>
    <t>OR : s China to Southeast Asia</t>
  </si>
  <si>
    <t>Introduced around 1850</t>
  </si>
  <si>
    <t>Red-billed Starling</t>
  </si>
  <si>
    <t>Spodiopsar sericeus</t>
  </si>
  <si>
    <t>OR : s and se China</t>
  </si>
  <si>
    <t>White-cheeked Starling</t>
  </si>
  <si>
    <t>Spodiopsar cineraceus</t>
  </si>
  <si>
    <t>EU : se Russia and Japan to c China and Korean Pen.</t>
  </si>
  <si>
    <t>Daurian Starling</t>
  </si>
  <si>
    <t>Agropsar sturninus</t>
  </si>
  <si>
    <t>EU : e Mongolia and se Russia to North Korea and c China</t>
  </si>
  <si>
    <t>Chestnut-cheeked Starling</t>
  </si>
  <si>
    <t>Agropsar philippensis</t>
  </si>
  <si>
    <t>EU : n Japan</t>
  </si>
  <si>
    <t>White-shouldered Starling</t>
  </si>
  <si>
    <t>Sturnia sinensis</t>
  </si>
  <si>
    <t>OR : s China to Cambodia and Vietnam</t>
  </si>
  <si>
    <t>Rosy Starling</t>
  </si>
  <si>
    <t>Pastor roseus</t>
  </si>
  <si>
    <t>EU : se Europe to wc Asia</t>
  </si>
  <si>
    <t>Common Starling</t>
  </si>
  <si>
    <t>Sturnus vulgaris</t>
  </si>
  <si>
    <t>EU : w, c, introduced worldwide</t>
  </si>
  <si>
    <t>Stripe-headed Rhabdornis</t>
  </si>
  <si>
    <t>Rhabdornis mystacalis</t>
  </si>
  <si>
    <t>Stripe-breasted Rhabdornis</t>
  </si>
  <si>
    <t>Rhabdornis inornatus</t>
  </si>
  <si>
    <t>Grand Rhabdornis</t>
  </si>
  <si>
    <t>Rhabdornis grandis</t>
  </si>
  <si>
    <t>Thrushes</t>
  </si>
  <si>
    <t>Turdidae</t>
  </si>
  <si>
    <t>Chestnut-capped Thrush</t>
  </si>
  <si>
    <t>Geokichla interpres</t>
  </si>
  <si>
    <t>OR : s Thailand to s Philippines</t>
  </si>
  <si>
    <t>Ashy Thrush</t>
  </si>
  <si>
    <t>Geokichla cinerea</t>
  </si>
  <si>
    <t>Siberian Thrush</t>
  </si>
  <si>
    <t>Geokichla sibirica</t>
  </si>
  <si>
    <t>Sunda Thrush</t>
  </si>
  <si>
    <t>Zoothera andromedae</t>
  </si>
  <si>
    <t>OR : Sumatra, Java, Philippines, also Lesser Sundas</t>
  </si>
  <si>
    <t>White's Thrush</t>
  </si>
  <si>
    <t>Zoothera aurea</t>
  </si>
  <si>
    <t>Chinese Blackbird</t>
  </si>
  <si>
    <t>Turdus mandarinus</t>
  </si>
  <si>
    <t>OR: e,c China</t>
  </si>
  <si>
    <t>Island Thrush</t>
  </si>
  <si>
    <t>Turdus poliocephalus</t>
  </si>
  <si>
    <t>OR, AU, PO : Sumatra and Philippines to Fiji Islands</t>
  </si>
  <si>
    <t>Eyebrowed Thrush</t>
  </si>
  <si>
    <t>Turdus obscurus</t>
  </si>
  <si>
    <t>EU : c to se Russia</t>
  </si>
  <si>
    <t>Pale Thrush</t>
  </si>
  <si>
    <t>Turdus pallidus</t>
  </si>
  <si>
    <t>EU : se Russia, ne China and the Korea Pen.</t>
  </si>
  <si>
    <t>Brown-headed Thrush</t>
  </si>
  <si>
    <t>Turdus chrysolaus</t>
  </si>
  <si>
    <t>EU : Sakhalin I. (Russia), Kurile Is. and Japan</t>
  </si>
  <si>
    <t>Dusky Thrush</t>
  </si>
  <si>
    <t>Turdus eunomus</t>
  </si>
  <si>
    <t>EU : nc to ne Russia</t>
  </si>
  <si>
    <t>First record of two birds, of which one male, in Basco, Batan Island, Batanes (January 2013) by Rolly Urriza. See Jensen, A.E., Fisher, T. and Hutchinson, R. (2015) FORKTAIL 31: 24–36.</t>
  </si>
  <si>
    <t>Chats and Old World Flycatchers</t>
  </si>
  <si>
    <t>Muscicapidae</t>
  </si>
  <si>
    <t>Philippine Magpie-Robin</t>
  </si>
  <si>
    <t>Copsychus mindanensis</t>
  </si>
  <si>
    <t>White-browed Shama</t>
  </si>
  <si>
    <t>Copsychus luzoniensis</t>
  </si>
  <si>
    <t>White-vented Shama</t>
  </si>
  <si>
    <t>Copsychus niger</t>
  </si>
  <si>
    <t>Black Shama</t>
  </si>
  <si>
    <t>Copsychus cebuensis</t>
  </si>
  <si>
    <t>Grey-streaked Flycatcher</t>
  </si>
  <si>
    <t>Muscicapa griseisticta</t>
  </si>
  <si>
    <t>EU : se Russia and ne China</t>
  </si>
  <si>
    <t>Dark-sided Flycatcher</t>
  </si>
  <si>
    <t>Muscicapa sibirica</t>
  </si>
  <si>
    <t>EU, OR : c, e Asia to Southeast Asia</t>
  </si>
  <si>
    <t>Asian Brown Flycatcher</t>
  </si>
  <si>
    <t>Muscicapa dauurica</t>
  </si>
  <si>
    <t>EU, OR : c, e Asia to India &amp; Southeast Asia</t>
  </si>
  <si>
    <t>Ashy-breasted Flycatcher</t>
  </si>
  <si>
    <t>Muscicapa randi</t>
  </si>
  <si>
    <t>Ferruginous Flycatcher</t>
  </si>
  <si>
    <t>Muscicapa ferruginea</t>
  </si>
  <si>
    <t>OR : Himalayas to c China, Taiwan</t>
  </si>
  <si>
    <t>Blue-breasted Blue Flycatcher</t>
  </si>
  <si>
    <t>Cyornis herioti</t>
  </si>
  <si>
    <t>Palawan Blue Flycatcher</t>
  </si>
  <si>
    <t>Cyornis lemprieri</t>
  </si>
  <si>
    <t>Mangrove Blue Flycatcher</t>
  </si>
  <si>
    <t>Cyornis rufigastra</t>
  </si>
  <si>
    <t>Rufous-tailed Jungle Flycatcher</t>
  </si>
  <si>
    <t>Cyornis ruficauda</t>
  </si>
  <si>
    <t>OR : Borneo to Philippines</t>
  </si>
  <si>
    <t>Blue-and-white Flycatcher</t>
  </si>
  <si>
    <t>Cyanoptila cyanomelana</t>
  </si>
  <si>
    <t>Zappey's Flycatcher</t>
  </si>
  <si>
    <t>Cyanoptila cumatilis</t>
  </si>
  <si>
    <t>EU : c China</t>
  </si>
  <si>
    <t>Turquoise Flycatcher</t>
  </si>
  <si>
    <t>Eumyias panayensis</t>
  </si>
  <si>
    <t>AU : Sulawesi, Moluccas, also Philippines</t>
  </si>
  <si>
    <t>Bagobo Babbler</t>
  </si>
  <si>
    <t>Leonardina woodi</t>
  </si>
  <si>
    <t>White-browed Shortwing</t>
  </si>
  <si>
    <t>Brachypteryx montana</t>
  </si>
  <si>
    <t>OR : Philippines and Indonesia (Greater Sundas, Flores)</t>
  </si>
  <si>
    <t>White-throated Jungle Flycatcher</t>
  </si>
  <si>
    <t>Vauriella albigularis</t>
  </si>
  <si>
    <t>White-browed Jungle Flycatcher</t>
  </si>
  <si>
    <t>Vauriella insignis</t>
  </si>
  <si>
    <t>Slaty-backed Jungle Flycatcher</t>
  </si>
  <si>
    <t>Vauriella goodfellowi</t>
  </si>
  <si>
    <t>Siberian Blue Robin</t>
  </si>
  <si>
    <t>Larvivora cyane</t>
  </si>
  <si>
    <t>Bluethroat</t>
  </si>
  <si>
    <t>Luscinia svecica</t>
  </si>
  <si>
    <t>EU : widespread, also w Alaska</t>
  </si>
  <si>
    <t>First record of one male at Bislig Airport, Surigao del Sur (February 2003) by Mikael Bauer, Markus Lagerquist, Carlos Gutiérrez Expósito, Hans Meÿer and Dave van der Spool. See Jensen, A.E., Fisher, T. and Hutchinson, R. (2015) FORKTAIL 31: 24–36.</t>
  </si>
  <si>
    <t>Siberian Rubythroat</t>
  </si>
  <si>
    <t>Calliope calliope</t>
  </si>
  <si>
    <t>Red-flanked Bluetail</t>
  </si>
  <si>
    <t>Tarsiger cyanurus</t>
  </si>
  <si>
    <t>EU : n Eurasia from Finland to Japan</t>
  </si>
  <si>
    <t>First record of one female bird on Calayan Island, Cagayan (May 2004) by  Desmond Allen. See Allen, D., Espanola, C., Broad, G., Oliveros, C. and Gonzales, J.C.T. (2006).</t>
  </si>
  <si>
    <t>Yellow-rumped Flycatcher</t>
  </si>
  <si>
    <t>Ficedula zanthopygia</t>
  </si>
  <si>
    <t>EU : e Mongolia and se Russia to e China</t>
  </si>
  <si>
    <t>First record of one female described from Puerto Princesa, Palawan (October 1999) by Robert Ferguson and Roger Costin. See Jensen, A.E., Fisher, T. and Hutchinson, R. (2015) FORKTAIL 31: 24–36.</t>
  </si>
  <si>
    <t>Narcissus Flycatcher</t>
  </si>
  <si>
    <t>Ficedula narcissina</t>
  </si>
  <si>
    <t>Mugimaki Flycatcher</t>
  </si>
  <si>
    <t>Ficedula mugimaki</t>
  </si>
  <si>
    <t>EU : n Mongolia and se Russia through ne China to the Korean Peninsula</t>
  </si>
  <si>
    <t>Taiga Flycatcher</t>
  </si>
  <si>
    <t>Ficedula albicilla</t>
  </si>
  <si>
    <t>EU : w Russia to e Russia and south to n Mongolia and ne China</t>
  </si>
  <si>
    <t>Little Slaty Flycatcher</t>
  </si>
  <si>
    <t>Ficedula basilanica</t>
  </si>
  <si>
    <t>Palawan Flycatcher</t>
  </si>
  <si>
    <t>Ficedula platenae</t>
  </si>
  <si>
    <t>Cryptic Flycatcher</t>
  </si>
  <si>
    <t>Ficedula crypta</t>
  </si>
  <si>
    <t>Bundok Flycatcher</t>
  </si>
  <si>
    <t>Ficedula luzoniensis</t>
  </si>
  <si>
    <t>Furtive Flycatcher</t>
  </si>
  <si>
    <t>Ficedula disposita</t>
  </si>
  <si>
    <t>Little Pied Flycatcher</t>
  </si>
  <si>
    <t>Ficedula westermanni</t>
  </si>
  <si>
    <t>OR : widespread, also Sulawesi and Lesser Sundas</t>
  </si>
  <si>
    <t>Daurian Redstart</t>
  </si>
  <si>
    <t>Phoenicurus auroreus</t>
  </si>
  <si>
    <t>Luzon Water Redstart</t>
  </si>
  <si>
    <t>Phoenicurus bicolor</t>
  </si>
  <si>
    <t>Blue Rock Thrush</t>
  </si>
  <si>
    <t>Monticola solitarius</t>
  </si>
  <si>
    <t>EU, OR : widespread, also nw Africa</t>
  </si>
  <si>
    <t>Stejneger's Stonechat</t>
  </si>
  <si>
    <t>Saxicola stejnegeri</t>
  </si>
  <si>
    <t>EU : e Siberia and e Mongolia to Korea and Japan .</t>
  </si>
  <si>
    <t>First record of one bird in Quezon City, Metro Manila (November 2007) by Agerico de Villa and Ding Carpio. Four other records are either of Saxicola maurus or Saxicola stejnegeri but documentation does not allow for identification to species level. See Jensen, A.E., Fisher, T. and Hutchinson, R. (2015) FORKTAIL 31: 24–36.</t>
  </si>
  <si>
    <t>Pied Bush Chat</t>
  </si>
  <si>
    <t>Saxicola caprata</t>
  </si>
  <si>
    <t>EU, OR, AU : ne Iran through Southeast Asia to New Guinea</t>
  </si>
  <si>
    <t>Northern Wheatear</t>
  </si>
  <si>
    <t>Oenanthe oenanthe</t>
  </si>
  <si>
    <t>EU : widespread, also n NA, nw Africa</t>
  </si>
  <si>
    <t>Leafbirds</t>
  </si>
  <si>
    <t>Chloropseidae</t>
  </si>
  <si>
    <t>Philippine Leafbird</t>
  </si>
  <si>
    <t>Chloropsis flavipennis</t>
  </si>
  <si>
    <t>Yellow-throated Leafbird</t>
  </si>
  <si>
    <t>Chloropsis palawanensis</t>
  </si>
  <si>
    <t>Flowerpeckers</t>
  </si>
  <si>
    <t>Dicaeidae</t>
  </si>
  <si>
    <t>Olive-backed Flowerpecker</t>
  </si>
  <si>
    <t>Prionochilus olivaceus</t>
  </si>
  <si>
    <t>Palawan Flowerpecker</t>
  </si>
  <si>
    <t>Prionochilus plateni</t>
  </si>
  <si>
    <t>Striped Flowerpecker</t>
  </si>
  <si>
    <t>Dicaeum aeruginosum</t>
  </si>
  <si>
    <t>Whiskered Flowerpecker</t>
  </si>
  <si>
    <t>Dicaeum proprium</t>
  </si>
  <si>
    <t>Olive-capped Flowerpecker</t>
  </si>
  <si>
    <t>Dicaeum nigrilore</t>
  </si>
  <si>
    <t>Flame-crowned Flowerpecker</t>
  </si>
  <si>
    <t>Dicaeum anthonyi</t>
  </si>
  <si>
    <t>Bicolored Flowerpecker</t>
  </si>
  <si>
    <t>Dicaeum bicolor</t>
  </si>
  <si>
    <t>Red-keeled Flowerpecker</t>
  </si>
  <si>
    <t>Dicaeum australe</t>
  </si>
  <si>
    <t>Black-belted Flowerpecker</t>
  </si>
  <si>
    <t>Dicaeum haematostictum</t>
  </si>
  <si>
    <t>Scarlet-collared Flowerpecker</t>
  </si>
  <si>
    <t>Dicaeum retrocinctum</t>
  </si>
  <si>
    <t>Cebu Flowerpecker</t>
  </si>
  <si>
    <t>Dicaeum quadricolor</t>
  </si>
  <si>
    <t>Orange-bellied Flowerpecker</t>
  </si>
  <si>
    <t>Dicaeum trigonostigma</t>
  </si>
  <si>
    <t>OR : Bangladesh to Borneo and Philippines</t>
  </si>
  <si>
    <t>Buzzing Flowerpecker</t>
  </si>
  <si>
    <t>Dicaeum hypoleucum</t>
  </si>
  <si>
    <t>Pygmy Flowerpecker</t>
  </si>
  <si>
    <t>Dicaeum pygmaeum</t>
  </si>
  <si>
    <t>Fire-breasted Flowerpecker</t>
  </si>
  <si>
    <t>Dicaeum ignipectus</t>
  </si>
  <si>
    <t>OR : Himalayas to Sumatra and Philippines</t>
  </si>
  <si>
    <t>Sunbirds</t>
  </si>
  <si>
    <t>Nectariniidae</t>
  </si>
  <si>
    <t>Brown-throated Sunbird</t>
  </si>
  <si>
    <t>Anthreptes malacensis</t>
  </si>
  <si>
    <t>OR : Myanmar to Java, also Lesser Sundas and Sulawesi</t>
  </si>
  <si>
    <t>Grey-throated Sunbird</t>
  </si>
  <si>
    <t>Anthreptes griseigularis</t>
  </si>
  <si>
    <t>OR : n, se Philippines</t>
  </si>
  <si>
    <t>Purple-throated Sunbird</t>
  </si>
  <si>
    <t>Leptocoma sperata</t>
  </si>
  <si>
    <t>Copper-throated Sunbird</t>
  </si>
  <si>
    <t>Leptocoma calcostetha</t>
  </si>
  <si>
    <t>OR : Myanmar to Philippines and Java</t>
  </si>
  <si>
    <t>Olive-backed Sunbird</t>
  </si>
  <si>
    <t>Cinnyris jugularis</t>
  </si>
  <si>
    <t>OR, AU : s China to ne Australia</t>
  </si>
  <si>
    <t>Grey-hooded Sunbird</t>
  </si>
  <si>
    <t>Aethopyga primigenia</t>
  </si>
  <si>
    <t>Apo Sunbird</t>
  </si>
  <si>
    <t>Aethopyga boltoni</t>
  </si>
  <si>
    <t>Lina's Sunbird</t>
  </si>
  <si>
    <t>Aethopyga linaraborae</t>
  </si>
  <si>
    <t>Flaming Sunbird</t>
  </si>
  <si>
    <t>Aethopyga flagrans</t>
  </si>
  <si>
    <t>OR : Luzon, Catanduanes  (n Philippines)</t>
  </si>
  <si>
    <t>Maroon-naped Sunbird</t>
  </si>
  <si>
    <t>Aethopyga guimarasensis</t>
  </si>
  <si>
    <t>OR : Panay and Guimaras  (wc Philippines), Negros (sc Philippines)</t>
  </si>
  <si>
    <t>Metallic-winged Sunbird</t>
  </si>
  <si>
    <t>Aethopyga pulcherrima</t>
  </si>
  <si>
    <t>Luzon Sunbird</t>
  </si>
  <si>
    <t>Aethopyga jefferyi</t>
  </si>
  <si>
    <t>Bohol Sunbird</t>
  </si>
  <si>
    <t>Aethopyga decorosa</t>
  </si>
  <si>
    <t>OR : Bohol  (sc Philippines)</t>
  </si>
  <si>
    <t>Lovely Sunbird</t>
  </si>
  <si>
    <t>Aethopyga shelleyi</t>
  </si>
  <si>
    <t>Handsome Sunbird</t>
  </si>
  <si>
    <t>Aethopyga bella</t>
  </si>
  <si>
    <t>Magnificent Sunbird</t>
  </si>
  <si>
    <t>Aethopyga magnifica</t>
  </si>
  <si>
    <t>Orange-tufted Spiderhunter</t>
  </si>
  <si>
    <t>Arachnothera flammifera</t>
  </si>
  <si>
    <t>Pale Spiderhunter</t>
  </si>
  <si>
    <t>Arachnothera dilutior</t>
  </si>
  <si>
    <t>OR : Philippines - Palawan</t>
  </si>
  <si>
    <t>Naked-faced Spiderhunter</t>
  </si>
  <si>
    <t>Arachnothera clarae</t>
  </si>
  <si>
    <t>Old World Sparrows</t>
  </si>
  <si>
    <t>Passeridae</t>
  </si>
  <si>
    <t>Cinnamon Ibon</t>
  </si>
  <si>
    <t>Hypocryptadius cinnamomeus</t>
  </si>
  <si>
    <t>Eurasian Tree Sparrow</t>
  </si>
  <si>
    <t>Passer montanus</t>
  </si>
  <si>
    <t>Waxbills, Munias and allies</t>
  </si>
  <si>
    <t>Estrildidae</t>
  </si>
  <si>
    <t>Tawny-breasted Parrotfinch</t>
  </si>
  <si>
    <t>Erythrura hyperythra</t>
  </si>
  <si>
    <t>OR, AU : Philippines and Malaysia to Java and Lesser Sundas</t>
  </si>
  <si>
    <t>Pin-tailed Parrotfinch</t>
  </si>
  <si>
    <t>Erythrura prasina</t>
  </si>
  <si>
    <t>OR : Thailand to Java and Borneo</t>
  </si>
  <si>
    <t>Green-faced Parrotfinch</t>
  </si>
  <si>
    <t>Erythrura viridifacies</t>
  </si>
  <si>
    <t>Red-eared Parrotfinch</t>
  </si>
  <si>
    <t>Erythrura coloria</t>
  </si>
  <si>
    <t>Dusky Munia</t>
  </si>
  <si>
    <t>Lonchura fuscans</t>
  </si>
  <si>
    <t>OR : Borneo, Philippines</t>
  </si>
  <si>
    <t>Scaly-breasted Munia</t>
  </si>
  <si>
    <t>Lonchura punctulata</t>
  </si>
  <si>
    <t>White-bellied Munia</t>
  </si>
  <si>
    <t>Lonchura leucogastra</t>
  </si>
  <si>
    <t>Chestnut Munia</t>
  </si>
  <si>
    <t>Lonchura atricapilla</t>
  </si>
  <si>
    <t>OR : India to Indonesia, Philippines</t>
  </si>
  <si>
    <t>Java Sparrow</t>
  </si>
  <si>
    <t>Lonchura oryzivora</t>
  </si>
  <si>
    <t>OR : Java</t>
  </si>
  <si>
    <t>Wagtails and Pipits</t>
  </si>
  <si>
    <t>Motacillidae</t>
  </si>
  <si>
    <t>Forest Wagtail</t>
  </si>
  <si>
    <t>Dendronanthus indicus</t>
  </si>
  <si>
    <t>EU : se Russia and ne China to se China</t>
  </si>
  <si>
    <t>Eastern Yellow Wagtail</t>
  </si>
  <si>
    <t>Motacilla tschutschensis</t>
  </si>
  <si>
    <t>EU, NA : e Russia, ne China, Alaska</t>
  </si>
  <si>
    <t>Citrine Wagtail</t>
  </si>
  <si>
    <t>Motacilla citreola</t>
  </si>
  <si>
    <t>First record of one male in Candaba Marsh, Pampanga (April 2012) by Mark Wallbank. See Jensen, A.E., Fisher, T. and Hutchinson, R. (2015) FORKTAIL 31: 24–36.</t>
  </si>
  <si>
    <t>Grey Wagtail</t>
  </si>
  <si>
    <t>Motacilla cinerea</t>
  </si>
  <si>
    <t>White Wagtail</t>
  </si>
  <si>
    <t>Motacilla alba</t>
  </si>
  <si>
    <t>Subspecies baicalensis,ocularis,lugens and leucopsis occur in the Philippines</t>
  </si>
  <si>
    <t>Richard's Pipit</t>
  </si>
  <si>
    <t>Anthus richardi</t>
  </si>
  <si>
    <t>EU : se Russia to Kyrgyzstan and c and se China</t>
  </si>
  <si>
    <t>First record of one bird at Basco airfield, Batan Island, Batanes (October 2013) by Robert Hutchinson and Irene Dy. See Jensen, A.E., Fisher, T. and Hutchinson, R. (2015) FORKTAIL 31: 24–36.</t>
  </si>
  <si>
    <t>Paddyfield Pipit</t>
  </si>
  <si>
    <t>Anthus rufulus</t>
  </si>
  <si>
    <t>OR : widespread, also Lesser Sundas and Sulawesi</t>
  </si>
  <si>
    <t>Olive-backed Pipit</t>
  </si>
  <si>
    <t>Anthus hodgsoni</t>
  </si>
  <si>
    <t>Pechora Pipit</t>
  </si>
  <si>
    <t>Anthus gustavi</t>
  </si>
  <si>
    <t>EU : nc, ne</t>
  </si>
  <si>
    <t>Red-throated Pipit</t>
  </si>
  <si>
    <t>Anthus cervinus</t>
  </si>
  <si>
    <t>EU, NA : n Europe to nw Alaska</t>
  </si>
  <si>
    <t>Finches</t>
  </si>
  <si>
    <t>Fringillidae</t>
  </si>
  <si>
    <t>Brambling</t>
  </si>
  <si>
    <t>Fringilla montifringilla</t>
  </si>
  <si>
    <t>EU : widespread, also n Africa</t>
  </si>
  <si>
    <t>Chinese Grosbeak</t>
  </si>
  <si>
    <t>Eophona migratoria</t>
  </si>
  <si>
    <t>First record of one bird on Sabtang Island, Batanes (October 1991) by Timothy Fisher and Robert Timmins. See Jensen, A.E., Fisher, T. and Hutchinson, R. (2015) FORKTAIL 31: 24–36.</t>
  </si>
  <si>
    <t>White-cheeked Bullfinch</t>
  </si>
  <si>
    <t>Pyrrhula leucogenis</t>
  </si>
  <si>
    <t>Common Rosefinch</t>
  </si>
  <si>
    <t>Carpodacus erythrinus</t>
  </si>
  <si>
    <t>Red Crossbill</t>
  </si>
  <si>
    <t>Loxia curvirostra</t>
  </si>
  <si>
    <t>EU, OR, NA, MA : widespread</t>
  </si>
  <si>
    <t>Mountain Serin</t>
  </si>
  <si>
    <t>Chrysocorythus estherae</t>
  </si>
  <si>
    <t>OR : Sumatra, Java, Philippines, also Sulawesi</t>
  </si>
  <si>
    <t>Eurasian Siskin</t>
  </si>
  <si>
    <t>Spinus spinus</t>
  </si>
  <si>
    <t>EU : w and n Europe to e Russia and ne China</t>
  </si>
  <si>
    <t>Buntings</t>
  </si>
  <si>
    <t>Emberizidae</t>
  </si>
  <si>
    <t>Little Bunting</t>
  </si>
  <si>
    <t>Emberiza pusilla</t>
  </si>
  <si>
    <t>EU : n Finland to e Russia</t>
  </si>
  <si>
    <t>Yellow-breasted Bunting</t>
  </si>
  <si>
    <t>Emberiza aureola</t>
  </si>
  <si>
    <t>EU : n, e</t>
  </si>
  <si>
    <t>Black-headed Bunting</t>
  </si>
  <si>
    <t>Emberiza melanocephala</t>
  </si>
  <si>
    <t>EU : sc Europe to Iran and sw Pakistan</t>
  </si>
  <si>
    <t>Yellow Bunting</t>
  </si>
  <si>
    <t>Emberiza sulphurata</t>
  </si>
  <si>
    <t>EU : Japan, Korea</t>
  </si>
  <si>
    <t>Endemicity</t>
  </si>
  <si>
    <t>Philippines</t>
  </si>
  <si>
    <t>Palawan</t>
  </si>
  <si>
    <t>Luzon</t>
  </si>
  <si>
    <t>Calayan Isl.</t>
  </si>
  <si>
    <t>Luzon (Greater)</t>
  </si>
  <si>
    <t>Mindanao (Greater)</t>
  </si>
  <si>
    <t>Mindoro</t>
  </si>
  <si>
    <t>West Visayas</t>
  </si>
  <si>
    <t>Tawi-Tawi</t>
  </si>
  <si>
    <t>Negros</t>
  </si>
  <si>
    <t>Mindanao</t>
  </si>
  <si>
    <t>Romblon (Greater)</t>
  </si>
  <si>
    <t>Cebu</t>
  </si>
  <si>
    <t>Camiguin Sur</t>
  </si>
  <si>
    <t>Sulu (Greater)</t>
  </si>
  <si>
    <t>Palawan (Greater)</t>
  </si>
  <si>
    <t>Tablas</t>
  </si>
  <si>
    <t>Mindoro (Greater)</t>
  </si>
  <si>
    <t>Clamorous Reed Warbler</t>
  </si>
  <si>
    <t>Acrocephalus stentoreus</t>
  </si>
  <si>
    <t>Panay</t>
  </si>
  <si>
    <t>Bohol</t>
  </si>
  <si>
    <t>Images</t>
  </si>
  <si>
    <t>Sounds</t>
  </si>
  <si>
    <t>HBW</t>
  </si>
  <si>
    <t>IUCN</t>
  </si>
  <si>
    <t>DENR</t>
  </si>
  <si>
    <t>PH Status</t>
  </si>
  <si>
    <t>Range</t>
  </si>
  <si>
    <t>Resident</t>
  </si>
  <si>
    <t>Birds with resident populations in the Philippines</t>
  </si>
  <si>
    <t>Residents that do not migrate</t>
  </si>
  <si>
    <t>Endemic</t>
  </si>
  <si>
    <t>Residents that are endemic</t>
  </si>
  <si>
    <t>Near Endemic</t>
  </si>
  <si>
    <t>Residents that are near-endemic</t>
  </si>
  <si>
    <t>Introduced</t>
  </si>
  <si>
    <t>Residents that were introduced to the Philippines</t>
  </si>
  <si>
    <t>Residents that perhaps also migrate</t>
  </si>
  <si>
    <t>Migrant</t>
  </si>
  <si>
    <t>Migratory birds recorded in the Philippines</t>
  </si>
  <si>
    <t>Migrants that do not stay year-round</t>
  </si>
  <si>
    <t>Accidental</t>
  </si>
  <si>
    <t>Migrants that have been recorded less then 20 times</t>
  </si>
  <si>
    <t>Migrants that perhaps also have resident populations</t>
  </si>
  <si>
    <t>Residents and Migrants</t>
  </si>
  <si>
    <t>Birds with resident as well as migrant populations</t>
  </si>
  <si>
    <t>Extirpated</t>
  </si>
  <si>
    <t>Birds that have been extirpated</t>
  </si>
  <si>
    <t>Status unknown</t>
  </si>
  <si>
    <t>Birds of which the status is unknown</t>
  </si>
  <si>
    <t>Total</t>
  </si>
  <si>
    <t>Conservation Status</t>
  </si>
  <si>
    <t>Subtotal</t>
  </si>
  <si>
    <t>Not Evaluated</t>
  </si>
  <si>
    <t>Data Deficient</t>
  </si>
  <si>
    <t>LC/OWS</t>
  </si>
  <si>
    <t>Least Concern / Other Wildlife Species</t>
  </si>
  <si>
    <t>NT/OTS</t>
  </si>
  <si>
    <t>Near Threatened/Other Threatened Species</t>
  </si>
  <si>
    <t>Vulnerable</t>
  </si>
  <si>
    <t>Endangered</t>
  </si>
  <si>
    <t>Critically Endangered</t>
  </si>
  <si>
    <t>EBird</t>
  </si>
  <si>
    <t>Key:</t>
  </si>
  <si>
    <r>
      <rPr>
        <sz val="8"/>
        <color indexed="12"/>
        <rFont val="Arial"/>
        <family val="2"/>
      </rPr>
      <t>Blue</t>
    </r>
    <r>
      <rPr>
        <sz val="8"/>
        <rFont val="Arial"/>
        <family val="2"/>
      </rPr>
      <t xml:space="preserve">            New country records or newly discovered species not in Kennedy</t>
    </r>
    <r>
      <rPr>
        <i/>
        <sz val="8"/>
        <rFont val="Arial"/>
        <family val="2"/>
      </rPr>
      <t xml:space="preserve"> et al </t>
    </r>
    <r>
      <rPr>
        <sz val="8"/>
        <rFont val="Arial"/>
        <family val="2"/>
      </rPr>
      <t>2000 (see tab 'Data' for alternative names)</t>
    </r>
  </si>
  <si>
    <r>
      <rPr>
        <sz val="8"/>
        <color rgb="FFFF0000"/>
        <rFont val="Arial"/>
        <family val="2"/>
      </rPr>
      <t xml:space="preserve">Red             </t>
    </r>
    <r>
      <rPr>
        <sz val="8"/>
        <rFont val="Arial"/>
        <family val="2"/>
      </rPr>
      <t xml:space="preserve">Introduced species. </t>
    </r>
  </si>
  <si>
    <r>
      <rPr>
        <b/>
        <sz val="8"/>
        <rFont val="Arial"/>
        <family val="2"/>
      </rPr>
      <t>Bold</t>
    </r>
    <r>
      <rPr>
        <sz val="8"/>
        <rFont val="Arial"/>
        <family val="2"/>
      </rPr>
      <t xml:space="preserve">           Endemic. </t>
    </r>
  </si>
  <si>
    <r>
      <rPr>
        <u/>
        <sz val="8"/>
        <rFont val="Arial"/>
        <family val="2"/>
      </rPr>
      <t>Underlined</t>
    </r>
    <r>
      <rPr>
        <sz val="8"/>
        <rFont val="Arial"/>
        <family val="2"/>
      </rPr>
      <t xml:space="preserve">  Species whose records require review by the WBCP Rarities Committee</t>
    </r>
  </si>
  <si>
    <t>Abbreviations:</t>
  </si>
  <si>
    <t xml:space="preserve">DENR           Department of Environment and Natural Resources    </t>
  </si>
  <si>
    <t xml:space="preserve">IUCN            International Union for Conservation of Nature   </t>
  </si>
  <si>
    <t>IOC              International Ornithologists’ Union (formerly International Ornithological Committee)</t>
  </si>
  <si>
    <r>
      <t xml:space="preserve">KEN             Kennedy </t>
    </r>
    <r>
      <rPr>
        <i/>
        <sz val="8"/>
        <rFont val="Arial"/>
        <family val="2"/>
      </rPr>
      <t>et al.</t>
    </r>
    <r>
      <rPr>
        <sz val="8"/>
        <rFont val="Arial"/>
        <family val="2"/>
      </rPr>
      <t xml:space="preserve"> (2000)    </t>
    </r>
  </si>
  <si>
    <t xml:space="preserve">WBCP         Wild Bird Club of the Philippines                                                     </t>
  </si>
  <si>
    <t>Range:</t>
  </si>
  <si>
    <t>A                Accidental</t>
  </si>
  <si>
    <t>NE              Near Endemic</t>
  </si>
  <si>
    <t>E                Endemic</t>
  </si>
  <si>
    <t>You may download the WBCP checklist for personal or scientific</t>
  </si>
  <si>
    <t>EX              Extirpated</t>
  </si>
  <si>
    <t>reference use only. The Wild Bird Club of the Philippines retains the</t>
  </si>
  <si>
    <t>M                Migrant</t>
  </si>
  <si>
    <t>R                Resident</t>
  </si>
  <si>
    <t>copyright for the list and it should not be used for commercial</t>
  </si>
  <si>
    <t>I                 Introduced</t>
  </si>
  <si>
    <t>purposes without prior written permission from WBCP.</t>
  </si>
  <si>
    <t>SU             Status Unknown</t>
  </si>
  <si>
    <t>If any of this material is used or included in any other publication</t>
  </si>
  <si>
    <t>Conservation status:</t>
  </si>
  <si>
    <t>or private report, please acknowledge the WBCP using the following</t>
  </si>
  <si>
    <t>CR              Critically Endangered</t>
  </si>
  <si>
    <t>citation:</t>
  </si>
  <si>
    <t>EN               Endangered</t>
  </si>
  <si>
    <t>VU              Vulnerable</t>
  </si>
  <si>
    <t>NT               Near Threatened</t>
  </si>
  <si>
    <t>DD               Data Deficient</t>
  </si>
  <si>
    <t>OWS           Other Wildlife Species</t>
  </si>
  <si>
    <t>OTS            Other Threatened Species</t>
  </si>
  <si>
    <t>NE               Not evaluated</t>
  </si>
  <si>
    <t>Literature:</t>
  </si>
  <si>
    <r>
      <t>Allen, D., Espanola, C., Broad, G., Oliveros, C. and Gonzales, J.C.T. (2006). New bird records for the Babuyan islands, Philippines, including two first records for the Philippines.</t>
    </r>
    <r>
      <rPr>
        <i/>
        <sz val="8"/>
        <rFont val="Arial"/>
        <family val="2"/>
      </rPr>
      <t xml:space="preserve"> Forktail</t>
    </r>
    <r>
      <rPr>
        <sz val="8"/>
        <rFont val="Arial"/>
        <family val="2"/>
      </rPr>
      <t xml:space="preserve"> 22: 57-70</t>
    </r>
  </si>
  <si>
    <r>
      <t xml:space="preserve">Allen, D., Oliveros, C., Espanola, C.,Broad, G. and Gonzales, J.C.T. (2004). A new species of </t>
    </r>
    <r>
      <rPr>
        <i/>
        <sz val="8"/>
        <rFont val="Arial"/>
        <family val="2"/>
      </rPr>
      <t>Gallirallus</t>
    </r>
    <r>
      <rPr>
        <sz val="8"/>
        <rFont val="Arial"/>
        <family val="2"/>
      </rPr>
      <t xml:space="preserve"> from Calayan island, Philippines. </t>
    </r>
    <r>
      <rPr>
        <i/>
        <sz val="8"/>
        <rFont val="Arial"/>
        <family val="2"/>
      </rPr>
      <t>Forktail</t>
    </r>
    <r>
      <rPr>
        <sz val="8"/>
        <rFont val="Arial"/>
        <family val="2"/>
      </rPr>
      <t>20: 1-7</t>
    </r>
  </si>
  <si>
    <r>
      <t xml:space="preserve">Collar, N. (1999). </t>
    </r>
    <r>
      <rPr>
        <i/>
        <sz val="8"/>
        <rFont val="Arial"/>
        <family val="2"/>
      </rPr>
      <t>Threatened birds of the Philippines: the Haribon Foundation/BirdLife InternatIonal Red Data Book.</t>
    </r>
    <r>
      <rPr>
        <sz val="8"/>
        <rFont val="Arial"/>
        <family val="2"/>
      </rPr>
      <t xml:space="preserve"> Bookmark.</t>
    </r>
  </si>
  <si>
    <r>
      <t xml:space="preserve">Curio, E., Hornbuckle, J., de Soye, Y., Aston, P. and  Lastimoza, L.L. (2001).  New bird records for the island of Panay, Philippines, including the first record of the Asian Stubtail </t>
    </r>
    <r>
      <rPr>
        <i/>
        <sz val="8"/>
        <rFont val="Arial"/>
        <family val="2"/>
      </rPr>
      <t xml:space="preserve">Urosphena sqameiceps </t>
    </r>
    <r>
      <rPr>
        <sz val="8"/>
        <rFont val="Arial"/>
        <family val="2"/>
      </rPr>
      <t xml:space="preserve">for the Philippines. </t>
    </r>
    <r>
      <rPr>
        <i/>
        <sz val="8"/>
        <rFont val="Arial"/>
        <family val="2"/>
      </rPr>
      <t>Bull. B.O.C.</t>
    </r>
    <r>
      <rPr>
        <sz val="8"/>
        <rFont val="Arial"/>
        <family val="2"/>
      </rPr>
      <t xml:space="preserve"> 2001: 121-123.</t>
    </r>
  </si>
  <si>
    <r>
      <t xml:space="preserve">Custodio, C. (2009) Dalmatian Pelican </t>
    </r>
    <r>
      <rPr>
        <i/>
        <sz val="8"/>
        <rFont val="Arial"/>
        <family val="2"/>
      </rPr>
      <t>Pelecanus crispus</t>
    </r>
    <r>
      <rPr>
        <sz val="8"/>
        <rFont val="Arial"/>
        <family val="2"/>
      </rPr>
      <t xml:space="preserve"> found on Leyte island, the Philippines. </t>
    </r>
    <r>
      <rPr>
        <i/>
        <sz val="8"/>
        <rFont val="Arial"/>
        <family val="2"/>
      </rPr>
      <t>BirdingASIA</t>
    </r>
    <r>
      <rPr>
        <sz val="8"/>
        <rFont val="Arial"/>
        <family val="2"/>
      </rPr>
      <t xml:space="preserve"> 11: 125.  </t>
    </r>
  </si>
  <si>
    <t>DENR (2004). DENR Administrative Order No. 2004 -15. Establishing the list of terrestrial threatened species and their categories, and the list of other</t>
  </si>
  <si>
    <t xml:space="preserve">                       wildlife species pursuant to Republic Act No. 9147, otherwise known as the Wildlife Resources Conservation and Protection Act of 2001.</t>
  </si>
  <si>
    <r>
      <t xml:space="preserve">Dickinson, E. C., Kennedy, R. S. and Parkes, K.C. (1991).  </t>
    </r>
    <r>
      <rPr>
        <i/>
        <sz val="8"/>
        <rFont val="Arial"/>
        <family val="2"/>
      </rPr>
      <t>The Birds of the Philippines. An annotated check-list.</t>
    </r>
    <r>
      <rPr>
        <sz val="8"/>
        <rFont val="Arial"/>
        <family val="2"/>
      </rPr>
      <t xml:space="preserve"> B.O.U. Check-list No. 12. British Ornithologists' Union, 1991.</t>
    </r>
  </si>
  <si>
    <t xml:space="preserve">Gill, F. &amp; D. Donsker (Eds). (2013). IOC World Bird List (version 3.5).  </t>
  </si>
  <si>
    <t>Gonzales, J.C.T (2004). Biological Resources Assessment - Samar Island Natural Park, Philippines Project. Final Report. SEAMEO Regional Center for</t>
  </si>
  <si>
    <t xml:space="preserve">                                       Graduate Studies and Research in Agriculture (SEARCA). United Nations Development Programme. March 2004.</t>
  </si>
  <si>
    <r>
      <t xml:space="preserve">Gonzales, J.C.T et al (2018). Developing an updated national list of threatened Philippine terrestrial fauna. </t>
    </r>
    <r>
      <rPr>
        <i/>
        <sz val="8"/>
        <rFont val="Arial"/>
        <family val="2"/>
      </rPr>
      <t>in prep</t>
    </r>
  </si>
  <si>
    <r>
      <t xml:space="preserve">Heegaard, M. and Jensen, A.E. (1992). Tubbataha Reef National Park - a preliminary ornithological inventory. </t>
    </r>
    <r>
      <rPr>
        <i/>
        <sz val="8"/>
        <rFont val="Arial"/>
        <family val="2"/>
      </rPr>
      <t>ENVIRONSCOPE</t>
    </r>
    <r>
      <rPr>
        <sz val="8"/>
        <rFont val="Arial"/>
        <family val="2"/>
      </rPr>
      <t xml:space="preserve"> 7: 13-19. Haribon. </t>
    </r>
  </si>
  <si>
    <r>
      <t>Hosner, P.A., Boggess,  N.C., Alviola, P., Sánchez-González, L.A.,Oliveros, C.H,Urriza, R. and Moyle, R.G. 2013. Phylogeography of the Robsonius Ground-Warblers (Passeriformes: Locustellidae) Reveals an Undescribed Species from Northeastern Luzon, Philippines.</t>
    </r>
    <r>
      <rPr>
        <i/>
        <sz val="8"/>
        <rFont val="Arial"/>
        <family val="2"/>
      </rPr>
      <t xml:space="preserve"> The Condor </t>
    </r>
    <r>
      <rPr>
        <sz val="8"/>
        <rFont val="Arial"/>
        <family val="2"/>
      </rPr>
      <t>115 (3) : 630-639.</t>
    </r>
  </si>
  <si>
    <t>IUCN 2017. The IUCN Red List of Threatened Species. Version 2017-3. &lt;http://www.iucnredlist.org&gt;. Downloaded on 05 December 2017.</t>
  </si>
  <si>
    <t>Jensen, A.E., Songco, A.M. and Pagliawan, M.R. (2016). Field Report: Monitoring and inventory of the seabirds and their breeding areas in Tubbataha Reefs Natural Park &amp; Wolrd Heritage Site, Cagayancillo, Palawan, the Philippines. May 2016</t>
  </si>
  <si>
    <r>
      <t xml:space="preserve">Jensen, A.E.  and Tan, J.M.L. (2010). First observation and subsequent records of Christmas Island Frigatebird </t>
    </r>
    <r>
      <rPr>
        <i/>
        <sz val="8"/>
        <rFont val="Arial"/>
        <family val="2"/>
      </rPr>
      <t>Fregata andrewsii</t>
    </r>
    <r>
      <rPr>
        <sz val="8"/>
        <rFont val="Arial"/>
        <family val="2"/>
      </rPr>
      <t xml:space="preserve"> in the Philippines with notes on its occurrence and distribution. </t>
    </r>
    <r>
      <rPr>
        <i/>
        <sz val="8"/>
        <rFont val="Arial"/>
        <family val="2"/>
      </rPr>
      <t>BirdingASIA</t>
    </r>
    <r>
      <rPr>
        <sz val="8"/>
        <rFont val="Arial"/>
        <family val="2"/>
      </rPr>
      <t xml:space="preserve"> 13: 68-70.</t>
    </r>
  </si>
  <si>
    <r>
      <t xml:space="preserve">Jensen, A.E., Fisher, T. and Hutchinson, R. (2015). New Records of Accidental Birds to the Philippines (2015). </t>
    </r>
    <r>
      <rPr>
        <i/>
        <sz val="8"/>
        <rFont val="Arial"/>
        <family val="2"/>
      </rPr>
      <t xml:space="preserve">Forktail </t>
    </r>
    <r>
      <rPr>
        <sz val="8"/>
        <rFont val="Arial"/>
        <family val="2"/>
      </rPr>
      <t>31: 24–36.</t>
    </r>
  </si>
  <si>
    <r>
      <t xml:space="preserve">Kennedy, R. S., Gonzales, P.C., Dickinson, E.C., Miranda, Jr., H.C. and Fisher, T.H. (2000). </t>
    </r>
    <r>
      <rPr>
        <i/>
        <sz val="8"/>
        <color indexed="8"/>
        <rFont val="Arial"/>
        <family val="2"/>
      </rPr>
      <t>A Guide to the Bird of the Philippines</t>
    </r>
    <r>
      <rPr>
        <sz val="8"/>
        <color indexed="8"/>
        <rFont val="Arial"/>
        <family val="2"/>
      </rPr>
      <t>. Oxford University Press</t>
    </r>
    <r>
      <rPr>
        <i/>
        <sz val="8"/>
        <color indexed="8"/>
        <rFont val="Arial"/>
        <family val="2"/>
      </rPr>
      <t>.</t>
    </r>
    <r>
      <rPr>
        <sz val="8"/>
        <color indexed="8"/>
        <rFont val="Arial"/>
        <family val="2"/>
      </rPr>
      <t xml:space="preserve"> </t>
    </r>
  </si>
  <si>
    <r>
      <t xml:space="preserve">Kennedy, R.S., Fisher, T.H., Harrap, S.C.B, Diesmos, A.C. and Manamtam, A.S. (2001). A new species of woodcock (Aves: Scolopacidae) from the Philippines and a re-evaluation of other Asian/Papuasian woodcock. </t>
    </r>
    <r>
      <rPr>
        <i/>
        <sz val="8"/>
        <color indexed="8"/>
        <rFont val="Arial"/>
        <family val="2"/>
      </rPr>
      <t>Forktail</t>
    </r>
    <r>
      <rPr>
        <sz val="8"/>
        <color indexed="8"/>
        <rFont val="Arial"/>
        <family val="2"/>
      </rPr>
      <t xml:space="preserve"> 17: 1-12.</t>
    </r>
  </si>
  <si>
    <t>King, B. (2002). Species limits in the Brown Boobook Ninox scutula complex. Bulletin of the British Ornithologists' Club 122: 250-257.</t>
  </si>
  <si>
    <t>Laurie, M. A., Caro, R.B., Guiamla, R.B., and Solis, P.H.D. (2011). Birds of Ebpanan Marsh, Maguindanao. College of Forestry &amp; Environmental Studies. Mindanao State University, Datu Odin Sinsuat, Maguindanao.</t>
  </si>
  <si>
    <r>
      <t>Oliveros, C., Townsend Peterson, A and Villa, M.J. C. (2008): Birds, Babuyan Islands, Province of Cagayan, Northern Philippines: New island distribution records.</t>
    </r>
    <r>
      <rPr>
        <i/>
        <sz val="8"/>
        <color indexed="8"/>
        <rFont val="Arial"/>
        <family val="2"/>
      </rPr>
      <t xml:space="preserve"> Check List</t>
    </r>
    <r>
      <rPr>
        <sz val="8"/>
        <color indexed="8"/>
        <rFont val="Arial"/>
        <family val="2"/>
      </rPr>
      <t xml:space="preserve"> 4(2): 137–141.</t>
    </r>
  </si>
  <si>
    <r>
      <t xml:space="preserve">Oliveros, C.H. and Layusa, C.A.A. (2010). First record of Demoiselle Crane </t>
    </r>
    <r>
      <rPr>
        <i/>
        <sz val="8"/>
        <rFont val="Arial"/>
        <family val="2"/>
      </rPr>
      <t>Grus virgo</t>
    </r>
    <r>
      <rPr>
        <sz val="8"/>
        <rFont val="Arial"/>
        <family val="2"/>
      </rPr>
      <t>for the Philippines.</t>
    </r>
    <r>
      <rPr>
        <i/>
        <sz val="8"/>
        <rFont val="Arial"/>
        <family val="2"/>
      </rPr>
      <t xml:space="preserve"> Forktail </t>
    </r>
    <r>
      <rPr>
        <sz val="8"/>
        <rFont val="Arial"/>
        <family val="2"/>
      </rPr>
      <t>26: 139.</t>
    </r>
  </si>
  <si>
    <t>Pendaliday, A.M. (2006). Ligawasan Avifauna Data. Submitted to World Bank, Manila Office.</t>
  </si>
  <si>
    <t>Rasmussen, P. C., Allen, D. N. S., Collar, N., DeMeuleMeester, B., Hutchinson, R. O., Jakosalem, P. G. C., Kenny, R. S., Lambert, F. R., Paguntalan, L. M. (2012). "Vocal divergence and new species in the Philippine Hawk Owl Ninox philippensis complex". Forktail 28: 1–20.</t>
  </si>
  <si>
    <r>
      <t xml:space="preserve">Round, P.D. and  Fisher, T.H. (2009). Records of Black-browed Reed Warbler </t>
    </r>
    <r>
      <rPr>
        <i/>
        <sz val="8"/>
        <rFont val="Arial"/>
        <family val="2"/>
      </rPr>
      <t>Acrocephalus bistrigiceps</t>
    </r>
    <r>
      <rPr>
        <sz val="8"/>
        <rFont val="Arial"/>
        <family val="2"/>
      </rPr>
      <t xml:space="preserve"> from Luzon, Philippines. </t>
    </r>
    <r>
      <rPr>
        <i/>
        <sz val="8"/>
        <rFont val="Arial"/>
        <family val="2"/>
      </rPr>
      <t>Forktail</t>
    </r>
    <r>
      <rPr>
        <sz val="8"/>
        <rFont val="Arial"/>
        <family val="2"/>
      </rPr>
      <t xml:space="preserve"> 25: 159-160. </t>
    </r>
  </si>
  <si>
    <r>
      <t xml:space="preserve">Shigeta, Y., Hiraoka, T. and Gonzalez , J. C. T. (2002). The First Authentic Record of the Latham's Snipe </t>
    </r>
    <r>
      <rPr>
        <i/>
        <sz val="8"/>
        <rFont val="Arial"/>
        <family val="2"/>
      </rPr>
      <t>Gallinago hardwickii</t>
    </r>
    <r>
      <rPr>
        <sz val="8"/>
        <rFont val="Arial"/>
        <family val="2"/>
      </rPr>
      <t xml:space="preserve"> for the Philippines. </t>
    </r>
    <r>
      <rPr>
        <i/>
        <sz val="8"/>
        <rFont val="Arial"/>
        <family val="2"/>
      </rPr>
      <t>Journal of the Yamashina Institute for Ornithology</t>
    </r>
    <r>
      <rPr>
        <sz val="8"/>
        <rFont val="Arial"/>
        <family val="2"/>
      </rPr>
      <t xml:space="preserve"> 34: 240-244.</t>
    </r>
  </si>
  <si>
    <t>Tabaranza, B. (2004). Proposed Ligawasan Marsh Protected Area. Volume I – Annex (Avifauna Checklist). DENR, GEF, UNDP and WB. December 2004.</t>
  </si>
  <si>
    <t>Tello, J. G., Degner J. F., Bates, J. M., and Willard, D. E. (2006) A New Species of Hanging-Parrot (Aves: Psittacidae: Loriculus) from Camiguin Island, Philippines. Fieldiana: Zoology 106 (5 April 2006): 49-57.</t>
  </si>
  <si>
    <r>
      <t xml:space="preserve">van der Ploeg, J. and Minter, T.(2004). Cinereous Vulture </t>
    </r>
    <r>
      <rPr>
        <i/>
        <sz val="8"/>
        <rFont val="Arial"/>
        <family val="2"/>
      </rPr>
      <t>Aegypius monachus</t>
    </r>
    <r>
      <rPr>
        <sz val="8"/>
        <rFont val="Arial"/>
        <family val="2"/>
      </rPr>
      <t xml:space="preserve">: first record for the Philippines. </t>
    </r>
    <r>
      <rPr>
        <i/>
        <sz val="8"/>
        <rFont val="Arial"/>
        <family val="2"/>
      </rPr>
      <t xml:space="preserve">Forktail </t>
    </r>
    <r>
      <rPr>
        <sz val="8"/>
        <rFont val="Arial"/>
        <family val="2"/>
      </rPr>
      <t xml:space="preserve">20:109-110. </t>
    </r>
  </si>
  <si>
    <r>
      <t>van Weerd, M. and van der Ploeg, J. (2004). Surveys of wetlands and waterbirds in Cagayan valley, Luzon, Philipppines.</t>
    </r>
    <r>
      <rPr>
        <i/>
        <sz val="8"/>
        <rFont val="Arial"/>
        <family val="2"/>
      </rPr>
      <t xml:space="preserve"> Forktail </t>
    </r>
    <r>
      <rPr>
        <sz val="8"/>
        <rFont val="Arial"/>
        <family val="2"/>
      </rPr>
      <t>20: 33-39.</t>
    </r>
  </si>
  <si>
    <t>Based on IOC 9.1</t>
  </si>
  <si>
    <t># former</t>
  </si>
  <si>
    <t>Rank</t>
  </si>
  <si>
    <t>Family English</t>
  </si>
  <si>
    <t>Residence Status</t>
  </si>
  <si>
    <t>Conservation Status IUCN</t>
  </si>
  <si>
    <t>Conservation Status DENR</t>
  </si>
  <si>
    <t>Review required</t>
  </si>
  <si>
    <t>Extinct</t>
  </si>
  <si>
    <t>Code IOC</t>
  </si>
  <si>
    <t>Non-Breeding Range IOC</t>
  </si>
  <si>
    <t>English Name Kennedy</t>
  </si>
  <si>
    <t>English Name Clements/eBird</t>
  </si>
  <si>
    <t>English Name HBW</t>
  </si>
  <si>
    <t>Scientific Name Clements/eBird</t>
  </si>
  <si>
    <t>Scientific Name HBW</t>
  </si>
  <si>
    <t>NotesIOC</t>
  </si>
  <si>
    <t>Species</t>
  </si>
  <si>
    <t>yes</t>
  </si>
  <si>
    <t>Spotted Whistling-Duck</t>
  </si>
  <si>
    <t>Spotted Whistling-duck</t>
  </si>
  <si>
    <t>Wandering Whistling-Duck</t>
  </si>
  <si>
    <t>Wandering Whistling-duck</t>
  </si>
  <si>
    <t>Not in Kennedy</t>
  </si>
  <si>
    <t>Brant</t>
  </si>
  <si>
    <t>Brent Goose</t>
  </si>
  <si>
    <t>ENG</t>
  </si>
  <si>
    <t>se China, c Europe</t>
  </si>
  <si>
    <t>Taiga Bean-Goose</t>
  </si>
  <si>
    <t>Bean Goose</t>
  </si>
  <si>
    <t>Change  English name Anser fabalis to Taiga Bean Goose with split of A.serrirostris (AOU 2007)</t>
  </si>
  <si>
    <t>AS</t>
  </si>
  <si>
    <t>Tundra Bean-Goose</t>
  </si>
  <si>
    <t>Anser serrirostris is split from A. fabalis (AOU 2007). Author citation Gould, 1852 rather than Swinhoe, 1871 follows H&amp;M 4:10</t>
  </si>
  <si>
    <t>s EU, s, c NA</t>
  </si>
  <si>
    <t>n AF, n India, s China</t>
  </si>
  <si>
    <t>n AF, OR</t>
  </si>
  <si>
    <t>se China</t>
  </si>
  <si>
    <t>AU</t>
  </si>
  <si>
    <t>Cotton Pygmy-Goose</t>
  </si>
  <si>
    <t>Cotton Pygmy-goose</t>
  </si>
  <si>
    <t>se China, Japan</t>
  </si>
  <si>
    <t>w, c AF, OR</t>
  </si>
  <si>
    <t>MA, AF, OR</t>
  </si>
  <si>
    <t>MA, AF, n OR</t>
  </si>
  <si>
    <t>n India to s, e China, s Korea and Japan</t>
  </si>
  <si>
    <t>AF, n OR</t>
  </si>
  <si>
    <t>se Asia</t>
  </si>
  <si>
    <t>Spot-billed Duck</t>
  </si>
  <si>
    <t>Chinese Spot-billed Duck</t>
  </si>
  <si>
    <t>Mexico, n AF, AU, n OR</t>
  </si>
  <si>
    <t>MA, OR, AF</t>
  </si>
  <si>
    <t>SSP</t>
  </si>
  <si>
    <t>c and s Europe, n Africa, c, s and e Asia</t>
  </si>
  <si>
    <t>Green-winged Teal</t>
  </si>
  <si>
    <t>Common Teal</t>
  </si>
  <si>
    <t>Includes nimia. Treat as monotypic. Clinal. Sangster et al. 2001, Carboneras et al. 2017.</t>
  </si>
  <si>
    <t>s China, Southeast Asia</t>
  </si>
  <si>
    <t>AF</t>
  </si>
  <si>
    <t>Tabon Scrubfowl</t>
  </si>
  <si>
    <t>Philippine Scrubfowl</t>
  </si>
  <si>
    <t>Southeast Asia</t>
  </si>
  <si>
    <t>Blue-breasted Quail</t>
  </si>
  <si>
    <t>Asian Blue Quail</t>
  </si>
  <si>
    <t>Synoicus chinensis</t>
  </si>
  <si>
    <t>Swinhoe's Storm-Petrel</t>
  </si>
  <si>
    <t>Swinhoe's Storm-petrel</t>
  </si>
  <si>
    <t>Hydrobates monorhis</t>
  </si>
  <si>
    <t>Leach's Storm-Petrel</t>
  </si>
  <si>
    <t>Leach’s Storm-petrel</t>
  </si>
  <si>
    <t>Hydrobates leucorhous</t>
  </si>
  <si>
    <t>PHY</t>
  </si>
  <si>
    <t>Dark-rumped Petrel</t>
  </si>
  <si>
    <t>See  Welch et al. 2011 re genetic differentiation between Hawaiian Petrel and Galapagos Petrel</t>
  </si>
  <si>
    <t>Puffinus pacificus</t>
  </si>
  <si>
    <t>Treated as monotypic. Includes chlororhyncha. Brooke, 2004.</t>
  </si>
  <si>
    <t>Eared Grebe</t>
  </si>
  <si>
    <t>n and e Africa, s Asia</t>
  </si>
  <si>
    <t>Asian Woollyneck</t>
  </si>
  <si>
    <t>Taiwan, s China, n Vietnam</t>
  </si>
  <si>
    <t>Great Bittern</t>
  </si>
  <si>
    <t>se Asia to the Sundas and Philippines</t>
  </si>
  <si>
    <t>Schrenck's Bittern</t>
  </si>
  <si>
    <t>Ixobrychus flavicollis</t>
  </si>
  <si>
    <t>se China, Philippines</t>
  </si>
  <si>
    <t>Japanese Night-Heron</t>
  </si>
  <si>
    <t>Japanese Night-heron</t>
  </si>
  <si>
    <t>Malayan Night-Heron</t>
  </si>
  <si>
    <t>Malay Night-heron</t>
  </si>
  <si>
    <t>Black-crowned Night-Heron</t>
  </si>
  <si>
    <t>Black-crowned Night-heron</t>
  </si>
  <si>
    <t>Rufous Night-Heron</t>
  </si>
  <si>
    <t>Rufous Night Heron</t>
  </si>
  <si>
    <t>Rufous Night-heron</t>
  </si>
  <si>
    <t>Change English name of Nycticorax caledonicus to Nankeen Night Heron, preferred name in AU region and correct original color reference (Lecroy pers comm)</t>
  </si>
  <si>
    <t>Little Heron</t>
  </si>
  <si>
    <t>Green-backed Heron</t>
  </si>
  <si>
    <t>Chinese Pond-Heron</t>
  </si>
  <si>
    <t>Chinese Pond-heron</t>
  </si>
  <si>
    <t>Javan Pond-Heron</t>
  </si>
  <si>
    <t>Javan Pond-heron</t>
  </si>
  <si>
    <t>Cattle Egret</t>
  </si>
  <si>
    <t>Bubulcus ibis coromandus</t>
  </si>
  <si>
    <t>Bubulcus ibis</t>
  </si>
  <si>
    <t>Bubulcus coromandus is split from B. ibis (Rasmussen &amp; Anderton 2005). Status under discussion.</t>
  </si>
  <si>
    <t>Gray Heron</t>
  </si>
  <si>
    <t>PS</t>
  </si>
  <si>
    <t>Great White Egret</t>
  </si>
  <si>
    <t>See Pratt (2011) re potential split of Great Egret A. alba vs American Egret A. egretta</t>
  </si>
  <si>
    <t>PHY, TAX, ENG</t>
  </si>
  <si>
    <t>Move Intermediate Egret from Egretta to Ardea (Sheldon et al. 2010, Zhou et al. 2014). Change  English name of Egretta intermedia to Intermediate Egret to conform to broadest usage.</t>
  </si>
  <si>
    <t>Eastern Reef-Egret</t>
  </si>
  <si>
    <t>Pacific Reef-Heron</t>
  </si>
  <si>
    <t>Pacific Reef-egret</t>
  </si>
  <si>
    <t>se OR</t>
  </si>
  <si>
    <t>Greece to s China</t>
  </si>
  <si>
    <t>Christmas Island Frigatebird</t>
  </si>
  <si>
    <t>Darter</t>
  </si>
  <si>
    <t>Change  English name of Anhinga melanogaster from Darter to Oriental Darter with split of A. rufa and A. novaehollandiae</t>
  </si>
  <si>
    <t>Osprey</t>
  </si>
  <si>
    <t>Black-shouldered Kite</t>
  </si>
  <si>
    <t>Oriental Honeybuzzard</t>
  </si>
  <si>
    <t>Oriental Honey-buzzard</t>
  </si>
  <si>
    <t>Pernis ptilorhyncus</t>
  </si>
  <si>
    <t>Barred Honeybuzzard</t>
  </si>
  <si>
    <t>Barred Honey-buzzard</t>
  </si>
  <si>
    <t>Philippine Honey-buzzard</t>
  </si>
  <si>
    <t>Pernis celebensis steerei</t>
  </si>
  <si>
    <t>Pernis steerei is split from P. celebensis (Gamauf &amp; Harring 2005, Collar 2007)</t>
  </si>
  <si>
    <t>n AF, India, China and se Asia</t>
  </si>
  <si>
    <t>Crested Serpent-Eagle</t>
  </si>
  <si>
    <t>Crested Serpent-eagle</t>
  </si>
  <si>
    <t>Philippine Serpent-Eagle</t>
  </si>
  <si>
    <t>Philippine Serpent-eagle</t>
  </si>
  <si>
    <t>Philippine Eagle is distantly related to serpent eagles, not harpy eagles as previously thought (McGrady et al. 2010)</t>
  </si>
  <si>
    <t>Crested Hawk-Eagle</t>
  </si>
  <si>
    <t>North Philippine Hawk-eagle</t>
  </si>
  <si>
    <t>South Philippine Hawk-eagle</t>
  </si>
  <si>
    <t>Nisaetus pinskeri is split from N.philippensis (Haring et al. 2007, Gamauf et al. 2005ab; cf BLI)</t>
  </si>
  <si>
    <t>Correct English name of Lophotriorchis kienerii to Rufous-bellied Eagle from Rufous-bellied Hawk-Eagle (Lerner et al. 2017, other world lists).</t>
  </si>
  <si>
    <t>e OR</t>
  </si>
  <si>
    <t>Chinese Goshawk</t>
  </si>
  <si>
    <t>OR, ne AF</t>
  </si>
  <si>
    <t>Eastern Marsh-Harrier</t>
  </si>
  <si>
    <t>Eastern Marsh-harrier</t>
  </si>
  <si>
    <t>OR</t>
  </si>
  <si>
    <t>White-bellied Sea-Eagle</t>
  </si>
  <si>
    <t>White-bellied Sea-eagle</t>
  </si>
  <si>
    <t>Grey-headed Fish-Eagle</t>
  </si>
  <si>
    <t>Gray-headed Fish-Eagle</t>
  </si>
  <si>
    <t>Grey-headed Fish-eagle</t>
  </si>
  <si>
    <t>Icthyophaga ichthyaetus</t>
  </si>
  <si>
    <t>Gray-faced Buzzard</t>
  </si>
  <si>
    <t>Common Buzzard</t>
  </si>
  <si>
    <t>Japanese Buzzard</t>
  </si>
  <si>
    <t>Buteo japonicus is split from B. buteo (Rasmussen &amp; Anderton 2005, Lerner et al. 2008)</t>
  </si>
  <si>
    <t>Hypotaenidia torquata</t>
  </si>
  <si>
    <t>Hypotaenidia philippensis</t>
  </si>
  <si>
    <t>Lewinia striata</t>
  </si>
  <si>
    <t>Luzon Rail</t>
  </si>
  <si>
    <t>Lewinia mirificus</t>
  </si>
  <si>
    <t>Philippine Bush-hen</t>
  </si>
  <si>
    <t>Subspecies taxonomy unsettled. Treatment here follows Ripley, 1977.</t>
  </si>
  <si>
    <t>Zapornia pusilla</t>
  </si>
  <si>
    <t>Zapornia fusca</t>
  </si>
  <si>
    <t>Zapornia tabuensis</t>
  </si>
  <si>
    <t>Includes richardsoni and edwardi. Treat as monotypic. Beehler &amp; Pratt 2016</t>
  </si>
  <si>
    <t>Amaurornis cinerea</t>
  </si>
  <si>
    <t>Purple Swamphen</t>
  </si>
  <si>
    <t>Porphyrio porphyrio</t>
  </si>
  <si>
    <t>Philippine Swamphen is split from Western [Purple] Swamphen P. porphyrio (Sangster 1998, Garcia-R &amp; Trewick 2015)</t>
  </si>
  <si>
    <t>Eurasian Moorhen</t>
  </si>
  <si>
    <t>n AF</t>
  </si>
  <si>
    <t>Common Coot</t>
  </si>
  <si>
    <t>Grus antigone</t>
  </si>
  <si>
    <t>PHY, TAX</t>
  </si>
  <si>
    <t>c AF, India</t>
  </si>
  <si>
    <t>Anthropoides virgo</t>
  </si>
  <si>
    <t>Best separated into Anthropoides (Krajewski et al. (2010, BLI)?</t>
  </si>
  <si>
    <t>Small Buttonquail</t>
  </si>
  <si>
    <t>Change  English name of Turnix sylvaticus, a widespread species, from Kurrichane Buttonquail to Common Buttonquail, as in HBW and Dickinson (2003)</t>
  </si>
  <si>
    <t>Luzon Buttonquail</t>
  </si>
  <si>
    <t>TAX</t>
  </si>
  <si>
    <t>Beach Thick-knee</t>
  </si>
  <si>
    <t>Correct species name of Beach Stone-curlew from neglectus to magnirostris (Dickinson 2003, Christides and Boles 2008)</t>
  </si>
  <si>
    <t>coastal AF, OR</t>
  </si>
  <si>
    <t>Change 8.1 English name of Himantopus leucocephalus from White-headed Stilt to consensus name Pied Stilt (BirdLife Australia, HBW)</t>
  </si>
  <si>
    <t>Gray-headed Lapwing</t>
  </si>
  <si>
    <t>OR, AU</t>
  </si>
  <si>
    <t>Asian Golden-Plover</t>
  </si>
  <si>
    <t>Pacific Golden-Plover</t>
  </si>
  <si>
    <t>worldwide</t>
  </si>
  <si>
    <t>Black-bellied Plover</t>
  </si>
  <si>
    <t>sw EU, AF</t>
  </si>
  <si>
    <t>Common Ringed-Plover</t>
  </si>
  <si>
    <t>Little Ringed-Plover</t>
  </si>
  <si>
    <t>Kentish Plover is specifically distinct from Snowy Plover, and more closely related to the White-fronted Plover (Küpper et al. 2009, NACC 2010-A-1)</t>
  </si>
  <si>
    <t>Malay Plover</t>
  </si>
  <si>
    <t>AF, OR, AU</t>
  </si>
  <si>
    <t>Lesser Sand-Plover</t>
  </si>
  <si>
    <t>Lesser Sandplover</t>
  </si>
  <si>
    <t>Greater Sand-Plover</t>
  </si>
  <si>
    <t>Greater Sandplover</t>
  </si>
  <si>
    <t>Greater Sundas to Australia</t>
  </si>
  <si>
    <t>Treat as monotypic. Includes novaeguineae and novaehollandiae . Mees, 1982, Beehler &amp; Pratt, 2016.</t>
  </si>
  <si>
    <t>c, s PO Islands</t>
  </si>
  <si>
    <t>widespread</t>
  </si>
  <si>
    <t>Change English name to Far Eastern Curlew to reduce confusion with the eastern race of Eurasian Curlew, and to align IOC with H&amp;M, BLI, HBW, Clements.</t>
  </si>
  <si>
    <t>AF, OR</t>
  </si>
  <si>
    <t>Worldwide</t>
  </si>
  <si>
    <t>SA, Europe, AF, AU</t>
  </si>
  <si>
    <t>AF, sw EU, India</t>
  </si>
  <si>
    <t>Ruff is moved from monotypic Philomachus to Calidris (Gibson &amp; Baker 2012, Banks 2012)</t>
  </si>
  <si>
    <t>AF, OR, AU, also Middle East</t>
  </si>
  <si>
    <t>Broad-billed Sandpiper is moved from monotypic Limicola to Calidris. (Gibson &amp; Baker 2012, Banks 2012)</t>
  </si>
  <si>
    <t>AF, OR, Middle East</t>
  </si>
  <si>
    <t>Rufous-necked Stint</t>
  </si>
  <si>
    <t>s NA, AF, s EU</t>
  </si>
  <si>
    <t>e EU, AF, India</t>
  </si>
  <si>
    <t>AU, Southern Cone</t>
  </si>
  <si>
    <t>s USA,  MA</t>
  </si>
  <si>
    <t>OR, AF</t>
  </si>
  <si>
    <t>e Australia</t>
  </si>
  <si>
    <t>Pintail Snipe</t>
  </si>
  <si>
    <t>s Europe, AF, OR</t>
  </si>
  <si>
    <t>w, e PO, n IO</t>
  </si>
  <si>
    <t>se PO, se AO</t>
  </si>
  <si>
    <t>sw EU, AF, OR</t>
  </si>
  <si>
    <t>TAX, SEQ</t>
  </si>
  <si>
    <t>Malay Peninsula through AU</t>
  </si>
  <si>
    <t>Gray-tailed Tattler</t>
  </si>
  <si>
    <t>Move  Tattlers from Heteroscelus to Tringa (Pereira &amp; Baker 2005, NACC); note gender agreement</t>
  </si>
  <si>
    <t>sw EU, AF, OR, AU</t>
  </si>
  <si>
    <t>Spotted Greenshank</t>
  </si>
  <si>
    <t>PHY, ENG</t>
  </si>
  <si>
    <t>Common White Tern</t>
  </si>
  <si>
    <t>Gygis may be a basal noddy (Baker et al. 2007, Ödeen et al. 2010, Cibois et al. 2016); so "White Noddy" if confirmed? See Yeung et al. 2009 re taxonomy of Pacific Ocean subspecies</t>
  </si>
  <si>
    <t>Larus ridibundus</t>
  </si>
  <si>
    <t>Change  English name of Chroicocephalus (Larus) ridibundus reverts to Black-headed Gull with adoption of  Pallas's Gull for Larus ichthyaetus</t>
  </si>
  <si>
    <t>Japan and Korea to Vietnam</t>
  </si>
  <si>
    <t>Saundersilarus saundersi</t>
  </si>
  <si>
    <t>Relationships of Saunders's Gull uncertain. Treated as a monotypic genus Saundersilarus by some (H&amp;M4, HBW/BLI) based on Pons et al. 2005 poorly resolved phylogeny</t>
  </si>
  <si>
    <t>Larus atricilla</t>
  </si>
  <si>
    <t>w LA coasts</t>
  </si>
  <si>
    <t>Franklin’s Gull</t>
  </si>
  <si>
    <t>Larus pipixcan</t>
  </si>
  <si>
    <t>Herring Gull</t>
  </si>
  <si>
    <t>Larus argentatus vegae</t>
  </si>
  <si>
    <t>Vega Gull includes Mongolian Gull L. mongolicus as ssp following Collinson et al. 2008,  Yésou (Dutch Birding 24:271-298, 2002)</t>
  </si>
  <si>
    <t>n AF, sw Europe to nw India; also e NA</t>
  </si>
  <si>
    <t>Lesser Black-backed Gull includes Heuglin's Gull L. heuglini as subspecies following Collinson, J.M., Parkin, D.T., Knox, A.G., Sangster, G., and L. Svensson. 2008. Species boundaries in the Herring and Lesser Black-backed Gull complex. British Birds 101(7):340-363.</t>
  </si>
  <si>
    <t>Common Gull-billed Tern</t>
  </si>
  <si>
    <t>Great Crested Tern</t>
  </si>
  <si>
    <t>Change English name of Thalasseus bergii to preferred Greater Crested Tern (2.9)</t>
  </si>
  <si>
    <t>Philippines, Borneo</t>
  </si>
  <si>
    <t>South China Sea, Philippines?</t>
  </si>
  <si>
    <t>IO, s PO</t>
  </si>
  <si>
    <t>widespread coasts</t>
  </si>
  <si>
    <t>temperate &amp; tropical oceans</t>
  </si>
  <si>
    <t>Restore English name Pomarine Jaeger for consistency; genetic relationship to larger skuas requires confirmation</t>
  </si>
  <si>
    <t>s oceans</t>
  </si>
  <si>
    <t>Arctic Jaeger</t>
  </si>
  <si>
    <t>Many prefer  "skua"  to German "jaeger" for three small Stercorarius species</t>
  </si>
  <si>
    <t>subantarctic oceans</t>
  </si>
  <si>
    <t>Rock Pigeon</t>
  </si>
  <si>
    <t>"Rock Pigeon" conflicts with established names in Australia for species of Petrophassa; accept BOU choice of classic "Rock Dove" for this species native to British Isles. Feral Pigeon is available for worldwide introduced populations</t>
  </si>
  <si>
    <t>Oriental Turtle-Dove</t>
  </si>
  <si>
    <t>Island Collared-Dove</t>
  </si>
  <si>
    <t>Philippine Collared-dove</t>
  </si>
  <si>
    <t>Streptopelia dusumieri</t>
  </si>
  <si>
    <t>Red Turtle-Dove</t>
  </si>
  <si>
    <t>Red Collared-Dove</t>
  </si>
  <si>
    <t>Red Turtle-dove</t>
  </si>
  <si>
    <t>Eastern Spotted Dove</t>
  </si>
  <si>
    <t>Streptopelia chinensis</t>
  </si>
  <si>
    <t>AS, ENG</t>
  </si>
  <si>
    <t>Reddish Cuckoo-Dove</t>
  </si>
  <si>
    <t>Macropygia tenuirostris is split from M. amboinensis (Dickinson 2003, Ng et al. 2016). Retain English name Philippine Cuckoo-Dove to avoid confusion with historical name of amboinensis and to await firm inclusion of borneensis in this species.</t>
  </si>
  <si>
    <t>Common Emerald-Dove</t>
  </si>
  <si>
    <t>Asian Emerald Dove</t>
  </si>
  <si>
    <t>Grey-capped Emerald Dove</t>
  </si>
  <si>
    <t>White-eared Brown-Dove</t>
  </si>
  <si>
    <t>White-eared Brown-dove</t>
  </si>
  <si>
    <t>Amethyst Brown-Dove</t>
  </si>
  <si>
    <t>Amethyst Brown-dove</t>
  </si>
  <si>
    <t>Dark-eared Brown-Dove</t>
  </si>
  <si>
    <t>Tawitawi Brown-Dove</t>
  </si>
  <si>
    <t>Tawitawi Brown-dove</t>
  </si>
  <si>
    <t>Change  English name of Phapitreron cinereiceps from Dark-eared Brown Dove to Tawitawi Brown Dove to follow BLI; with split of P. brunneiceps</t>
  </si>
  <si>
    <t>Mindanao Brown-Dove</t>
  </si>
  <si>
    <t>Dark-eared Brown-dove</t>
  </si>
  <si>
    <t>Phapitreron brunneiceps is split from P.cinereiceps (Collar et al. 1999, BLI)</t>
  </si>
  <si>
    <t>Pink-necked Green-Pigeon</t>
  </si>
  <si>
    <t>Pink-necked Pigeon</t>
  </si>
  <si>
    <t>Pink-necked Green-pigeon</t>
  </si>
  <si>
    <t>Pompadour Green-Pigeon</t>
  </si>
  <si>
    <t>Philippine Green-Pigeon</t>
  </si>
  <si>
    <t>Philippine Green-pigeon</t>
  </si>
  <si>
    <t>Treron axillaris is split from Treron pompadora (Rasmussen &amp; Anderton 2005).</t>
  </si>
  <si>
    <t>Thick-billed Green-Pigeon</t>
  </si>
  <si>
    <t>Thick-billed Pigeon</t>
  </si>
  <si>
    <t>Thick-billed Green-pigeon</t>
  </si>
  <si>
    <t>Whistling Green-Pigeon</t>
  </si>
  <si>
    <t>Taiwan Green-pigeon</t>
  </si>
  <si>
    <t>Flame-breasted Fruit-Dove</t>
  </si>
  <si>
    <t>Flame-breasted Fruit-dove</t>
  </si>
  <si>
    <t>Ramphiculus marchei</t>
  </si>
  <si>
    <t>Cream-bellied Fruit-Dove</t>
  </si>
  <si>
    <t>Cream-breasted Fruit-Dove</t>
  </si>
  <si>
    <t>Cream-bellied Fruit-dove</t>
  </si>
  <si>
    <t>Ramphiculus merrilli</t>
  </si>
  <si>
    <t>Yellow-breasted Fruit-Dove</t>
  </si>
  <si>
    <t>Yellow-breasted Fruit-dove</t>
  </si>
  <si>
    <t>Ramphiculus occipitalis</t>
  </si>
  <si>
    <t>Black-chinned Fruit-Dove</t>
  </si>
  <si>
    <t>Black-chinned Fruit-dove</t>
  </si>
  <si>
    <t>Ramphiculus leclancheri</t>
  </si>
  <si>
    <t>Superb Fruit-Dove</t>
  </si>
  <si>
    <t>Black-naped Fruit-Dove</t>
  </si>
  <si>
    <t>Black-naped Fruit-dove</t>
  </si>
  <si>
    <t>Negros Fruit-Dove</t>
  </si>
  <si>
    <t>Negros Fruit-dove</t>
  </si>
  <si>
    <t>Pink-bellied Imperial-Pigeon</t>
  </si>
  <si>
    <t>Pink-bellied Imperial-pigeon</t>
  </si>
  <si>
    <t>Mindoro Imperial-Pigeon</t>
  </si>
  <si>
    <t>Mindoro Imperial-pigeon</t>
  </si>
  <si>
    <t>Spotted Imperial-Pigeon</t>
  </si>
  <si>
    <t>Spotted Imperial-pigeon</t>
  </si>
  <si>
    <t>Green Imperial-Pigeon</t>
  </si>
  <si>
    <t>Green Imperial-pigeon</t>
  </si>
  <si>
    <t>Grey Imperial-Pigeon</t>
  </si>
  <si>
    <t>Gray Imperial-Pigeon</t>
  </si>
  <si>
    <t>Grey Imperial-pigeon</t>
  </si>
  <si>
    <t>Pied Imperial-Pigeon</t>
  </si>
  <si>
    <t>Pied Imperial-pigeon</t>
  </si>
  <si>
    <t>Treat as monotypic. Includes melanura of uncertain taxonomic status. Beehler &amp; Pratt, 2016.</t>
  </si>
  <si>
    <t>Includes banken. Treat as monotypic. Payne, 2005.</t>
  </si>
  <si>
    <t>Red-crested Malkoha</t>
  </si>
  <si>
    <t>Lepidogrammus cumingi</t>
  </si>
  <si>
    <t>Pied Cuckoo</t>
  </si>
  <si>
    <t>Common Koel</t>
  </si>
  <si>
    <t>Western Koel</t>
  </si>
  <si>
    <t>Gould's Bronze-Cuckoo</t>
  </si>
  <si>
    <t>Little Bronze-Cuckoo</t>
  </si>
  <si>
    <t>Little Bronze-cuckoo</t>
  </si>
  <si>
    <t>Chalcites minutillus</t>
  </si>
  <si>
    <t>Little Bronze Cuckoo C. minutillus includes C. russatus, C. rufomerus and  C. crassirostris (Dickinson 2003, Payne 2005, Collar 2007); further work needed to define species limits (Christidis and Boles 2008)</t>
  </si>
  <si>
    <t>Brush Cuckoo</t>
  </si>
  <si>
    <t>Cacomantis variolosus</t>
  </si>
  <si>
    <t>Drongo Cuckoo</t>
  </si>
  <si>
    <t>Surniculus velutinus is split from S.lugubris following Dickinson (2003) and Payne (2005)</t>
  </si>
  <si>
    <t>Change  English name of Surniculus lugubris to Square-tailed Drongo-Cuckoo with splits of S. dicruroides and D. musschenbroeki. Subspecific taxonomy, nomenclature and ranges of this species and Fork-tailed Drongo-Cuckoo are tentative and based primarily on  Payne, 2005 modified by Rasmussen &amp; Anderton, 2005. For alternate treatments see Erritzøe et al., 2012  and Dickinson &amp; Remsen, 2013.</t>
  </si>
  <si>
    <t>Hodgson's Hawk-Cuckoo</t>
  </si>
  <si>
    <t>Indonesia, Philippines</t>
  </si>
  <si>
    <t>Change  English name of Cuculus saturatus from Oriental Cuckoo to Himalayan Cuckoo  with splits of L. optatus and L. lepidus (King 2005, Payne 2005).</t>
  </si>
  <si>
    <t>Indonesia to AU</t>
  </si>
  <si>
    <t>Cuculus optatus is split from C. saturatus (King 2005, Payne 2005); BLI and AOU recognize. Assumes English name of Oriental Cuckoo. See also Xia et al. 2016</t>
  </si>
  <si>
    <t>Grass Owl</t>
  </si>
  <si>
    <t>Australasian Grass-Owl</t>
  </si>
  <si>
    <t>Eastern Grass-owl</t>
  </si>
  <si>
    <t>Tyto longimembris is split from T.capensis (König et al. 1999, BLI)</t>
  </si>
  <si>
    <t>PHY, TAX, SEQ</t>
  </si>
  <si>
    <t>Giant Scops-Owl</t>
  </si>
  <si>
    <t>Giant Scops-owl</t>
  </si>
  <si>
    <t>Resequence Giant Scops Owl (Mimizuku), which belongs in Otus (Miranda et al. 2011)</t>
  </si>
  <si>
    <t>Palawan Scops-Owl</t>
  </si>
  <si>
    <t>Palawan Scops-owl</t>
  </si>
  <si>
    <t>Philippine Scops-Owl</t>
  </si>
  <si>
    <t>Luzon Lowland Scops-owl</t>
  </si>
  <si>
    <t>Everett's Scops-Owl</t>
  </si>
  <si>
    <t>Mindanao Lowland Scops-owl</t>
  </si>
  <si>
    <t>Everett's Scops Owl is split from Philippine Scops Owl (Miranda et al. 2011)</t>
  </si>
  <si>
    <t>Negros Scops-Owl</t>
  </si>
  <si>
    <t>Visayan Scops-owl</t>
  </si>
  <si>
    <t>Negros Scops Owl is split from Philippine Scops Owl (Miranda et al. 2011)</t>
  </si>
  <si>
    <t>Mindanao Scops-Owl</t>
  </si>
  <si>
    <t>Mindanao Highland Scops-owl</t>
  </si>
  <si>
    <t>Luzon Scops-Owl</t>
  </si>
  <si>
    <t>Luzon Highland Scops-owl</t>
  </si>
  <si>
    <t>Mindoro Scops-Owl</t>
  </si>
  <si>
    <t>Mindoro Scops-owl</t>
  </si>
  <si>
    <t>Oriental Scops-Owl</t>
  </si>
  <si>
    <t>Oriental Scops-owl</t>
  </si>
  <si>
    <t>Mantanani Scops-Owl</t>
  </si>
  <si>
    <t>Mantanani Scops-owl</t>
  </si>
  <si>
    <t>Ryukyu Scops-Owl</t>
  </si>
  <si>
    <t>Ryukyu Scops-owl</t>
  </si>
  <si>
    <t>Spotted Wood-Owl</t>
  </si>
  <si>
    <t>Spotted Wood-owl</t>
  </si>
  <si>
    <t>Sulawesi, Lesser Sundas</t>
  </si>
  <si>
    <t>Brown Boobook</t>
  </si>
  <si>
    <t>Ninox japonica, including florensis and totogo is split from N.scutulata (King 2002)</t>
  </si>
  <si>
    <t>Ninox randi is split from N.scutulata (King 2002)</t>
  </si>
  <si>
    <t>TAX, ENG</t>
  </si>
  <si>
    <t>Philippine Hawk-Owl</t>
  </si>
  <si>
    <t>Luzon Boobook</t>
  </si>
  <si>
    <t>Revisions of the Philippine Hawk-Owl species complex follow Rasmussen et al. 2012, Change English name of Ninox philippensis from Philippine Hawk-Owl to Luzon Hawk-Owl</t>
  </si>
  <si>
    <t>Mindanao Boobook</t>
  </si>
  <si>
    <t>Mindanao Hawk-Owl is split from Philippine Hawk-Owl (Rasmussen et al. 2012)</t>
  </si>
  <si>
    <t>Mindoro Boobook</t>
  </si>
  <si>
    <t>Mindoro Hawk-Owl is split from Philippine Hawk-Owl (Rasmussen et al. 2012)</t>
  </si>
  <si>
    <t>Romblon Boobook</t>
  </si>
  <si>
    <t>Ninox spilonota</t>
  </si>
  <si>
    <t>Romblon Hawk-Owl is split from Philippine Hawk-Owl (Rasmussen et al. 2012)</t>
  </si>
  <si>
    <t>NEW</t>
  </si>
  <si>
    <t>Cebu Boobook</t>
  </si>
  <si>
    <t>Rasmussen et al. 2012</t>
  </si>
  <si>
    <t>Camiguin Boobook</t>
  </si>
  <si>
    <t>Sulu Boobook</t>
  </si>
  <si>
    <t>Sulu Hawk-Owl is split from Philippine Hawk-Owl (Rasmussen et al. 2012)</t>
  </si>
  <si>
    <t>Javan Frogmouth</t>
  </si>
  <si>
    <t>Palawan Frogmouth is split from Javan Frogmouth B. javensis (Cleere 2010)</t>
  </si>
  <si>
    <t>Great Eared-Nightjar</t>
  </si>
  <si>
    <t>Great Eared-nightjar</t>
  </si>
  <si>
    <t>Indian subcontinent, se Asia s to Indonesia, Philippines.</t>
  </si>
  <si>
    <t>Gray Nightjar</t>
  </si>
  <si>
    <t>Caprimulgus jotaka with English name Grey Nightjar is split from C. indicus (Rasmussen &amp; Anderton 2005).</t>
  </si>
  <si>
    <t>Gray-rumped Treeswift</t>
  </si>
  <si>
    <t>Glossy Swiftlet</t>
  </si>
  <si>
    <t>Gray-rumped Swiftlet</t>
  </si>
  <si>
    <t>Collocalia esculenta</t>
  </si>
  <si>
    <t>Grey-rumped Swiftlet C. marginata is split from Glossy Swiftlet C. esculenta (Rheindt et al. 2017)</t>
  </si>
  <si>
    <t>Ridgetop Swiftlet C. isonota is split from Glossy Swiftlet C. esculenta (Rheindt et al. 2017)</t>
  </si>
  <si>
    <t>Island Swiflet</t>
  </si>
  <si>
    <t>Ameline Swiftlet is split from Uniform Swiftlet (Price et al. 2004; H&amp;M4, see Appendix 2.6 re suggested relationship to Philippine Swiftlet A. mearnsi)</t>
  </si>
  <si>
    <t>Edible-nest Swiftlet</t>
  </si>
  <si>
    <t>Aerodramus fuciphagus</t>
  </si>
  <si>
    <t>Philippine Needletail</t>
  </si>
  <si>
    <t>Philippine Spinetailed Swift</t>
  </si>
  <si>
    <t>Philippine Spinetail</t>
  </si>
  <si>
    <t>Asian Palm-Swift</t>
  </si>
  <si>
    <t>Asian Palm-swift</t>
  </si>
  <si>
    <t>Fork-tailed Swift</t>
  </si>
  <si>
    <t>Change English name of Apus pacificus to Pacific Swift; reserve Fork-tailed Swift for species group (Leader 2011)</t>
  </si>
  <si>
    <t>Dollarbird</t>
  </si>
  <si>
    <t>Spotted Wood-Kingfisher</t>
  </si>
  <si>
    <t>Spotted Kingfisher</t>
  </si>
  <si>
    <t>Blue-capped Wood-Kingfisher</t>
  </si>
  <si>
    <t>Blue-capped Kingfisher</t>
  </si>
  <si>
    <t>Blue-capped Wood Kingfisher</t>
  </si>
  <si>
    <t>Halcyon gularis</t>
  </si>
  <si>
    <t>Rufous-lored Kingfisher</t>
  </si>
  <si>
    <t>AS, PS</t>
  </si>
  <si>
    <t>White-collared Kingfisher</t>
  </si>
  <si>
    <t>Collared Kingfisher species complex includes Torresian Kingfisher, Islet Kingfisher, Pacific Kingfisher, Mariana Kingfisher, Melanesian Kingfisher (Andersen et al. 2015, Clements 2015). More to come</t>
  </si>
  <si>
    <t>Sumatra to New Guinea</t>
  </si>
  <si>
    <t>Oriental Dwarf-Kingfisher</t>
  </si>
  <si>
    <t>Rufous-backed Dwarf-Kingfisher</t>
  </si>
  <si>
    <t>Oriental Dwarf-kingfisher</t>
  </si>
  <si>
    <t>Ceyx rufidorsa</t>
  </si>
  <si>
    <t>Rufous-backed morphs sometimes treated as separate species C. rufidorsa (King 1997, Rasmussen &amp; Anderton 2005, Lim et al. 2010) suggest past episodes of secondary contact and introgression. Revisit status of rufidorsa.</t>
  </si>
  <si>
    <t>Philippine Dwarf-Kingfisher</t>
  </si>
  <si>
    <t>North Philippine Dwarf-kingfisher</t>
  </si>
  <si>
    <t>Variable Dwarf-Kingfisher</t>
  </si>
  <si>
    <t>Dimorphic Dwarf-Kingfisher</t>
  </si>
  <si>
    <t>Dimorphic Dwarf-kingfisher</t>
  </si>
  <si>
    <t>Split from Moluccan (Variable) Dwarf Kingfisher (Andersen et al. 2013)</t>
  </si>
  <si>
    <t>Northern Indigo-banded Kingfisher</t>
  </si>
  <si>
    <t>Move cyanopecta, argentata, azurea, websteri, and pusilla from Alcedo to Ceyx (Moyle et al. 2007, Christidis &amp;  Boles 2008)</t>
  </si>
  <si>
    <t>Silvery Kingfisher</t>
  </si>
  <si>
    <t>Southern Silvery-Kingfisher</t>
  </si>
  <si>
    <t>Northern Silvery-Kingfisher</t>
  </si>
  <si>
    <t>Ceyx flumenicolus</t>
  </si>
  <si>
    <t>Northern Silvery Kingfisher split from [Southern] Silvery Kingfisher (Collar 2011b, Andersen et al. 2013d). Gender agreement invariable (H&amp;M 4:338).</t>
  </si>
  <si>
    <t>to Thai-Malay Pen., Greater Sundas and Timor</t>
  </si>
  <si>
    <t>Includes javanicus, celebensis and salvadorii. Treat as monotypic. Fry 2001a, Beehler &amp; Pratt 2016</t>
  </si>
  <si>
    <t>Rufous-crowned Bee-eater</t>
  </si>
  <si>
    <t>Merops americanus</t>
  </si>
  <si>
    <t>Hoopoe</t>
  </si>
  <si>
    <t>Common Hoopoe</t>
  </si>
  <si>
    <t>Northern Rufous Hornbill</t>
  </si>
  <si>
    <t>Writhe-billed Hornbill</t>
  </si>
  <si>
    <t>Rufous-headed Hornbill</t>
  </si>
  <si>
    <t>Tarictic Hornbill</t>
  </si>
  <si>
    <t>Penelopides manillae is split from P. panini (Kemp 1995, Inskipp et al. 1996, BLI; cf Dickinson 2003)</t>
  </si>
  <si>
    <t>Penelopides mindorensis is split from P. panini (Kemp 1995, Inskipp et al. 1996, cf Dickinson 2003); BLI recognizes</t>
  </si>
  <si>
    <t>Penelopides affinis is split from P. panini (Kemp 1995, Inskipp et al. 1996,BLI; cf Dickinson 2003).</t>
  </si>
  <si>
    <t>Penelopides samarensis is split from P.panini (Kemp 1995, cf Inskipp et al. 1996, Dickinson 2003).</t>
  </si>
  <si>
    <t>Revise English name of Penelopides panini to avoid confusion since all members of the genus have been called "Tarictic" Hornbills; geographical name conforms to other species.</t>
  </si>
  <si>
    <t>Megalaima haemacephala</t>
  </si>
  <si>
    <t>Philippine Woodpecker</t>
  </si>
  <si>
    <t>Dendrocopos maculatus</t>
  </si>
  <si>
    <t>Picoides maculatus</t>
  </si>
  <si>
    <t>AS, SSP</t>
  </si>
  <si>
    <t>Sulu Woodpecker</t>
  </si>
  <si>
    <t>Dendrocopos ramsayi</t>
  </si>
  <si>
    <t>Picoides ramsayi</t>
  </si>
  <si>
    <t>Dendrocopos ramsayi is split from D. maculatus (Collar et al. 1999); BLI recognizes. Treat species as monotypic. Includes siasiensis.  Christie &amp; Winkler, 2002.</t>
  </si>
  <si>
    <t>Common Flameback</t>
  </si>
  <si>
    <t>Split Spot-throated Flameback D. everetti from Common Flameback D. javanense (Mees 1966, Collar 2011)</t>
  </si>
  <si>
    <t>Greater Flameback</t>
  </si>
  <si>
    <t>Change "Goldenback" to "Flameback"  established for these species; Change to Buff-spotted Flameback for C. lucidus with split of widespread guttacristatus, which takes English name Greater Flameback</t>
  </si>
  <si>
    <t>Chrysocolaptes haematribon is split from Buff-spotted [Greater] Flameback C. lucidus</t>
  </si>
  <si>
    <t>Chrysocolaptes xanthocephalus is split from Buff-spotted [Greater] Flameback C. lucidus</t>
  </si>
  <si>
    <t>Chrysocolaptes erythrocephalus is split from Buff-spotted [Greater] Flameback C. lucidus</t>
  </si>
  <si>
    <t>Northern Sooty-Woodpecker</t>
  </si>
  <si>
    <t>Northern Sooty Woodpecker</t>
  </si>
  <si>
    <t>Eurasian Kestrel</t>
  </si>
  <si>
    <t>se AF, s Asia</t>
  </si>
  <si>
    <t>n OR, n LA</t>
  </si>
  <si>
    <t>s AF, n OR</t>
  </si>
  <si>
    <t>Includes papuanus. Treat as monotypic. Beehler &amp; Pratt 2016</t>
  </si>
  <si>
    <t>Philippine Cockatoo</t>
  </si>
  <si>
    <t>Philippine Cockatoo (H&amp;M4, HBW Alive)</t>
  </si>
  <si>
    <t>Montane Racquet-tail</t>
  </si>
  <si>
    <t>Mindanao Racquet-tail</t>
  </si>
  <si>
    <t>Prioniturus waterstradti is split from P. montanus (Juniper &amp; Parr (1998); recognized by BLI.</t>
  </si>
  <si>
    <t>Luzon Racquet-tail</t>
  </si>
  <si>
    <t>Blue-headed Racquet-tail</t>
  </si>
  <si>
    <t>Blue-crowned Racquet-tail</t>
  </si>
  <si>
    <t>Mindoro Racquet-tail</t>
  </si>
  <si>
    <t>Prioniturus mindorensis is split from Blue-crowned Racket-tail P. discurus (Schweitzer et al. 2012, H&amp;M4) based on its position ia a different clades in the phylogeny of these parrots.</t>
  </si>
  <si>
    <t>Blue-winged Racquet-tail</t>
  </si>
  <si>
    <t>Sulu Racquet-tail</t>
  </si>
  <si>
    <t>Green Racquet-tail</t>
  </si>
  <si>
    <t>Azure-rumped Parrot</t>
  </si>
  <si>
    <t>Colasisi</t>
  </si>
  <si>
    <t>Philippine Hanging-Parrot</t>
  </si>
  <si>
    <t>Philippine Hanging Parrot/Colasisi</t>
  </si>
  <si>
    <t>Philippine Hanging-parrot</t>
  </si>
  <si>
    <t>Camiguin Hanging-Parrot</t>
  </si>
  <si>
    <t>Loriculus camiguinensis is a newly described species (Tello et al. 2006); status uncertain (Collar 2011a)</t>
  </si>
  <si>
    <t>Mindanao Wattled Broadbill</t>
  </si>
  <si>
    <t>Eurylaimus steerii</t>
  </si>
  <si>
    <t>Visayan Wattled Broadbill</t>
  </si>
  <si>
    <t>Eurylaimus samarensis</t>
  </si>
  <si>
    <t>Red-bellied Pitta</t>
  </si>
  <si>
    <t>Blue-breasted Pitta</t>
  </si>
  <si>
    <t>Revisions of Red-bellied Pitta species complex adapt Irestedt et al. (2013), Collar et al. (2015). E. erythrogaster sensu stricto includes inspeculata and yairocho to avoid paraphyly of these weakly distinct taxa, contra Collar et al. (2015).  Vocals of taxa in this complex desirable.H&amp;M4 ssp group #1. Change English name of erythrogaster from Red-bellied Pitta to Philippine Pitta.</t>
  </si>
  <si>
    <t>Western Hooded Pitta</t>
  </si>
  <si>
    <t>Steere's Pitta</t>
  </si>
  <si>
    <t>Borneo</t>
  </si>
  <si>
    <t>Malay Peninsula, Sumatra, Borneo</t>
  </si>
  <si>
    <t>Golden-bellied Flyeater</t>
  </si>
  <si>
    <t>White-breasted Wood-swallow</t>
  </si>
  <si>
    <t>Artamus leucoryn</t>
  </si>
  <si>
    <t>Small Minivet</t>
  </si>
  <si>
    <t>Pericrocotus flammeus</t>
  </si>
  <si>
    <t>Pericrocotus speciosus is split from P. flammeus (Rasmussen &amp; Anderton 2005).</t>
  </si>
  <si>
    <t>Bar-bellied Cuckoo-shrike</t>
  </si>
  <si>
    <t>McGregor's Cuckoo-shrike</t>
  </si>
  <si>
    <t>Coracina mcgregori</t>
  </si>
  <si>
    <t>White-winged Cuckoo-shrike</t>
  </si>
  <si>
    <t>White-winged Cicadabird</t>
  </si>
  <si>
    <t>Analisoma ostenta</t>
  </si>
  <si>
    <t>Coracina ostenta</t>
  </si>
  <si>
    <t>Blackish Cuckoo-shrike</t>
  </si>
  <si>
    <t>Blackish Cicadabird</t>
  </si>
  <si>
    <t>Analisoma coerulescens</t>
  </si>
  <si>
    <t>Coracina coerulescens</t>
  </si>
  <si>
    <t>Black-bibbed Cuckoo-shrike</t>
  </si>
  <si>
    <t>Black-bibbed Cuckooshrike</t>
  </si>
  <si>
    <t>Coracina mindanensis</t>
  </si>
  <si>
    <t>Northern Black-and-white Triller</t>
  </si>
  <si>
    <t>Coracina melaschistos</t>
  </si>
  <si>
    <t>Moved from Coracina to Lalage following Jønsson et al. 2010, H&amp;M4</t>
  </si>
  <si>
    <t>Correct: Scientific name of the Mangrove Whistler from Pachycephala grisola to P. cinerea (Walters 2003, Dickinson 2003, corregenda 7)</t>
  </si>
  <si>
    <t>Southeast Asia to the Ggreater Sundas</t>
  </si>
  <si>
    <t>Gray-capped Shrike</t>
  </si>
  <si>
    <t>Oriolus isabellae is named after the Philippine province of Isabela (Peter Vercruijsse)</t>
  </si>
  <si>
    <t>Black-naped Oriole is paraphyletic with respect to Eurasian Golden Oriole O.oriolus and Indian Golden Oriole O. kundoo (Jønsson et al. 2010); await full resolution of population splits (Rheindt comm)</t>
  </si>
  <si>
    <t>Dicrurus annectans</t>
  </si>
  <si>
    <t>Original spelling annectans is an incorrectly spelled Latin word and must be emended. Dickinson &amp; Christidis, 2014, HBW.</t>
  </si>
  <si>
    <t>Spangled Drongo</t>
  </si>
  <si>
    <t>Tablas Drongo Dicrurus menagei is split from Hair-crested Drongo species complex D. hottentottus (Allen 2006, Rocamora &amp; Yeatman-Berthelot 2009, BLI 4, Rheindt &amp; Hutchinson 2007 , Rheindt et al. 2010)</t>
  </si>
  <si>
    <t>Blue Fantail</t>
  </si>
  <si>
    <t>Mindanao Blue-Fantail</t>
  </si>
  <si>
    <t>Change English name of Rhipidura superciliaris to Mindanao Fantail with split of Visayan Fantail (Sánchez-González &amp; Moyle 2011)</t>
  </si>
  <si>
    <t>Visayan Blue-Fantail</t>
  </si>
  <si>
    <t>Split Visayan Blue Fantail R. samarensis from [Mindanao] Blue Fantail R. superciliaris (Sánchez-González &amp; Moyle 2011)</t>
  </si>
  <si>
    <t>Split Tablas Fantail R. sauli from Blue-headed Fantail (Sánchez-González &amp; Moyle 2011)</t>
  </si>
  <si>
    <t>Split Visayan Fantail R. albiventris from Blue-headed Fantail (Sánchez-González &amp; Moyle 2011)</t>
  </si>
  <si>
    <t>Pied Fantail</t>
  </si>
  <si>
    <t>Philippine Pied-Fantail</t>
  </si>
  <si>
    <t>Split Philippine Pied Fantail R. nigritorquis from [Malaysian] Pied Fantail (Sánchez-González &amp; Moyle 2011)</t>
  </si>
  <si>
    <t>to Southeast Asia</t>
  </si>
  <si>
    <t>Amur Paradise-Flycatcher</t>
  </si>
  <si>
    <t>Chinese Paradise-flycatcher</t>
  </si>
  <si>
    <t>Amur Paradise Flycatcher is split from Indian [Asian] Paradise Flycatcher (Fabre et al. 2012, Andersen et al. 2015, H&amp;M4, Clements et al. 2015</t>
  </si>
  <si>
    <t>se Asia and Philippines</t>
  </si>
  <si>
    <t>Japanese Paradise-Flycatcher</t>
  </si>
  <si>
    <t>Japanese Paradise-flycatcher</t>
  </si>
  <si>
    <t>Blue Paradise-Flycatcher</t>
  </si>
  <si>
    <t>Blue Paradise-flycatcher</t>
  </si>
  <si>
    <t>Rufous Paradise-Flycatcher</t>
  </si>
  <si>
    <t>Southern Rufous Paradise-flycatcher</t>
  </si>
  <si>
    <t>Periparus elegans</t>
  </si>
  <si>
    <t>Periparus amabilis</t>
  </si>
  <si>
    <t>Parus semilarvatus</t>
  </si>
  <si>
    <t>Singing Bushlark</t>
  </si>
  <si>
    <t>Australasian Bushlark</t>
  </si>
  <si>
    <t>Horsfield's Bushlark</t>
  </si>
  <si>
    <t>Brachypodius atriceps</t>
  </si>
  <si>
    <t>Brachypodius urostictus</t>
  </si>
  <si>
    <t>Poliolophus urostictus</t>
  </si>
  <si>
    <t>Ashy-fronted Bulbul (English name tentative) is split from Olive-winged Bulbul (Oliveros and Moyle 2010)</t>
  </si>
  <si>
    <t>Grey-cheeked Bulbul</t>
  </si>
  <si>
    <t>Gray-throated Bulbul</t>
  </si>
  <si>
    <t>Palawan Bulbul [English name tentative] is split from Grey-cheeked Bulbul (Oliveros and Moyle 2010)</t>
  </si>
  <si>
    <t>MOVE Philippine Bulbul from Ixos to Hypsipetes (Oliveros and Moyle 2010)</t>
  </si>
  <si>
    <t>Mindoro Bulbul is split from Philippine Bulbul (Oliveros and Moyle 2010)</t>
  </si>
  <si>
    <t>Visayan Bulbul is split from Philippine Bulbul (Oliveros and Moyle 2010)</t>
  </si>
  <si>
    <t>MOVE Zamboanga Bulbul from Ixos to Hypsipetes (Oliveros and Moyle 2010)</t>
  </si>
  <si>
    <t>MOVE Streak-breasted Bulbul from Ixos to Hypsipetes (Oliveros and Moyle 2010)</t>
  </si>
  <si>
    <t>MOVE Yellowish Bulbul from Ixos to Hypsipetes (Oliveros and Moyle 2010)</t>
  </si>
  <si>
    <t>Chestnut-eared Bulbul</t>
  </si>
  <si>
    <t>MOVE Brown-eared Bulbul from Microscelis to Hypsipetes (Oliveros and Moyle 2010)</t>
  </si>
  <si>
    <t>Plain Martin</t>
  </si>
  <si>
    <t>Gray-throated Martin</t>
  </si>
  <si>
    <t>Asian Plain Martin</t>
  </si>
  <si>
    <t>Riparia chinensis is split from R. paludicola (Rasmussen &amp; Anderton 2005).</t>
  </si>
  <si>
    <t>Bank Swallow</t>
  </si>
  <si>
    <t>Collared Sand Martin</t>
  </si>
  <si>
    <t>House Swallow</t>
  </si>
  <si>
    <t>Hirundo javanica</t>
  </si>
  <si>
    <t>Asian House-Martin</t>
  </si>
  <si>
    <t>Red-rumped Swallow</t>
  </si>
  <si>
    <t>Cecropis daurica</t>
  </si>
  <si>
    <t>Revert spelling of species epithet to the emended cucullatus.  The original spelling with one "l" is an incorrect spelling of a Latin word intended to mean "hooded" as per the  French vernacular name in the original description "Orthotome Chaperonné". Dickinson &amp; Christidis 2014, HBW.</t>
  </si>
  <si>
    <t>Phyllergates (Orthotomus) heterolaemus is split from P. cucullatus (Ryan et al. 2006, Collar 2007)</t>
  </si>
  <si>
    <t>Luzon Bush-Warbler</t>
  </si>
  <si>
    <t>Philippine Bush-warbler</t>
  </si>
  <si>
    <t>s, se China, Taiwan, se Asia</t>
  </si>
  <si>
    <t>Oriental Bush-Warbler</t>
  </si>
  <si>
    <t>SSP, TAX</t>
  </si>
  <si>
    <t>to s China, se Asia, Philippines</t>
  </si>
  <si>
    <t>Korean Bush-warbler</t>
  </si>
  <si>
    <t>Horornis borealis</t>
  </si>
  <si>
    <t>Unsettled taxonomy (Alström et al. 2011b). Manchurian Bush Warbler was previously restricted to H. borealis; subspecies canturians was treated provisionally as a subspecies of H. diphone. New genetic data support original split of Manchurian Bush Warbler, including canturians and borealis from H. diphone (Rasmussen &amp; Anderton 2005, BLI, Kennerley &amp; Pearson, 2010, Alström et al. unpubl). Epithet canturians has priority over borealis as the species epithet.</t>
  </si>
  <si>
    <t>Ijima's Leaf-Warbler</t>
  </si>
  <si>
    <t>Ijima's Leaf-warbler</t>
  </si>
  <si>
    <t>Philippine Leaf-Warbler</t>
  </si>
  <si>
    <t>Philippine Leaf-warbler</t>
  </si>
  <si>
    <t>Lemon-throated Leaf-Warbler</t>
  </si>
  <si>
    <t>Lemon-throated Leaf-warbler</t>
  </si>
  <si>
    <t>Japanese Leaf-warbler</t>
  </si>
  <si>
    <t>Phylloscopus xanthodryas is split from P. borealis (Saitoh et al. 2010, Alström et al. 2011)</t>
  </si>
  <si>
    <t>Indonesia [poorly known, but type from Bali]</t>
  </si>
  <si>
    <t>Kamchatka Leaf-warbler</t>
  </si>
  <si>
    <t>Phylloscopus examinandus is split from P. borealis (Saitoh et al. 2010, Alström et al. 2011)</t>
  </si>
  <si>
    <t>Southeast Asia, Philippines</t>
  </si>
  <si>
    <t>Includes kennicotti. Treat as monotypic. Alström et al. 2011</t>
  </si>
  <si>
    <t>Seicercus montis</t>
  </si>
  <si>
    <t>Move from Seicercus to Phylloscopus with the merging of the former into the latter. (del Hoyo and Collar 2016, Alström et al. 2018)</t>
  </si>
  <si>
    <t>Mountain Leaf-Warbler</t>
  </si>
  <si>
    <t>Mountain Leaf Warbler</t>
  </si>
  <si>
    <t>Phylloscopus trivirgatus</t>
  </si>
  <si>
    <t>Phylloscopus nigrorum is split from P. trivirgatus (Collar 2007). Philippine Mountain Leaf Warbler?</t>
  </si>
  <si>
    <t>Southeast Asia, AU</t>
  </si>
  <si>
    <t>Oriental Reed-Warbler</t>
  </si>
  <si>
    <t>Oriental Reed-warbler</t>
  </si>
  <si>
    <t>Clamorous Reed-Warbler</t>
  </si>
  <si>
    <t>Black-browed Reed-warbler</t>
  </si>
  <si>
    <t>Streaked Reed-Warbler</t>
  </si>
  <si>
    <t>Streaked Reed Warbler</t>
  </si>
  <si>
    <t>Streaked Reed-warbler</t>
  </si>
  <si>
    <t>Rabor's Wren-Babbler</t>
  </si>
  <si>
    <t>Cordillera Ground-Warbler</t>
  </si>
  <si>
    <t>Cordillera Ground-warbler</t>
  </si>
  <si>
    <t>Change Napothera rabori to Robsonius rabori, and Rabor's Wren-Babbler/Rusty-faced Babbler to Cordillera Ground Warbler (Hosner et al. 2013, see also Collar 2006a, Oliveros et al. 2012)</t>
  </si>
  <si>
    <t>Sierra Madre Ground-Warbler</t>
  </si>
  <si>
    <t>Sierra Madre Ground-warbler</t>
  </si>
  <si>
    <t>Sierra Madre Ground Warbler is a newly described species separated from Cordillera Ground Warbler R. rabori, with revisions of the Robsonius species complex (Hosner et al. 2013)</t>
  </si>
  <si>
    <t>TAX, AS</t>
  </si>
  <si>
    <t>Bicol Ground-Warbler</t>
  </si>
  <si>
    <t>Bicol Ground-warbler</t>
  </si>
  <si>
    <t>Robsonius sorsogonensis is split from R. rabori (Collar 2006a). Change English name from Grey-banded Babbler to Bicol Ground Warbler (Hosner et al. 2013).</t>
  </si>
  <si>
    <t>the islands of SE Asia, New Guinea</t>
  </si>
  <si>
    <t>Gray's Grasshopper-Warbler</t>
  </si>
  <si>
    <t>Gray's Grasshopper-warbler</t>
  </si>
  <si>
    <t>Locustella fasciolata</t>
  </si>
  <si>
    <t>Consider shortening name to Gray's Warbler (Clements 6.5)</t>
  </si>
  <si>
    <t>Pallas's Grasshopper-Warbler</t>
  </si>
  <si>
    <t>Pallas's Grasshopper-warbler</t>
  </si>
  <si>
    <t>Locustella certhiola</t>
  </si>
  <si>
    <t>to Philippines and Borneo</t>
  </si>
  <si>
    <t>Middendorff's Grasshopper-Warbler</t>
  </si>
  <si>
    <t>Middendorff's Grasshopper-warbler</t>
  </si>
  <si>
    <t>Locustella ochotensis</t>
  </si>
  <si>
    <t>Includes subcerthiola. Treat as monotypic. Pearson, 2006</t>
  </si>
  <si>
    <t>Long-tailed Ground-Warbler</t>
  </si>
  <si>
    <t>Long-tailed Grasshopper-warbler</t>
  </si>
  <si>
    <t>Benguet Bush-Warbler</t>
  </si>
  <si>
    <t>Benguet Grasshopper-warbler</t>
  </si>
  <si>
    <t>Megalurus timoriensis</t>
  </si>
  <si>
    <t>Tawny Grassbird moved (8.2) from Megalurus to Cincloramphus (Alström 2011a, Alström et al. 2018)</t>
  </si>
  <si>
    <t>Bright-capped Cisticola</t>
  </si>
  <si>
    <t>Miniature Tit-Babbler</t>
  </si>
  <si>
    <t>Leyte Plumed-Warbler</t>
  </si>
  <si>
    <t>Change  English name of Micromacronus leytensis from Miniature Babbler to Visayan Miniature Babbler with split of M. sordidus</t>
  </si>
  <si>
    <t>Mindanao Plumed-Warbler</t>
  </si>
  <si>
    <t>Micromacronus sordidus is split from M. leytensis (Collar 2006a,  BLI)</t>
  </si>
  <si>
    <t>Visayan Tailorbird</t>
  </si>
  <si>
    <t>Chestnut-crowned Tailorbird</t>
  </si>
  <si>
    <t>Green-backed Tailorbird</t>
  </si>
  <si>
    <t>Orthotomus chloronotus is split from O. castaneiceps (Sheldon et al. 2012)</t>
  </si>
  <si>
    <t>Orthotomus frontalis is split from O. castaneiceps (Ryan et al. 2006)</t>
  </si>
  <si>
    <t>Gray-backed Tailorbird</t>
  </si>
  <si>
    <t>White-browed Tailorbird</t>
  </si>
  <si>
    <t>Striped Tit-Babbler</t>
  </si>
  <si>
    <t>Mixornis gularis</t>
  </si>
  <si>
    <t>Change  English name of Macronus gularis from Striped Tit-Babbler to Pin-striped Tit-Babbler with split of M. bornensis</t>
  </si>
  <si>
    <t>PL</t>
  </si>
  <si>
    <t>Mixornis bornensis</t>
  </si>
  <si>
    <t>Macronus bornensis is split from M. gularis (Collar 2006a, BLI 1.0), but see Cros &amp; Rheindt 2016.</t>
  </si>
  <si>
    <t>Streaked Ground-Babbler</t>
  </si>
  <si>
    <t>Falcated Ground-Babbler</t>
  </si>
  <si>
    <t>Pellorneum cinereiceps</t>
  </si>
  <si>
    <t>Trichastoma cinereiceps</t>
  </si>
  <si>
    <t>Palawan Babbler</t>
  </si>
  <si>
    <t>Separate 5 species of Philippine Stachyris babblers to Zosterornis in the Zosteropidae (Moyle et al. 2009)</t>
  </si>
  <si>
    <t>Luzon Striped-Babbler</t>
  </si>
  <si>
    <t>Panay Striped-Babbler</t>
  </si>
  <si>
    <t>Negros Striped-Babbler</t>
  </si>
  <si>
    <t>Palawan Striped-Babbler</t>
  </si>
  <si>
    <t>TAX, PHY</t>
  </si>
  <si>
    <t>Separate Flame-templed Babbler from Stachyris to Dasycrotapha (Collar &amp; Robson 2007, BLI); move to Zosteropidae (Moyle et al. 2009)</t>
  </si>
  <si>
    <t>ENG, PHY</t>
  </si>
  <si>
    <t>Pygmy Babbler</t>
  </si>
  <si>
    <t>Mindanao Pygmy-Babbler</t>
  </si>
  <si>
    <t>Change  English name of Stachyris plateni from Pygmy Babbler to Mindanao Pygmy Babbler with split of S. pygmaea (Collar 2006a). Reclassify Stachyris plateni to Dasycrotapha in the Zosteropidae (Cibois 2003, Moyle et al. 2009)</t>
  </si>
  <si>
    <t>AS, PHY</t>
  </si>
  <si>
    <t>Visayan Pygmy-Babbler</t>
  </si>
  <si>
    <t>Stachyris pygmaea is split from S. plateni (Collar 2006a, BLI 1.0).Reclassify Stachyris pygmaea to Dasycrotapha in the Zosteropidae (Cibois 2003, Moyle et al. 2009)</t>
  </si>
  <si>
    <t>Reclassify Stachyris dennistouni to Sterrhoptilus in the Zosteropidae (Cibois 2003, Moyle et al. 2009)</t>
  </si>
  <si>
    <t>Reclassify Stachyris nigrocapitata to Sterrhoptilus in the Zosteropidae (Cibois 2003, Moyle et al. 2009)</t>
  </si>
  <si>
    <t>Reclassify Stachyris capitalis to Sterrhoptilus in the Zosteropidae (Cibois 2003, Moyle et al. 2009)</t>
  </si>
  <si>
    <t>Black-masked White-eye</t>
  </si>
  <si>
    <t>Heleia goodfellowi</t>
  </si>
  <si>
    <t>ENG, AL</t>
  </si>
  <si>
    <t>Japanese White-eye</t>
  </si>
  <si>
    <t>Mountain White-eye</t>
  </si>
  <si>
    <t>Zosterops montanus</t>
  </si>
  <si>
    <t>Mountain White-eye Z. montanus subsumed (9.1) in Z. japonicus  (Lim et al. 2018). Change English name  of Z. japonicus from Japanese White-eye to Warbling White-eye following merger of  Z. montanus with Z. japonicus</t>
  </si>
  <si>
    <t>Everett's White-eye becomes a Philippine endemic with assignment of subspecies tahaensis and wetmorei to Z. auriventer</t>
  </si>
  <si>
    <t>Palawan Fairy-bluebird</t>
  </si>
  <si>
    <t>Irena tweeddalii</t>
  </si>
  <si>
    <t>Short-tailed Glossy Starling</t>
  </si>
  <si>
    <t>Goodfellowia miranda</t>
  </si>
  <si>
    <t>Hill Myna</t>
  </si>
  <si>
    <t>Silky Starling</t>
  </si>
  <si>
    <t>Grey Starling</t>
  </si>
  <si>
    <t>Purple-backed Starling</t>
  </si>
  <si>
    <t>Philippines, Sulawesi, Borneo</t>
  </si>
  <si>
    <t>India, Sri Lanka</t>
  </si>
  <si>
    <t>European Starling</t>
  </si>
  <si>
    <t>Stripe-sided Rhabdornis</t>
  </si>
  <si>
    <t>Change  English name of Rhabdornis species from "Creeper" to "Rhabdornis" to update to current usage</t>
  </si>
  <si>
    <t>Long-billed Rhabdornis</t>
  </si>
  <si>
    <t>Change English name of Rhabdornis grandis to Grand Rhabdornis adopted in Kennedy (2000) and HBW</t>
  </si>
  <si>
    <t>Chestnut-capped Ground-Thrush</t>
  </si>
  <si>
    <t>Ashy Ground-Thrush</t>
  </si>
  <si>
    <t>Sunda Ground-Thrush</t>
  </si>
  <si>
    <t>Taiwan, Southeast Asia</t>
  </si>
  <si>
    <t>Scaly Ground-Thrush</t>
  </si>
  <si>
    <t>Chinese Blackbird T. mandarinus incl sowerbyi, but not intermedius, is split from Common/Eurasian Blackbird (Rasmussen &amp; Anderton 2005, Robson 2008, Collar 2005, Nylander et al. 2008, H&amp;M4)</t>
  </si>
  <si>
    <t>Japan, Taiwan and se China</t>
  </si>
  <si>
    <t>India to Japan</t>
  </si>
  <si>
    <t>Oriental Magpie-Robin</t>
  </si>
  <si>
    <t>Philippine Magpie-Robin C. mindanensis is split from Oriental Magpie-Robin C. saularis (Sheldon et al. 2011)</t>
  </si>
  <si>
    <t>Kittacincla luzoniensis</t>
  </si>
  <si>
    <t>Kittacincla nigra</t>
  </si>
  <si>
    <t>Kittacincla cebuensis</t>
  </si>
  <si>
    <t>Philippines to New Guinea</t>
  </si>
  <si>
    <t>Gray-streaked Flycatcher</t>
  </si>
  <si>
    <t>Debates continue re correct species epithet. M. latirostris vs. M.  dauurica (see Mlíkovský 2012, Dickinson et al. 2014)</t>
  </si>
  <si>
    <t>Blue-breasted Flycatcher</t>
  </si>
  <si>
    <t>Blue-breasted Blue-flycatcher</t>
  </si>
  <si>
    <t>Palawan Blue-flycatcher</t>
  </si>
  <si>
    <t>Mangrove Blue-flycatcher</t>
  </si>
  <si>
    <t>Rufous-tailed Jungle-Flycatcher</t>
  </si>
  <si>
    <t>Chestnut-tailed Jungle-Flycatcher</t>
  </si>
  <si>
    <t>Rufous-tailed Jungle-flycatcher</t>
  </si>
  <si>
    <t>Southeast Asia through Java, Philippines</t>
  </si>
  <si>
    <t>Zappey's Flycatcher, a c China breeding endemic, is split from Blue-and-white Flycatcher C. cyanomela (Leader &amp; Carey, 2012).</t>
  </si>
  <si>
    <t>Mountain Verditer-Flycatcher</t>
  </si>
  <si>
    <t>PHY, SEQ</t>
  </si>
  <si>
    <t>Bagobo Robin</t>
  </si>
  <si>
    <t>Genus Leonardina transferred from Pellorneidae to Muscicapidae/Saxicolinae  (Sangster et al. 2010, Zuccon &amp; Ericson 2010)</t>
  </si>
  <si>
    <t>Philippine Shortwing</t>
  </si>
  <si>
    <t>Brachypteryx poliogyna</t>
  </si>
  <si>
    <t>Multiple species in this complex remain to be separated; Philippine taxa will be split from mainland and Indonesian taxa (HBW Alive, Eaton and Rheindt 2016, Kyriazis et al. 2018)</t>
  </si>
  <si>
    <t>White-throated Jungle-Flycatcher</t>
  </si>
  <si>
    <t>Negros Jungle-Flycatcher</t>
  </si>
  <si>
    <t>White-throated Jungle-flycatcher</t>
  </si>
  <si>
    <t>Luzon Jungle-Flycatcher</t>
  </si>
  <si>
    <t>Rusty-flanked Jungle-Flycatcher</t>
  </si>
  <si>
    <t>White-browed Jungle-flycatcher</t>
  </si>
  <si>
    <t>Goodfellow's Jungle-Flycatcher</t>
  </si>
  <si>
    <t>Mindanao Jungle-Flycatcher</t>
  </si>
  <si>
    <t>Slaty-backed Jungle-flycatcher</t>
  </si>
  <si>
    <t>Luscinia cyane</t>
  </si>
  <si>
    <t>OR, n AF</t>
  </si>
  <si>
    <t>Cyanecula svecica</t>
  </si>
  <si>
    <t>se Asia, Japan, Taiwan</t>
  </si>
  <si>
    <t>Orange-flanked Bush-robin</t>
  </si>
  <si>
    <t>Southeast Asia through Java</t>
  </si>
  <si>
    <t>Southeast Asia through Borneo</t>
  </si>
  <si>
    <t>Red-breasted Flycatcher</t>
  </si>
  <si>
    <t>Red-throated Flycatcher</t>
  </si>
  <si>
    <t>Snowy-browed Flycatcher</t>
  </si>
  <si>
    <t>Thicket Flycatcher</t>
  </si>
  <si>
    <t>Bundok Flycatcher is split from unrelated Snowy-browed Flycatcher F. hyperythra (Moyle et al. 2015).</t>
  </si>
  <si>
    <t>s China, ne India</t>
  </si>
  <si>
    <t>Luzon Water-Redstart</t>
  </si>
  <si>
    <t>Luzon Redstart</t>
  </si>
  <si>
    <t>Luzon Water-redstart</t>
  </si>
  <si>
    <t>Rhyacornis bicolor</t>
  </si>
  <si>
    <t>Blue Rock-Thrush</t>
  </si>
  <si>
    <t>Blue Rock-thrush</t>
  </si>
  <si>
    <t>Siberian Stonechat</t>
  </si>
  <si>
    <t>Saxicola maurus stejnegeri</t>
  </si>
  <si>
    <t>Split (IOC 2.4) based on Zink et al. 2009 mtDNA analysis, but may be premature; further resolution of this stonechat complex is needed</t>
  </si>
  <si>
    <t>Pied Bushchat</t>
  </si>
  <si>
    <t>Thick-billed Flowerpecker</t>
  </si>
  <si>
    <t>Dicaeum agile</t>
  </si>
  <si>
    <t>Yellow-crowned Flowerpecker</t>
  </si>
  <si>
    <t>Bicoloured Flowerpecker</t>
  </si>
  <si>
    <t>White-bellied Flowerpecker</t>
  </si>
  <si>
    <t>Fire-throated Flowerpecker</t>
  </si>
  <si>
    <t>Dicaeum luzoniense</t>
  </si>
  <si>
    <t>Plain-throated Sunbird</t>
  </si>
  <si>
    <t>Anthreptes griseigularis is split from Anthreptes malacensis (Cheke and Mann 2008)</t>
  </si>
  <si>
    <t>Gray-hooded Sunbird</t>
  </si>
  <si>
    <t>Here treated as monotypic. Includes decolor which is weakly differentiated and may not even be separable. Cheke &amp; Mann 2001, 2008. Hosner et al. 2013.</t>
  </si>
  <si>
    <t>Maroon-naped Sunbird A. guimarasensis, including daphoenonota, is split from Flaming Sunbird A. flagrans (Hosner et al. 2013)</t>
  </si>
  <si>
    <t>Mountain Sunbird</t>
  </si>
  <si>
    <t>Luzon Sunbird A. jefferyi is split from Metallic-winged Sunbird A. pulcherrima (Hosner et al. 2013)</t>
  </si>
  <si>
    <t>Bohol Sunbird A. decorosa is split from Metallic-winged Sunbird A. pulcherrima (Hosner et al. 2013)</t>
  </si>
  <si>
    <t>Crimson Sunbird</t>
  </si>
  <si>
    <t>Magnificent Sunbird A. magnifica is split from Crimson Sunbird A. siparaja (Hosner et al. 2013)</t>
  </si>
  <si>
    <t>Little Spiderhunter</t>
  </si>
  <si>
    <t>Orange-tufted Spiderhunter is split from Little Spiderhunter ( Lohman et al. 2010, Rahman et al. 2010)</t>
  </si>
  <si>
    <t>Palawan Spiderhunter</t>
  </si>
  <si>
    <t>Pale Spiderhunter of Palawan is split from Little Spiderhunter  (Lohman et al. 2010, Rahman et al. 2010)</t>
  </si>
  <si>
    <t>Cinnamon Ibon is not a white-eye, but instead an ancient lineage (subfamily) of Old World sparrows (Passeridae) (Moyle et al. 2009, Fjeldsa et al. 2010)</t>
  </si>
  <si>
    <t>Chestnut Munia is split from Tricolored Munia L. malacca ( Restall 1997, Rasmussen &amp; Anderton 2005)</t>
  </si>
  <si>
    <t>to India and Indonesia</t>
  </si>
  <si>
    <t>Yellow Wagtail</t>
  </si>
  <si>
    <t>Subspecies follow Alström &amp; Mild, 2003</t>
  </si>
  <si>
    <t>Gray Wagtail</t>
  </si>
  <si>
    <t>Treated as monotypic following Alström &amp; Mild, 2003.</t>
  </si>
  <si>
    <t>Olive Tree-Pipit</t>
  </si>
  <si>
    <t>Philippines to Lesser Sundas</t>
  </si>
  <si>
    <t>Yellow-billed Grosbeak</t>
  </si>
  <si>
    <t>Change  English name of Eophona migratoria from Yellow-billed Grosbeak to Chinese Grosbeak</t>
  </si>
  <si>
    <t>Mindanao Serin</t>
  </si>
  <si>
    <t>Chrysocorythus mindanensis</t>
  </si>
  <si>
    <t>Previously in Serinus, Mountain Serin is assigned to Chrysocorythus (Zuccon et al. 2012)</t>
  </si>
  <si>
    <t>to n Africa, the Middle East and s China</t>
  </si>
  <si>
    <t>India</t>
  </si>
  <si>
    <t>Phil Ssp</t>
  </si>
  <si>
    <t>SubSpecies Scientific Name</t>
  </si>
  <si>
    <t>Authority</t>
  </si>
  <si>
    <t>Schlegel, 1866</t>
  </si>
  <si>
    <t>(Horsfield, 1824)</t>
  </si>
  <si>
    <t>2_1</t>
  </si>
  <si>
    <t>ssp</t>
  </si>
  <si>
    <t>arcuata</t>
  </si>
  <si>
    <t>Philippines to Indonesia</t>
  </si>
  <si>
    <t>2_2</t>
  </si>
  <si>
    <t>pygmaea</t>
  </si>
  <si>
    <t>Mayr, 1945</t>
  </si>
  <si>
    <t>New Britain I.  (Bismarck Arch.)</t>
  </si>
  <si>
    <t>2_3</t>
  </si>
  <si>
    <t>australis</t>
  </si>
  <si>
    <t>Reichenbach, 1850</t>
  </si>
  <si>
    <t>s New Guinea, n and e Australia</t>
  </si>
  <si>
    <t>(Linnaeus, 1758)</t>
  </si>
  <si>
    <t>3_1</t>
  </si>
  <si>
    <t>nigricans</t>
  </si>
  <si>
    <t>(Lawrence, 1846)</t>
  </si>
  <si>
    <t>ne Siberia, Alaska, nw Canada</t>
  </si>
  <si>
    <t>e Asia, w North America</t>
  </si>
  <si>
    <t>3_2</t>
  </si>
  <si>
    <t>bernicla</t>
  </si>
  <si>
    <t>nw and nc Russia</t>
  </si>
  <si>
    <t>nw Europe</t>
  </si>
  <si>
    <t>3_3</t>
  </si>
  <si>
    <t>hrota</t>
  </si>
  <si>
    <t>(Müller, OF, 1776)</t>
  </si>
  <si>
    <t>ne Canada, Greenland, Spitzbergen</t>
  </si>
  <si>
    <t>ne USA</t>
  </si>
  <si>
    <t>(Latham, 1787)</t>
  </si>
  <si>
    <t>4_1</t>
  </si>
  <si>
    <t>fabalis</t>
  </si>
  <si>
    <t>Scandinavia to nc Siberia</t>
  </si>
  <si>
    <t>c and s Europe, sw Asia</t>
  </si>
  <si>
    <t>4_2</t>
  </si>
  <si>
    <t>johanseni</t>
  </si>
  <si>
    <t>Delacour, 1951</t>
  </si>
  <si>
    <t>w Siberia</t>
  </si>
  <si>
    <t>c and sc Asia</t>
  </si>
  <si>
    <t>4_3</t>
  </si>
  <si>
    <t>middendorffii</t>
  </si>
  <si>
    <t>Severtsov, 1873</t>
  </si>
  <si>
    <t>e Siberia</t>
  </si>
  <si>
    <t>e China, Korea, Japan</t>
  </si>
  <si>
    <t>Gould, 1852</t>
  </si>
  <si>
    <t>5_1</t>
  </si>
  <si>
    <t>rossicus</t>
  </si>
  <si>
    <t>Buturlin, 1933</t>
  </si>
  <si>
    <t>n Russia, nw Siberia</t>
  </si>
  <si>
    <t>w and c  Europe, sw Asia</t>
  </si>
  <si>
    <t>5_2</t>
  </si>
  <si>
    <t>serrirostris</t>
  </si>
  <si>
    <t>ne Siberia</t>
  </si>
  <si>
    <t>China, Korea, Japan</t>
  </si>
  <si>
    <t>(Scopoli, 1769)</t>
  </si>
  <si>
    <t>6_1</t>
  </si>
  <si>
    <t>flavirostris</t>
  </si>
  <si>
    <t>Dalgety &amp; Scott, P, 1948</t>
  </si>
  <si>
    <t>w Greenland</t>
  </si>
  <si>
    <t>Ireland, Scotland</t>
  </si>
  <si>
    <t>6_2</t>
  </si>
  <si>
    <t>albifrons</t>
  </si>
  <si>
    <t>n Russia</t>
  </si>
  <si>
    <t>w Europe to e Asia</t>
  </si>
  <si>
    <t>6_3</t>
  </si>
  <si>
    <t>elgasi</t>
  </si>
  <si>
    <t>Delacour &amp; Ripley, 1975</t>
  </si>
  <si>
    <t>s Alaska (USA)</t>
  </si>
  <si>
    <t>n,c California (USA)</t>
  </si>
  <si>
    <t>6_4</t>
  </si>
  <si>
    <t>gambelli</t>
  </si>
  <si>
    <t>Hartlaub, 1852</t>
  </si>
  <si>
    <t>Alaska, nw and nc Canada</t>
  </si>
  <si>
    <t>s USA, n Mexico</t>
  </si>
  <si>
    <t>6_5</t>
  </si>
  <si>
    <t>sponsa</t>
  </si>
  <si>
    <t>Banks, 2011</t>
  </si>
  <si>
    <t>w Alaska (USA)</t>
  </si>
  <si>
    <t>California (USA), w Mexico</t>
  </si>
  <si>
    <t>(Ord, 1815)</t>
  </si>
  <si>
    <t>7_1</t>
  </si>
  <si>
    <t>columbianus</t>
  </si>
  <si>
    <t>Alaska, n Canada</t>
  </si>
  <si>
    <t>e and w coast of USA</t>
  </si>
  <si>
    <t>7_2</t>
  </si>
  <si>
    <t>bewickii</t>
  </si>
  <si>
    <t>Yarrell, 1830</t>
  </si>
  <si>
    <t>n Eurasia</t>
  </si>
  <si>
    <t>w Europe to e and s Asia</t>
  </si>
  <si>
    <t>(Pallas, 1764)</t>
  </si>
  <si>
    <t>(Gmelin, JF, 1789)</t>
  </si>
  <si>
    <t>11_1</t>
  </si>
  <si>
    <t>coromandelianus</t>
  </si>
  <si>
    <t>India to s China, Indonesia and New Guinea</t>
  </si>
  <si>
    <t>11_2</t>
  </si>
  <si>
    <t>albipennis</t>
  </si>
  <si>
    <t>Gould, 1842</t>
  </si>
  <si>
    <t>ne Australia</t>
  </si>
  <si>
    <t>(Georgi, 1775)</t>
  </si>
  <si>
    <t>15_1</t>
  </si>
  <si>
    <t>strepera</t>
  </si>
  <si>
    <t>n, c EU, NA</t>
  </si>
  <si>
    <t>15_2</t>
  </si>
  <si>
    <t>couesi</t>
  </si>
  <si>
    <t>(Streets, 1876)</t>
  </si>
  <si>
    <t>Tabuaeran Is. (Kiribati)</t>
  </si>
  <si>
    <t>Fraser, 1839</t>
  </si>
  <si>
    <t>Swinhoe, 1866</t>
  </si>
  <si>
    <t>Linnaeus, 1758</t>
  </si>
  <si>
    <t>20_1</t>
  </si>
  <si>
    <t>platyrhynchos</t>
  </si>
  <si>
    <t>Europe, Asia, North America</t>
  </si>
  <si>
    <t>n Africa, India, s USA, Mexico</t>
  </si>
  <si>
    <t>20_2</t>
  </si>
  <si>
    <t>conboschas</t>
  </si>
  <si>
    <t>Brehm, CL, 1831</t>
  </si>
  <si>
    <t>Greenland</t>
  </si>
  <si>
    <t>(Radde, 1863)</t>
  </si>
  <si>
    <t>(Güldenstädt, 1770)</t>
  </si>
  <si>
    <t>(Linnaeus, 1761)</t>
  </si>
  <si>
    <t>27_1</t>
  </si>
  <si>
    <t>marila</t>
  </si>
  <si>
    <t>Europe and Asia south to Mediterranean, India</t>
  </si>
  <si>
    <t>27_2</t>
  </si>
  <si>
    <t>nearctica</t>
  </si>
  <si>
    <t>Stejneger, 1885</t>
  </si>
  <si>
    <t>ne Asia, n North America</t>
  </si>
  <si>
    <t>e Asia, s USA</t>
  </si>
  <si>
    <t>Gould, 1864</t>
  </si>
  <si>
    <t>Dillwyn, 1853</t>
  </si>
  <si>
    <t>29_1</t>
  </si>
  <si>
    <t>cumingii</t>
  </si>
  <si>
    <t>Islets off e Borneo, Balabac, Palawan, the Calamianes and Sulu Is.</t>
  </si>
  <si>
    <t>29_2</t>
  </si>
  <si>
    <t>dillwyni</t>
  </si>
  <si>
    <t>Tweeddale, 1878</t>
  </si>
  <si>
    <t>Luzon, Mindoro, Marinduque and nearby islands</t>
  </si>
  <si>
    <t>29_3</t>
  </si>
  <si>
    <t>pusillus</t>
  </si>
  <si>
    <t>w and e Visayas, w Mindanao and Basilan</t>
  </si>
  <si>
    <t>29_4</t>
  </si>
  <si>
    <t>tabon</t>
  </si>
  <si>
    <t>Hachisuka, 1931</t>
  </si>
  <si>
    <t>e Mindanao</t>
  </si>
  <si>
    <t>29_5</t>
  </si>
  <si>
    <t>gilbertii</t>
  </si>
  <si>
    <t>Gray, GR, 1862</t>
  </si>
  <si>
    <t>Sulawesi and Togian Is.</t>
  </si>
  <si>
    <t>29_6</t>
  </si>
  <si>
    <t>sanghirensis</t>
  </si>
  <si>
    <t>Schlegel, 1880</t>
  </si>
  <si>
    <t>Sangihe Is.</t>
  </si>
  <si>
    <t>29_7</t>
  </si>
  <si>
    <t>talautensis</t>
  </si>
  <si>
    <t>Roselaar, 1994</t>
  </si>
  <si>
    <t>Talaud Is.</t>
  </si>
  <si>
    <t>(Scopoli, 1786)</t>
  </si>
  <si>
    <t>30_1</t>
  </si>
  <si>
    <t>phayrei</t>
  </si>
  <si>
    <t>(Blyth, 1843)</t>
  </si>
  <si>
    <t>ne India to s China and Indochina</t>
  </si>
  <si>
    <t>30_2</t>
  </si>
  <si>
    <t>pintadeanus</t>
  </si>
  <si>
    <t>(Pallas, 1811)</t>
  </si>
  <si>
    <t>31_1</t>
  </si>
  <si>
    <t>dauurica</t>
  </si>
  <si>
    <t>e Kazakhstan to Mongolia and n China</t>
  </si>
  <si>
    <t>31_2</t>
  </si>
  <si>
    <t>suschkini</t>
  </si>
  <si>
    <t>Poliakov, 1915</t>
  </si>
  <si>
    <t>ne China, Russian Far East</t>
  </si>
  <si>
    <t>Temminck &amp; Schlegel, 1849</t>
  </si>
  <si>
    <t>(Linnaeus, 1766)</t>
  </si>
  <si>
    <t>33_1</t>
  </si>
  <si>
    <t>chinensis</t>
  </si>
  <si>
    <t>India to Sri Lanka, Malay Pen., Sumatra, Java, Indochina, se China and Taiwan</t>
  </si>
  <si>
    <t>Includes palmeri. Mees, 2006.</t>
  </si>
  <si>
    <t>33_2</t>
  </si>
  <si>
    <t>trinkutensis</t>
  </si>
  <si>
    <t>Richmond, 1902</t>
  </si>
  <si>
    <t>Nicobar Is.</t>
  </si>
  <si>
    <t>33_3</t>
  </si>
  <si>
    <t>lineata</t>
  </si>
  <si>
    <t>Philippines, Borneo, Lesser Sundas, Sulawesi, Moluccas</t>
  </si>
  <si>
    <t>33_4</t>
  </si>
  <si>
    <t>lepida</t>
  </si>
  <si>
    <t>Hartlaub, 1879</t>
  </si>
  <si>
    <t>New Guinea, Bismarck Arch.</t>
  </si>
  <si>
    <t>Includes novaeguineae and papuensis. Beehler &amp; Pratt 2016</t>
  </si>
  <si>
    <t>33_5</t>
  </si>
  <si>
    <t>Gould, 1865</t>
  </si>
  <si>
    <t>33_6</t>
  </si>
  <si>
    <t>colletti</t>
  </si>
  <si>
    <t>Mathews, 1912</t>
  </si>
  <si>
    <t>n Australia</t>
  </si>
  <si>
    <t>34_1</t>
  </si>
  <si>
    <t>murghi</t>
  </si>
  <si>
    <t>Robinson &amp; Kloss, 1920</t>
  </si>
  <si>
    <t>n India, Nepal, Bhutan, Bangladesh</t>
  </si>
  <si>
    <t>34_2</t>
  </si>
  <si>
    <t>spadiceus</t>
  </si>
  <si>
    <t>(Bonnaterre, 1792)</t>
  </si>
  <si>
    <t>ne India to s China, Malay Pen. and n Sumatra</t>
  </si>
  <si>
    <t>34_3</t>
  </si>
  <si>
    <t>jabouillei</t>
  </si>
  <si>
    <t>Delacour &amp; Kinnear, 1928</t>
  </si>
  <si>
    <t>s China to n Vietnam and n Laos</t>
  </si>
  <si>
    <t>34_4</t>
  </si>
  <si>
    <t>gallus</t>
  </si>
  <si>
    <t>s Myanmar through Indochina</t>
  </si>
  <si>
    <t>34_5</t>
  </si>
  <si>
    <t>bankiva</t>
  </si>
  <si>
    <t>Temminck, 1813</t>
  </si>
  <si>
    <t>Java</t>
  </si>
  <si>
    <t>Lesson, R, 1831</t>
  </si>
  <si>
    <t>(Rothschild, 1893)</t>
  </si>
  <si>
    <t>(Swinhoe, 1867)</t>
  </si>
  <si>
    <t>(Vieillot, 1818)</t>
  </si>
  <si>
    <t>38_1</t>
  </si>
  <si>
    <t>leucorhoa</t>
  </si>
  <si>
    <t>coasts of the N Pacific and the N Atlantic</t>
  </si>
  <si>
    <t>38_2</t>
  </si>
  <si>
    <t>chapmani</t>
  </si>
  <si>
    <t>von Berlepsch, 1906</t>
  </si>
  <si>
    <t>Coronados and San Benito Is.  (w Mexico)</t>
  </si>
  <si>
    <t>(Schlegel, 1863)</t>
  </si>
  <si>
    <t>39_1</t>
  </si>
  <si>
    <t>neglecta</t>
  </si>
  <si>
    <t>New Zealand to Easter I.</t>
  </si>
  <si>
    <t>39_2</t>
  </si>
  <si>
    <t>juana</t>
  </si>
  <si>
    <t>Mathews, 1936</t>
  </si>
  <si>
    <t>Juan Fernandez, San Ambrosio and San Felix Is.  (Chile)</t>
  </si>
  <si>
    <t>(Ridgway, 1884)</t>
  </si>
  <si>
    <t>(Salvin, 1888)</t>
  </si>
  <si>
    <t>(Peale, 1849)</t>
  </si>
  <si>
    <t>42_1</t>
  </si>
  <si>
    <t>rostrata</t>
  </si>
  <si>
    <t>Marquesas and Society Is.</t>
  </si>
  <si>
    <t>42_2</t>
  </si>
  <si>
    <t>trouessarti</t>
  </si>
  <si>
    <t>(Brasil, L, 1917)</t>
  </si>
  <si>
    <t>New Caledonia</t>
  </si>
  <si>
    <t>(Temminck, 1836)</t>
  </si>
  <si>
    <t>(Jardine &amp; Selby, 1828)</t>
  </si>
  <si>
    <t>47_1</t>
  </si>
  <si>
    <t>ruficollis</t>
  </si>
  <si>
    <t>Europe to the Ural Mts. and nw Africa</t>
  </si>
  <si>
    <t>47_2</t>
  </si>
  <si>
    <t>albescens</t>
  </si>
  <si>
    <t>(Blanford, 1877)</t>
  </si>
  <si>
    <t>Caucasus to Myanmar and Sri Lanka</t>
  </si>
  <si>
    <t>47_3</t>
  </si>
  <si>
    <t>iraquensis</t>
  </si>
  <si>
    <t>(Ticehurst, 1923)</t>
  </si>
  <si>
    <t>Iraq, sw Iran</t>
  </si>
  <si>
    <t>47_4</t>
  </si>
  <si>
    <t>capensis</t>
  </si>
  <si>
    <t>(Salvadori, 1884)</t>
  </si>
  <si>
    <t>Africa s of the Sahara, Madagascar</t>
  </si>
  <si>
    <t>47_5</t>
  </si>
  <si>
    <t>poggei</t>
  </si>
  <si>
    <t>(Reichenow, 1902)</t>
  </si>
  <si>
    <t>ne to se Asia, Kuril Is., Japan, Taiwan</t>
  </si>
  <si>
    <t>47_6</t>
  </si>
  <si>
    <t>philippensis</t>
  </si>
  <si>
    <t>(Bonnaterre, 1790)</t>
  </si>
  <si>
    <t>Philippines  (except Mindanao)</t>
  </si>
  <si>
    <t>47_7</t>
  </si>
  <si>
    <t>cotabato</t>
  </si>
  <si>
    <t>(Rand, 1948)</t>
  </si>
  <si>
    <t>Mindanao  (Philippines)</t>
  </si>
  <si>
    <t>48_1</t>
  </si>
  <si>
    <t>nigricollis</t>
  </si>
  <si>
    <t>Eurasia</t>
  </si>
  <si>
    <t>48_2</t>
  </si>
  <si>
    <t>gurneyi</t>
  </si>
  <si>
    <t>(Roberts, 1919)</t>
  </si>
  <si>
    <t>Africa south of the Sahara</t>
  </si>
  <si>
    <t>48_3</t>
  </si>
  <si>
    <t>californicus</t>
  </si>
  <si>
    <t>Heermann, 1854</t>
  </si>
  <si>
    <t>North America</t>
  </si>
  <si>
    <t>Boddaert, 1783</t>
  </si>
  <si>
    <t>49_1</t>
  </si>
  <si>
    <t>rubricauda</t>
  </si>
  <si>
    <t>w Indian Ocean</t>
  </si>
  <si>
    <t>49_2</t>
  </si>
  <si>
    <t>westralis</t>
  </si>
  <si>
    <t>e Indian Ocean</t>
  </si>
  <si>
    <t>49_3</t>
  </si>
  <si>
    <t>roseotinctus</t>
  </si>
  <si>
    <t>(Mathews, 1926)</t>
  </si>
  <si>
    <t>sw Pacific</t>
  </si>
  <si>
    <t>49_4</t>
  </si>
  <si>
    <t>melanorhynchos</t>
  </si>
  <si>
    <t>Gmelin, JF, 1789</t>
  </si>
  <si>
    <t>w, c and s Pacific</t>
  </si>
  <si>
    <t>Daudin, 1802</t>
  </si>
  <si>
    <t>50_1</t>
  </si>
  <si>
    <t>catesbyi</t>
  </si>
  <si>
    <t>von Brandt, JF, 1838</t>
  </si>
  <si>
    <t>West Indies, Bermuda</t>
  </si>
  <si>
    <t>50_2</t>
  </si>
  <si>
    <t>ascensionis</t>
  </si>
  <si>
    <t>(Mathews, 1915)</t>
  </si>
  <si>
    <t>tropical s Atlantic</t>
  </si>
  <si>
    <t>50_3</t>
  </si>
  <si>
    <t>lepturus</t>
  </si>
  <si>
    <t>Indian Ocean</t>
  </si>
  <si>
    <t>50_4</t>
  </si>
  <si>
    <t>europae</t>
  </si>
  <si>
    <t>Le Corre &amp; Jouventin, 1999</t>
  </si>
  <si>
    <t>Europa I. (Mozambique Channel)</t>
  </si>
  <si>
    <t>50_5</t>
  </si>
  <si>
    <t>fulvus</t>
  </si>
  <si>
    <t>Christmas I.  (Indian Ocean)</t>
  </si>
  <si>
    <t>50_6</t>
  </si>
  <si>
    <t>dorotheae</t>
  </si>
  <si>
    <t>Mathews, 1913</t>
  </si>
  <si>
    <t>tropical w Pacific</t>
  </si>
  <si>
    <t>(Boddaert, 1783)</t>
  </si>
  <si>
    <t>52_1</t>
  </si>
  <si>
    <t>microscelis</t>
  </si>
  <si>
    <t>Gray, GR, 1848</t>
  </si>
  <si>
    <t>52_2</t>
  </si>
  <si>
    <t>episcopus</t>
  </si>
  <si>
    <t>India to  Indochina, the Philippines and Malay Pen., n Sumatra</t>
  </si>
  <si>
    <t>52_3</t>
  </si>
  <si>
    <t>(Finsch, 1904)</t>
  </si>
  <si>
    <t>s Sumatra, Java, Lesser Sundas, Sulawesi</t>
  </si>
  <si>
    <t>Swinhoe, 1873</t>
  </si>
  <si>
    <t>(Latham, 1790)</t>
  </si>
  <si>
    <t>56_1</t>
  </si>
  <si>
    <t>leucorodia</t>
  </si>
  <si>
    <t>Europe to n China, India and Sri Lanka</t>
  </si>
  <si>
    <t>n Africa, s Asia</t>
  </si>
  <si>
    <t>56_2</t>
  </si>
  <si>
    <t>balsaci</t>
  </si>
  <si>
    <t>Naurois &amp; Roux, 1974</t>
  </si>
  <si>
    <t>w Mauritania</t>
  </si>
  <si>
    <t>56_3</t>
  </si>
  <si>
    <t>archeri</t>
  </si>
  <si>
    <t>Neumann, 1928</t>
  </si>
  <si>
    <t>coasts of the Red Sea, Somalia</t>
  </si>
  <si>
    <t>58_1</t>
  </si>
  <si>
    <t>stellaris</t>
  </si>
  <si>
    <t>Europe to e Asia</t>
  </si>
  <si>
    <t>n and c Africa, s Asia</t>
  </si>
  <si>
    <t>58_2</t>
  </si>
  <si>
    <t>southern Africa</t>
  </si>
  <si>
    <t>(Swinhoe, 1873)</t>
  </si>
  <si>
    <t>62_1</t>
  </si>
  <si>
    <t>flavicollis</t>
  </si>
  <si>
    <t>India to Indochina, the Philippines, w and c Indonesia</t>
  </si>
  <si>
    <t>62_2</t>
  </si>
  <si>
    <t>(Lesson, R, 1831)</t>
  </si>
  <si>
    <t>e Indonesia, New Guinea, Bismarck Arch., Australia</t>
  </si>
  <si>
    <t>62_3</t>
  </si>
  <si>
    <t>woodfordi</t>
  </si>
  <si>
    <t>(Ogilvie-Grant, 1888)</t>
  </si>
  <si>
    <t>Solomon Is.</t>
  </si>
  <si>
    <t>(Raffles, 1822)</t>
  </si>
  <si>
    <t>65_1</t>
  </si>
  <si>
    <t>nycticorax</t>
  </si>
  <si>
    <t>Eurasia s to Indonesia and  Africa</t>
  </si>
  <si>
    <t>65_2</t>
  </si>
  <si>
    <t>hoactli</t>
  </si>
  <si>
    <t>s Canada to n Argentina and Chile, Hawaii</t>
  </si>
  <si>
    <t>65_3</t>
  </si>
  <si>
    <t>obscurus</t>
  </si>
  <si>
    <t>Bonaparte, 1855</t>
  </si>
  <si>
    <t>Chile, sw Argentina</t>
  </si>
  <si>
    <t>65_4</t>
  </si>
  <si>
    <t>falklandicus</t>
  </si>
  <si>
    <t>Hartert, 1914</t>
  </si>
  <si>
    <t>Falkland Is.</t>
  </si>
  <si>
    <t>66_1</t>
  </si>
  <si>
    <t>crassirostris</t>
  </si>
  <si>
    <t>Vigors, 1839</t>
  </si>
  <si>
    <t>Bonin I. (Japan)</t>
  </si>
  <si>
    <t>66_2</t>
  </si>
  <si>
    <t>manillensis</t>
  </si>
  <si>
    <t>Vigors, 1831</t>
  </si>
  <si>
    <t>Philippines, n Borneo</t>
  </si>
  <si>
    <t>66_3</t>
  </si>
  <si>
    <t>australasiae</t>
  </si>
  <si>
    <t>(Vieillot, 1823)</t>
  </si>
  <si>
    <t>Java east to New Guinea, Australia and New Zealand</t>
  </si>
  <si>
    <t>N. c. australasiae (Vieillot, 1823) replaces N. c. hilli Mathews, 1912. H&amp;M 4:186</t>
  </si>
  <si>
    <t>66_4</t>
  </si>
  <si>
    <t>pelewensis</t>
  </si>
  <si>
    <t>Mathews, 1926</t>
  </si>
  <si>
    <t>Palau and Caroline Is. (wc Pacific)</t>
  </si>
  <si>
    <t>66_5</t>
  </si>
  <si>
    <t>caledonicus</t>
  </si>
  <si>
    <t>66_6</t>
  </si>
  <si>
    <t>mandibularis</t>
  </si>
  <si>
    <t>Ogilvie-Grant, 1888</t>
  </si>
  <si>
    <t>Bismarck Arch. and Solomon Is.</t>
  </si>
  <si>
    <t>67_1</t>
  </si>
  <si>
    <t>striata</t>
  </si>
  <si>
    <t>e Panama to n Argentina, Bolivia and Chile</t>
  </si>
  <si>
    <t>67_2</t>
  </si>
  <si>
    <t>atricapilla</t>
  </si>
  <si>
    <t>(Afzelius, 1804)</t>
  </si>
  <si>
    <t>67_3</t>
  </si>
  <si>
    <t>brevipes</t>
  </si>
  <si>
    <t>(Hemprich &amp; Ehrenberg, 1833)</t>
  </si>
  <si>
    <t>Somalia and the Red Sea coasts</t>
  </si>
  <si>
    <t>67_4</t>
  </si>
  <si>
    <t>rutenbergi</t>
  </si>
  <si>
    <t>(Hartlaub, 1880)</t>
  </si>
  <si>
    <t>Madagascar, La Réunion</t>
  </si>
  <si>
    <t>67_5</t>
  </si>
  <si>
    <t>rhizophorae</t>
  </si>
  <si>
    <t>Salomonsen, 1934</t>
  </si>
  <si>
    <t>Comoros</t>
  </si>
  <si>
    <t>67_6</t>
  </si>
  <si>
    <t>crawfordi</t>
  </si>
  <si>
    <t>Nicoll, 1906</t>
  </si>
  <si>
    <t>Aldabra Is. and Amirante Is.</t>
  </si>
  <si>
    <t>67_7</t>
  </si>
  <si>
    <t>degens</t>
  </si>
  <si>
    <t>Hartert, 1920</t>
  </si>
  <si>
    <t>Seychelles</t>
  </si>
  <si>
    <t>67_8</t>
  </si>
  <si>
    <t>albolimbata</t>
  </si>
  <si>
    <t>Reichenow, 1900</t>
  </si>
  <si>
    <t>Chagos Arch. and Maldive Is.</t>
  </si>
  <si>
    <t>Includes albidula and didi. Kushlan &amp; Hancock, 2005 (But see Rasmussen &amp; Anderton, 2012).</t>
  </si>
  <si>
    <t>67_9</t>
  </si>
  <si>
    <t>spodiogaster</t>
  </si>
  <si>
    <t>Sharpe, 1894</t>
  </si>
  <si>
    <t>Andaman Is., Nicobar Is. and islands off w Sumatra</t>
  </si>
  <si>
    <t>67_10</t>
  </si>
  <si>
    <t>amurensis</t>
  </si>
  <si>
    <t>(Schrenck, 1860)</t>
  </si>
  <si>
    <t>se Siberia, ne China and Japan</t>
  </si>
  <si>
    <t>67_11</t>
  </si>
  <si>
    <t>actophila</t>
  </si>
  <si>
    <t>Oberholser, 1912</t>
  </si>
  <si>
    <t>e China to n Myanmar and n Vietnam</t>
  </si>
  <si>
    <t>67_12</t>
  </si>
  <si>
    <t>javanica</t>
  </si>
  <si>
    <t>(Horsfield, 1821)</t>
  </si>
  <si>
    <t>Pakistan, India and Sri Lanka to Thailand, the Philippines, the Greater Sundas and Sulawesi</t>
  </si>
  <si>
    <t>Includes chloriceps following Rasmussen &amp; Anderton, 2012, and carcinophila. Kushlan &amp; Hancock, 2005;</t>
  </si>
  <si>
    <t>67_13</t>
  </si>
  <si>
    <t>steini</t>
  </si>
  <si>
    <t>Mayr, 1943</t>
  </si>
  <si>
    <t>Lesser Sundas</t>
  </si>
  <si>
    <t>Kushlan &amp; Hancock, 2005.</t>
  </si>
  <si>
    <t>67_14</t>
  </si>
  <si>
    <t>moluccarum</t>
  </si>
  <si>
    <t>Moluccas</t>
  </si>
  <si>
    <t>67_15</t>
  </si>
  <si>
    <t>papuensis</t>
  </si>
  <si>
    <t>Mayr, 1940</t>
  </si>
  <si>
    <t>nw New Guinea</t>
  </si>
  <si>
    <t>67_16</t>
  </si>
  <si>
    <t>idenburgi</t>
  </si>
  <si>
    <t>Rand, 1941</t>
  </si>
  <si>
    <t>n New Guinea</t>
  </si>
  <si>
    <t>67_17</t>
  </si>
  <si>
    <t>flyensis</t>
  </si>
  <si>
    <t>Salomonsen, 1966</t>
  </si>
  <si>
    <t>sc, se New Guinea</t>
  </si>
  <si>
    <t>Kushlan &amp; Hancock, 2005. Schodde et al., 1980.</t>
  </si>
  <si>
    <t>67_18</t>
  </si>
  <si>
    <t>macrorhyncha</t>
  </si>
  <si>
    <t>(Gould, 1848)</t>
  </si>
  <si>
    <t>e and ne Australia, New Caledonia</t>
  </si>
  <si>
    <t>67_19</t>
  </si>
  <si>
    <t>stagnatilis</t>
  </si>
  <si>
    <t>nw and nc Australia</t>
  </si>
  <si>
    <t>Includes rogersi. Marchant &amp; Higgins, 1990.</t>
  </si>
  <si>
    <t>67_20</t>
  </si>
  <si>
    <t>patruelis</t>
  </si>
  <si>
    <t>Tahiti Is.  (Society Is.)</t>
  </si>
  <si>
    <t>67_21</t>
  </si>
  <si>
    <t>solomonensis</t>
  </si>
  <si>
    <t>New Hanover to Solomons to Fiji</t>
  </si>
  <si>
    <t>(Bonaparte, 1855)</t>
  </si>
  <si>
    <t>69_1</t>
  </si>
  <si>
    <t>continentalis</t>
  </si>
  <si>
    <t>Salomonsen, 1933</t>
  </si>
  <si>
    <t>c Thailand through s Indochina</t>
  </si>
  <si>
    <t>69_2</t>
  </si>
  <si>
    <t>speciosa</t>
  </si>
  <si>
    <t>w and c Indonesia</t>
  </si>
  <si>
    <t>71_1</t>
  </si>
  <si>
    <t>cinerea</t>
  </si>
  <si>
    <t>w Europe to e Asia to India and Africa</t>
  </si>
  <si>
    <t>71_2</t>
  </si>
  <si>
    <t>jouyi</t>
  </si>
  <si>
    <t>Clark, AH, 1907</t>
  </si>
  <si>
    <t>n China, Korea and Japan to Sumatra and Java</t>
  </si>
  <si>
    <t>71_3</t>
  </si>
  <si>
    <t>monicae</t>
  </si>
  <si>
    <t>Jouanin &amp; Roux, 1963</t>
  </si>
  <si>
    <t>Banc d'Arguin  (Mauritania)</t>
  </si>
  <si>
    <t>71_4</t>
  </si>
  <si>
    <t>firasa</t>
  </si>
  <si>
    <t>Hartert, 1917</t>
  </si>
  <si>
    <t>Madagascar, Comoros and Aldabra</t>
  </si>
  <si>
    <t>Raffles, 1822</t>
  </si>
  <si>
    <t>Linnaeus, 1766</t>
  </si>
  <si>
    <t>73_1</t>
  </si>
  <si>
    <t>purpurea</t>
  </si>
  <si>
    <t>s and c Europe to c Asia and the Middle east, Africa south of the Sahara</t>
  </si>
  <si>
    <t>73_2</t>
  </si>
  <si>
    <t>bournei</t>
  </si>
  <si>
    <t>Naurois, 1966</t>
  </si>
  <si>
    <t>Cape Verde Is.</t>
  </si>
  <si>
    <t>73_3</t>
  </si>
  <si>
    <t>madagascariensis</t>
  </si>
  <si>
    <t>van Oort, 1910</t>
  </si>
  <si>
    <t>Madagascar</t>
  </si>
  <si>
    <t>73_4</t>
  </si>
  <si>
    <t>manilensis</t>
  </si>
  <si>
    <t>Meyen, 1834</t>
  </si>
  <si>
    <t>s and e Asia to the Philippines and Indonesia</t>
  </si>
  <si>
    <t>74_1</t>
  </si>
  <si>
    <t>alba</t>
  </si>
  <si>
    <t>c Europe to ne Asia south to n and c Africa and s Asia</t>
  </si>
  <si>
    <t>74_2</t>
  </si>
  <si>
    <t>Wagler, 1827</t>
  </si>
  <si>
    <t>74_3</t>
  </si>
  <si>
    <t>egretta</t>
  </si>
  <si>
    <t>s Canada to s Argentina and s Chile</t>
  </si>
  <si>
    <t>American Egret is a proposed split (Pratt 2011); more data desired</t>
  </si>
  <si>
    <t>74_4</t>
  </si>
  <si>
    <t>modesta</t>
  </si>
  <si>
    <t>Gray, JE, 1831</t>
  </si>
  <si>
    <t>s, e Asia to Indonesia and Australasia.</t>
  </si>
  <si>
    <t>AL</t>
  </si>
  <si>
    <t>C. modesta should not be split (Pratt 2011)</t>
  </si>
  <si>
    <t>Wagler, 1829</t>
  </si>
  <si>
    <t>75_1</t>
  </si>
  <si>
    <t>brachyrhyncha</t>
  </si>
  <si>
    <t>(Brehm, AE, 1854)</t>
  </si>
  <si>
    <t>"Yellow-billed Egret" (HBW Alive, Cake et al. 2016)</t>
  </si>
  <si>
    <t>75_2</t>
  </si>
  <si>
    <t>intermedia</t>
  </si>
  <si>
    <t>Japan to s India and Greater Sundas</t>
  </si>
  <si>
    <t>75_3</t>
  </si>
  <si>
    <t>plumifera</t>
  </si>
  <si>
    <t>e Indonesia, New Guinea, Australia</t>
  </si>
  <si>
    <t>"Plumed Egret" (HBW Alive)</t>
  </si>
  <si>
    <t>76_1</t>
  </si>
  <si>
    <t>garzetta</t>
  </si>
  <si>
    <t>Europe to Japan south to Africa, India and the Philippines</t>
  </si>
  <si>
    <t>76_2</t>
  </si>
  <si>
    <t>nigripes</t>
  </si>
  <si>
    <t>(Temminck, 1840)</t>
  </si>
  <si>
    <t>Sundas to Australia and New Zealand</t>
  </si>
  <si>
    <t>77_1</t>
  </si>
  <si>
    <t>sacra</t>
  </si>
  <si>
    <t>coastal se Asia to Australia, Oceania</t>
  </si>
  <si>
    <t>77_2</t>
  </si>
  <si>
    <t>albolineata</t>
  </si>
  <si>
    <t>(Gray, GR, 1859)</t>
  </si>
  <si>
    <t>New Caledonia, Loyalty Is.</t>
  </si>
  <si>
    <t>(Swinhoe, 1860)</t>
  </si>
  <si>
    <t>Bruch, 1832</t>
  </si>
  <si>
    <t>Temminck, 1824</t>
  </si>
  <si>
    <t>Mathews, 1914</t>
  </si>
  <si>
    <t>83_1</t>
  </si>
  <si>
    <t>nicolli</t>
  </si>
  <si>
    <t>s Atlantic</t>
  </si>
  <si>
    <t>83_2</t>
  </si>
  <si>
    <t>aldabrensis</t>
  </si>
  <si>
    <t>83_3</t>
  </si>
  <si>
    <t>minor</t>
  </si>
  <si>
    <t>c and e Indian Ocean to South China Sea</t>
  </si>
  <si>
    <t>83_4</t>
  </si>
  <si>
    <t>palmerstoni</t>
  </si>
  <si>
    <t>w and c Pacific</t>
  </si>
  <si>
    <t>83_5</t>
  </si>
  <si>
    <t>ridgwayi</t>
  </si>
  <si>
    <t>e Pacific</t>
  </si>
  <si>
    <t>(Gray, GR, 1845)</t>
  </si>
  <si>
    <t>84_1</t>
  </si>
  <si>
    <t>trinitatis</t>
  </si>
  <si>
    <t>Miranda-Ribeiro, 1919</t>
  </si>
  <si>
    <t>Olson (2017) proposes species status based on bone and slight plumage differences. Stet SSP (SACC 768)</t>
  </si>
  <si>
    <t>84_2</t>
  </si>
  <si>
    <t>iredalei</t>
  </si>
  <si>
    <t>84_3</t>
  </si>
  <si>
    <t>ariel</t>
  </si>
  <si>
    <t>e Indian Ocean to c Pacific</t>
  </si>
  <si>
    <t>85_1</t>
  </si>
  <si>
    <t>dactylatra</t>
  </si>
  <si>
    <t>Caribbean and sw Atlantic islands</t>
  </si>
  <si>
    <t>85_2</t>
  </si>
  <si>
    <t>melanops</t>
  </si>
  <si>
    <t>Hartlaub, 1859</t>
  </si>
  <si>
    <t>Red Sea, nw Indian Ocean</t>
  </si>
  <si>
    <t>85_3</t>
  </si>
  <si>
    <t>tasmani</t>
  </si>
  <si>
    <t>van Tets, Meredith, Fullagar &amp; Davidson, P, 1988</t>
  </si>
  <si>
    <t>Tasman Sea</t>
  </si>
  <si>
    <t>Includes fullagari as a junior synonym. Steeves et al. 2009, Gill et al. 2010.</t>
  </si>
  <si>
    <t>85_4</t>
  </si>
  <si>
    <t>personata</t>
  </si>
  <si>
    <t>Gould, 1846</t>
  </si>
  <si>
    <t>s, e Indian Ocean and the Pacific to islands off w Mexico and w South America.</t>
  </si>
  <si>
    <t>Includes bedouti and californica. Nelson, 2005; Pitman &amp; Jehl, 1998.</t>
  </si>
  <si>
    <t>86_1</t>
  </si>
  <si>
    <t>sula</t>
  </si>
  <si>
    <t>86_2</t>
  </si>
  <si>
    <t>rubripes</t>
  </si>
  <si>
    <t>Gould, 1838</t>
  </si>
  <si>
    <t>tropical Pacific and Indian Oceans</t>
  </si>
  <si>
    <t>86_3</t>
  </si>
  <si>
    <t>websteri</t>
  </si>
  <si>
    <t>Rothschild, 1898</t>
  </si>
  <si>
    <t>ec Pacific</t>
  </si>
  <si>
    <t>87_1</t>
  </si>
  <si>
    <t>leucogaster</t>
  </si>
  <si>
    <t>Caribbean and Atlantic Is.</t>
  </si>
  <si>
    <t>87_2</t>
  </si>
  <si>
    <t>brewsteri</t>
  </si>
  <si>
    <t>Goss, 1888</t>
  </si>
  <si>
    <t>coasts of w USA and w Mexico</t>
  </si>
  <si>
    <t>87_3</t>
  </si>
  <si>
    <t>etesiaca</t>
  </si>
  <si>
    <t>Thayer &amp; Bangs, 1905</t>
  </si>
  <si>
    <t>Pacific coasts of Central America and Colombia</t>
  </si>
  <si>
    <t>87_4</t>
  </si>
  <si>
    <t>plotus</t>
  </si>
  <si>
    <t>(Forster, JR, 1844)</t>
  </si>
  <si>
    <t>Red Sea through the Indian Ocean to the w and c Pacific</t>
  </si>
  <si>
    <t>88_1</t>
  </si>
  <si>
    <t>carbo</t>
  </si>
  <si>
    <t>ne USA and e Canada to w Europe</t>
  </si>
  <si>
    <t>88_2</t>
  </si>
  <si>
    <t>sinensis</t>
  </si>
  <si>
    <t>(Staunton, 1796)</t>
  </si>
  <si>
    <t>c Europe to India and China</t>
  </si>
  <si>
    <t>88_3</t>
  </si>
  <si>
    <t>hanedae</t>
  </si>
  <si>
    <t>Kuroda, Nagamichi, 1925</t>
  </si>
  <si>
    <t>Japan</t>
  </si>
  <si>
    <t>88_4</t>
  </si>
  <si>
    <t>maroccanus</t>
  </si>
  <si>
    <t>Hartert, 1906</t>
  </si>
  <si>
    <t>nw Africa</t>
  </si>
  <si>
    <t>88_5</t>
  </si>
  <si>
    <t>novaehollandiae</t>
  </si>
  <si>
    <t>Stephens, 1826</t>
  </si>
  <si>
    <t>Australia, New Zealand,Chatham Is., New Caledonia, Rennell I. (Solomon Is.)</t>
  </si>
  <si>
    <t>Pennant, 1769</t>
  </si>
  <si>
    <t>90_1</t>
  </si>
  <si>
    <t>haliaetus</t>
  </si>
  <si>
    <t>Europe and Asia</t>
  </si>
  <si>
    <t>Africa, India, Sundas</t>
  </si>
  <si>
    <t>90_2</t>
  </si>
  <si>
    <t>carolinensis</t>
  </si>
  <si>
    <t>(Gmelin, JF, 1788)</t>
  </si>
  <si>
    <t>Canada to s USA</t>
  </si>
  <si>
    <t>c South America</t>
  </si>
  <si>
    <t>90_3</t>
  </si>
  <si>
    <t>Maynard, 1887</t>
  </si>
  <si>
    <t>e Belize, Cuba, Bahamas</t>
  </si>
  <si>
    <t>(Desfontaines, 1789)</t>
  </si>
  <si>
    <t>91_1</t>
  </si>
  <si>
    <t>caeruleus</t>
  </si>
  <si>
    <t>sw Iberian Pen., Africa, sw Arabia</t>
  </si>
  <si>
    <t>91_2</t>
  </si>
  <si>
    <t>vociferus</t>
  </si>
  <si>
    <t>Pakistan to e China, Malay Pen. and Indochina</t>
  </si>
  <si>
    <t>91_3</t>
  </si>
  <si>
    <t>hypoleucus</t>
  </si>
  <si>
    <t>Gould, 1859</t>
  </si>
  <si>
    <t>Greater and Lesser Sundas, the Philippines, Sulawesi and New Guinea</t>
  </si>
  <si>
    <t>(Temminck, 1821)</t>
  </si>
  <si>
    <t>92_1</t>
  </si>
  <si>
    <t>orientalis</t>
  </si>
  <si>
    <t>Taczanowski, 1891</t>
  </si>
  <si>
    <t>s Siberia to ne China, Japan</t>
  </si>
  <si>
    <t>Southeast Asia, Greater Sundas, Philippines</t>
  </si>
  <si>
    <t>92_2</t>
  </si>
  <si>
    <t>Lesson, R, 1830</t>
  </si>
  <si>
    <t>India and Sri Lanka to Myanmar, Vietnam and sw China</t>
  </si>
  <si>
    <t>92_3</t>
  </si>
  <si>
    <t>torquatus</t>
  </si>
  <si>
    <t>Malay Pen., Sumatra, Borneo</t>
  </si>
  <si>
    <t>92_4</t>
  </si>
  <si>
    <t>ptilorhynchus</t>
  </si>
  <si>
    <t>92_5</t>
  </si>
  <si>
    <t>palawanensis</t>
  </si>
  <si>
    <t>Stresemann, 1940</t>
  </si>
  <si>
    <t>Palawan, Calauit  (w Philippines)</t>
  </si>
  <si>
    <t>92_6</t>
  </si>
  <si>
    <t>Mayr, 1939</t>
  </si>
  <si>
    <t>n and e Philippines</t>
  </si>
  <si>
    <t>Sclater, WL, 1919</t>
  </si>
  <si>
    <t>93_1</t>
  </si>
  <si>
    <t>winkleri</t>
  </si>
  <si>
    <t>Gamauf &amp; Preleuthner, 1998</t>
  </si>
  <si>
    <t>Luzon I.</t>
  </si>
  <si>
    <t>93_2</t>
  </si>
  <si>
    <t>steerei</t>
  </si>
  <si>
    <t>Philippines except Palawan, Luzon and nearby islands</t>
  </si>
  <si>
    <t>(Blyth, 1842)</t>
  </si>
  <si>
    <t>94_1</t>
  </si>
  <si>
    <t>jerdoni</t>
  </si>
  <si>
    <t>n India to s China, Myanmar and Indochina, Sumatra</t>
  </si>
  <si>
    <t>94_2</t>
  </si>
  <si>
    <t>ceylonensis</t>
  </si>
  <si>
    <t>(Legge, 1876)</t>
  </si>
  <si>
    <t>sw India and Sri Lanka</t>
  </si>
  <si>
    <t>94_3</t>
  </si>
  <si>
    <t>borneensis</t>
  </si>
  <si>
    <t>(Brüggemann, 1876)</t>
  </si>
  <si>
    <t>94_4</t>
  </si>
  <si>
    <t>magnirostris</t>
  </si>
  <si>
    <t>(Kaup, 1847)</t>
  </si>
  <si>
    <t>94_5</t>
  </si>
  <si>
    <t>celebensis</t>
  </si>
  <si>
    <t>(Schlegel, 1873)</t>
  </si>
  <si>
    <t>Sulawesi, Banggai and Sula Is.</t>
  </si>
  <si>
    <t>96_1</t>
  </si>
  <si>
    <t>cheela</t>
  </si>
  <si>
    <t>n India, Nepal, Bhutan</t>
  </si>
  <si>
    <t>96_2</t>
  </si>
  <si>
    <t>melanotis</t>
  </si>
  <si>
    <t>(Jerdon, 1841)</t>
  </si>
  <si>
    <t>s India</t>
  </si>
  <si>
    <t>96_3</t>
  </si>
  <si>
    <t>spilogaster</t>
  </si>
  <si>
    <t>(Blyth, 1852)</t>
  </si>
  <si>
    <t>Sri Lanka</t>
  </si>
  <si>
    <t>96_4</t>
  </si>
  <si>
    <t>burmanicus</t>
  </si>
  <si>
    <t>Swann, 1920</t>
  </si>
  <si>
    <t>Myanmar to sw China and c and s Indochina</t>
  </si>
  <si>
    <t>96_5</t>
  </si>
  <si>
    <t>ricketti</t>
  </si>
  <si>
    <t>s China, n Vietnam</t>
  </si>
  <si>
    <t>96_6</t>
  </si>
  <si>
    <t>malayensis</t>
  </si>
  <si>
    <t>Malay Pen., n Sumatra</t>
  </si>
  <si>
    <t>96_7</t>
  </si>
  <si>
    <t>davisoni</t>
  </si>
  <si>
    <t>Hume, 1873</t>
  </si>
  <si>
    <t>Andaman Is.</t>
  </si>
  <si>
    <t>96_8</t>
  </si>
  <si>
    <t>perplexus</t>
  </si>
  <si>
    <t>Swann, 1922</t>
  </si>
  <si>
    <t>s Ryukyu Is. (Japan)</t>
  </si>
  <si>
    <t>96_9</t>
  </si>
  <si>
    <t>hoya</t>
  </si>
  <si>
    <t>Taiwan</t>
  </si>
  <si>
    <t>96_10</t>
  </si>
  <si>
    <t>rutherfordi</t>
  </si>
  <si>
    <t>Swinhoe, 1870</t>
  </si>
  <si>
    <t>Hainan I.  (off se China)</t>
  </si>
  <si>
    <t>96_11</t>
  </si>
  <si>
    <t>pallidus</t>
  </si>
  <si>
    <t>Walden, 1872</t>
  </si>
  <si>
    <t>n Borneo</t>
  </si>
  <si>
    <t>96_12</t>
  </si>
  <si>
    <t>richmondi</t>
  </si>
  <si>
    <t>s Borneo</t>
  </si>
  <si>
    <t>96_13</t>
  </si>
  <si>
    <t>natunensis</t>
  </si>
  <si>
    <t>Chasen, 1935</t>
  </si>
  <si>
    <t>Natunas and Belitung Is.  (off Borneo)</t>
  </si>
  <si>
    <t>96_14</t>
  </si>
  <si>
    <t>sipora</t>
  </si>
  <si>
    <t>Chasen &amp; Kloss, 1926</t>
  </si>
  <si>
    <t>Mentawai Arch.  ( off w Sumatra)</t>
  </si>
  <si>
    <t>96_15</t>
  </si>
  <si>
    <t>batu</t>
  </si>
  <si>
    <t>Meyer de Schauensee &amp; Ripley, 1940</t>
  </si>
  <si>
    <t>s Sumatra, Batu Is.</t>
  </si>
  <si>
    <t>96_16</t>
  </si>
  <si>
    <t>asturinus</t>
  </si>
  <si>
    <t>Meyer, AB, 1884</t>
  </si>
  <si>
    <t>Nias I.  (off w Sumatra)</t>
  </si>
  <si>
    <t>96_17</t>
  </si>
  <si>
    <t>abbotti</t>
  </si>
  <si>
    <t>Richmond, 1903</t>
  </si>
  <si>
    <t>Simeulue I.  (off w Sumatra)</t>
  </si>
  <si>
    <t>96_18</t>
  </si>
  <si>
    <t>bido</t>
  </si>
  <si>
    <t>Java, Bali</t>
  </si>
  <si>
    <t>96_19</t>
  </si>
  <si>
    <t>baweanus</t>
  </si>
  <si>
    <t>Oberholser, 1917</t>
  </si>
  <si>
    <t>Bawean I.  (off n Java)</t>
  </si>
  <si>
    <t>96_20</t>
  </si>
  <si>
    <t>Palawan (w Philippines)</t>
  </si>
  <si>
    <t>96_21</t>
  </si>
  <si>
    <t>minimus</t>
  </si>
  <si>
    <t>c Nicobar Islands</t>
  </si>
  <si>
    <t>AL, CORR</t>
  </si>
  <si>
    <t>Rasmussen &amp; Anderton 2005, 2012. Incorrectly split by IOC with separation of S. klossi.</t>
  </si>
  <si>
    <t>(Vigors, 1831)</t>
  </si>
  <si>
    <t>Ogilvie-Grant, 1896</t>
  </si>
  <si>
    <t>99_1</t>
  </si>
  <si>
    <t>limnaeetus</t>
  </si>
  <si>
    <t>n India to Indochina, Malay Pen., Greater Sundas and Philippines</t>
  </si>
  <si>
    <t>Crested Hawk-Eagle N. cirrhatus is recognized by some authors as specifically distinct from N. limnaeetus which would assume the name Changeable Hawk-Eagle ; see Rasmussen &amp; Anderton (2012)</t>
  </si>
  <si>
    <t>99_2</t>
  </si>
  <si>
    <t>cirrhatus</t>
  </si>
  <si>
    <t>99_3</t>
  </si>
  <si>
    <t>ceylanensis</t>
  </si>
  <si>
    <t>99_4</t>
  </si>
  <si>
    <t>andamanensis</t>
  </si>
  <si>
    <t>(Tytler, 1865)</t>
  </si>
  <si>
    <t>99_5</t>
  </si>
  <si>
    <t>vanheurni</t>
  </si>
  <si>
    <t>(Junge, 1936)</t>
  </si>
  <si>
    <t>(Gould, 1863)</t>
  </si>
  <si>
    <t>(Preleuthner &amp; Gamauf, 1998)</t>
  </si>
  <si>
    <t>(de Sparre, 1835)</t>
  </si>
  <si>
    <t>102_1</t>
  </si>
  <si>
    <t>kienerii</t>
  </si>
  <si>
    <t>s Himalayas, w India, Sri Lanka</t>
  </si>
  <si>
    <t>102_2</t>
  </si>
  <si>
    <t>formosus</t>
  </si>
  <si>
    <t>(Stresemann, 1924)</t>
  </si>
  <si>
    <t>Myanmar through se Asia, Sundas, Philippines and Sulawesi</t>
  </si>
  <si>
    <t>(Temminck, 1824)</t>
  </si>
  <si>
    <t>103_1</t>
  </si>
  <si>
    <t>indicus</t>
  </si>
  <si>
    <t>(Hodgson, 1836)</t>
  </si>
  <si>
    <t>ne India to s China, Indochina and the Malay Pen.</t>
  </si>
  <si>
    <t>103_2</t>
  </si>
  <si>
    <t>formosae</t>
  </si>
  <si>
    <t>Mayr, 1949</t>
  </si>
  <si>
    <t>103_3</t>
  </si>
  <si>
    <t>peninsulae</t>
  </si>
  <si>
    <t>Koelz, 1949</t>
  </si>
  <si>
    <t>sw India</t>
  </si>
  <si>
    <t>103_4</t>
  </si>
  <si>
    <t>layardi</t>
  </si>
  <si>
    <t>(Whistler, 1936)</t>
  </si>
  <si>
    <t>103_5</t>
  </si>
  <si>
    <t>trivirgatus</t>
  </si>
  <si>
    <t>Sumatra</t>
  </si>
  <si>
    <t>103_6</t>
  </si>
  <si>
    <t>niasensis</t>
  </si>
  <si>
    <t>103_7</t>
  </si>
  <si>
    <t>javanicus</t>
  </si>
  <si>
    <t>103_8</t>
  </si>
  <si>
    <t>microstictus</t>
  </si>
  <si>
    <t>103_9</t>
  </si>
  <si>
    <t>palawanus</t>
  </si>
  <si>
    <t>Palawan and Calamian Is.  (w Philippines)</t>
  </si>
  <si>
    <t>103_10</t>
  </si>
  <si>
    <t>castroi</t>
  </si>
  <si>
    <t>Manuel &amp; Gilliard, 1952</t>
  </si>
  <si>
    <t>Polillo Is.  (n Philippines)</t>
  </si>
  <si>
    <t>103_11</t>
  </si>
  <si>
    <t>extimus</t>
  </si>
  <si>
    <t>se Philippine islands</t>
  </si>
  <si>
    <t>(Temminck &amp; Schlegel, 1844)</t>
  </si>
  <si>
    <t>105_1</t>
  </si>
  <si>
    <t>sibiricus</t>
  </si>
  <si>
    <t>Stepanyan, 1959</t>
  </si>
  <si>
    <t>Mongolia to e China</t>
  </si>
  <si>
    <t>Southeast Asia, Indonesia</t>
  </si>
  <si>
    <t>105_2</t>
  </si>
  <si>
    <t>gularis</t>
  </si>
  <si>
    <t>ne China, Russian Far East, Japan</t>
  </si>
  <si>
    <t>Philippines, Indonesia</t>
  </si>
  <si>
    <t>105_3</t>
  </si>
  <si>
    <t>iwasakii</t>
  </si>
  <si>
    <t>Mishima, 1962</t>
  </si>
  <si>
    <t>s Ryukyu Is.(Japan)</t>
  </si>
  <si>
    <t>(Temminck, 1822)</t>
  </si>
  <si>
    <t>106_1</t>
  </si>
  <si>
    <t>affinis</t>
  </si>
  <si>
    <t>Hodgson, 1836</t>
  </si>
  <si>
    <t>w Himalayas  to central China and Indochina</t>
  </si>
  <si>
    <t>106_2</t>
  </si>
  <si>
    <t>fuscipectus</t>
  </si>
  <si>
    <t>Mees, 1970</t>
  </si>
  <si>
    <t>106_3</t>
  </si>
  <si>
    <t>besra</t>
  </si>
  <si>
    <t>Jerdon, 1839</t>
  </si>
  <si>
    <t>s India, Sri Lanka</t>
  </si>
  <si>
    <t>106_4</t>
  </si>
  <si>
    <t>vanbemmeli</t>
  </si>
  <si>
    <t>Voous, 1950</t>
  </si>
  <si>
    <t>106_5</t>
  </si>
  <si>
    <t>rufotibialis</t>
  </si>
  <si>
    <t>Sharpe, 1887</t>
  </si>
  <si>
    <t>106_6</t>
  </si>
  <si>
    <t>virgatus</t>
  </si>
  <si>
    <t>106_7</t>
  </si>
  <si>
    <t>quinquefasciatus</t>
  </si>
  <si>
    <t>Mees, 1984</t>
  </si>
  <si>
    <t>Flores  (Lesser Sundas)</t>
  </si>
  <si>
    <t>106_8</t>
  </si>
  <si>
    <t>abdulalii</t>
  </si>
  <si>
    <t>Mees, 1981</t>
  </si>
  <si>
    <t>Andaman and Nicobar Is.</t>
  </si>
  <si>
    <t>106_9</t>
  </si>
  <si>
    <t>confusus</t>
  </si>
  <si>
    <t>Hartert, 1910</t>
  </si>
  <si>
    <t>n and c Philippines</t>
  </si>
  <si>
    <t>106_10</t>
  </si>
  <si>
    <t>quagga</t>
  </si>
  <si>
    <t>Parkes, 1973</t>
  </si>
  <si>
    <t>c and s Philippines</t>
  </si>
  <si>
    <t>107_1</t>
  </si>
  <si>
    <t>nisus</t>
  </si>
  <si>
    <t>Europe to sw Siberia and c Asia</t>
  </si>
  <si>
    <t>to ne Africa, sw Asia</t>
  </si>
  <si>
    <t>107_2</t>
  </si>
  <si>
    <t>nisosimilis</t>
  </si>
  <si>
    <t>(Tickell, 1833)</t>
  </si>
  <si>
    <t>nw Siberia to n China and Japan</t>
  </si>
  <si>
    <t>sw, c and e Asia</t>
  </si>
  <si>
    <t>107_3</t>
  </si>
  <si>
    <t>dementjevi</t>
  </si>
  <si>
    <t>Stepanyan, 1958</t>
  </si>
  <si>
    <t>Pamir-Alai to Tien Shan Mts  (c Asia)</t>
  </si>
  <si>
    <t>107_4</t>
  </si>
  <si>
    <t>melaschistos</t>
  </si>
  <si>
    <t>Hume, 1869</t>
  </si>
  <si>
    <t>e Afghanistan to sw China</t>
  </si>
  <si>
    <t>107_5</t>
  </si>
  <si>
    <t>wolterstorffi</t>
  </si>
  <si>
    <t>Kleinschmidt, O, 1901</t>
  </si>
  <si>
    <t>Corsica and Sardinia</t>
  </si>
  <si>
    <t>107_6</t>
  </si>
  <si>
    <t>punicus</t>
  </si>
  <si>
    <t>Erlanger, 1897</t>
  </si>
  <si>
    <t>107_7</t>
  </si>
  <si>
    <t>granti</t>
  </si>
  <si>
    <t>Sharpe, 1890</t>
  </si>
  <si>
    <t>Madeira and Canary Is.</t>
  </si>
  <si>
    <t>Kaup, 1847</t>
  </si>
  <si>
    <t>(Pennant, 1769)</t>
  </si>
  <si>
    <t>110_1</t>
  </si>
  <si>
    <t>migrans</t>
  </si>
  <si>
    <t>s and c Europe to n Africa and sc Asia</t>
  </si>
  <si>
    <t>s Africa</t>
  </si>
  <si>
    <t>110_2</t>
  </si>
  <si>
    <t>lineatus</t>
  </si>
  <si>
    <t>(Gray, JE, 1831)</t>
  </si>
  <si>
    <t>Siberia to Japan, Indochina and India</t>
  </si>
  <si>
    <t>s and se Asia</t>
  </si>
  <si>
    <t>110_3</t>
  </si>
  <si>
    <t>govinda</t>
  </si>
  <si>
    <t>Sykes, 1832</t>
  </si>
  <si>
    <t>Pakistan and India to Malay Pen. and s Indochina</t>
  </si>
  <si>
    <t>110_4</t>
  </si>
  <si>
    <t>formosanus</t>
  </si>
  <si>
    <t>Kuroda, Nagamichi, 1920</t>
  </si>
  <si>
    <t>Taiwan and Hainan (off se China)</t>
  </si>
  <si>
    <t>110_5</t>
  </si>
  <si>
    <t>Lesser Sundas to Australia</t>
  </si>
  <si>
    <t>111_1</t>
  </si>
  <si>
    <t>indus</t>
  </si>
  <si>
    <t>India to s China and Vietnam</t>
  </si>
  <si>
    <t>111_2</t>
  </si>
  <si>
    <t>intermedius</t>
  </si>
  <si>
    <t>Blyth, 1865</t>
  </si>
  <si>
    <t>Malay Pen., Greater and Lesser Sundas, Philippines, Sulawesi</t>
  </si>
  <si>
    <t>111_3</t>
  </si>
  <si>
    <t>girrenera</t>
  </si>
  <si>
    <t>(Vieillot, 1822)</t>
  </si>
  <si>
    <t>Moluccas, New Guinea, Bismarck Arch. and n Australia</t>
  </si>
  <si>
    <t>111_4</t>
  </si>
  <si>
    <t>Condon &amp; Amadon, 1954</t>
  </si>
  <si>
    <t>Temminck &amp; Schlegel, 1844</t>
  </si>
  <si>
    <t>115_1</t>
  </si>
  <si>
    <t>japonicus</t>
  </si>
  <si>
    <t>c  and ne Asia to Japan</t>
  </si>
  <si>
    <t>s and e Asia</t>
  </si>
  <si>
    <t>115_2</t>
  </si>
  <si>
    <t>toyoshimai</t>
  </si>
  <si>
    <t>Momiyama, 1927</t>
  </si>
  <si>
    <t>Izu and Bonin Is.  (s Japan)</t>
  </si>
  <si>
    <t>115_3</t>
  </si>
  <si>
    <t>oshiroi</t>
  </si>
  <si>
    <t>Kuroda, Nagahisa, 1971</t>
  </si>
  <si>
    <t>Daito Is.  (s Japan)</t>
  </si>
  <si>
    <t>(Lafresnaye, 1845)</t>
  </si>
  <si>
    <t>117_1</t>
  </si>
  <si>
    <t>amauroptera</t>
  </si>
  <si>
    <t>(Jerdon, 1864)</t>
  </si>
  <si>
    <t>nw Pakistan, India</t>
  </si>
  <si>
    <t>117_2</t>
  </si>
  <si>
    <t>telmatophila</t>
  </si>
  <si>
    <t>Hume, 1878</t>
  </si>
  <si>
    <t>Myanmar to se China and Indochina</t>
  </si>
  <si>
    <t>117_3</t>
  </si>
  <si>
    <t>sepiaria</t>
  </si>
  <si>
    <t>(Stejneger, 1887)</t>
  </si>
  <si>
    <t>Ryukyu Is.  (Japan)</t>
  </si>
  <si>
    <t>117_4</t>
  </si>
  <si>
    <t>alvarezi</t>
  </si>
  <si>
    <t>Kennedy &amp; Ross, CA, 1987</t>
  </si>
  <si>
    <t>Batan Is.   (Philippines)</t>
  </si>
  <si>
    <t>117_5</t>
  </si>
  <si>
    <t>formosana</t>
  </si>
  <si>
    <t>Seebohm, 1894</t>
  </si>
  <si>
    <t>Taiwan and Lanyu I.</t>
  </si>
  <si>
    <t>117_6</t>
  </si>
  <si>
    <t>eurizonoides</t>
  </si>
  <si>
    <t>Philippines (except Batan), Palau Is.</t>
  </si>
  <si>
    <t>117_7</t>
  </si>
  <si>
    <t>minahasa</t>
  </si>
  <si>
    <t>Wallace, 1863</t>
  </si>
  <si>
    <t>Sulawesi, Peleng, Sula Is.</t>
  </si>
  <si>
    <t>Allen, D, Oliveros, Espanola, Broad &amp; Gonzalez, 2004</t>
  </si>
  <si>
    <t>119_1</t>
  </si>
  <si>
    <t>119_2</t>
  </si>
  <si>
    <t>(Quoy &amp; Gaimard, 1832)</t>
  </si>
  <si>
    <t>Sulawesi and nearby se islands</t>
  </si>
  <si>
    <t>119_3</t>
  </si>
  <si>
    <t>sulcirostris</t>
  </si>
  <si>
    <t>(Wallace, 1863)</t>
  </si>
  <si>
    <t>Peleng and Sula Is.  (e of Sulawesi)</t>
  </si>
  <si>
    <t>119_4</t>
  </si>
  <si>
    <t>kuehni</t>
  </si>
  <si>
    <t>(Rothschild, 1902)</t>
  </si>
  <si>
    <t>Tukangbesi Is.  (e of Sulawesi)</t>
  </si>
  <si>
    <t>119_5</t>
  </si>
  <si>
    <t>limarius</t>
  </si>
  <si>
    <t>(Peters, JL, 1934)</t>
  </si>
  <si>
    <t>Salawati I  (w of New Guinea)., nw New Guinea</t>
  </si>
  <si>
    <t>Subspecies name limarius (Peters, JL, 1934) replaced saturatus (Sclater, PL, 1880) when both taxa were in Rallus. Name saturatus now permanently invalid under ICZN Art. 59.3. H&amp;M 4:154.</t>
  </si>
  <si>
    <t>120_1</t>
  </si>
  <si>
    <t>andrewsi</t>
  </si>
  <si>
    <t>(Mathews, 1911)</t>
  </si>
  <si>
    <t>Cocos Keeling Is.  (Indian O.)</t>
  </si>
  <si>
    <t>120_2</t>
  </si>
  <si>
    <t>xerophilus</t>
  </si>
  <si>
    <t>(van Bemmel &amp; Hoogerwerf, 1940)</t>
  </si>
  <si>
    <t>Gunungapi Wetar   (Banda Sea)</t>
  </si>
  <si>
    <t>120_3</t>
  </si>
  <si>
    <t>wilkinsoni</t>
  </si>
  <si>
    <t>Flores I.  (Lesser Sundas)</t>
  </si>
  <si>
    <t>120_4</t>
  </si>
  <si>
    <t>Philippines, Sulawesi, Sumba to Timor</t>
  </si>
  <si>
    <t>120_5</t>
  </si>
  <si>
    <t>(Mayr, 1933)</t>
  </si>
  <si>
    <t>Palau Is.  (w Caroline Is.)</t>
  </si>
  <si>
    <t>120_6</t>
  </si>
  <si>
    <t>anachoretae</t>
  </si>
  <si>
    <t>(Mayr, 1949)</t>
  </si>
  <si>
    <t>Kaniet Is.  (Admiralty Is.)</t>
  </si>
  <si>
    <t>120_7</t>
  </si>
  <si>
    <t>admiralitatis</t>
  </si>
  <si>
    <t>(Stresemann, 1929)</t>
  </si>
  <si>
    <t>Admiralty Is.</t>
  </si>
  <si>
    <t>120_8</t>
  </si>
  <si>
    <t>praedo</t>
  </si>
  <si>
    <t>Skokie I.  (Admiralty Is.)</t>
  </si>
  <si>
    <t>120_9</t>
  </si>
  <si>
    <t>lesouefi</t>
  </si>
  <si>
    <t>New Hanover, New Ireland, Tabar, Tanga   (Bismarck Arch.)</t>
  </si>
  <si>
    <t>120_10</t>
  </si>
  <si>
    <t>meyeri</t>
  </si>
  <si>
    <t>(Hartert, 1930)</t>
  </si>
  <si>
    <t>Witu, New Britain  (Bismarck Arch.)</t>
  </si>
  <si>
    <t>120_11</t>
  </si>
  <si>
    <t>christophori</t>
  </si>
  <si>
    <t>(Mayr, 1938)</t>
  </si>
  <si>
    <t>120_12</t>
  </si>
  <si>
    <t>sethsmithi</t>
  </si>
  <si>
    <t>Vanuatu, Fiji Is.</t>
  </si>
  <si>
    <t>120_13</t>
  </si>
  <si>
    <t>swindellsi</t>
  </si>
  <si>
    <t>New Caledonia,  Loyalty Is.</t>
  </si>
  <si>
    <t>120_14</t>
  </si>
  <si>
    <t>goodsoni</t>
  </si>
  <si>
    <t>Samoa, Niue Is.</t>
  </si>
  <si>
    <t>120_15</t>
  </si>
  <si>
    <t>ecaudatus</t>
  </si>
  <si>
    <t>(Miller, JF, 1783)</t>
  </si>
  <si>
    <t>Tonga</t>
  </si>
  <si>
    <t>120_16</t>
  </si>
  <si>
    <t>assimilis</t>
  </si>
  <si>
    <t>(Gray, GR, 1843)</t>
  </si>
  <si>
    <t>New Zealand</t>
  </si>
  <si>
    <t>120_17</t>
  </si>
  <si>
    <t>macquariensis</t>
  </si>
  <si>
    <t>(Hutton, FW, 1879)</t>
  </si>
  <si>
    <t>Macquarie I.</t>
  </si>
  <si>
    <t>120_18</t>
  </si>
  <si>
    <t>lacustris</t>
  </si>
  <si>
    <t>nw, ne, e and c New Guinea,  Long I.</t>
  </si>
  <si>
    <t>Includes reductus and wahgiensis. Beehler &amp; Pratt 2016</t>
  </si>
  <si>
    <t>120_19</t>
  </si>
  <si>
    <t>tounelieri</t>
  </si>
  <si>
    <t>Schodde &amp; Naurois, 1982</t>
  </si>
  <si>
    <t>Coral Sea Is.   (se New Guinea to n New Caledonia)</t>
  </si>
  <si>
    <t>120_20</t>
  </si>
  <si>
    <t>mellori</t>
  </si>
  <si>
    <t>(Mathews, 1912)</t>
  </si>
  <si>
    <t>s and w New Guinea, Australia, Norfolk I.</t>
  </si>
  <si>
    <t>Includes randi. Beehler &amp; Pratt 2016</t>
  </si>
  <si>
    <t>121_1</t>
  </si>
  <si>
    <t>albiventer</t>
  </si>
  <si>
    <t>(Swainson, 1838)</t>
  </si>
  <si>
    <t>India and Sri Lanka to s China and Thailand</t>
  </si>
  <si>
    <t>121_2</t>
  </si>
  <si>
    <t>obscurior</t>
  </si>
  <si>
    <t>(Hume, 1874)</t>
  </si>
  <si>
    <t>121_3</t>
  </si>
  <si>
    <t>se China, Hainan I.</t>
  </si>
  <si>
    <t>121_4</t>
  </si>
  <si>
    <t>taiwanus</t>
  </si>
  <si>
    <t>(Yamashina, 1932)</t>
  </si>
  <si>
    <t>121_5</t>
  </si>
  <si>
    <t>Malaysia to Indochina, Sumatra, Java and s Borneo</t>
  </si>
  <si>
    <t>121_6</t>
  </si>
  <si>
    <t>striatus</t>
  </si>
  <si>
    <t>n Borneo, Philippines, Sulawesi</t>
  </si>
  <si>
    <t>(Parkes &amp; Amadon, 1959)</t>
  </si>
  <si>
    <t>(Meyen, 1834)</t>
  </si>
  <si>
    <t>124_1</t>
  </si>
  <si>
    <t>phoenicurus</t>
  </si>
  <si>
    <t>s Asia, Malay Arch. and Philippines</t>
  </si>
  <si>
    <t>Includes chinensis, javanica, maldiva.</t>
  </si>
  <si>
    <t>124_2</t>
  </si>
  <si>
    <t>insularis</t>
  </si>
  <si>
    <t>Includes leucocephalus.</t>
  </si>
  <si>
    <t>124_3</t>
  </si>
  <si>
    <t>leucomelana</t>
  </si>
  <si>
    <t>(Müller, S, 1842)</t>
  </si>
  <si>
    <t>Sulawesi, w Moluccas, Lesser Sundas</t>
  </si>
  <si>
    <t>Includes variabilis.</t>
  </si>
  <si>
    <t>(Pallas, 1776)</t>
  </si>
  <si>
    <t>125_1</t>
  </si>
  <si>
    <t>(Hermann, 1804)</t>
  </si>
  <si>
    <t>Europe to Asia Minor;  n, e, s Africa, Madagascar.</t>
  </si>
  <si>
    <t>n Africa</t>
  </si>
  <si>
    <t>Includes obscura. Taylor, 1996, Taylor, 1998, Hockey et al., 2005.</t>
  </si>
  <si>
    <t>125_2</t>
  </si>
  <si>
    <t>pusilla</t>
  </si>
  <si>
    <t>c and e Asia</t>
  </si>
  <si>
    <t>125_3</t>
  </si>
  <si>
    <t>mira</t>
  </si>
  <si>
    <t>Riley, 1938</t>
  </si>
  <si>
    <t>125_4</t>
  </si>
  <si>
    <t>mayri</t>
  </si>
  <si>
    <t>Junge, 1952</t>
  </si>
  <si>
    <t>New Guinea</t>
  </si>
  <si>
    <t>125_5</t>
  </si>
  <si>
    <t>palustris</t>
  </si>
  <si>
    <t>Gould, 1843</t>
  </si>
  <si>
    <t>e New Guinea, Australia</t>
  </si>
  <si>
    <t>125_6</t>
  </si>
  <si>
    <t>New Zealand,  Chatham Is.</t>
  </si>
  <si>
    <t>126_1</t>
  </si>
  <si>
    <t>fusca</t>
  </si>
  <si>
    <t>Pakistan and n India to Malaysia, Indonesia and the Philippines</t>
  </si>
  <si>
    <t>Includes bakeri. Taylor, 1996, Taylor, 1998.</t>
  </si>
  <si>
    <t>126_2</t>
  </si>
  <si>
    <t>zeylonica</t>
  </si>
  <si>
    <t>(Baker, ECS, 1927)</t>
  </si>
  <si>
    <t>w and sw India, Sri Lanka</t>
  </si>
  <si>
    <t>126_3</t>
  </si>
  <si>
    <t>phaeopyga</t>
  </si>
  <si>
    <t>Stejneger, 1887</t>
  </si>
  <si>
    <t>126_4</t>
  </si>
  <si>
    <t>erythrothorax</t>
  </si>
  <si>
    <t>(Temminck &amp; Schlegel, 1849)</t>
  </si>
  <si>
    <t>se Siberia to ne China, Korea and Japan, Taiwan</t>
  </si>
  <si>
    <t>(Vieillot, 1819)</t>
  </si>
  <si>
    <t>Temminck, 1826</t>
  </si>
  <si>
    <t>131_1</t>
  </si>
  <si>
    <t>chloropus</t>
  </si>
  <si>
    <t>Europe and n Africa to Japan and se Asia</t>
  </si>
  <si>
    <t>131_2</t>
  </si>
  <si>
    <t>meridionalis</t>
  </si>
  <si>
    <t>(Brehm, CL, 1831)</t>
  </si>
  <si>
    <t>Africa south of the Sahara,  St. Helena</t>
  </si>
  <si>
    <t>131_3</t>
  </si>
  <si>
    <t>pyrrhorrhoa</t>
  </si>
  <si>
    <t>Newton, A, 1861</t>
  </si>
  <si>
    <t>Madagascar, Réunion, Mauritius and Comoros Is.</t>
  </si>
  <si>
    <t>131_4</t>
  </si>
  <si>
    <t>Horsfield, 1821</t>
  </si>
  <si>
    <t>Seychelles, Andamans, Malay Pen., Indonesia and Philippines</t>
  </si>
  <si>
    <t>131_5</t>
  </si>
  <si>
    <t>guami</t>
  </si>
  <si>
    <t>n Mariana Is.</t>
  </si>
  <si>
    <t>132_1</t>
  </si>
  <si>
    <t>atra</t>
  </si>
  <si>
    <t>Europe and n Africa to Japan, India, se Asia, Philippines and Borneo</t>
  </si>
  <si>
    <t>132_2</t>
  </si>
  <si>
    <t>lugubris</t>
  </si>
  <si>
    <t>Müller, S, 1847</t>
  </si>
  <si>
    <t>Java, Bali, nw New Guinea</t>
  </si>
  <si>
    <t>132_3</t>
  </si>
  <si>
    <t>novaeguineae</t>
  </si>
  <si>
    <t>Rand, 1940</t>
  </si>
  <si>
    <t>c New Guinea</t>
  </si>
  <si>
    <t>Add: Taylor, 1996; Taylor, 1998</t>
  </si>
  <si>
    <t>132_4</t>
  </si>
  <si>
    <t>Gould, 1845</t>
  </si>
  <si>
    <t>Australia, New Zealand</t>
  </si>
  <si>
    <t>133_1</t>
  </si>
  <si>
    <t>antigone</t>
  </si>
  <si>
    <t>n India, Nepal, Bangladesh</t>
  </si>
  <si>
    <t>133_2</t>
  </si>
  <si>
    <t>sharpii</t>
  </si>
  <si>
    <t>(Blanford, 1895)</t>
  </si>
  <si>
    <t>Cambodia, s Laos</t>
  </si>
  <si>
    <t>133_3</t>
  </si>
  <si>
    <t>gillae</t>
  </si>
  <si>
    <t>(Schodde, Blackman &amp; Haffenden, 1989)</t>
  </si>
  <si>
    <t>135_1</t>
  </si>
  <si>
    <t>sylvaticus</t>
  </si>
  <si>
    <t>s Iberian Pen., nw Africa</t>
  </si>
  <si>
    <t>135_2</t>
  </si>
  <si>
    <t>lepurana</t>
  </si>
  <si>
    <t>(Smith, A, 1836)</t>
  </si>
  <si>
    <t>135_3</t>
  </si>
  <si>
    <t>dussumier</t>
  </si>
  <si>
    <t>(Temminck, 1828)</t>
  </si>
  <si>
    <t>e Iran to Myanmar</t>
  </si>
  <si>
    <t>135_4</t>
  </si>
  <si>
    <t>davidi</t>
  </si>
  <si>
    <t>Delacour &amp; Jabouille, 1930</t>
  </si>
  <si>
    <t>c Thailand to s China, n Indochina and Taiwan</t>
  </si>
  <si>
    <t>135_5</t>
  </si>
  <si>
    <t>bartelsorum</t>
  </si>
  <si>
    <t>Neumann, 1929</t>
  </si>
  <si>
    <t>135_6</t>
  </si>
  <si>
    <t>whiteheadi</t>
  </si>
  <si>
    <t>Ogilvie-Grant, 1897</t>
  </si>
  <si>
    <t>Luzon  (n Philippines)</t>
  </si>
  <si>
    <t>135_7</t>
  </si>
  <si>
    <t>celestinoi</t>
  </si>
  <si>
    <t>McGregor, 1907</t>
  </si>
  <si>
    <t>Bohol and Mindanao  (s Philippines)</t>
  </si>
  <si>
    <t>135_8</t>
  </si>
  <si>
    <t>nigrorum</t>
  </si>
  <si>
    <t>duPont, 1976</t>
  </si>
  <si>
    <t>Negros I.  (c Philippines)</t>
  </si>
  <si>
    <t>135_9</t>
  </si>
  <si>
    <t>suluensis</t>
  </si>
  <si>
    <t>Mearns, 1905</t>
  </si>
  <si>
    <t>Sulu Arch.   (sw Philippines)</t>
  </si>
  <si>
    <t>136_1</t>
  </si>
  <si>
    <t>benguetensis</t>
  </si>
  <si>
    <t>Parkes, 1968</t>
  </si>
  <si>
    <t>n Luzon</t>
  </si>
  <si>
    <t>136_2</t>
  </si>
  <si>
    <t>ocellatus</t>
  </si>
  <si>
    <t>s and c Luzon</t>
  </si>
  <si>
    <t>137_1</t>
  </si>
  <si>
    <t>plumbipes</t>
  </si>
  <si>
    <t>(Hodgson, 1837)</t>
  </si>
  <si>
    <t>Nepal to ne India and n Myanmar</t>
  </si>
  <si>
    <t>137_2</t>
  </si>
  <si>
    <t>bengalensis</t>
  </si>
  <si>
    <t>Blyth, 1852</t>
  </si>
  <si>
    <t>c and s of West Bengal  (ne India)</t>
  </si>
  <si>
    <t>137_3</t>
  </si>
  <si>
    <t>taigoor</t>
  </si>
  <si>
    <t>(Sykes, 1832)</t>
  </si>
  <si>
    <t>India (except above)</t>
  </si>
  <si>
    <t>137_4</t>
  </si>
  <si>
    <t>leggei</t>
  </si>
  <si>
    <t>Baker, ECS, 1920</t>
  </si>
  <si>
    <t>137_5</t>
  </si>
  <si>
    <t>okinavensis</t>
  </si>
  <si>
    <t>Phillips, AR, 1947</t>
  </si>
  <si>
    <t>s Kyushu I. to Ryukyu Is.  (Japan)</t>
  </si>
  <si>
    <t>137_6</t>
  </si>
  <si>
    <t>rostratus</t>
  </si>
  <si>
    <t>Swinhoe, 1865</t>
  </si>
  <si>
    <t>137_7</t>
  </si>
  <si>
    <t>blakistoni</t>
  </si>
  <si>
    <t>(Swinhoe, 1871)</t>
  </si>
  <si>
    <t>e Myanmar to s China and n Indochina</t>
  </si>
  <si>
    <t>137_8</t>
  </si>
  <si>
    <t>pallescens</t>
  </si>
  <si>
    <t>Robinson &amp; Baker, ECS, 1928</t>
  </si>
  <si>
    <t>sc Myanmar</t>
  </si>
  <si>
    <t>137_9</t>
  </si>
  <si>
    <t>thai</t>
  </si>
  <si>
    <t>Deignan, 1946</t>
  </si>
  <si>
    <t>nw and c Thailand</t>
  </si>
  <si>
    <t>137_10</t>
  </si>
  <si>
    <t>atrogularis</t>
  </si>
  <si>
    <t>(Eyton, 1839)</t>
  </si>
  <si>
    <t>s Myanmar, s Thailand, Malay Pen.</t>
  </si>
  <si>
    <t>Includes interrumpens. Wells, 1999, Robson, 2000.</t>
  </si>
  <si>
    <t>137_11</t>
  </si>
  <si>
    <t>suscitator</t>
  </si>
  <si>
    <t>Sumatra, Java, Bawean, Belitung, Bangka and Bali</t>
  </si>
  <si>
    <t>137_12</t>
  </si>
  <si>
    <t>powelli</t>
  </si>
  <si>
    <t>Guillemard, 1885</t>
  </si>
  <si>
    <t>Lombok to Alor  (Lesser Sundas)</t>
  </si>
  <si>
    <t>137_13</t>
  </si>
  <si>
    <t>rufilatus</t>
  </si>
  <si>
    <t>Wallace, 1865</t>
  </si>
  <si>
    <t>Sulawesi</t>
  </si>
  <si>
    <t>137_14</t>
  </si>
  <si>
    <t>haynaldi</t>
  </si>
  <si>
    <t>Blasius, W, 1888</t>
  </si>
  <si>
    <t>Palawan and nearby islands  (w Philippines)</t>
  </si>
  <si>
    <t>137_15</t>
  </si>
  <si>
    <t>fasciatus</t>
  </si>
  <si>
    <t>(Temminck, 1815)</t>
  </si>
  <si>
    <t>Luzon, Mindoro, Masbate, Sibuyan  (n Philippines)</t>
  </si>
  <si>
    <t>137_16</t>
  </si>
  <si>
    <t>nigrescens</t>
  </si>
  <si>
    <t>Cebu, Guimaras, Negros, Panay  (Philippines)</t>
  </si>
  <si>
    <t>McGregor, 1904</t>
  </si>
  <si>
    <t>140_1</t>
  </si>
  <si>
    <t>ostralegus</t>
  </si>
  <si>
    <t>Iceland to Scandinavia and s Europe</t>
  </si>
  <si>
    <t>to w Africa</t>
  </si>
  <si>
    <t>140_2</t>
  </si>
  <si>
    <t>longipes</t>
  </si>
  <si>
    <t>Buturlin, 1910</t>
  </si>
  <si>
    <t>Ukraine and Turkey to c Russia and w Siberia</t>
  </si>
  <si>
    <t>to e Africa</t>
  </si>
  <si>
    <t>140_3</t>
  </si>
  <si>
    <t>buturlini</t>
  </si>
  <si>
    <t>Dementiev, 1941</t>
  </si>
  <si>
    <t>w Kazakhstan to nw China</t>
  </si>
  <si>
    <t>to sw Asia, India</t>
  </si>
  <si>
    <t>140_4</t>
  </si>
  <si>
    <t>osculans</t>
  </si>
  <si>
    <t>Swinhoe, 1871</t>
  </si>
  <si>
    <t>Kamchatka Pen., Korea, ne China</t>
  </si>
  <si>
    <t>to e China</t>
  </si>
  <si>
    <t>Gould, 1837</t>
  </si>
  <si>
    <t>147_1</t>
  </si>
  <si>
    <t>squatarola</t>
  </si>
  <si>
    <t>n Eurasia and Alaska</t>
  </si>
  <si>
    <t>w and s Europe, Africa, s and e Asia,  Australasia, w Americas</t>
  </si>
  <si>
    <t>147_2</t>
  </si>
  <si>
    <t>tomkovichi</t>
  </si>
  <si>
    <t>Engelmoer &amp; Roselaar, 1998</t>
  </si>
  <si>
    <t>Wrangel I.  (ne Siberia)</t>
  </si>
  <si>
    <t>147_3</t>
  </si>
  <si>
    <t>cynosurae</t>
  </si>
  <si>
    <t>(Thayer &amp; Bangs, 1914)</t>
  </si>
  <si>
    <t>n Canada</t>
  </si>
  <si>
    <t>coastal North and South America</t>
  </si>
  <si>
    <t>148_1</t>
  </si>
  <si>
    <t>psammodromus</t>
  </si>
  <si>
    <t>Salomonsen, 1930</t>
  </si>
  <si>
    <t>ne Canada, Greenland, Iceland</t>
  </si>
  <si>
    <t>s Europe, all of w Africa</t>
  </si>
  <si>
    <t>148_2</t>
  </si>
  <si>
    <t>hiaticula</t>
  </si>
  <si>
    <t>British Isles and w France to s Norway, s Sweden and the Baltic States</t>
  </si>
  <si>
    <t>w Europe and nw Africa</t>
  </si>
  <si>
    <t>148_3</t>
  </si>
  <si>
    <t>tundrae</t>
  </si>
  <si>
    <t>(Lowe, 1915)</t>
  </si>
  <si>
    <t>s Europe, Africa, sw Asia</t>
  </si>
  <si>
    <t>Includes kolymennsis. Thies et al. 2018.</t>
  </si>
  <si>
    <t>Scopoli, 1786</t>
  </si>
  <si>
    <t>149_1</t>
  </si>
  <si>
    <t>curonicus</t>
  </si>
  <si>
    <t>n Africa, Europe, Asia (except sc and se)</t>
  </si>
  <si>
    <t>Africa, s Asia</t>
  </si>
  <si>
    <t>149_2</t>
  </si>
  <si>
    <t>(Legge, 1880)</t>
  </si>
  <si>
    <t>India to s China and Indochina</t>
  </si>
  <si>
    <t>149_3</t>
  </si>
  <si>
    <t>dubius</t>
  </si>
  <si>
    <t>Philippines to New Guinea and the Bismarck Arch.</t>
  </si>
  <si>
    <t>se Asia, Australia</t>
  </si>
  <si>
    <t>150_1</t>
  </si>
  <si>
    <t>alexandrinus</t>
  </si>
  <si>
    <t>w Europe, Atlantic Is. and n Africa to n China</t>
  </si>
  <si>
    <t>150_2</t>
  </si>
  <si>
    <t>dealbatus</t>
  </si>
  <si>
    <t>(Swinhoe, 1870)</t>
  </si>
  <si>
    <t>to s Vietnam, s Thailand, Peninsular Malaysia, Singapore, se Sumatra.</t>
  </si>
  <si>
    <t>C. a. dealbatus is treated as a subspecies of Kentish Plover following Rheindt et al. 2011;</t>
  </si>
  <si>
    <t>150_3</t>
  </si>
  <si>
    <t>nihonensis</t>
  </si>
  <si>
    <t>Deignan, 1941</t>
  </si>
  <si>
    <t>se Russia, ne, e China, Korea, Japan and Taiwan</t>
  </si>
  <si>
    <t>Recognize C. a. nihonensis following Kennerley et al. 2008</t>
  </si>
  <si>
    <t>150_4</t>
  </si>
  <si>
    <t>seebohmi</t>
  </si>
  <si>
    <t>Hartert &amp; Jackson, AC, 1915</t>
  </si>
  <si>
    <t>Schlegel, 1865</t>
  </si>
  <si>
    <t>Pallas, 1776</t>
  </si>
  <si>
    <t>152_1</t>
  </si>
  <si>
    <t>pamirensis</t>
  </si>
  <si>
    <t>(Richmond, 1896)</t>
  </si>
  <si>
    <t>mountains of Kyrgyzstan and Tajikistan to wc China</t>
  </si>
  <si>
    <t>e and s Africa to India</t>
  </si>
  <si>
    <t>152_2</t>
  </si>
  <si>
    <t>atrifrons</t>
  </si>
  <si>
    <t>c and e Himalayas to s Tibet</t>
  </si>
  <si>
    <t>s China and Greater Sundas</t>
  </si>
  <si>
    <t>152_3</t>
  </si>
  <si>
    <t>schaeferi</t>
  </si>
  <si>
    <t>Meyer de Schauensee, 1937</t>
  </si>
  <si>
    <t>e Tibet to s Mongolia</t>
  </si>
  <si>
    <t>s China to Greater Sundas</t>
  </si>
  <si>
    <t>152_4</t>
  </si>
  <si>
    <t>mongolus</t>
  </si>
  <si>
    <t>se Siberia</t>
  </si>
  <si>
    <t>Taiwan to Australia</t>
  </si>
  <si>
    <t>152_5</t>
  </si>
  <si>
    <t>stegmanni</t>
  </si>
  <si>
    <t>Portenko, 1939</t>
  </si>
  <si>
    <t>to Australia</t>
  </si>
  <si>
    <t>Lesson, R, 1826</t>
  </si>
  <si>
    <t>153_1</t>
  </si>
  <si>
    <t>columbinus</t>
  </si>
  <si>
    <t>Turkey to s Afghanistan</t>
  </si>
  <si>
    <t>se Mediterranean, Red Sea, Persian Gulf</t>
  </si>
  <si>
    <t>153_2</t>
  </si>
  <si>
    <t>scythicus</t>
  </si>
  <si>
    <t>Carlos, Roselaar &amp; Voisin, 2012</t>
  </si>
  <si>
    <t>Turkmenistan through s Kazakhstan</t>
  </si>
  <si>
    <t>to South Africa</t>
  </si>
  <si>
    <t>153_3</t>
  </si>
  <si>
    <t>leschenaultii</t>
  </si>
  <si>
    <t>w China to s Mongolia and s Siberia</t>
  </si>
  <si>
    <t>Australasia and s Asia</t>
  </si>
  <si>
    <t>Gould, 1848</t>
  </si>
  <si>
    <t>159_1</t>
  </si>
  <si>
    <t>islandicus</t>
  </si>
  <si>
    <t>Iceland and British Isles</t>
  </si>
  <si>
    <t>w Africa</t>
  </si>
  <si>
    <t>159_2</t>
  </si>
  <si>
    <t>phaeopus</t>
  </si>
  <si>
    <t>Norway to nc Siberia</t>
  </si>
  <si>
    <t>Africa, s and se Asia</t>
  </si>
  <si>
    <t>159_3</t>
  </si>
  <si>
    <t>alboaxillaris</t>
  </si>
  <si>
    <t>Lowe, 1921</t>
  </si>
  <si>
    <t>w Kazakhstan to sw Siberia</t>
  </si>
  <si>
    <t>islands and coasts of w Indian Ocean</t>
  </si>
  <si>
    <t>159_4</t>
  </si>
  <si>
    <t>rogachevae</t>
  </si>
  <si>
    <t>Tomkovich, 2008</t>
  </si>
  <si>
    <t>nc Siberia</t>
  </si>
  <si>
    <t>East Africa, w India</t>
  </si>
  <si>
    <t>159_5</t>
  </si>
  <si>
    <t>variegatus</t>
  </si>
  <si>
    <t>India to Australasia</t>
  </si>
  <si>
    <t>159_6</t>
  </si>
  <si>
    <t>rufiventris</t>
  </si>
  <si>
    <t>Vigors, 1829</t>
  </si>
  <si>
    <t>Alaska and nw Canada</t>
  </si>
  <si>
    <t>w USA to South America</t>
  </si>
  <si>
    <t>159_7</t>
  </si>
  <si>
    <t>hudsonicus</t>
  </si>
  <si>
    <t>Latham, 1790</t>
  </si>
  <si>
    <t>Hudson Bay area to ne Canada</t>
  </si>
  <si>
    <t>Caribbean and South America, Australasia</t>
  </si>
  <si>
    <t>See Sangster et al. 2011, Rasmussen &amp; Anderton 2012 re proposed split of  Hudsonian Whimbrel</t>
  </si>
  <si>
    <t>Gould, 1841</t>
  </si>
  <si>
    <t>162_1</t>
  </si>
  <si>
    <t>arquata</t>
  </si>
  <si>
    <t>w, n and c Europe</t>
  </si>
  <si>
    <t>w and s Europe, w Africa</t>
  </si>
  <si>
    <t>162_2</t>
  </si>
  <si>
    <t>w and c Siberia to Manchuria</t>
  </si>
  <si>
    <t>Mediterranean, Africa, s and se Asia</t>
  </si>
  <si>
    <t>162_3</t>
  </si>
  <si>
    <t>sw Asia, coastal Africa south of the Sahara</t>
  </si>
  <si>
    <t>163_1</t>
  </si>
  <si>
    <t>lapponica</t>
  </si>
  <si>
    <t>n Europe</t>
  </si>
  <si>
    <t>Africa and India</t>
  </si>
  <si>
    <t>163_2</t>
  </si>
  <si>
    <t>taymyrensis</t>
  </si>
  <si>
    <t>nw and nc Siberia</t>
  </si>
  <si>
    <t>sw Asia, coasts of Africa to South Africa</t>
  </si>
  <si>
    <t>163_3</t>
  </si>
  <si>
    <t>menzbieri</t>
  </si>
  <si>
    <t>Portenko, 1936</t>
  </si>
  <si>
    <t>se Asia, nw Australia</t>
  </si>
  <si>
    <t>163_4</t>
  </si>
  <si>
    <t>baueri</t>
  </si>
  <si>
    <t>Naumann, JF, 1836</t>
  </si>
  <si>
    <t>ne Siberia to n and w Alaska</t>
  </si>
  <si>
    <t>China,  Australasia</t>
  </si>
  <si>
    <t>Includes anadyrensis. See Dickinson &amp; Remsen, 2013.</t>
  </si>
  <si>
    <t>164_1</t>
  </si>
  <si>
    <t>islandica</t>
  </si>
  <si>
    <t>Iceland, Faroe and Shetland Is., n Norway</t>
  </si>
  <si>
    <t>sw Europe</t>
  </si>
  <si>
    <t>164_2</t>
  </si>
  <si>
    <t>limosa</t>
  </si>
  <si>
    <t>w and c Europe to c Asia</t>
  </si>
  <si>
    <t>Mediterranean, Africa, India</t>
  </si>
  <si>
    <t>164_3</t>
  </si>
  <si>
    <t>melanuroides</t>
  </si>
  <si>
    <t>India, se Asia, Australia</t>
  </si>
  <si>
    <t>165_1</t>
  </si>
  <si>
    <t>interpres</t>
  </si>
  <si>
    <t>ne Canada, Greenland, n Europe to ne Siberia and w Alaska</t>
  </si>
  <si>
    <t>w and s Europe, Africa, s and e Asia,  Australasia,  Pacific islands, w USA and w Mexico</t>
  </si>
  <si>
    <t>165_2</t>
  </si>
  <si>
    <t>morinella</t>
  </si>
  <si>
    <t>ne Alaska, n Canada</t>
  </si>
  <si>
    <t>s USA to South America</t>
  </si>
  <si>
    <t>167_1</t>
  </si>
  <si>
    <t>canutus</t>
  </si>
  <si>
    <t>w and s Africa</t>
  </si>
  <si>
    <t>167_2</t>
  </si>
  <si>
    <t>piersmai</t>
  </si>
  <si>
    <t>Tomkovich, 2001</t>
  </si>
  <si>
    <t>New Siberian Arch.</t>
  </si>
  <si>
    <t>to nw Australia</t>
  </si>
  <si>
    <t>167_3</t>
  </si>
  <si>
    <t>rogersi</t>
  </si>
  <si>
    <t>(Mathews, 1913)</t>
  </si>
  <si>
    <t>Chukotsk Pen.  (e Siberia)</t>
  </si>
  <si>
    <t>Australasia</t>
  </si>
  <si>
    <t>167_4</t>
  </si>
  <si>
    <t>roselaari</t>
  </si>
  <si>
    <t>Tomkovich, 1990</t>
  </si>
  <si>
    <t>Wrangel I.  (ne Siberia), nw Alaska</t>
  </si>
  <si>
    <t>Pacific coasts of North America and Central America</t>
  </si>
  <si>
    <t>167_5</t>
  </si>
  <si>
    <t>rufa</t>
  </si>
  <si>
    <t>(Wilson, A, 1813)</t>
  </si>
  <si>
    <t>Gulf of Mexico to se South America</t>
  </si>
  <si>
    <t>167_6</t>
  </si>
  <si>
    <t>(Linnaeus, 1767)</t>
  </si>
  <si>
    <t>islands off n Canada, n Greenland</t>
  </si>
  <si>
    <t>w Europe and Mediterranean</t>
  </si>
  <si>
    <t>(Pontoppidan, 1763)</t>
  </si>
  <si>
    <t>169_1</t>
  </si>
  <si>
    <t>falcinellus</t>
  </si>
  <si>
    <t>n Europe to nw Siberia</t>
  </si>
  <si>
    <t>e and s Africa to s India</t>
  </si>
  <si>
    <t>169_2</t>
  </si>
  <si>
    <t>sibirica</t>
  </si>
  <si>
    <t>(Dresser, 1876)</t>
  </si>
  <si>
    <t>ne India to Australia</t>
  </si>
  <si>
    <t>(Leisler, 1812)</t>
  </si>
  <si>
    <t>(Middendorff, 1853)</t>
  </si>
  <si>
    <t>175_1</t>
  </si>
  <si>
    <t>Ellesmere I., n and e Greenland,  Svalbard, Franz Josef Land and Taymyr</t>
  </si>
  <si>
    <t>w Europe, Africa, Asia, Australasia</t>
  </si>
  <si>
    <t>175_2</t>
  </si>
  <si>
    <t>rubida</t>
  </si>
  <si>
    <t>ne Siberia, Alaska, n Canada</t>
  </si>
  <si>
    <t>e Asia, coastal North, Central and South America</t>
  </si>
  <si>
    <t>176_1</t>
  </si>
  <si>
    <t>arctica</t>
  </si>
  <si>
    <t>(Schiøler, 1922)</t>
  </si>
  <si>
    <t>ne Greenland</t>
  </si>
  <si>
    <t>176_2</t>
  </si>
  <si>
    <t>schinzii</t>
  </si>
  <si>
    <t>(Brehm, CL &amp; Schilling, 1822)</t>
  </si>
  <si>
    <t>se Greenland, Iceland, the British Isles to s Scandinavia and the Baltic</t>
  </si>
  <si>
    <t>sw Europe and nw and w Africa</t>
  </si>
  <si>
    <t>176_3</t>
  </si>
  <si>
    <t>alpina</t>
  </si>
  <si>
    <t>n Scandanavia to nw Siberia</t>
  </si>
  <si>
    <t>w Europe, Mediterranean and Africa to India</t>
  </si>
  <si>
    <t>176_4</t>
  </si>
  <si>
    <t>centralis</t>
  </si>
  <si>
    <t>(Buturlin, 1932)</t>
  </si>
  <si>
    <t>nc to ne Siberia</t>
  </si>
  <si>
    <t>e Mediterranean to s Asia</t>
  </si>
  <si>
    <t>176_5</t>
  </si>
  <si>
    <t>sakhalina</t>
  </si>
  <si>
    <t>(Vieillot, 1816)</t>
  </si>
  <si>
    <t>e Russia to the Chukotsk Pen.</t>
  </si>
  <si>
    <t>e China, Korea, Japan, Taiwan</t>
  </si>
  <si>
    <t>176_6</t>
  </si>
  <si>
    <t>kistchinski</t>
  </si>
  <si>
    <t>Tomkovich, 1986</t>
  </si>
  <si>
    <t>Sea of Okhotsk to Kuril Is. and Kamchatka</t>
  </si>
  <si>
    <t>e Asia</t>
  </si>
  <si>
    <t>176_7</t>
  </si>
  <si>
    <t>actites</t>
  </si>
  <si>
    <t>Nechaev &amp; Tomkovich, 1988</t>
  </si>
  <si>
    <t>Sakhalin I.  (off se Russia)</t>
  </si>
  <si>
    <t>176_8</t>
  </si>
  <si>
    <t>arcticola</t>
  </si>
  <si>
    <t>(Todd, 1953)</t>
  </si>
  <si>
    <t>nw Alaska to nw Canada</t>
  </si>
  <si>
    <t>176_9</t>
  </si>
  <si>
    <t>pacifica</t>
  </si>
  <si>
    <t>(Coues, 1861)</t>
  </si>
  <si>
    <t>w and s Alaska</t>
  </si>
  <si>
    <t>w USA and w Mexico</t>
  </si>
  <si>
    <t>176_10</t>
  </si>
  <si>
    <t>hudsonia</t>
  </si>
  <si>
    <t>c Canada</t>
  </si>
  <si>
    <t>se USA</t>
  </si>
  <si>
    <t>(Blyth, 1848)</t>
  </si>
  <si>
    <t>(Say, 1822)</t>
  </si>
  <si>
    <t>Kennedy, Fisher, TH, Harrap, Diesmos &amp; Manamtam, 2001</t>
  </si>
  <si>
    <t>(Brünnich, 1764)</t>
  </si>
  <si>
    <t>(Bonaparte, 1831)</t>
  </si>
  <si>
    <t>Swinhoe, 1861</t>
  </si>
  <si>
    <t>186_1</t>
  </si>
  <si>
    <t>faeroeensis</t>
  </si>
  <si>
    <t>Iceland, Faroe Is., Orkney and Shetland Is.</t>
  </si>
  <si>
    <t>British Isles</t>
  </si>
  <si>
    <t>186_2</t>
  </si>
  <si>
    <t>gallinago</t>
  </si>
  <si>
    <t>c and n Europe and Asia</t>
  </si>
  <si>
    <t>to w Europe, Africa, Indonesia, Japan</t>
  </si>
  <si>
    <t>(Güldenstädt, 1775)</t>
  </si>
  <si>
    <t>193_1</t>
  </si>
  <si>
    <t>robusta</t>
  </si>
  <si>
    <t>(Schiøler, 1919)</t>
  </si>
  <si>
    <t>Iceland, Faroe Is.</t>
  </si>
  <si>
    <t>British Isles and w Europe</t>
  </si>
  <si>
    <t>193_2</t>
  </si>
  <si>
    <t>totanus</t>
  </si>
  <si>
    <t>w and n Europe to w Siberia</t>
  </si>
  <si>
    <t>Africa, India and Indonesia</t>
  </si>
  <si>
    <t>193_3</t>
  </si>
  <si>
    <t>ussuriensis</t>
  </si>
  <si>
    <t>Buturlin, 1934</t>
  </si>
  <si>
    <t>s Siberia and Mongolia to e Asia</t>
  </si>
  <si>
    <t>to Africa, India and se Asia</t>
  </si>
  <si>
    <t>193_4</t>
  </si>
  <si>
    <t>terrignotae</t>
  </si>
  <si>
    <t>Meinertzhagen, R &amp; Meinertzhagen, A, 1926</t>
  </si>
  <si>
    <t>s Manchuria and e China</t>
  </si>
  <si>
    <t>e and se Asia</t>
  </si>
  <si>
    <t>193_5</t>
  </si>
  <si>
    <t>craggi</t>
  </si>
  <si>
    <t>Hale, 1971</t>
  </si>
  <si>
    <t>nw China</t>
  </si>
  <si>
    <t>193_6</t>
  </si>
  <si>
    <t>eurhina</t>
  </si>
  <si>
    <t>(Oberholser, 1900)</t>
  </si>
  <si>
    <t>Tajikistan, n India, Tibet</t>
  </si>
  <si>
    <t>India to the Malay Pen.</t>
  </si>
  <si>
    <t>(Bechstein, 1803)</t>
  </si>
  <si>
    <t>(Gunnerus, 1767)</t>
  </si>
  <si>
    <t>(Nordmann, 1835)</t>
  </si>
  <si>
    <t>Forster, JR, 1795</t>
  </si>
  <si>
    <t>200_1</t>
  </si>
  <si>
    <t>pileatus</t>
  </si>
  <si>
    <t>Red Sea, Indian Ocean east through the Pacific to Hawaiian Is. and Easter I.</t>
  </si>
  <si>
    <t>200_2</t>
  </si>
  <si>
    <t>galapagensis</t>
  </si>
  <si>
    <t>Sharpe, 1879</t>
  </si>
  <si>
    <t>Galápagos Is.</t>
  </si>
  <si>
    <t>200_3</t>
  </si>
  <si>
    <t>Anthony, 1898</t>
  </si>
  <si>
    <t>islands off w Mexico to w Costa Rica</t>
  </si>
  <si>
    <t>200_4</t>
  </si>
  <si>
    <t>stolidus</t>
  </si>
  <si>
    <t>islands of the Caribbean and tropical Atlantic</t>
  </si>
  <si>
    <t>Boie, F, 1844</t>
  </si>
  <si>
    <t>201_1</t>
  </si>
  <si>
    <t>worcesteri</t>
  </si>
  <si>
    <t>(McGregor, 1911)</t>
  </si>
  <si>
    <t>Cavilli I. and Tubbataha Reef  (Sulu Sea)</t>
  </si>
  <si>
    <t>201_2</t>
  </si>
  <si>
    <t>minutus</t>
  </si>
  <si>
    <t>ne Australia and New Guinea to Tuamotu  Arch.</t>
  </si>
  <si>
    <t>201_3</t>
  </si>
  <si>
    <t>marcusi</t>
  </si>
  <si>
    <t>(Bryan, 1903)</t>
  </si>
  <si>
    <t>Marcus and Wake Is. through Micronesia to Caroline Is.</t>
  </si>
  <si>
    <t>201_4</t>
  </si>
  <si>
    <t>melanogenys</t>
  </si>
  <si>
    <t>Gray, GR, 1846</t>
  </si>
  <si>
    <t>Hawaiian Is.</t>
  </si>
  <si>
    <t>201_5</t>
  </si>
  <si>
    <t>diamesus</t>
  </si>
  <si>
    <t>(Heller &amp; Snodgrass, 1901)</t>
  </si>
  <si>
    <t>Clipperton I.   (off w Mexico) and Cocos I.  (off w Costa Rica)</t>
  </si>
  <si>
    <t>201_6</t>
  </si>
  <si>
    <t>americanus</t>
  </si>
  <si>
    <t>islands in the Caribbean</t>
  </si>
  <si>
    <t>201_7</t>
  </si>
  <si>
    <t>atlanticus</t>
  </si>
  <si>
    <t>tropical s Atlantic islands</t>
  </si>
  <si>
    <t>(Sparrman, 1786)</t>
  </si>
  <si>
    <t>202_1</t>
  </si>
  <si>
    <t>islands of the tropical south Atlantic Ocean</t>
  </si>
  <si>
    <t>202_2</t>
  </si>
  <si>
    <t>candida</t>
  </si>
  <si>
    <t>Seychelles and Mascarene Is. to the central Pacific (except ranges of next two ssp.)</t>
  </si>
  <si>
    <t>202_3</t>
  </si>
  <si>
    <t>microrhyncha</t>
  </si>
  <si>
    <t>Saunders, H, 1876</t>
  </si>
  <si>
    <t>Phoenix, Line and Marquesas Is.</t>
  </si>
  <si>
    <t>202_4</t>
  </si>
  <si>
    <t>leucopes</t>
  </si>
  <si>
    <t>Holyoak &amp; Thibault, 1976</t>
  </si>
  <si>
    <t>Pitcairn Is.</t>
  </si>
  <si>
    <t>205_1</t>
  </si>
  <si>
    <t>megalopterus</t>
  </si>
  <si>
    <t>(Bruch, 1855)</t>
  </si>
  <si>
    <t>coastal se Canada, e and s USA to e Central America, sw USA, w Mexico</t>
  </si>
  <si>
    <t>to s Peru</t>
  </si>
  <si>
    <t>205_2</t>
  </si>
  <si>
    <t>atricilla</t>
  </si>
  <si>
    <t>West Indies to n Venezuelan islands</t>
  </si>
  <si>
    <t>to n Brazil</t>
  </si>
  <si>
    <t>(Wagler, 1831)</t>
  </si>
  <si>
    <t>Vieillot, 1818</t>
  </si>
  <si>
    <t>208_1</t>
  </si>
  <si>
    <t>canus</t>
  </si>
  <si>
    <t>Iceland and the British Isles to White Sea</t>
  </si>
  <si>
    <t>Europe and n Africa to the Persian Gulf</t>
  </si>
  <si>
    <t>208_2</t>
  </si>
  <si>
    <t>heinei</t>
  </si>
  <si>
    <t>Homeyer, 1853</t>
  </si>
  <si>
    <t>w Russia to  c Siberia</t>
  </si>
  <si>
    <t>c and s Europe, Middle east</t>
  </si>
  <si>
    <t>208_3</t>
  </si>
  <si>
    <t>kamtschatschensis</t>
  </si>
  <si>
    <t>Bonaparte, 1857</t>
  </si>
  <si>
    <t>208_4</t>
  </si>
  <si>
    <t>brachyrhynchus</t>
  </si>
  <si>
    <t>Richardson, 1831</t>
  </si>
  <si>
    <t>n Alaska, w Canada</t>
  </si>
  <si>
    <t>PS, ENG</t>
  </si>
  <si>
    <t>w USA</t>
  </si>
  <si>
    <t>Genetically distinct Short-billed Gull previously split from Common /Mew Gull (AOU  Sibley 1996,  Zink et al. 1995, Olsen &amp; Larsson 2003, BNA).  BNA makes the point that Zink’s paper only looked at mtDNA differences between kamtschatschensis and brachyrhynchus. A study also incorporating nominate canus is needed to round out the picture and because some have proposed (e.g. S&amp;M, 1990) that the species break might be between kamtschatschensis and canus/brachyrhynchus.</t>
  </si>
  <si>
    <t>Palmén, 1887</t>
  </si>
  <si>
    <t>209_1</t>
  </si>
  <si>
    <t>mongolicus</t>
  </si>
  <si>
    <t>Sushkin, 1925</t>
  </si>
  <si>
    <t>e Kazakhstan to Mongolia</t>
  </si>
  <si>
    <t>s Asia</t>
  </si>
  <si>
    <t>209_2</t>
  </si>
  <si>
    <t>vegae</t>
  </si>
  <si>
    <t>to China</t>
  </si>
  <si>
    <t>Stejneger, 1884</t>
  </si>
  <si>
    <t>211_1</t>
  </si>
  <si>
    <t>graellsii</t>
  </si>
  <si>
    <t>Brehm, AE, 1857</t>
  </si>
  <si>
    <t>Greenland, Iceland, Faroe Is., w Europe</t>
  </si>
  <si>
    <t>sw Europe, e USA, w Africa</t>
  </si>
  <si>
    <t>211_2</t>
  </si>
  <si>
    <t>Schiøler, 1922</t>
  </si>
  <si>
    <t>Netherlands, Germany, Denmark, sw Sweden and w Norway</t>
  </si>
  <si>
    <t>w Europe, w Africa</t>
  </si>
  <si>
    <t>211_3</t>
  </si>
  <si>
    <t>fuscus</t>
  </si>
  <si>
    <t>n Norway, Sweden and Finland to the White Sea</t>
  </si>
  <si>
    <t>ne and e Africa, sw Asia</t>
  </si>
  <si>
    <t>211_4</t>
  </si>
  <si>
    <t>heuglini</t>
  </si>
  <si>
    <t>Bree, 1876</t>
  </si>
  <si>
    <t>n Russia to nc Siberia</t>
  </si>
  <si>
    <t>e Africa and the Middle East to nw India</t>
  </si>
  <si>
    <t>211_5</t>
  </si>
  <si>
    <t>barabensis</t>
  </si>
  <si>
    <t>Johansen, HC, 1960</t>
  </si>
  <si>
    <t>c Asia</t>
  </si>
  <si>
    <t>sw Asia</t>
  </si>
  <si>
    <t>212_1</t>
  </si>
  <si>
    <t>nilotica</t>
  </si>
  <si>
    <t>Europe, n Africa through the Middle East and sc Asia to w China and Thailand</t>
  </si>
  <si>
    <t>212_2</t>
  </si>
  <si>
    <t>Japan, s and e China through se Asia to Philippines, Sumatra, Sulawesi and Borneo</t>
  </si>
  <si>
    <t>212_3</t>
  </si>
  <si>
    <t>macrotarsa</t>
  </si>
  <si>
    <t>(Gould, 1837)</t>
  </si>
  <si>
    <t>Australia</t>
  </si>
  <si>
    <t>n Australia, New Guinea</t>
  </si>
  <si>
    <t>212_4</t>
  </si>
  <si>
    <t>aranea</t>
  </si>
  <si>
    <t>(Wilson, A, 1814)</t>
  </si>
  <si>
    <t>e and s USA through Greater Antilles</t>
  </si>
  <si>
    <t>Central America to Peru and Brazil</t>
  </si>
  <si>
    <t>212_5</t>
  </si>
  <si>
    <t>vanrossemi</t>
  </si>
  <si>
    <t>Bancroft, 1929</t>
  </si>
  <si>
    <t>s California (USA) to nw Mexico</t>
  </si>
  <si>
    <t>to Ecuador</t>
  </si>
  <si>
    <t>212_6</t>
  </si>
  <si>
    <t>gronvoldi</t>
  </si>
  <si>
    <t>French Guiana to ne Argentina</t>
  </si>
  <si>
    <t>(Pallas, 1770)</t>
  </si>
  <si>
    <t>(Lichtenstein, MHK, 1823)</t>
  </si>
  <si>
    <t>214_1</t>
  </si>
  <si>
    <t>bergii</t>
  </si>
  <si>
    <t>Namibia, South Africa and Mozambique</t>
  </si>
  <si>
    <t>Includes enigma. Hockey et al., 2005.</t>
  </si>
  <si>
    <t>214_2</t>
  </si>
  <si>
    <t>thalassinus</t>
  </si>
  <si>
    <t>(Stresemann, 1914)</t>
  </si>
  <si>
    <t>Tanzania, Madagascar to Mascarenes and Chagos Arch.</t>
  </si>
  <si>
    <t>to s Somalia</t>
  </si>
  <si>
    <t>214_3</t>
  </si>
  <si>
    <t>velox</t>
  </si>
  <si>
    <t>(Cretzschmar, 1827)</t>
  </si>
  <si>
    <t>Red Sea and nw Somalia to Myanmar and w Sumatra</t>
  </si>
  <si>
    <t>214_4</t>
  </si>
  <si>
    <t>cristatus</t>
  </si>
  <si>
    <t>(Stephens, 1826)</t>
  </si>
  <si>
    <t>e China to w, n and e Australia, Ryukyu and Tuamotu Is.</t>
  </si>
  <si>
    <t>216_1</t>
  </si>
  <si>
    <t>Europe and n Africa to c Asia,</t>
  </si>
  <si>
    <t>Africa</t>
  </si>
  <si>
    <t>216_2</t>
  </si>
  <si>
    <t>guineae</t>
  </si>
  <si>
    <t>(Bannerman, 1931)</t>
  </si>
  <si>
    <t>Mauritania to Gabon</t>
  </si>
  <si>
    <t>216_3</t>
  </si>
  <si>
    <t>India and the Indian Ocean through e and se Asia to Australia</t>
  </si>
  <si>
    <t>(Baird, SF, 1869)</t>
  </si>
  <si>
    <t>218_1</t>
  </si>
  <si>
    <t>melanopterus</t>
  </si>
  <si>
    <t>(Swainson, 1837)</t>
  </si>
  <si>
    <t>Caribbean Sea and w Africa</t>
  </si>
  <si>
    <t>218_2</t>
  </si>
  <si>
    <t>antarcticus</t>
  </si>
  <si>
    <t>Red Sea, Persian Gulf and w Indian Ocean</t>
  </si>
  <si>
    <t>218_3</t>
  </si>
  <si>
    <t>anaethetus</t>
  </si>
  <si>
    <t>e Indian Ocean and w Pacific</t>
  </si>
  <si>
    <t>218_4</t>
  </si>
  <si>
    <t>nelsoni</t>
  </si>
  <si>
    <t>(Ridgway, 1919)</t>
  </si>
  <si>
    <t>w coast of Mexico and Central America</t>
  </si>
  <si>
    <t>219_1</t>
  </si>
  <si>
    <t>fuscatus</t>
  </si>
  <si>
    <t>Gulf of Mexico and West Indies, Gulf of Guinea, s Atlantic</t>
  </si>
  <si>
    <t>219_2</t>
  </si>
  <si>
    <t>nubilosus</t>
  </si>
  <si>
    <t>(Sparrman, 1788)</t>
  </si>
  <si>
    <t>Red Sea and Indian Ocean to Ryukyu Is., Philippines and Greater Sundas</t>
  </si>
  <si>
    <t>219_3</t>
  </si>
  <si>
    <t>serratus</t>
  </si>
  <si>
    <t>(Wagler, 1830)</t>
  </si>
  <si>
    <t>w and n Australia and New Guinea through Lord Howe, Norfolk and Kermadec Is and the s Pacific to Easter I.</t>
  </si>
  <si>
    <t>Includes kermadeci. Gill et al. 2010.</t>
  </si>
  <si>
    <t>219_4</t>
  </si>
  <si>
    <t>oahuensis</t>
  </si>
  <si>
    <t>(Bloxam, A, 1827)</t>
  </si>
  <si>
    <t>Bonin Is. (Japan) to the Hawaiian Is. south to Kiritimati  (Line Is.)</t>
  </si>
  <si>
    <t>219_5</t>
  </si>
  <si>
    <t>crissalis</t>
  </si>
  <si>
    <t>(Lawrence, 1872)</t>
  </si>
  <si>
    <t>islands off w Mexico to the Galápagos</t>
  </si>
  <si>
    <t>219_6</t>
  </si>
  <si>
    <t>luctuosus</t>
  </si>
  <si>
    <t>(Philippi &amp; Landbeck, 1866)</t>
  </si>
  <si>
    <t>Juan Fernández Is.  (Chile)</t>
  </si>
  <si>
    <t>Montagu, 1813</t>
  </si>
  <si>
    <t>220_1</t>
  </si>
  <si>
    <t>dougallii</t>
  </si>
  <si>
    <t>e North America,  West Indies,   Azores, Europe, Africa</t>
  </si>
  <si>
    <t>220_2</t>
  </si>
  <si>
    <t>arideensis</t>
  </si>
  <si>
    <t>Seychelles to Madagascar and Rodrigues I.</t>
  </si>
  <si>
    <t>220_3</t>
  </si>
  <si>
    <t>korustes</t>
  </si>
  <si>
    <t>Sri Lanka, Andaman Is. and Mergui Arch.  (sw Myanmar)</t>
  </si>
  <si>
    <t>220_4</t>
  </si>
  <si>
    <t>bangsi</t>
  </si>
  <si>
    <t>Ryukyu Is. and e China to New Guinea, ne Australia and islands of the sw Pacific</t>
  </si>
  <si>
    <t>220_5</t>
  </si>
  <si>
    <t>gracilis</t>
  </si>
  <si>
    <t>Moluccas, w and n Australia</t>
  </si>
  <si>
    <t>221_1</t>
  </si>
  <si>
    <t>mathewsi</t>
  </si>
  <si>
    <t>Stresemann, 1914</t>
  </si>
  <si>
    <t>islands of the w Indian Ocean</t>
  </si>
  <si>
    <t>221_2</t>
  </si>
  <si>
    <t>sumatrana</t>
  </si>
  <si>
    <t>islands of e Indian Ocean to islands of w Pacific and Australasia</t>
  </si>
  <si>
    <t>222_1</t>
  </si>
  <si>
    <t>hirundo</t>
  </si>
  <si>
    <t>North America to n South America, n and w Africa,  Europe to nw Siberia and w China</t>
  </si>
  <si>
    <t>222_2</t>
  </si>
  <si>
    <t>tibetana</t>
  </si>
  <si>
    <t>w Himalayas to w Mongolia and Tibet</t>
  </si>
  <si>
    <t>222_3</t>
  </si>
  <si>
    <t>minussensis</t>
  </si>
  <si>
    <t>c Siberia to n Mongolia</t>
  </si>
  <si>
    <t>222_4</t>
  </si>
  <si>
    <t>longipennis</t>
  </si>
  <si>
    <t>Nordmann, 1835</t>
  </si>
  <si>
    <t>ne Siberia to ne China</t>
  </si>
  <si>
    <t>se Asia to Australia</t>
  </si>
  <si>
    <t>223_1</t>
  </si>
  <si>
    <t>hybrida</t>
  </si>
  <si>
    <t>n Africa and sw Europe to c Asia, se Siberia, China and se Asia</t>
  </si>
  <si>
    <t>Africa, s and se Asia south to Sulawesi and the Philippines</t>
  </si>
  <si>
    <t>Includes ssps swinhoei and indicus. Dickinson, 2003.</t>
  </si>
  <si>
    <t>223_2</t>
  </si>
  <si>
    <t>delalandii</t>
  </si>
  <si>
    <t>s and e Africa,  Madagascar</t>
  </si>
  <si>
    <t>Includes C. h. sclateri. Dickinson, 2003.</t>
  </si>
  <si>
    <t>223_3</t>
  </si>
  <si>
    <t>n Australia to Philippines</t>
  </si>
  <si>
    <t>Synonymous with C. h. fluviatilis. Dickinson, 2003.</t>
  </si>
  <si>
    <t>Vieillot, 1819</t>
  </si>
  <si>
    <t>227_1</t>
  </si>
  <si>
    <t>longicaudus</t>
  </si>
  <si>
    <t>n Scandinavia and n Russia</t>
  </si>
  <si>
    <t>227_2</t>
  </si>
  <si>
    <t>Løppenthin, 1932</t>
  </si>
  <si>
    <t>e Siberia, arctic North America, Greenland</t>
  </si>
  <si>
    <t>228_1</t>
  </si>
  <si>
    <t>livia</t>
  </si>
  <si>
    <t>w and c Europe, n Africa to c Asia</t>
  </si>
  <si>
    <t>228_2</t>
  </si>
  <si>
    <t>gymnocycla</t>
  </si>
  <si>
    <t>Gray, GR, 1856</t>
  </si>
  <si>
    <t>Mauritania and Senegal to s Mali and Ghana</t>
  </si>
  <si>
    <t>228_3</t>
  </si>
  <si>
    <t>targia</t>
  </si>
  <si>
    <t>Geyr von Schweppenburg, 1916</t>
  </si>
  <si>
    <t>n Mali and s Algeria to c Sudan</t>
  </si>
  <si>
    <t>228_4</t>
  </si>
  <si>
    <t>dakhlae</t>
  </si>
  <si>
    <t>Meinertzhagen, R, 1928</t>
  </si>
  <si>
    <t>w Egypt</t>
  </si>
  <si>
    <t>228_5</t>
  </si>
  <si>
    <t>schimperi</t>
  </si>
  <si>
    <t>Bonaparte, 1854</t>
  </si>
  <si>
    <t>e Egypt, s Sudan, Eritrea</t>
  </si>
  <si>
    <t>228_6</t>
  </si>
  <si>
    <t>palaestinae</t>
  </si>
  <si>
    <t>Zedlitz, 1912</t>
  </si>
  <si>
    <t>Sinai Pen. (Egypt) to Syria, w and s Arabian Pen.</t>
  </si>
  <si>
    <t>228_7</t>
  </si>
  <si>
    <t>gaddi</t>
  </si>
  <si>
    <t>Zarudny &amp; Loudon, 1906</t>
  </si>
  <si>
    <t>e Turkey to Uzbekistan and w and n Afghanistan</t>
  </si>
  <si>
    <t>228_8</t>
  </si>
  <si>
    <t>w Pakistan and e Afghanistan to the Himalayas</t>
  </si>
  <si>
    <t>228_9</t>
  </si>
  <si>
    <t>Strickland, 1844</t>
  </si>
  <si>
    <t>Quoy &amp; Gaimard, 1832</t>
  </si>
  <si>
    <t>229_1</t>
  </si>
  <si>
    <t>griseogularis</t>
  </si>
  <si>
    <t>(Walden &amp; Layard, EL, 1872)</t>
  </si>
  <si>
    <t>Philippines, Sulu Arch., islands off e Borneo</t>
  </si>
  <si>
    <t>229_2</t>
  </si>
  <si>
    <t>anthracina</t>
  </si>
  <si>
    <t>(Hachisuka, 1939)</t>
  </si>
  <si>
    <t>Palawan, islands off n Borneo</t>
  </si>
  <si>
    <t>229_3</t>
  </si>
  <si>
    <t>metallica</t>
  </si>
  <si>
    <t>Temminck, 1835</t>
  </si>
  <si>
    <t>229_4</t>
  </si>
  <si>
    <t>halmaheira</t>
  </si>
  <si>
    <t>Banggai, Sulas, Kai, Moluccas to New Guinea and the Solomon Is.</t>
  </si>
  <si>
    <t>229_5</t>
  </si>
  <si>
    <t>leopoldi</t>
  </si>
  <si>
    <t>(Tristram, 1879)</t>
  </si>
  <si>
    <t>Vanuatu</t>
  </si>
  <si>
    <t>229_6</t>
  </si>
  <si>
    <t>hypoenochroa</t>
  </si>
  <si>
    <t>(Gould, 1856)</t>
  </si>
  <si>
    <t>New Caledonia, Isle of Pines and Loyalty Is.</t>
  </si>
  <si>
    <t>229_7</t>
  </si>
  <si>
    <t>godmanae</t>
  </si>
  <si>
    <t>Lord Howe I.</t>
  </si>
  <si>
    <t>229_8</t>
  </si>
  <si>
    <t>vitiensis</t>
  </si>
  <si>
    <t>Fiji Is.</t>
  </si>
  <si>
    <t>229_9</t>
  </si>
  <si>
    <t>castaneiceps</t>
  </si>
  <si>
    <t>Peale, 1849</t>
  </si>
  <si>
    <t>w Samoa</t>
  </si>
  <si>
    <t>Samoan Wood Pigeon is a proposed split based on vocal differences (Pratt &amp; Mittermeir, 2006)</t>
  </si>
  <si>
    <t>230_1</t>
  </si>
  <si>
    <t>meena</t>
  </si>
  <si>
    <t>sw Siberia to Iran and the c Himalayas</t>
  </si>
  <si>
    <t>230_2</t>
  </si>
  <si>
    <t>c Siberia to Japan, China, the e Himalayas and Taiwan</t>
  </si>
  <si>
    <t>Includes orii. Gibbs et al., 2001.</t>
  </si>
  <si>
    <t>230_3</t>
  </si>
  <si>
    <t>stimpsoni</t>
  </si>
  <si>
    <t>230_4</t>
  </si>
  <si>
    <t>erythrocephala</t>
  </si>
  <si>
    <t>c, s India</t>
  </si>
  <si>
    <t>230_5</t>
  </si>
  <si>
    <t>agricola</t>
  </si>
  <si>
    <t>ne India,  Myanmar and n Thailand to  sc China</t>
  </si>
  <si>
    <t>(Temminck, 1809)</t>
  </si>
  <si>
    <t>231_1</t>
  </si>
  <si>
    <t>dusumieri</t>
  </si>
  <si>
    <t>(Temminck, 1823)</t>
  </si>
  <si>
    <t>Philippines, Sula Arch.</t>
  </si>
  <si>
    <t>See Collar 2011b proposal to split Philippine Collared Dove; await supplements to numerical index</t>
  </si>
  <si>
    <t>231_2</t>
  </si>
  <si>
    <t>bitorquata</t>
  </si>
  <si>
    <t>Java to Timor</t>
  </si>
  <si>
    <t>232_1</t>
  </si>
  <si>
    <t>humilis</t>
  </si>
  <si>
    <t>e Nepal, ne India and ne Tibet to n China and the Philippines</t>
  </si>
  <si>
    <t>232_2</t>
  </si>
  <si>
    <t>tranquebarica</t>
  </si>
  <si>
    <t>Pakistan,  peninsular India, w Nepal,</t>
  </si>
  <si>
    <t>233_1</t>
  </si>
  <si>
    <t>suratensis</t>
  </si>
  <si>
    <t>Pakistan, India,  Nepal and Bhutan</t>
  </si>
  <si>
    <t>233_2</t>
  </si>
  <si>
    <t>(Reichenbach, 1851)</t>
  </si>
  <si>
    <t>Add: Rasmussen &amp; Anderton, 2012; Gibbs et al., 2001</t>
  </si>
  <si>
    <t>233_3</t>
  </si>
  <si>
    <t>tigrina</t>
  </si>
  <si>
    <t>Bangladesh and ne India through Indochina to Philippines and the Sundas</t>
  </si>
  <si>
    <t>233_4</t>
  </si>
  <si>
    <t>ne Myanmar to c and e China, Taiwan</t>
  </si>
  <si>
    <t>233_5</t>
  </si>
  <si>
    <t>hainana</t>
  </si>
  <si>
    <t>(Hartert, 1910)</t>
  </si>
  <si>
    <t>Hainan  (off se China)</t>
  </si>
  <si>
    <t>234_1</t>
  </si>
  <si>
    <t>phaea</t>
  </si>
  <si>
    <t>Calayan I (n Philippines)</t>
  </si>
  <si>
    <t>234_2</t>
  </si>
  <si>
    <t>tenuirostris</t>
  </si>
  <si>
    <t>Philippines (excluding Palawan taxon novum)</t>
  </si>
  <si>
    <t>234_3</t>
  </si>
  <si>
    <t>Robinson &amp; Kloss, 1921</t>
  </si>
  <si>
    <t>Assignment of borneensis to M. tenuirostris provisional (Ng et al. 2016)</t>
  </si>
  <si>
    <t>234_4</t>
  </si>
  <si>
    <t>septentrionalis</t>
  </si>
  <si>
    <t>Hachisuka, 1930</t>
  </si>
  <si>
    <t>Batan, Itbayat and Sabtan Is (n Philippines); Lanyu I (Taiwan)</t>
  </si>
  <si>
    <t>Add: Ng et al., 2016</t>
  </si>
  <si>
    <t>235_1</t>
  </si>
  <si>
    <t>indica</t>
  </si>
  <si>
    <t>India to s China , Malaysia, Philippines, Indonesian and w Papuan islands</t>
  </si>
  <si>
    <t>235_2</t>
  </si>
  <si>
    <t>robinsoni</t>
  </si>
  <si>
    <t>Baker, ECS, 1928</t>
  </si>
  <si>
    <t>235_3</t>
  </si>
  <si>
    <t>maxima</t>
  </si>
  <si>
    <t>Hartert, 1931</t>
  </si>
  <si>
    <t>235_4</t>
  </si>
  <si>
    <t>augusta</t>
  </si>
  <si>
    <t>235_5</t>
  </si>
  <si>
    <t>natalis</t>
  </si>
  <si>
    <t>Lister, 1889</t>
  </si>
  <si>
    <t>235_6</t>
  </si>
  <si>
    <t>minima</t>
  </si>
  <si>
    <t>Numfor, Biak and Mios Num Is.  ( off n New Guinea)</t>
  </si>
  <si>
    <t>237_1</t>
  </si>
  <si>
    <t>nicobarica</t>
  </si>
  <si>
    <t>Andaman and Nicobar Is., Malay Arch. to New Guinea, Philippines and Solomon Is.</t>
  </si>
  <si>
    <t>237_2</t>
  </si>
  <si>
    <t>Finsch, 1875</t>
  </si>
  <si>
    <t>Palau Is.</t>
  </si>
  <si>
    <t>238_1</t>
  </si>
  <si>
    <t>griseolateralis</t>
  </si>
  <si>
    <t>Parkes, 1962</t>
  </si>
  <si>
    <t>238_2</t>
  </si>
  <si>
    <t>luzonica</t>
  </si>
  <si>
    <t>c and s Luzon</t>
  </si>
  <si>
    <t>238_3</t>
  </si>
  <si>
    <t>rubiventris</t>
  </si>
  <si>
    <t>Gonzales, 1979</t>
  </si>
  <si>
    <t>Catanduanes</t>
  </si>
  <si>
    <t>(Pucheran, 1853)</t>
  </si>
  <si>
    <t>239_1</t>
  </si>
  <si>
    <t>leytensis</t>
  </si>
  <si>
    <t>(Hartert, 1918)</t>
  </si>
  <si>
    <t>Samar, Leyte, Bohol</t>
  </si>
  <si>
    <t>239_2</t>
  </si>
  <si>
    <t>crinigera</t>
  </si>
  <si>
    <t>Mindanao, Dinagat</t>
  </si>
  <si>
    <t>239_3</t>
  </si>
  <si>
    <t>bartletti</t>
  </si>
  <si>
    <t>(Sclater, PL, 1864)</t>
  </si>
  <si>
    <t>Basilan</t>
  </si>
  <si>
    <t>(Salvadori, 1893)</t>
  </si>
  <si>
    <t>(Clarke, WE, 1900)</t>
  </si>
  <si>
    <t>(Bourns &amp; Worcester, 1894)</t>
  </si>
  <si>
    <t>243_1</t>
  </si>
  <si>
    <t>leucotis</t>
  </si>
  <si>
    <t>Catanduanes, Luzon, Mindoro</t>
  </si>
  <si>
    <t>243_2</t>
  </si>
  <si>
    <t>(Sharpe, 1877)</t>
  </si>
  <si>
    <t>w Visayas</t>
  </si>
  <si>
    <t>Buff-eared Brown-dove</t>
  </si>
  <si>
    <t>Phapitreron nigrorum</t>
  </si>
  <si>
    <t>243_3</t>
  </si>
  <si>
    <t>brevirostris</t>
  </si>
  <si>
    <t>(Tweeddale, 1877)</t>
  </si>
  <si>
    <t>e Visayas, Mindanao</t>
  </si>
  <si>
    <t>Short-billed Brown-dove</t>
  </si>
  <si>
    <t>Phapitreron brevirostris</t>
  </si>
  <si>
    <t>243_4</t>
  </si>
  <si>
    <t>occipitalis</t>
  </si>
  <si>
    <t>Basilan, Sula Is.</t>
  </si>
  <si>
    <t>244_1</t>
  </si>
  <si>
    <t>amethystinus</t>
  </si>
  <si>
    <t>n, e and se Philippines</t>
  </si>
  <si>
    <t>244_2</t>
  </si>
  <si>
    <t>imeldae</t>
  </si>
  <si>
    <t>De la Paz, 1976</t>
  </si>
  <si>
    <t>Marinduque  (nc Philippines)</t>
  </si>
  <si>
    <t>244_3</t>
  </si>
  <si>
    <t>maculipectus</t>
  </si>
  <si>
    <t>Negros  (ec Philippines)</t>
  </si>
  <si>
    <t>Grey-breasted Brown-dove</t>
  </si>
  <si>
    <t>Phapitreron maculipectus</t>
  </si>
  <si>
    <t>244_4</t>
  </si>
  <si>
    <t>frontalis</t>
  </si>
  <si>
    <t>Cebu (c Philippines)</t>
  </si>
  <si>
    <t>Cebu Brown-dove</t>
  </si>
  <si>
    <t>Phapitreron frontalis</t>
  </si>
  <si>
    <t>(Linnaeus, 1771)</t>
  </si>
  <si>
    <t>248_1</t>
  </si>
  <si>
    <t>amadoni</t>
  </si>
  <si>
    <t>Parkes, 1965</t>
  </si>
  <si>
    <t>248_2</t>
  </si>
  <si>
    <t>axillaris</t>
  </si>
  <si>
    <t>s Luzon, Polillo, Catanduanes, Mindoro, Lubang, Alabat</t>
  </si>
  <si>
    <t>248_3</t>
  </si>
  <si>
    <t>canescens</t>
  </si>
  <si>
    <t>w and e Visayas, Mindanao, Basilan  (e Philippines)</t>
  </si>
  <si>
    <t>248_4</t>
  </si>
  <si>
    <t>everetti</t>
  </si>
  <si>
    <t>(Rothschild, 1894)</t>
  </si>
  <si>
    <t>Sulu Arch.</t>
  </si>
  <si>
    <t>249_1</t>
  </si>
  <si>
    <t>nipalensis</t>
  </si>
  <si>
    <t>c Nepal and ne India through Myanmar to s Indochina</t>
  </si>
  <si>
    <t>249_2</t>
  </si>
  <si>
    <t>hainanus</t>
  </si>
  <si>
    <t>Hartert &amp; Goodson, 1918</t>
  </si>
  <si>
    <t>249_3</t>
  </si>
  <si>
    <t>curvirostra</t>
  </si>
  <si>
    <t>Malay Pen., Sumatra</t>
  </si>
  <si>
    <t>249_4</t>
  </si>
  <si>
    <t>haliplous</t>
  </si>
  <si>
    <t>Simeulue I.  (off nw Sumatra)</t>
  </si>
  <si>
    <t>249_5</t>
  </si>
  <si>
    <t>pegus</t>
  </si>
  <si>
    <t>249_6</t>
  </si>
  <si>
    <t>smicrus</t>
  </si>
  <si>
    <t>Sipora, Siberut and Batu Is.  (off w Sumatra)</t>
  </si>
  <si>
    <t>249_7</t>
  </si>
  <si>
    <t>hypothapsinus</t>
  </si>
  <si>
    <t>Enggano I.  (off sw Sumatra)</t>
  </si>
  <si>
    <t>249_8</t>
  </si>
  <si>
    <t>nasica</t>
  </si>
  <si>
    <t>Schlegel, 1863</t>
  </si>
  <si>
    <t>249_9</t>
  </si>
  <si>
    <t>erimacrus</t>
  </si>
  <si>
    <t>Oberholser, 1924</t>
  </si>
  <si>
    <t>Balabac, Palawan, Mindoro (Philippines)</t>
  </si>
  <si>
    <t>Swinhoe, 1863</t>
  </si>
  <si>
    <t>250_1</t>
  </si>
  <si>
    <t>permagnus</t>
  </si>
  <si>
    <t>n Ryukyu Is. (Japan)</t>
  </si>
  <si>
    <t>250_2</t>
  </si>
  <si>
    <t>medioximus</t>
  </si>
  <si>
    <t>(Bangs, 1901)</t>
  </si>
  <si>
    <t>s Ryukyu Is.  (Japan)</t>
  </si>
  <si>
    <t>250_3</t>
  </si>
  <si>
    <t>250_4</t>
  </si>
  <si>
    <t>filipinus</t>
  </si>
  <si>
    <t>Hachisuka, 1952</t>
  </si>
  <si>
    <t>n Philippine Is., Botel Tobago</t>
  </si>
  <si>
    <t>Oustalet, 1880</t>
  </si>
  <si>
    <t>(McGregor, 1916)</t>
  </si>
  <si>
    <t>252_1</t>
  </si>
  <si>
    <t>faustinoi</t>
  </si>
  <si>
    <t>(Manuel, 1936)</t>
  </si>
  <si>
    <t>252_2</t>
  </si>
  <si>
    <t>merrilli</t>
  </si>
  <si>
    <t>s Luzon, Catanduanes and Polillo</t>
  </si>
  <si>
    <t>Gray, GR, 1844</t>
  </si>
  <si>
    <t>253_1</t>
  </si>
  <si>
    <t>253_2</t>
  </si>
  <si>
    <t>incognitus</t>
  </si>
  <si>
    <t>Tweeddale, 1877</t>
  </si>
  <si>
    <t>Mindanao  (se Philippines)</t>
  </si>
  <si>
    <t>254_1</t>
  </si>
  <si>
    <t>Ripley, 1962</t>
  </si>
  <si>
    <t>254_2</t>
  </si>
  <si>
    <t>longialis</t>
  </si>
  <si>
    <t>Lanyu I. (off of s Taiwan), Philippines n of Luzon</t>
  </si>
  <si>
    <t>254_3</t>
  </si>
  <si>
    <t>leclancheri</t>
  </si>
  <si>
    <t>Philippines except northern and Palawan group</t>
  </si>
  <si>
    <t>254_4</t>
  </si>
  <si>
    <t>gironieri</t>
  </si>
  <si>
    <t>(Verreaux, J &amp; Des Murs, 1862)</t>
  </si>
  <si>
    <t>Palawan and nearby islands</t>
  </si>
  <si>
    <t>255_1</t>
  </si>
  <si>
    <t>temminckii</t>
  </si>
  <si>
    <t>(Des Murs &amp; Prévost, 1849)</t>
  </si>
  <si>
    <t>255_2</t>
  </si>
  <si>
    <t>superbus</t>
  </si>
  <si>
    <t>Moluccas, New Guinea, Bismarck Arch., Solomon Is. and ne Australia</t>
  </si>
  <si>
    <t>(Salvadori, 1875)</t>
  </si>
  <si>
    <t>256_1</t>
  </si>
  <si>
    <t>bangueyensis</t>
  </si>
  <si>
    <t>Meyer, AB, 1891</t>
  </si>
  <si>
    <t>s Philippines, islands off of n Borneo</t>
  </si>
  <si>
    <t>256_2</t>
  </si>
  <si>
    <t>xanthorrhous</t>
  </si>
  <si>
    <t>Talaud Is., Sangihe I.  (Sulawesi) and Doi I.  (n Moluccas)</t>
  </si>
  <si>
    <t>256_3</t>
  </si>
  <si>
    <t>melanospilus</t>
  </si>
  <si>
    <t>Sulawesi and islands to the ne</t>
  </si>
  <si>
    <t>256_4</t>
  </si>
  <si>
    <t>chrysorrhous</t>
  </si>
  <si>
    <t>Banggai Is., Sula Is. and s Moluccas</t>
  </si>
  <si>
    <t>256_5</t>
  </si>
  <si>
    <t>melanauchen</t>
  </si>
  <si>
    <t>Java, Bali to Alor, Matasiri I. and Kangean Is., s Sulawesi Is.</t>
  </si>
  <si>
    <t>Includes massopterus. See Gibbs et al., 2001.</t>
  </si>
  <si>
    <t>Ripley &amp; Rabor, 1955</t>
  </si>
  <si>
    <t>(Gray, GR, 1844)</t>
  </si>
  <si>
    <t>(Whitehead, J, 1896)</t>
  </si>
  <si>
    <t>(Bonaparte, 1854)</t>
  </si>
  <si>
    <t>260_1</t>
  </si>
  <si>
    <t>carola</t>
  </si>
  <si>
    <t>Luzon, Mindoro and Sibuyan</t>
  </si>
  <si>
    <t>260_2</t>
  </si>
  <si>
    <t>(Whitehead, J, 1897)</t>
  </si>
  <si>
    <t>Negros and Siquijor</t>
  </si>
  <si>
    <t>260_3</t>
  </si>
  <si>
    <t>mindanensis</t>
  </si>
  <si>
    <t>(Ogilvie-Grant, 1905)</t>
  </si>
  <si>
    <t>261_1</t>
  </si>
  <si>
    <t>sylvatica</t>
  </si>
  <si>
    <t>n India and Nepal to s China to Thailand, Indochina and Andaman Is.</t>
  </si>
  <si>
    <t>261_2</t>
  </si>
  <si>
    <t>(Blyth, 1849)</t>
  </si>
  <si>
    <t>261_3</t>
  </si>
  <si>
    <t>andamanica</t>
  </si>
  <si>
    <t>Abdulali, 1964</t>
  </si>
  <si>
    <t>261_4</t>
  </si>
  <si>
    <t>consobrina</t>
  </si>
  <si>
    <t>(Salvadori, 1887)</t>
  </si>
  <si>
    <t>islands of w Sumatra except Enggano</t>
  </si>
  <si>
    <t>261_5</t>
  </si>
  <si>
    <t>oenothorax</t>
  </si>
  <si>
    <t>(Salvadori, 1892)</t>
  </si>
  <si>
    <t>Enggano I.  (sw of Sumatra)</t>
  </si>
  <si>
    <t>261_6</t>
  </si>
  <si>
    <t>polia</t>
  </si>
  <si>
    <t>(Oberholser, 1917)</t>
  </si>
  <si>
    <t>Malay Pen. to Greater and Lesser Sundas</t>
  </si>
  <si>
    <t>261_7</t>
  </si>
  <si>
    <t>(Blasius, W, 1888)</t>
  </si>
  <si>
    <t>Banggi I. (n Borneo) to Palawan and nearby islands (sw Philippines)</t>
  </si>
  <si>
    <t>261_8</t>
  </si>
  <si>
    <t>fugaensis</t>
  </si>
  <si>
    <t>(Hachisuka, 1930)</t>
  </si>
  <si>
    <t>n Philippines (Calayan, Camiguin Norte and Fuga  Is.)</t>
  </si>
  <si>
    <t>261_9</t>
  </si>
  <si>
    <t>nuchalis</t>
  </si>
  <si>
    <t>(Cabanis, 1882)</t>
  </si>
  <si>
    <t>n Luzon (n Philippines)</t>
  </si>
  <si>
    <t>261_10</t>
  </si>
  <si>
    <t>aenea</t>
  </si>
  <si>
    <t>Philippines (other than northern Luzon and Palawan).</t>
  </si>
  <si>
    <t>261_11</t>
  </si>
  <si>
    <t>(Meyer, AB &amp; Wiglesworth, 1894)</t>
  </si>
  <si>
    <t>Talaud and Sangihe Is.</t>
  </si>
  <si>
    <t>261_12</t>
  </si>
  <si>
    <t>paulina</t>
  </si>
  <si>
    <t>Sulawesi, Togian, Banggai and Sula Is.</t>
  </si>
  <si>
    <t>(Cassin, 1855)</t>
  </si>
  <si>
    <t>(Cabanis &amp; Heine, 1863)</t>
  </si>
  <si>
    <t>Bourns &amp; Worcester, 1894</t>
  </si>
  <si>
    <t>(Stephens, 1815)</t>
  </si>
  <si>
    <t>267_1</t>
  </si>
  <si>
    <t>Pakistan through n India to se China</t>
  </si>
  <si>
    <t>267_2</t>
  </si>
  <si>
    <t>parroti</t>
  </si>
  <si>
    <t>Stresemann, 1913</t>
  </si>
  <si>
    <t>c and s India,  Sri Lanka</t>
  </si>
  <si>
    <t>267_3</t>
  </si>
  <si>
    <t>(Hume, 1873)</t>
  </si>
  <si>
    <t>Bangladesh and Myanmar to s Thailand, Indochina and Malay Pen.</t>
  </si>
  <si>
    <t>267_4</t>
  </si>
  <si>
    <t>bubutus</t>
  </si>
  <si>
    <t>Greater Sundas to sw Philippines</t>
  </si>
  <si>
    <t>267_5</t>
  </si>
  <si>
    <t>anonymus</t>
  </si>
  <si>
    <t>s Philippines</t>
  </si>
  <si>
    <t>267_6</t>
  </si>
  <si>
    <t>kangeangensis</t>
  </si>
  <si>
    <t>Vorderman, 1893</t>
  </si>
  <si>
    <t>Kangean Is.  (Java Sea)</t>
  </si>
  <si>
    <t>268_1</t>
  </si>
  <si>
    <t>major</t>
  </si>
  <si>
    <t>Parkes &amp; Niles, 1988</t>
  </si>
  <si>
    <t>Babuyanes Is.  (n Philippines)</t>
  </si>
  <si>
    <t>268_2</t>
  </si>
  <si>
    <t>viridis</t>
  </si>
  <si>
    <t>268_3</t>
  </si>
  <si>
    <t>mindorensis</t>
  </si>
  <si>
    <t>(Steere, 1890)</t>
  </si>
  <si>
    <t>Mindoro and Semirara Is.  (nc Philippines)</t>
  </si>
  <si>
    <t>268_4</t>
  </si>
  <si>
    <t>carpenteri</t>
  </si>
  <si>
    <t>Mearns, 1907</t>
  </si>
  <si>
    <t>Batanes Is.  (n Philippines)</t>
  </si>
  <si>
    <t>269_1</t>
  </si>
  <si>
    <t>India and Nepal to Myanmar, Thailand and Indochina</t>
  </si>
  <si>
    <t>269_2</t>
  </si>
  <si>
    <t>lignator</t>
  </si>
  <si>
    <t>s and se China,  Hainan, Taiwan</t>
  </si>
  <si>
    <t>269_3</t>
  </si>
  <si>
    <t>javanensis</t>
  </si>
  <si>
    <t>Dumont, 1818</t>
  </si>
  <si>
    <t>Malay Pen. to Sumatra, Java, Borneo and the Palawan and Sulu Is. (Philippines)</t>
  </si>
  <si>
    <t>269_4</t>
  </si>
  <si>
    <t>philippinensis</t>
  </si>
  <si>
    <t>Mees, 1971</t>
  </si>
  <si>
    <t>Philippines  ( except Palawan and Sulu Is.)</t>
  </si>
  <si>
    <t>269_5</t>
  </si>
  <si>
    <t>sarasinorum</t>
  </si>
  <si>
    <t>Stresemann, 1912</t>
  </si>
  <si>
    <t>Sulawesi and Lesser Sundas</t>
  </si>
  <si>
    <t>269_6</t>
  </si>
  <si>
    <t>medius</t>
  </si>
  <si>
    <t>Bonaparte, 1850</t>
  </si>
  <si>
    <t>(Shaw, 1810)</t>
  </si>
  <si>
    <t>270_1</t>
  </si>
  <si>
    <t>singularis</t>
  </si>
  <si>
    <t>(Parrot, 1907)</t>
  </si>
  <si>
    <t>s Myanmar to Sumatra</t>
  </si>
  <si>
    <t>270_2</t>
  </si>
  <si>
    <t>oeneicaudus</t>
  </si>
  <si>
    <t>Verreaux, J &amp; Verreaux, E, 1855</t>
  </si>
  <si>
    <t>Mentawai Is.  (off sw Sumatra)</t>
  </si>
  <si>
    <t>270_3</t>
  </si>
  <si>
    <t>curvirostris</t>
  </si>
  <si>
    <t>w and c Java</t>
  </si>
  <si>
    <t>270_4</t>
  </si>
  <si>
    <t>deningeri</t>
  </si>
  <si>
    <t>e Java and Bali</t>
  </si>
  <si>
    <t>270_5</t>
  </si>
  <si>
    <t>microrhinus</t>
  </si>
  <si>
    <t>von Berlepsch, 1895</t>
  </si>
  <si>
    <t>Borneo and Bangka I.</t>
  </si>
  <si>
    <t>270_6</t>
  </si>
  <si>
    <t>harringtoni</t>
  </si>
  <si>
    <t>(Dumont, 1823)</t>
  </si>
  <si>
    <t>271_1</t>
  </si>
  <si>
    <t>cagayanensis</t>
  </si>
  <si>
    <t>(Rand &amp; Rabor, 1967)</t>
  </si>
  <si>
    <t>Cagayan Province  (ne Luzon)</t>
  </si>
  <si>
    <t>271_2</t>
  </si>
  <si>
    <t>superciliosus</t>
  </si>
  <si>
    <t>Luzon south of Cagayan Province</t>
  </si>
  <si>
    <t>(Fraser, 1839)</t>
  </si>
  <si>
    <t>274_1</t>
  </si>
  <si>
    <t>South Africa, s Zambia</t>
  </si>
  <si>
    <t>Uganda, Ethiopia</t>
  </si>
  <si>
    <t>274_2</t>
  </si>
  <si>
    <t>pica</t>
  </si>
  <si>
    <t>Africa south of the Sahara to n Zambia and Malawi,  nw India to Nepal and Myanmar</t>
  </si>
  <si>
    <t>Africa south to Namibia and Botswana</t>
  </si>
  <si>
    <t>274_3</t>
  </si>
  <si>
    <t>jacobinus</t>
  </si>
  <si>
    <t>s India, Sri Lanka, s Myanmar</t>
  </si>
  <si>
    <t>se Africa</t>
  </si>
  <si>
    <t>275_1</t>
  </si>
  <si>
    <t>scolopaceus</t>
  </si>
  <si>
    <t>Nepal, Pakistan, India,  Sri Lanka, Laccadives and Maldives</t>
  </si>
  <si>
    <t>275_2</t>
  </si>
  <si>
    <t>Cabanis &amp; Heine, 1863</t>
  </si>
  <si>
    <t>s China, Indochina</t>
  </si>
  <si>
    <t>to Borneo</t>
  </si>
  <si>
    <t>275_3</t>
  </si>
  <si>
    <t>harterti</t>
  </si>
  <si>
    <t>Ingram, W, 1912</t>
  </si>
  <si>
    <t>275_4</t>
  </si>
  <si>
    <t>malayanus</t>
  </si>
  <si>
    <t>ne India and Bangladesh to Sumatra, Borneo and w Lesser Sundas</t>
  </si>
  <si>
    <t>275_5</t>
  </si>
  <si>
    <t>Palawan and the Philippines to the n Moluccas</t>
  </si>
  <si>
    <t>276_1</t>
  </si>
  <si>
    <t>fordi</t>
  </si>
  <si>
    <t>Mason, IJ, 1996</t>
  </si>
  <si>
    <t>Sulawesi,  Banggai and Tukangbesi Is.</t>
  </si>
  <si>
    <t>276_2</t>
  </si>
  <si>
    <t>n and e Australia</t>
  </si>
  <si>
    <t>to Moluccas and New Guinea</t>
  </si>
  <si>
    <t>276_3</t>
  </si>
  <si>
    <t>schoddei</t>
  </si>
  <si>
    <t>Bismarck Arch.</t>
  </si>
  <si>
    <t>277_1</t>
  </si>
  <si>
    <t>xanthorhynchus</t>
  </si>
  <si>
    <t>ne India to se Asia, Greater Sundas and Palawan</t>
  </si>
  <si>
    <t>277_2</t>
  </si>
  <si>
    <t>278_1</t>
  </si>
  <si>
    <t>peninsularis</t>
  </si>
  <si>
    <t>Parker, SA, 1981</t>
  </si>
  <si>
    <t>s Thailand, Malay Pen.</t>
  </si>
  <si>
    <t>278_2</t>
  </si>
  <si>
    <t>(Junge, 1938)</t>
  </si>
  <si>
    <t>Sumatra, w Java</t>
  </si>
  <si>
    <t>278_3</t>
  </si>
  <si>
    <t>aheneus</t>
  </si>
  <si>
    <t>Borneo, s Philippines</t>
  </si>
  <si>
    <t>278_4</t>
  </si>
  <si>
    <t>jungei</t>
  </si>
  <si>
    <t>(Stresemann, 1938)</t>
  </si>
  <si>
    <t>Sulawesi, Flores and Madu I.</t>
  </si>
  <si>
    <t>278_5</t>
  </si>
  <si>
    <t>rufomerus</t>
  </si>
  <si>
    <t>Hartert, 1900</t>
  </si>
  <si>
    <t>278_6</t>
  </si>
  <si>
    <t>(Salvadori, 1878)</t>
  </si>
  <si>
    <t>Moluccas and Tanimbar Is.</t>
  </si>
  <si>
    <t>278_7</t>
  </si>
  <si>
    <t>salvadorii</t>
  </si>
  <si>
    <t>(Hartert &amp; Stresemann, 1925)</t>
  </si>
  <si>
    <t>Tepa I.  (Babar Is.)</t>
  </si>
  <si>
    <t>278_8</t>
  </si>
  <si>
    <t>misoriensis</t>
  </si>
  <si>
    <t>(Salvadori, 1876)</t>
  </si>
  <si>
    <t>Biak I.</t>
  </si>
  <si>
    <t>278_9</t>
  </si>
  <si>
    <t>poecilurus</t>
  </si>
  <si>
    <t>coastal New Guinea and nearby islands</t>
  </si>
  <si>
    <t>278_10</t>
  </si>
  <si>
    <t>minutillus</t>
  </si>
  <si>
    <t>278_11</t>
  </si>
  <si>
    <t>russatus</t>
  </si>
  <si>
    <t>Gould, 1868</t>
  </si>
  <si>
    <t>Add: Higgins, 1999. Contra Payne, 2005</t>
  </si>
  <si>
    <t>278_12</t>
  </si>
  <si>
    <t>barnardi</t>
  </si>
  <si>
    <t>279_1</t>
  </si>
  <si>
    <t>sonneratii</t>
  </si>
  <si>
    <t>India and Nepal to s Indochina and the Malay Pen.</t>
  </si>
  <si>
    <t>279_2</t>
  </si>
  <si>
    <t>waiti</t>
  </si>
  <si>
    <t>(Baker, ECS, 1919)</t>
  </si>
  <si>
    <t>279_3</t>
  </si>
  <si>
    <t>fasciolatus</t>
  </si>
  <si>
    <t>(Müller, S, 1843)</t>
  </si>
  <si>
    <t>Sumatra, Borneo, Palawan</t>
  </si>
  <si>
    <t>C. s. fasciolatus has precedence and is a valid name for this taxon. Payne 2005.</t>
  </si>
  <si>
    <t>279_4</t>
  </si>
  <si>
    <t>musicus</t>
  </si>
  <si>
    <t>(Ljungh, 1803)</t>
  </si>
  <si>
    <t>280_1</t>
  </si>
  <si>
    <t>querulus</t>
  </si>
  <si>
    <t>Heine, 1863</t>
  </si>
  <si>
    <t>e Himalayas to s China, Indochina and Malay Pen.</t>
  </si>
  <si>
    <t>280_2</t>
  </si>
  <si>
    <t>threnodes</t>
  </si>
  <si>
    <t>s Malay Pen., Sumatra and Borneo</t>
  </si>
  <si>
    <t>280_3</t>
  </si>
  <si>
    <t>lanceolatus</t>
  </si>
  <si>
    <t>Java, Sulawesi</t>
  </si>
  <si>
    <t>280_4</t>
  </si>
  <si>
    <t>merulinus</t>
  </si>
  <si>
    <t>281_1</t>
  </si>
  <si>
    <t>sepulcralis</t>
  </si>
  <si>
    <t>Malay Pen., Greater and Lesser Sundas.</t>
  </si>
  <si>
    <t>281_2</t>
  </si>
  <si>
    <t>Hartert, 1925</t>
  </si>
  <si>
    <t>Basilan, Sulu Arch. (sw Philippines)</t>
  </si>
  <si>
    <t>Dickinson et al., 1991, Payne, 1997 (contra Payne, 2005)</t>
  </si>
  <si>
    <t>281_3</t>
  </si>
  <si>
    <t>virescens</t>
  </si>
  <si>
    <t>Sulawesi,  Butung, Tukangbesi, Banggai and Sula Is.</t>
  </si>
  <si>
    <t>Green Brush Cuckoo is a proposed split (RB Payne MS)</t>
  </si>
  <si>
    <t>Sharpe, 1877</t>
  </si>
  <si>
    <t>282_1</t>
  </si>
  <si>
    <t>chalybaeus</t>
  </si>
  <si>
    <t>Salomonsen, 1953</t>
  </si>
  <si>
    <t>Luzon, Mindoro and Negros</t>
  </si>
  <si>
    <t>282_2</t>
  </si>
  <si>
    <t>velutinus</t>
  </si>
  <si>
    <t>Bohol, Leyte, Samar, Mindanao and Basilan</t>
  </si>
  <si>
    <t>282_3</t>
  </si>
  <si>
    <t>Sulu Is.</t>
  </si>
  <si>
    <t>283_1</t>
  </si>
  <si>
    <t>barussarum</t>
  </si>
  <si>
    <t>n Myanmar, n Thailand, n Indochina, and Yunnan, Hainan (off se China). Also ne India.</t>
  </si>
  <si>
    <t>Treatment of barussarum as a subspecies of S. lugubris follows Erritzøe et. al. 2012 and is more compatible with the treatment of that species as described in Rasmussen &amp; Anderton, 2012. (Contra Payne 2005). The taxonomy of the entire Surniculus complex is tentative and not yet fully resolved.</t>
  </si>
  <si>
    <t>283_2</t>
  </si>
  <si>
    <t>brachyurus</t>
  </si>
  <si>
    <t>nw Himalayas to ne India and Bangladesh, Myanmar, Thailand to the Malay Peninsula,  Sumatra, Borneo, and Palawan</t>
  </si>
  <si>
    <t>283_3</t>
  </si>
  <si>
    <t>(Vigors, 1832)</t>
  </si>
  <si>
    <t>286_1</t>
  </si>
  <si>
    <t>micropterus</t>
  </si>
  <si>
    <t>India to se Siberia, ne China and se Asia</t>
  </si>
  <si>
    <t>to Greater Sundas</t>
  </si>
  <si>
    <t>286_2</t>
  </si>
  <si>
    <t>concretus</t>
  </si>
  <si>
    <t>Müller, S, 1845</t>
  </si>
  <si>
    <t>Vietnam, s Thailand and the Malay Pen., Sumatra, Java and Borneo</t>
  </si>
  <si>
    <t>Blyth, 1843</t>
  </si>
  <si>
    <t>(Jerdon, 1839)</t>
  </si>
  <si>
    <t>289_1</t>
  </si>
  <si>
    <t>longimembris</t>
  </si>
  <si>
    <t>India to Indochina, Sulawesi, Lesser Sundas and n and e Australia</t>
  </si>
  <si>
    <t>289_2</t>
  </si>
  <si>
    <t>Hartert, 1929</t>
  </si>
  <si>
    <t>se China, Vietnam</t>
  </si>
  <si>
    <t>289_3</t>
  </si>
  <si>
    <t>pithecops</t>
  </si>
  <si>
    <t>(Swinhoe, 1866)</t>
  </si>
  <si>
    <t>289_4</t>
  </si>
  <si>
    <t>amauronota</t>
  </si>
  <si>
    <t>(Cabanis, 1872)</t>
  </si>
  <si>
    <t>Philippine Is.</t>
  </si>
  <si>
    <t>289_5</t>
  </si>
  <si>
    <t>(Tweeddale, 1879)</t>
  </si>
  <si>
    <t>(Sharpe, 1888)</t>
  </si>
  <si>
    <t>(Walden, 1875)</t>
  </si>
  <si>
    <t>Rand, 1950</t>
  </si>
  <si>
    <t>Ripley &amp; Rabor, 1968</t>
  </si>
  <si>
    <t>(Ogilvie-Grant, 1894)</t>
  </si>
  <si>
    <t>(Whitehead, J, 1899)</t>
  </si>
  <si>
    <t>298_1</t>
  </si>
  <si>
    <t>298_2</t>
  </si>
  <si>
    <t>stictonotus</t>
  </si>
  <si>
    <t>(Sharpe, 1875)</t>
  </si>
  <si>
    <t>se Siberia, ne China and Korea</t>
  </si>
  <si>
    <t>298_3</t>
  </si>
  <si>
    <t>(Hay, 1845)</t>
  </si>
  <si>
    <t>s China</t>
  </si>
  <si>
    <t>298_4</t>
  </si>
  <si>
    <t>sunia</t>
  </si>
  <si>
    <t>n Pakistan, n India, Nepal and Bangladesh</t>
  </si>
  <si>
    <t>298_5</t>
  </si>
  <si>
    <t>distans</t>
  </si>
  <si>
    <t>Friedmann &amp; Deignan, 1939</t>
  </si>
  <si>
    <t>Myanmar, n and e Thailand, Indochina</t>
  </si>
  <si>
    <t>298_6</t>
  </si>
  <si>
    <t>rufipennis</t>
  </si>
  <si>
    <t>298_7</t>
  </si>
  <si>
    <t>Ticehurst, 1923</t>
  </si>
  <si>
    <t>298_8</t>
  </si>
  <si>
    <t>modestus</t>
  </si>
  <si>
    <t>(Walden, 1874)</t>
  </si>
  <si>
    <t>298_9</t>
  </si>
  <si>
    <t>nicobaricus</t>
  </si>
  <si>
    <t>(Hume, 1876)</t>
  </si>
  <si>
    <t>(Sharpe, 1892)</t>
  </si>
  <si>
    <t>299_1</t>
  </si>
  <si>
    <t>mantananensis</t>
  </si>
  <si>
    <t>Mantanani I.  (off n Borneo),  Rasa and Ursula Is. (off s coast of Palawan)</t>
  </si>
  <si>
    <t>299_2</t>
  </si>
  <si>
    <t>cuyensis</t>
  </si>
  <si>
    <t>Cuyo and Calamian Is.  (ne of Palawan)</t>
  </si>
  <si>
    <t>299_3</t>
  </si>
  <si>
    <t>romblonis</t>
  </si>
  <si>
    <t>McGregor, 1905</t>
  </si>
  <si>
    <t>Banton, Romblon, Tablas, Sibuyan, Tres-Reyes and Semirara Is.  (c Philippines)</t>
  </si>
  <si>
    <t>299_4</t>
  </si>
  <si>
    <t>sibutuensis</t>
  </si>
  <si>
    <t>(Sharpe, 1893)</t>
  </si>
  <si>
    <t>Tumindao and Sibutu Is.  (sw Sulu Is.)</t>
  </si>
  <si>
    <t>(Cassin, 1852)</t>
  </si>
  <si>
    <t>300_1</t>
  </si>
  <si>
    <t>interpositus</t>
  </si>
  <si>
    <t>Kuroda, Nagamichi, 1923</t>
  </si>
  <si>
    <t>300_2</t>
  </si>
  <si>
    <t>elegans</t>
  </si>
  <si>
    <t>Ryukyu Is. (s Japan)</t>
  </si>
  <si>
    <t>300_3</t>
  </si>
  <si>
    <t>botelensis</t>
  </si>
  <si>
    <t>Kuroda, Nagamichi, 1928</t>
  </si>
  <si>
    <t>Lanyu I.  (off of s Taiwan)</t>
  </si>
  <si>
    <t>300_4</t>
  </si>
  <si>
    <t>calayensis</t>
  </si>
  <si>
    <t>Batan, Calayan and Sabtang Is.  (n Philippines)</t>
  </si>
  <si>
    <t>Kaup, 1851</t>
  </si>
  <si>
    <t>301_1</t>
  </si>
  <si>
    <t>Luzon and Catanduanes (n Philippines)</t>
  </si>
  <si>
    <t>301_2</t>
  </si>
  <si>
    <t>(Ogilvie-Grant, 1906)</t>
  </si>
  <si>
    <t>Mindanao, Samar, Leyte and Bohol  (s Philippines)</t>
  </si>
  <si>
    <t>302_1</t>
  </si>
  <si>
    <t>seloputo</t>
  </si>
  <si>
    <t>Myanmar to s Indochina and the Malay Pen., Java</t>
  </si>
  <si>
    <t>302_2</t>
  </si>
  <si>
    <t>baweana</t>
  </si>
  <si>
    <t>302_3</t>
  </si>
  <si>
    <t>wiepkeni</t>
  </si>
  <si>
    <t>Palawan and Calamian Is.  (sw Philippines)</t>
  </si>
  <si>
    <t>303_1</t>
  </si>
  <si>
    <t>n, ne and c India,  Nepal</t>
  </si>
  <si>
    <t>303_2</t>
  </si>
  <si>
    <t>burmanica</t>
  </si>
  <si>
    <t>Hume, 1876</t>
  </si>
  <si>
    <t>ne India to s China, Indochina and Thailand</t>
  </si>
  <si>
    <t>303_3</t>
  </si>
  <si>
    <t>hirsuta</t>
  </si>
  <si>
    <t>303_4</t>
  </si>
  <si>
    <t>isolata</t>
  </si>
  <si>
    <t>Baker, ECS, 1926</t>
  </si>
  <si>
    <t>Car Nicobar I.</t>
  </si>
  <si>
    <t>303_5</t>
  </si>
  <si>
    <t>rexpimenti</t>
  </si>
  <si>
    <t>Abdulali, 1979</t>
  </si>
  <si>
    <t>Great Nicobar I.</t>
  </si>
  <si>
    <t>303_6</t>
  </si>
  <si>
    <t>scutulata</t>
  </si>
  <si>
    <t>Malay Pen., Riau Arch., Sumatra and Bangka I.</t>
  </si>
  <si>
    <t>303_7</t>
  </si>
  <si>
    <t>Stresemann, 1928</t>
  </si>
  <si>
    <t>w Java</t>
  </si>
  <si>
    <t>303_8</t>
  </si>
  <si>
    <t>(Bonaparte, 1850)</t>
  </si>
  <si>
    <t>Borneo, n Natuna Is.</t>
  </si>
  <si>
    <t>303_9</t>
  </si>
  <si>
    <t>Ripley &amp; Rabor, 1962</t>
  </si>
  <si>
    <t>Palawan  (sw Philippines)</t>
  </si>
  <si>
    <t>304_1</t>
  </si>
  <si>
    <t>florensis</t>
  </si>
  <si>
    <t>(Wallace, 1864)</t>
  </si>
  <si>
    <t>se Siberia, ne and e China and n Korea</t>
  </si>
  <si>
    <t>304_2</t>
  </si>
  <si>
    <t>japonica</t>
  </si>
  <si>
    <t>s Korea and Japan</t>
  </si>
  <si>
    <t>304_3</t>
  </si>
  <si>
    <t>totogo</t>
  </si>
  <si>
    <t>Momiyama, 1931</t>
  </si>
  <si>
    <t>Ryukyu Is.  (Japan),   Taiwan</t>
  </si>
  <si>
    <t>Deignan, 1951</t>
  </si>
  <si>
    <t>306_1</t>
  </si>
  <si>
    <t>Leyte, Luzon, Marinduque, Samar, Polillo, Masbate and Catanduanes Is. (c and n Philippines)</t>
  </si>
  <si>
    <t>Includes proxima (Rasmussen et al. 2012)</t>
  </si>
  <si>
    <t>306_2</t>
  </si>
  <si>
    <t>ticaoensis</t>
  </si>
  <si>
    <t>duPont, 1972</t>
  </si>
  <si>
    <t>Ticao I.  (c Philippines)</t>
  </si>
  <si>
    <t>Validity of N.p. ticaoensis questionable (Rasmussen et al. 2012)</t>
  </si>
  <si>
    <t>306_3</t>
  </si>
  <si>
    <t>Siquijor Is. (c Philippines)</t>
  </si>
  <si>
    <t>Tweeddale, 1879</t>
  </si>
  <si>
    <t>309_1</t>
  </si>
  <si>
    <t>spilonotus</t>
  </si>
  <si>
    <t>Sibuyan</t>
  </si>
  <si>
    <t>309_2</t>
  </si>
  <si>
    <t>fisheri</t>
  </si>
  <si>
    <t>Rasmussen et al., 2012</t>
  </si>
  <si>
    <t>Newly described subspecies (Rasmussen et al. 2012)</t>
  </si>
  <si>
    <t>313_1</t>
  </si>
  <si>
    <t>flammeus</t>
  </si>
  <si>
    <t>North America, Europe, n Africa and n Asia</t>
  </si>
  <si>
    <t>313_2</t>
  </si>
  <si>
    <t>cubensis</t>
  </si>
  <si>
    <t>Garrido, 2007</t>
  </si>
  <si>
    <t>Cuba</t>
  </si>
  <si>
    <t>313_3</t>
  </si>
  <si>
    <t>domingensis</t>
  </si>
  <si>
    <t>(Statius Müller, PL, 1776)</t>
  </si>
  <si>
    <t>Hispaniola</t>
  </si>
  <si>
    <t>313_4</t>
  </si>
  <si>
    <t>portoricensis</t>
  </si>
  <si>
    <t>Ridgway, 1882</t>
  </si>
  <si>
    <t>Puerto Rico</t>
  </si>
  <si>
    <t>313_5</t>
  </si>
  <si>
    <t>bogotensis</t>
  </si>
  <si>
    <t>Chapman, 1915</t>
  </si>
  <si>
    <t>Colombia, Ecuador and nw Peru</t>
  </si>
  <si>
    <t>313_6</t>
  </si>
  <si>
    <t>galapagoensis</t>
  </si>
  <si>
    <t>313_7</t>
  </si>
  <si>
    <t>pallidicaudus</t>
  </si>
  <si>
    <t>Friedmann, 1949</t>
  </si>
  <si>
    <t>Venezuela, Guyana and Suriname</t>
  </si>
  <si>
    <t>313_8</t>
  </si>
  <si>
    <t>suinda</t>
  </si>
  <si>
    <t>(Vieillot, 1817)</t>
  </si>
  <si>
    <t>s Peru and s Brazil to Tierra del Fuego</t>
  </si>
  <si>
    <t>313_9</t>
  </si>
  <si>
    <t>sanfordi</t>
  </si>
  <si>
    <t>Bangs, 1919</t>
  </si>
  <si>
    <t>313_10</t>
  </si>
  <si>
    <t>sandwichensis</t>
  </si>
  <si>
    <t>313_11</t>
  </si>
  <si>
    <t>ponapensis</t>
  </si>
  <si>
    <t>Mayr, 1933</t>
  </si>
  <si>
    <t>e Caroline Is.</t>
  </si>
  <si>
    <t>314_1</t>
  </si>
  <si>
    <t>microrhynchus</t>
  </si>
  <si>
    <t>Ogilvie-Grant, 1895</t>
  </si>
  <si>
    <t>Luzon and Catanduanes  (n Philippines)</t>
  </si>
  <si>
    <t>314_2</t>
  </si>
  <si>
    <t>menagei</t>
  </si>
  <si>
    <t>Panay and Negros  (wc Philippines</t>
  </si>
  <si>
    <t>314_3</t>
  </si>
  <si>
    <t>septimus</t>
  </si>
  <si>
    <t>Samar, Leyte, Bohol, Mindanao and Basilan  (ec and s Philippines)</t>
  </si>
  <si>
    <t>Stresemann, 1937</t>
  </si>
  <si>
    <t>316_1</t>
  </si>
  <si>
    <t>cerviniceps</t>
  </si>
  <si>
    <t>Bangladesh and ne India to s China, Indochina and n Malay Pen.</t>
  </si>
  <si>
    <t>316_2</t>
  </si>
  <si>
    <t>bourdilloni</t>
  </si>
  <si>
    <t>Hume, 1875</t>
  </si>
  <si>
    <t>316_3</t>
  </si>
  <si>
    <t>macrotis</t>
  </si>
  <si>
    <t>316_4</t>
  </si>
  <si>
    <t>jacobsoni</t>
  </si>
  <si>
    <t>Junge, 1936</t>
  </si>
  <si>
    <t>316_5</t>
  </si>
  <si>
    <t>macropterus</t>
  </si>
  <si>
    <t>Sulawesi, Talaud, Sangihe, Banggai and Sula Is.</t>
  </si>
  <si>
    <t>Temminck &amp; Schlegel, 1845</t>
  </si>
  <si>
    <t>317_1</t>
  </si>
  <si>
    <t>jotaka</t>
  </si>
  <si>
    <t>se Siberia to Japan, Korea and e China</t>
  </si>
  <si>
    <t>to Indonesia and the Philippines</t>
  </si>
  <si>
    <t>317_2</t>
  </si>
  <si>
    <t>hazarae</t>
  </si>
  <si>
    <t>Whistler, 1935</t>
  </si>
  <si>
    <t>ne Pakistan through the Himalayas to ne India, Myanmar, s China and the Malay Pen.</t>
  </si>
  <si>
    <t>318_1</t>
  </si>
  <si>
    <t>albonotatus</t>
  </si>
  <si>
    <t>Tickell, 1833</t>
  </si>
  <si>
    <t>ne Pakistan through n India to Bhutan and Bangladesh</t>
  </si>
  <si>
    <t>318_2</t>
  </si>
  <si>
    <t>bimaculatus</t>
  </si>
  <si>
    <t>ne India and s China through Southeast Asia and Malay Pen., Sumatra</t>
  </si>
  <si>
    <t>318_3</t>
  </si>
  <si>
    <t>macrurus</t>
  </si>
  <si>
    <t>Java and Bali</t>
  </si>
  <si>
    <t>318_4</t>
  </si>
  <si>
    <t>Sharpe, 1875</t>
  </si>
  <si>
    <t>Borneo and s Sulu Is.</t>
  </si>
  <si>
    <t>318_5</t>
  </si>
  <si>
    <t>johnsoni</t>
  </si>
  <si>
    <t>Deignan, 1955</t>
  </si>
  <si>
    <t>318_6</t>
  </si>
  <si>
    <t>schlegelii</t>
  </si>
  <si>
    <t>Meyer, AB, 1874</t>
  </si>
  <si>
    <t>Lesser Sundas and Moluccas, New Guinea to n and ne Australia</t>
  </si>
  <si>
    <t>Walden, 1875</t>
  </si>
  <si>
    <t>320_1</t>
  </si>
  <si>
    <t>monticolus</t>
  </si>
  <si>
    <t>Franklin, 1831</t>
  </si>
  <si>
    <t>ne Pakistan through n India and Myanmar to Thailand, Cambodia and s Vietnam</t>
  </si>
  <si>
    <t>320_2</t>
  </si>
  <si>
    <t>amoyensis</t>
  </si>
  <si>
    <t>Baker, ECS, 1931</t>
  </si>
  <si>
    <t>s and se China, n Vietnam</t>
  </si>
  <si>
    <t>320_3</t>
  </si>
  <si>
    <t>stictomus</t>
  </si>
  <si>
    <t>320_4</t>
  </si>
  <si>
    <t>s Thai-Malay Pen., Greater Sundas and w, c Lesser Sundas</t>
  </si>
  <si>
    <t>Includes undulatus and kasuidori. Mees, 2006.</t>
  </si>
  <si>
    <t>320_5</t>
  </si>
  <si>
    <t>timorensis</t>
  </si>
  <si>
    <t>Mayr, 1944</t>
  </si>
  <si>
    <t>e Lesser Sundas</t>
  </si>
  <si>
    <t>320_6</t>
  </si>
  <si>
    <t>griseatus</t>
  </si>
  <si>
    <t>320_7</t>
  </si>
  <si>
    <t>Mindanao  (s Philippines)</t>
  </si>
  <si>
    <t>320_8</t>
  </si>
  <si>
    <t>propinquus</t>
  </si>
  <si>
    <t>Riley, 1918</t>
  </si>
  <si>
    <t>c and s Sulawesi</t>
  </si>
  <si>
    <t>(Rafinesque, 1802)</t>
  </si>
  <si>
    <t>321_1</t>
  </si>
  <si>
    <t>s Myanmar to sw Thailand, Malaysia, Sumatra, Borneo and Sulu Arch.  (w Philippines)</t>
  </si>
  <si>
    <t>321_2</t>
  </si>
  <si>
    <t>perlonga</t>
  </si>
  <si>
    <t>(Richmond, 1903)</t>
  </si>
  <si>
    <t>islands off w Sumatra</t>
  </si>
  <si>
    <t>321_3</t>
  </si>
  <si>
    <t>Java, Bali, Lombok and Kangean Is.</t>
  </si>
  <si>
    <t>321_4</t>
  </si>
  <si>
    <t>wallacii</t>
  </si>
  <si>
    <t>(Gould, 1859)</t>
  </si>
  <si>
    <t>322_1</t>
  </si>
  <si>
    <t>comata</t>
  </si>
  <si>
    <t>s Myanmar, s Thailand, Malaysia, Borneo, Sumatra and nearby islands</t>
  </si>
  <si>
    <t>322_2</t>
  </si>
  <si>
    <t>(Hartert, 1895)</t>
  </si>
  <si>
    <t>Philippine Is. and Sulu Arch.</t>
  </si>
  <si>
    <t>Salvadori, 1882</t>
  </si>
  <si>
    <t>323_1</t>
  </si>
  <si>
    <t>Babuyan, Calayan and N Camiguin (n of Luzon, n Philippines)</t>
  </si>
  <si>
    <t>323_2</t>
  </si>
  <si>
    <t>marginata</t>
  </si>
  <si>
    <t>c and s Luzon, e and w Visayas, (?Palawan)</t>
  </si>
  <si>
    <t>Oberholser, 1906</t>
  </si>
  <si>
    <t>324_1</t>
  </si>
  <si>
    <t>isonota</t>
  </si>
  <si>
    <t>324_2</t>
  </si>
  <si>
    <t>bagobo</t>
  </si>
  <si>
    <t>Mindanao, Mindoro, Sulu Arch. (s Philippines)</t>
  </si>
  <si>
    <t>Gray, GR, 1845</t>
  </si>
  <si>
    <t>(Oberholser, 1912)</t>
  </si>
  <si>
    <t>(Ogilvie-Grant, 1895)</t>
  </si>
  <si>
    <t>327_1</t>
  </si>
  <si>
    <t>Mt. Data (n Luzon)</t>
  </si>
  <si>
    <t>327_2</t>
  </si>
  <si>
    <t>origenis</t>
  </si>
  <si>
    <t>(Oberholser, 1906)</t>
  </si>
  <si>
    <t>Mt. Apo  (Mindanao)</t>
  </si>
  <si>
    <t>(Streubel, 1848)</t>
  </si>
  <si>
    <t>328_1</t>
  </si>
  <si>
    <t>aerophilus</t>
  </si>
  <si>
    <t>328_2</t>
  </si>
  <si>
    <t>natunae</t>
  </si>
  <si>
    <t>(Stresemann, 1930)</t>
  </si>
  <si>
    <t>n Borneo,  Natuna Is., Sumatra (?)</t>
  </si>
  <si>
    <t>328_3</t>
  </si>
  <si>
    <t>maratua</t>
  </si>
  <si>
    <t>(Riley, 1927)</t>
  </si>
  <si>
    <t>Maratua Arch.  (off ne Borneo)</t>
  </si>
  <si>
    <t>328_4</t>
  </si>
  <si>
    <t>salangana</t>
  </si>
  <si>
    <t>329_1</t>
  </si>
  <si>
    <t>amelis</t>
  </si>
  <si>
    <t>Philippines (except Palawan)</t>
  </si>
  <si>
    <t>329_2</t>
  </si>
  <si>
    <t>Move palawanensis from Uniform Swiftlet to Ameline Swiftlet. Dickinson &amp; Remsen, 2013.</t>
  </si>
  <si>
    <t>(Hume, 1878)</t>
  </si>
  <si>
    <t>330_1</t>
  </si>
  <si>
    <t>maximus</t>
  </si>
  <si>
    <t>s Myanmar, Malaysia and se Vietnam</t>
  </si>
  <si>
    <t>330_2</t>
  </si>
  <si>
    <t>lowi</t>
  </si>
  <si>
    <t>(Sharpe, 1879)</t>
  </si>
  <si>
    <t>Sumatra, n and w Borneo and Java</t>
  </si>
  <si>
    <t>330_3</t>
  </si>
  <si>
    <t>tichelmani</t>
  </si>
  <si>
    <t>(Stresemann, 1926)</t>
  </si>
  <si>
    <t>se Borneo</t>
  </si>
  <si>
    <t>(Oustalet, 1876)</t>
  </si>
  <si>
    <t>331_1</t>
  </si>
  <si>
    <t>germani</t>
  </si>
  <si>
    <t>Southeast Asia, Borneo, Philippines</t>
  </si>
  <si>
    <t>331_2</t>
  </si>
  <si>
    <t>amechanus</t>
  </si>
  <si>
    <t>Anambas Is.  (off se Malay Pen.)</t>
  </si>
  <si>
    <t>(Latham, 1801)</t>
  </si>
  <si>
    <t>333_1</t>
  </si>
  <si>
    <t>caudacutus</t>
  </si>
  <si>
    <t>c Siberia to Japan and Kuril Is.</t>
  </si>
  <si>
    <t>333_2</t>
  </si>
  <si>
    <t>nudipes</t>
  </si>
  <si>
    <t>Himalayas and ne India to sw and s China</t>
  </si>
  <si>
    <t>(Temminck, 1825)</t>
  </si>
  <si>
    <t>334_1</t>
  </si>
  <si>
    <t>sw India and Sri Lanka;  e India and Bangladesh to SE Asia;  Andaman Is.</t>
  </si>
  <si>
    <t>334_2</t>
  </si>
  <si>
    <t>giganteus</t>
  </si>
  <si>
    <t>Malay Pen., Greater Sundas and Palawan</t>
  </si>
  <si>
    <t>(Sclater, PL, 1866)</t>
  </si>
  <si>
    <t>(Gray, JE, 1829)</t>
  </si>
  <si>
    <t>336_1</t>
  </si>
  <si>
    <t>balasiensis</t>
  </si>
  <si>
    <t>Indian subcontinent and Sri Lanka</t>
  </si>
  <si>
    <t>336_2</t>
  </si>
  <si>
    <t>infumatus</t>
  </si>
  <si>
    <t>ne India to Indochina,  Malay Pen., Sumatra and Borneo</t>
  </si>
  <si>
    <t>336_3</t>
  </si>
  <si>
    <t>Brooke, 1972</t>
  </si>
  <si>
    <t>336_4</t>
  </si>
  <si>
    <t>pallidior</t>
  </si>
  <si>
    <t>(McGregor, 1905)</t>
  </si>
  <si>
    <t>337_1</t>
  </si>
  <si>
    <t>pacificus</t>
  </si>
  <si>
    <t>Siberia to Kamchatka, n China and Japan</t>
  </si>
  <si>
    <t>to Indonesia, Melanesia and Australia</t>
  </si>
  <si>
    <t>337_2</t>
  </si>
  <si>
    <t>kanoi</t>
  </si>
  <si>
    <t>(Yamashina, 1942)</t>
  </si>
  <si>
    <t>se Tibet to e China, Taiwan</t>
  </si>
  <si>
    <t>to Malaysia, Indonesia and Philippines</t>
  </si>
  <si>
    <t>Use of kanoi (Yamashina, 1942) rather than kurodae (Domaniewski, 1933) follows H&amp;M 4:103 contra Leader (2011). fide IOC RCCAN</t>
  </si>
  <si>
    <t>338_1</t>
  </si>
  <si>
    <t>Himalayas to Japan and se China south to Myanmar, se Asia and the Philippines</t>
  </si>
  <si>
    <t>338_2</t>
  </si>
  <si>
    <t>subfurcatus</t>
  </si>
  <si>
    <t>Malay Pen. to Borneo, Sumatra and nearby islands</t>
  </si>
  <si>
    <t>338_3</t>
  </si>
  <si>
    <t>furcatus</t>
  </si>
  <si>
    <t>Brooke, 1971</t>
  </si>
  <si>
    <t>338_4</t>
  </si>
  <si>
    <t>kuntzi</t>
  </si>
  <si>
    <t>Deignan, 1958</t>
  </si>
  <si>
    <t>(Temminck, 1826)</t>
  </si>
  <si>
    <t>339_1</t>
  </si>
  <si>
    <t>herberti</t>
  </si>
  <si>
    <t>Parkes, 1970</t>
  </si>
  <si>
    <t>ne Luzon  (n Philippines)</t>
  </si>
  <si>
    <t>339_2</t>
  </si>
  <si>
    <t>luzoniensis</t>
  </si>
  <si>
    <t>Rand &amp; Rabor, 1952</t>
  </si>
  <si>
    <t>Luzon (except ne), Marinduque and Catanduanes (n Philippines)</t>
  </si>
  <si>
    <t>339_3</t>
  </si>
  <si>
    <t>Manuel, 1958</t>
  </si>
  <si>
    <t>PolilloI.  (n Philippines)</t>
  </si>
  <si>
    <t>339_4</t>
  </si>
  <si>
    <t>linae</t>
  </si>
  <si>
    <t>Rand &amp; Rabor, 1959</t>
  </si>
  <si>
    <t>Bohol, Leyte and Samar  (c Philippines)</t>
  </si>
  <si>
    <t>339_5</t>
  </si>
  <si>
    <t>ardens</t>
  </si>
  <si>
    <t>Basilan, Dinagat and Mindanao  (s Philippines)</t>
  </si>
  <si>
    <t>340_1</t>
  </si>
  <si>
    <t>cyanocollis</t>
  </si>
  <si>
    <t>Himalayas through China to se Siberia, Korea and Japan</t>
  </si>
  <si>
    <t>to se Asia and the Greater Sundas</t>
  </si>
  <si>
    <t>Eurystomus orientalis cyanocollis Vieillot, 1819 has precedence over Eurystomus orientalis calonyx Sharpe, 1890. H&amp;M 4:334. Correct original spelling is cyanocollis.</t>
  </si>
  <si>
    <t>340_2</t>
  </si>
  <si>
    <t>s Himalayas to Indochina, the Malay Pen.,  Sumatra, Java, Borneo and the Philippines</t>
  </si>
  <si>
    <t>340_3</t>
  </si>
  <si>
    <t>laetior</t>
  </si>
  <si>
    <t>340_4</t>
  </si>
  <si>
    <t>gigas</t>
  </si>
  <si>
    <t>s Andaman Is.</t>
  </si>
  <si>
    <t>340_5</t>
  </si>
  <si>
    <t>irisi</t>
  </si>
  <si>
    <t>Deraniyagala, 1951</t>
  </si>
  <si>
    <t>340_6</t>
  </si>
  <si>
    <t>oberholseri</t>
  </si>
  <si>
    <t>340_7</t>
  </si>
  <si>
    <t>Lesser Sundas, n and e Australia</t>
  </si>
  <si>
    <t>340_8</t>
  </si>
  <si>
    <t>waigiouensis</t>
  </si>
  <si>
    <t>Elliot, DG, 1871</t>
  </si>
  <si>
    <t>New Guinea, w Papuan islands, D'Entrecasteaux Arch. and the Louisiade Arch.</t>
  </si>
  <si>
    <t>340_9</t>
  </si>
  <si>
    <t>Sclater, PL, 1869</t>
  </si>
  <si>
    <t>340_10</t>
  </si>
  <si>
    <t>341_1</t>
  </si>
  <si>
    <t>lindsayi</t>
  </si>
  <si>
    <t>Catanduanes,  Marinduque and Luzon  (n Philippines)</t>
  </si>
  <si>
    <t>341_2</t>
  </si>
  <si>
    <t>moseleyi</t>
  </si>
  <si>
    <t>Steere, 1890</t>
  </si>
  <si>
    <t>Negros and Panay  (c Philippines)</t>
  </si>
  <si>
    <t>343_1</t>
  </si>
  <si>
    <t>Nepal through India to Sri Lanka</t>
  </si>
  <si>
    <t>343_2</t>
  </si>
  <si>
    <t>osmastoni</t>
  </si>
  <si>
    <t>(Baker, ECS, 1934)</t>
  </si>
  <si>
    <t>343_3</t>
  </si>
  <si>
    <t>Hume, 1874</t>
  </si>
  <si>
    <t>343_4</t>
  </si>
  <si>
    <t>Sharpe, 1870</t>
  </si>
  <si>
    <t>Myanmar to Indochina and south to n Malay Pen.</t>
  </si>
  <si>
    <t>343_5</t>
  </si>
  <si>
    <t>malaccensis</t>
  </si>
  <si>
    <t>c and s Malay Pen., Riau Arch. and Lingga Arch.</t>
  </si>
  <si>
    <t>343_6</t>
  </si>
  <si>
    <t>cyanopteryx</t>
  </si>
  <si>
    <t>(Oberholser, 1909)</t>
  </si>
  <si>
    <t>Sumatra, Bangka and Belitung Is.</t>
  </si>
  <si>
    <t>343_7</t>
  </si>
  <si>
    <t>simalurensis</t>
  </si>
  <si>
    <t>343_8</t>
  </si>
  <si>
    <t>sodalis</t>
  </si>
  <si>
    <t>Banyak, Nias, Batu and Mentawai Is. (off nw Sumatra)</t>
  </si>
  <si>
    <t>343_9</t>
  </si>
  <si>
    <t>innominata</t>
  </si>
  <si>
    <t>(van Oort, 1910)</t>
  </si>
  <si>
    <t>343_10</t>
  </si>
  <si>
    <t>javana</t>
  </si>
  <si>
    <t>343_11</t>
  </si>
  <si>
    <t>floresiana</t>
  </si>
  <si>
    <t>Bali to Flores  (Lesser Sundas)</t>
  </si>
  <si>
    <t>343_12</t>
  </si>
  <si>
    <t>gouldi</t>
  </si>
  <si>
    <t>n Philippines</t>
  </si>
  <si>
    <t>343_13</t>
  </si>
  <si>
    <t>gigantea</t>
  </si>
  <si>
    <t>Walden, 1874</t>
  </si>
  <si>
    <t>344_1</t>
  </si>
  <si>
    <t>coromanda</t>
  </si>
  <si>
    <t>Nepal to s China, s Thailand and n Myanmar</t>
  </si>
  <si>
    <t>to Sumatra</t>
  </si>
  <si>
    <t>344_2</t>
  </si>
  <si>
    <t>(Temminck &amp; Schlegel, 1848)</t>
  </si>
  <si>
    <t>ne China, Korea and Japan</t>
  </si>
  <si>
    <t>to Philippines</t>
  </si>
  <si>
    <t>344_3</t>
  </si>
  <si>
    <t>(Oberholser, 1915)</t>
  </si>
  <si>
    <t>Ryukyu Is., Taiwan and Lanyu I.</t>
  </si>
  <si>
    <t>to Philippines and Talaud Is.</t>
  </si>
  <si>
    <t>344_4</t>
  </si>
  <si>
    <t>mizorhina</t>
  </si>
  <si>
    <t>344_5</t>
  </si>
  <si>
    <t>s Malay Pen., Sumatra, w Sumatra islands, Riau Arch., Bangka and Belitung, Java and Borneo</t>
  </si>
  <si>
    <t>344_6</t>
  </si>
  <si>
    <t>Hubbard &amp; duPont, 1974</t>
  </si>
  <si>
    <t>Palawan I.  (w Philippines)</t>
  </si>
  <si>
    <t>344_7</t>
  </si>
  <si>
    <t>claudiae</t>
  </si>
  <si>
    <t>Tawitawi group and Sulu Arch.</t>
  </si>
  <si>
    <t>344_8</t>
  </si>
  <si>
    <t>Talaud and Sangihe Is south to Sulawesi and offshore islands</t>
  </si>
  <si>
    <t>344_9</t>
  </si>
  <si>
    <t>pelingensis</t>
  </si>
  <si>
    <t>Neumann, 1939</t>
  </si>
  <si>
    <t>Banggai Is.</t>
  </si>
  <si>
    <t>344_10</t>
  </si>
  <si>
    <t>sulana</t>
  </si>
  <si>
    <t>Sula Is.  (e of Sulawesi)</t>
  </si>
  <si>
    <t>345_1</t>
  </si>
  <si>
    <t>smyrnensis</t>
  </si>
  <si>
    <t>s Turkey to ne Egypt, Iraq to nw India</t>
  </si>
  <si>
    <t>345_2</t>
  </si>
  <si>
    <t>w India and Sri Lanka</t>
  </si>
  <si>
    <t>345_3</t>
  </si>
  <si>
    <t>perpulchra</t>
  </si>
  <si>
    <t>Madarász, 1904</t>
  </si>
  <si>
    <t>Bhutan to e India, Indochina, the Malay Pen. and w Java</t>
  </si>
  <si>
    <t>345_4</t>
  </si>
  <si>
    <t>saturatior</t>
  </si>
  <si>
    <t>345_5</t>
  </si>
  <si>
    <t>fokiensis</t>
  </si>
  <si>
    <t>Laubmann &amp; Götz, 1926</t>
  </si>
  <si>
    <t>s and e China, Taiwan and Hainan</t>
  </si>
  <si>
    <t>345_6</t>
  </si>
  <si>
    <t>(Kuhl, 1820)</t>
  </si>
  <si>
    <t>See Collar 2011b for proposed split of Brown-breasted Kingfisher; await supplements to numerical index</t>
  </si>
  <si>
    <t>347_1</t>
  </si>
  <si>
    <t>(Hachisuka, 1934)</t>
  </si>
  <si>
    <t>Bohol, Cebu, Negros, Samar, Leyte, Calicoan, Biliran and Siquijor Is.  (c and ec Philippines)</t>
  </si>
  <si>
    <t>347_2</t>
  </si>
  <si>
    <t>nesydrionetes</t>
  </si>
  <si>
    <t>(Parkes, 1966)</t>
  </si>
  <si>
    <t>Romblon, Sibuyan and Tablas Is.  (nc Philippines)</t>
  </si>
  <si>
    <t>347_3</t>
  </si>
  <si>
    <t>347_4</t>
  </si>
  <si>
    <t>winchelli</t>
  </si>
  <si>
    <t>Basilan   (sw Philippines)</t>
  </si>
  <si>
    <t>347_5</t>
  </si>
  <si>
    <t>alfredi</t>
  </si>
  <si>
    <t>(Oustalet, 1890)</t>
  </si>
  <si>
    <t>Sulu Arch.  (sw Philippines)</t>
  </si>
  <si>
    <t>348_1</t>
  </si>
  <si>
    <t>abyssinicus</t>
  </si>
  <si>
    <t>(Pelzeln, 1856)</t>
  </si>
  <si>
    <t>s Red Sea coasts</t>
  </si>
  <si>
    <t>348_2</t>
  </si>
  <si>
    <t>kalbaensis</t>
  </si>
  <si>
    <t>(Cowles, 1980)</t>
  </si>
  <si>
    <t>ne Arabia</t>
  </si>
  <si>
    <t>348_3</t>
  </si>
  <si>
    <t>vidali</t>
  </si>
  <si>
    <t>w coast of India</t>
  </si>
  <si>
    <t>348_4</t>
  </si>
  <si>
    <t>Andaman and Cocos Is.  (Indian Ocean off Myanmar)</t>
  </si>
  <si>
    <t>348_5</t>
  </si>
  <si>
    <t>Blyth, 1846</t>
  </si>
  <si>
    <t>348_6</t>
  </si>
  <si>
    <t>humii</t>
  </si>
  <si>
    <t>coastal e India to s Malay Pen., ne Sumatra</t>
  </si>
  <si>
    <t>348_7</t>
  </si>
  <si>
    <t>armstrongi</t>
  </si>
  <si>
    <t>Myanmar to Thailand, Indochina and s China</t>
  </si>
  <si>
    <t>348_8</t>
  </si>
  <si>
    <t>laubmannianus</t>
  </si>
  <si>
    <t>(Grote, 1933)</t>
  </si>
  <si>
    <t>Sumatra (except ne), Borneo and nearby islands</t>
  </si>
  <si>
    <t>348_9</t>
  </si>
  <si>
    <t>chloropterus</t>
  </si>
  <si>
    <t>(Oberholser, 1919)</t>
  </si>
  <si>
    <t>islands off w Sumatra  (except Enggano)</t>
  </si>
  <si>
    <t>348_10</t>
  </si>
  <si>
    <t>azelus</t>
  </si>
  <si>
    <t>Enggano I.  (off w Sumatra)</t>
  </si>
  <si>
    <t>348_11</t>
  </si>
  <si>
    <t>palmeri</t>
  </si>
  <si>
    <t>Java, Bali and nearby islands</t>
  </si>
  <si>
    <t>348_12</t>
  </si>
  <si>
    <t>collaris</t>
  </si>
  <si>
    <t>348_13</t>
  </si>
  <si>
    <t>chloris</t>
  </si>
  <si>
    <t>Sulawesi to nw New Guinea, Lesser Sundas</t>
  </si>
  <si>
    <t>348_14</t>
  </si>
  <si>
    <t>teraokai</t>
  </si>
  <si>
    <t>(Kuroda, Nagamichi, 1915)</t>
  </si>
  <si>
    <t>Palau Is.  (w Carolina Is.)</t>
  </si>
  <si>
    <t>(Vigors &amp; Horsfield, 1827)</t>
  </si>
  <si>
    <t>349_1</t>
  </si>
  <si>
    <t>sanctus</t>
  </si>
  <si>
    <t>Australia to e Solomon Is.</t>
  </si>
  <si>
    <t>to New Guinea and Indonesia</t>
  </si>
  <si>
    <t>349_2</t>
  </si>
  <si>
    <t>vagans</t>
  </si>
  <si>
    <t>(Lesson, R, 1828)</t>
  </si>
  <si>
    <t>New Zealand, Lord Howe and Kermadec Is.</t>
  </si>
  <si>
    <t>349_3</t>
  </si>
  <si>
    <t>norfolkiensis</t>
  </si>
  <si>
    <t>(Tristram, 1885)</t>
  </si>
  <si>
    <t>Norfolk I.</t>
  </si>
  <si>
    <t>349_4</t>
  </si>
  <si>
    <t>canacorum</t>
  </si>
  <si>
    <t>(Brasil, L, 1916)</t>
  </si>
  <si>
    <t>349_5</t>
  </si>
  <si>
    <t>macmillani</t>
  </si>
  <si>
    <t>(Mayr, 1940)</t>
  </si>
  <si>
    <t>Loyalty Is.</t>
  </si>
  <si>
    <t>350_1</t>
  </si>
  <si>
    <t>coltarti</t>
  </si>
  <si>
    <t>Baker, ECS, 1919</t>
  </si>
  <si>
    <t>Nepal and India to n and c Thailand and Indochina</t>
  </si>
  <si>
    <t>350_2</t>
  </si>
  <si>
    <t>phillipsi</t>
  </si>
  <si>
    <t>Baker, ECS, 1927</t>
  </si>
  <si>
    <t>350_3</t>
  </si>
  <si>
    <t>scintillans</t>
  </si>
  <si>
    <t>n Malay Pen.</t>
  </si>
  <si>
    <t>350_4</t>
  </si>
  <si>
    <t>rufigastra</t>
  </si>
  <si>
    <t>Walden, 1873</t>
  </si>
  <si>
    <t>350_5</t>
  </si>
  <si>
    <t>meninting</t>
  </si>
  <si>
    <t>s Malay Pen., Borneo, s Philippines, sw Sulawesi, Sula Is., Sumatra and Java to Lombok</t>
  </si>
  <si>
    <t>351_1</t>
  </si>
  <si>
    <t>ispida</t>
  </si>
  <si>
    <t>s Norway, the British Isles and n Spain to w Russia</t>
  </si>
  <si>
    <t>to n Africa and Iraq</t>
  </si>
  <si>
    <t>351_2</t>
  </si>
  <si>
    <t>atthis</t>
  </si>
  <si>
    <t>s Spain and n Africa east to c Siberia, nw China and nw India</t>
  </si>
  <si>
    <t>351_3</t>
  </si>
  <si>
    <t>Gmelin, JF, 1788</t>
  </si>
  <si>
    <t>c India to se Siberia, Japan and se Asia</t>
  </si>
  <si>
    <t>to the Philippines, Greater Sundas and n Moluccas</t>
  </si>
  <si>
    <t>351_4</t>
  </si>
  <si>
    <t>taprobana</t>
  </si>
  <si>
    <t>Kleinschmidt, O, 1894</t>
  </si>
  <si>
    <t>s India and Sri Lanka</t>
  </si>
  <si>
    <t>351_5</t>
  </si>
  <si>
    <t>Sharpe, 1892</t>
  </si>
  <si>
    <t>351_6</t>
  </si>
  <si>
    <t>hispidoides</t>
  </si>
  <si>
    <t>Lesson, R, 1837</t>
  </si>
  <si>
    <t>Sulawesi, Moluccas, w Papuan islands, New Guinea, Bismarck Arch. and Louisiade Arch.</t>
  </si>
  <si>
    <t>351_7</t>
  </si>
  <si>
    <t>salomonensis</t>
  </si>
  <si>
    <t>Rothschild &amp; Hartert, 1905</t>
  </si>
  <si>
    <t>352_1</t>
  </si>
  <si>
    <t>erithaca</t>
  </si>
  <si>
    <t>India and Sri Lanka to se China, Indochina and Sumatra</t>
  </si>
  <si>
    <t>352_2</t>
  </si>
  <si>
    <t>macrocarus</t>
  </si>
  <si>
    <t>352_3</t>
  </si>
  <si>
    <t>motleyi</t>
  </si>
  <si>
    <t>Chasen &amp; Kloss, 1929</t>
  </si>
  <si>
    <t>Philippines, Java, Borneo to Sumbawa and Flores</t>
  </si>
  <si>
    <t>(Kaup, 1848)</t>
  </si>
  <si>
    <t>353_1</t>
  </si>
  <si>
    <t>melanurus</t>
  </si>
  <si>
    <t>Luzon, Polillo, Alabat and Catanduanes (N Philippines)</t>
  </si>
  <si>
    <t>353_2</t>
  </si>
  <si>
    <t>samarensis</t>
  </si>
  <si>
    <t>Samar and Layte  (ec Philippines)</t>
  </si>
  <si>
    <t>353_3</t>
  </si>
  <si>
    <t>Mindanao and Basilan  (s Philippines)</t>
  </si>
  <si>
    <t>South Philippine Dwarf-kingfisher</t>
  </si>
  <si>
    <t>Ceyx mindanensis</t>
  </si>
  <si>
    <t>Blasius, W, 1890</t>
  </si>
  <si>
    <t>Lafresnaye, 1840</t>
  </si>
  <si>
    <t>355_1</t>
  </si>
  <si>
    <t>cyanopectus</t>
  </si>
  <si>
    <t>Luzon, Mindoro and nearby islands  (n Philippines)</t>
  </si>
  <si>
    <t>355_2</t>
  </si>
  <si>
    <t>nigrirostris</t>
  </si>
  <si>
    <t>Cebu, Negros and Panay  (wc Philippines)</t>
  </si>
  <si>
    <t>Southern Indigo-banded Kingfisher</t>
  </si>
  <si>
    <t>Ceyx nigrirostris</t>
  </si>
  <si>
    <t>Linnaeus, 1767</t>
  </si>
  <si>
    <t>359_1</t>
  </si>
  <si>
    <t>s China to Indochina and the Greater Sundas</t>
  </si>
  <si>
    <t>359_2</t>
  </si>
  <si>
    <t>Statius Müller, PL, 1776</t>
  </si>
  <si>
    <t>See Collar 2011b for proposed split of Rufous-crowned Bee-eater; await supplements to numerical index</t>
  </si>
  <si>
    <t>360_1</t>
  </si>
  <si>
    <t>epops</t>
  </si>
  <si>
    <t>nw Africa and Europe e to sc Russia, nw China and nw India.</t>
  </si>
  <si>
    <t>360_2</t>
  </si>
  <si>
    <t>Reichenbach, 1853</t>
  </si>
  <si>
    <t>c and s India, Sri Lanka</t>
  </si>
  <si>
    <t>360_3</t>
  </si>
  <si>
    <t>longirostris</t>
  </si>
  <si>
    <t>Jerdon, 1862</t>
  </si>
  <si>
    <t>ne India to s China, Indochina and n Malay Pen.</t>
  </si>
  <si>
    <t>360_4</t>
  </si>
  <si>
    <t>Brehm, CL, 1855</t>
  </si>
  <si>
    <t>Egypt</t>
  </si>
  <si>
    <t>360_5</t>
  </si>
  <si>
    <t>senegalensis</t>
  </si>
  <si>
    <t>Swainson, 1837</t>
  </si>
  <si>
    <t>Senegal and Gambia to Somalia</t>
  </si>
  <si>
    <t>360_6</t>
  </si>
  <si>
    <t>waibeli</t>
  </si>
  <si>
    <t>Reichenow, 1913</t>
  </si>
  <si>
    <t>Cameroon to nw Kenya and n Uganda</t>
  </si>
  <si>
    <t>361_1</t>
  </si>
  <si>
    <t>hydrocorax</t>
  </si>
  <si>
    <t>Luzon and Marinduque  (n Philippines)</t>
  </si>
  <si>
    <t>361_2</t>
  </si>
  <si>
    <t>semigaleatus</t>
  </si>
  <si>
    <t>c Philippines</t>
  </si>
  <si>
    <t>361_3</t>
  </si>
  <si>
    <t>Southern Rufous Hornbill</t>
  </si>
  <si>
    <t>Buceros mindanensis</t>
  </si>
  <si>
    <t>Oustalet, 1885</t>
  </si>
  <si>
    <t>(Oustalet, 1880)</t>
  </si>
  <si>
    <t>366_1</t>
  </si>
  <si>
    <t>manillae</t>
  </si>
  <si>
    <t>Luzon, Marinduque, Catanduanes and adjacent islets</t>
  </si>
  <si>
    <t>366_2</t>
  </si>
  <si>
    <t>subniger</t>
  </si>
  <si>
    <t>McGregor, 1910</t>
  </si>
  <si>
    <t>Polillo and Patnanongan Is.</t>
  </si>
  <si>
    <t>368_1</t>
  </si>
  <si>
    <t>Mindanao, Dinagat and Siargao</t>
  </si>
  <si>
    <t>368_2</t>
  </si>
  <si>
    <t>basilanicus</t>
  </si>
  <si>
    <t>370_1</t>
  </si>
  <si>
    <t>ticaensis</t>
  </si>
  <si>
    <t>Ticao I.  (nc Philippines)</t>
  </si>
  <si>
    <t>370_2</t>
  </si>
  <si>
    <t>panini</t>
  </si>
  <si>
    <t>Masbate, Panay, Sicogon, Pan de Azucar, Guimaras and Negros  (c Philippines)</t>
  </si>
  <si>
    <t>371_1</t>
  </si>
  <si>
    <t>ne Pakistan, India and Sri Lanka to s China, Vietnam and s Malaysia</t>
  </si>
  <si>
    <t>371_2</t>
  </si>
  <si>
    <t>delicus</t>
  </si>
  <si>
    <t>371_3</t>
  </si>
  <si>
    <t>roseus</t>
  </si>
  <si>
    <t>(Dumont, 1805)</t>
  </si>
  <si>
    <t>371_4</t>
  </si>
  <si>
    <t>haemacephalus</t>
  </si>
  <si>
    <t>Luzon and Mindoro  (n Philippines)</t>
  </si>
  <si>
    <t>371_5</t>
  </si>
  <si>
    <t>(Gilliard, 1949)</t>
  </si>
  <si>
    <t>Samar, Leyte, Catanduanes and Biliran   (c Philippines)</t>
  </si>
  <si>
    <t>371_6</t>
  </si>
  <si>
    <t>371_7</t>
  </si>
  <si>
    <t>(Shelley, 1891)</t>
  </si>
  <si>
    <t>Guimaras, Negros, Panay  (c Philippines)</t>
  </si>
  <si>
    <t>371_8</t>
  </si>
  <si>
    <t>cebuensis</t>
  </si>
  <si>
    <t>(Dziadosz &amp; Parkes, 1984)</t>
  </si>
  <si>
    <t>371_9</t>
  </si>
  <si>
    <t>homochroa</t>
  </si>
  <si>
    <t>Tablas, Romblon, Masbate  (c Philippines)</t>
  </si>
  <si>
    <t>372_1</t>
  </si>
  <si>
    <t>validirostris</t>
  </si>
  <si>
    <t>372_2</t>
  </si>
  <si>
    <t>fulvifasciatus</t>
  </si>
  <si>
    <t>Hargitt, 1881</t>
  </si>
  <si>
    <t>ec, s Philippines</t>
  </si>
  <si>
    <t>Includes leytensis. Christie &amp; Winkler, 2002.</t>
  </si>
  <si>
    <t>372_3</t>
  </si>
  <si>
    <t>maculatus</t>
  </si>
  <si>
    <t>wc, c Philippines</t>
  </si>
  <si>
    <t>Includes menagei. Christie &amp; Winkler, 2002.</t>
  </si>
  <si>
    <t>374_1</t>
  </si>
  <si>
    <t>hodgsonii</t>
  </si>
  <si>
    <t>(Jerdon, 1840)</t>
  </si>
  <si>
    <t>374_2</t>
  </si>
  <si>
    <t>richardsi</t>
  </si>
  <si>
    <t>Tristram, 1879</t>
  </si>
  <si>
    <t>Korea</t>
  </si>
  <si>
    <t>374_3</t>
  </si>
  <si>
    <t>forresti</t>
  </si>
  <si>
    <t>Rothschild, 1922</t>
  </si>
  <si>
    <t>n Myanmar and sw China</t>
  </si>
  <si>
    <t>374_4</t>
  </si>
  <si>
    <t>feddeni</t>
  </si>
  <si>
    <t>(Blyth, 1863)</t>
  </si>
  <si>
    <t>Myanmar, Thailand and s Indochina</t>
  </si>
  <si>
    <t>374_5</t>
  </si>
  <si>
    <t>javensis</t>
  </si>
  <si>
    <t>c and s Malay Pen., Greater Sundas and nearby islands</t>
  </si>
  <si>
    <t>374_6</t>
  </si>
  <si>
    <t>parvus</t>
  </si>
  <si>
    <t>(Richmond, 1902)</t>
  </si>
  <si>
    <t>374_7</t>
  </si>
  <si>
    <t>hargitti</t>
  </si>
  <si>
    <t>(Sharpe, 1884)</t>
  </si>
  <si>
    <t>Palawan  (w Philippines)</t>
  </si>
  <si>
    <t>374_8</t>
  </si>
  <si>
    <t>esthloterus</t>
  </si>
  <si>
    <t>Parkes, 1971</t>
  </si>
  <si>
    <t>n Luzon  (n Philippines)</t>
  </si>
  <si>
    <t>374_9</t>
  </si>
  <si>
    <t>(Stresemann, 1913)</t>
  </si>
  <si>
    <t>c and s Luzon  (n Philippines)</t>
  </si>
  <si>
    <t>374_10</t>
  </si>
  <si>
    <t>pectoralis</t>
  </si>
  <si>
    <t>(Tweeddale, 1878)</t>
  </si>
  <si>
    <t>Samar, , Leyte, Bohol  (ec Philippines)</t>
  </si>
  <si>
    <t>374_11</t>
  </si>
  <si>
    <t>multilunatus</t>
  </si>
  <si>
    <t>(McGregor, 1907)</t>
  </si>
  <si>
    <t>Basilan, Dinagat, Mindanao  (s Philippines)</t>
  </si>
  <si>
    <t>374_12</t>
  </si>
  <si>
    <t>(Blasius, W, 1890)</t>
  </si>
  <si>
    <t>374_13</t>
  </si>
  <si>
    <t>Panay, Masbate, Guimaras, Negros  (wc Philippines)</t>
  </si>
  <si>
    <t>374_14</t>
  </si>
  <si>
    <t>Kennedy, 1987</t>
  </si>
  <si>
    <t>Cebu  (c Philippines)</t>
  </si>
  <si>
    <t>374_15</t>
  </si>
  <si>
    <t>Mindoro (wc Philippines)</t>
  </si>
  <si>
    <t>376_1</t>
  </si>
  <si>
    <t>rufopunctatus</t>
  </si>
  <si>
    <t>Hargitt, 1889</t>
  </si>
  <si>
    <t>ec Philippines</t>
  </si>
  <si>
    <t>376_2</t>
  </si>
  <si>
    <t>montanus</t>
  </si>
  <si>
    <t>Ogilvie-Grant, 1905</t>
  </si>
  <si>
    <t>376_3</t>
  </si>
  <si>
    <t>lucidus</t>
  </si>
  <si>
    <t>Zamboanga Pen.  (w Mindanao, s Philippines) and Basilan I.  (s Philippines)</t>
  </si>
  <si>
    <t>(Wagler, 1827)</t>
  </si>
  <si>
    <t>Walden &amp; Layard, EL, 1872</t>
  </si>
  <si>
    <t>(Valenciennes, 1826)</t>
  </si>
  <si>
    <t>380_1</t>
  </si>
  <si>
    <t>funebris</t>
  </si>
  <si>
    <t>380_2</t>
  </si>
  <si>
    <t>fuliginosus</t>
  </si>
  <si>
    <t>ec and s Philippines</t>
  </si>
  <si>
    <t>Southern Sooty Woodpecker</t>
  </si>
  <si>
    <t>Mulleripicus fuliginosus</t>
  </si>
  <si>
    <t>See Collar 2011b, Clements 6.7; cf HBW/IBC, H&amp;M4 for proposed split of Southern Sooty Woodpecker. Await supplements to numerical index</t>
  </si>
  <si>
    <t>381_1</t>
  </si>
  <si>
    <t>mohun</t>
  </si>
  <si>
    <t>Ripley, 1950</t>
  </si>
  <si>
    <t>n India, Nepal and ne India</t>
  </si>
  <si>
    <t>381_2</t>
  </si>
  <si>
    <t>Hesse, 1911</t>
  </si>
  <si>
    <t>ne India to sw China, Indochina and n Malay Pen.</t>
  </si>
  <si>
    <t>381_3</t>
  </si>
  <si>
    <t>pulverulentus</t>
  </si>
  <si>
    <t>s Malay Pen., Borneo, Sumatra, Java, Balabac and Palawan Is.</t>
  </si>
  <si>
    <t>382_1</t>
  </si>
  <si>
    <t>erythrogenys</t>
  </si>
  <si>
    <t>382_2</t>
  </si>
  <si>
    <t>383_1</t>
  </si>
  <si>
    <t>tinnunculus</t>
  </si>
  <si>
    <t>Europe and nw Africa to Siberia</t>
  </si>
  <si>
    <t>to e Africa and s Asia</t>
  </si>
  <si>
    <t>383_2</t>
  </si>
  <si>
    <t>perpallidus</t>
  </si>
  <si>
    <t>(Clark, AH, 1907)</t>
  </si>
  <si>
    <t>ne Siberia to ne China and Korea</t>
  </si>
  <si>
    <t>383_3</t>
  </si>
  <si>
    <t>interstinctus</t>
  </si>
  <si>
    <t>McClelland, 1840</t>
  </si>
  <si>
    <t>Himalayas to Japan and Indochina</t>
  </si>
  <si>
    <t>e and s Asia, Philippines</t>
  </si>
  <si>
    <t>383_4</t>
  </si>
  <si>
    <t>objurgatus</t>
  </si>
  <si>
    <t>383_5</t>
  </si>
  <si>
    <t>canariensis</t>
  </si>
  <si>
    <t>(Koenig, AF, 1890)</t>
  </si>
  <si>
    <t>Madeira and w Canary Is.</t>
  </si>
  <si>
    <t>383_6</t>
  </si>
  <si>
    <t>dacotiae</t>
  </si>
  <si>
    <t>Hartert, 1913</t>
  </si>
  <si>
    <t>e Canary Is.</t>
  </si>
  <si>
    <t>383_7</t>
  </si>
  <si>
    <t>neglectus</t>
  </si>
  <si>
    <t>Schlegel, 1873</t>
  </si>
  <si>
    <t>n Cape Verde Is.</t>
  </si>
  <si>
    <t>383_8</t>
  </si>
  <si>
    <t>alexandri</t>
  </si>
  <si>
    <t>Bourne, 1955</t>
  </si>
  <si>
    <t>s Cape Verde Is.</t>
  </si>
  <si>
    <t>383_9</t>
  </si>
  <si>
    <t>rupicolaeformis</t>
  </si>
  <si>
    <t>(Brehm, CL, 1855)</t>
  </si>
  <si>
    <t>ne Africa and Arabia</t>
  </si>
  <si>
    <t>383_10</t>
  </si>
  <si>
    <t>Hartert &amp; Neumann, 1932</t>
  </si>
  <si>
    <t>Socotra I., Somalia, ne Kenya</t>
  </si>
  <si>
    <t>383_11</t>
  </si>
  <si>
    <t>rufescens</t>
  </si>
  <si>
    <t>West Africa to Ethiopia south to n Angola and Tanzania</t>
  </si>
  <si>
    <t>384_1</t>
  </si>
  <si>
    <t>moluccensis</t>
  </si>
  <si>
    <t>n and s Moluccas</t>
  </si>
  <si>
    <t>384_2</t>
  </si>
  <si>
    <t>microbalius</t>
  </si>
  <si>
    <t>Java to Lesser Sundas, Sulawesi and Tanimbar Is.</t>
  </si>
  <si>
    <t>Radde, 1863</t>
  </si>
  <si>
    <t>386_1</t>
  </si>
  <si>
    <t>subaesalon</t>
  </si>
  <si>
    <t>Brehm, CL, 1827</t>
  </si>
  <si>
    <t>Iceland</t>
  </si>
  <si>
    <t>w Europe</t>
  </si>
  <si>
    <t>386_2</t>
  </si>
  <si>
    <t>aesalon</t>
  </si>
  <si>
    <t>Tunstall, 1771</t>
  </si>
  <si>
    <t>Europe to nw Siberia</t>
  </si>
  <si>
    <t>to n Africa</t>
  </si>
  <si>
    <t>Eurasian Merlins and North American Merlins are distinctive and reciprocally monophyletic (Johnsen et al. 2010, Fuchs et al. 2015). Broad sampling of subspecies desired.</t>
  </si>
  <si>
    <t>386_3</t>
  </si>
  <si>
    <t>insignis</t>
  </si>
  <si>
    <t>ne Africa, s and e Asia</t>
  </si>
  <si>
    <t>386_4</t>
  </si>
  <si>
    <t>(Stegmann, 1929)</t>
  </si>
  <si>
    <t>ne Asia</t>
  </si>
  <si>
    <t>Japan and e China</t>
  </si>
  <si>
    <t>386_5</t>
  </si>
  <si>
    <t>(Sushkin, 1900)</t>
  </si>
  <si>
    <t>steppes of wc Asia</t>
  </si>
  <si>
    <t>386_6</t>
  </si>
  <si>
    <t>lymani</t>
  </si>
  <si>
    <t>Bangs, 1913</t>
  </si>
  <si>
    <t>mountains of ec Asia</t>
  </si>
  <si>
    <t>386_7</t>
  </si>
  <si>
    <t>columbarius</t>
  </si>
  <si>
    <t>Alaska to Newfoundland to n USA</t>
  </si>
  <si>
    <t>to n South America</t>
  </si>
  <si>
    <t>386_8</t>
  </si>
  <si>
    <t>suckleyi</t>
  </si>
  <si>
    <t>Ridgway, 1874</t>
  </si>
  <si>
    <t>se Alaska to n Washington (USA)</t>
  </si>
  <si>
    <t>386_9</t>
  </si>
  <si>
    <t>richardsonii</t>
  </si>
  <si>
    <t>Ridgway, 1871</t>
  </si>
  <si>
    <t>c and sc Canada to nc USA</t>
  </si>
  <si>
    <t>to n Mexico</t>
  </si>
  <si>
    <t>387_1</t>
  </si>
  <si>
    <t>subbuteo</t>
  </si>
  <si>
    <t>Europe to Japan to n India and c China</t>
  </si>
  <si>
    <t>387_2</t>
  </si>
  <si>
    <t>streichi</t>
  </si>
  <si>
    <t>Hartert &amp; Neumann, 1907</t>
  </si>
  <si>
    <t>Myanmar to s China and n Indochina</t>
  </si>
  <si>
    <t>389_1</t>
  </si>
  <si>
    <t>tundrius</t>
  </si>
  <si>
    <t>White, CM, 1968</t>
  </si>
  <si>
    <t>Alaska to Greenland</t>
  </si>
  <si>
    <t>389_2</t>
  </si>
  <si>
    <t>pealei</t>
  </si>
  <si>
    <t>Aleutians to s Alaska and sw Canada</t>
  </si>
  <si>
    <t>389_3</t>
  </si>
  <si>
    <t>anatum</t>
  </si>
  <si>
    <t>Bonaparte, 1838</t>
  </si>
  <si>
    <t>North America (south of tundra) to n Mexico</t>
  </si>
  <si>
    <t>389_4</t>
  </si>
  <si>
    <t>cassini</t>
  </si>
  <si>
    <t>Sharpe, 1873</t>
  </si>
  <si>
    <t>w South America (Colombia to Tierra del Fuego), Falkland Is.</t>
  </si>
  <si>
    <t>389_5</t>
  </si>
  <si>
    <t>peregrinus</t>
  </si>
  <si>
    <t>n Eurasia (s of tundra)</t>
  </si>
  <si>
    <t>389_6</t>
  </si>
  <si>
    <t>calidus</t>
  </si>
  <si>
    <t>Lapland to ne Siberia</t>
  </si>
  <si>
    <t>389_7</t>
  </si>
  <si>
    <t>japonensis</t>
  </si>
  <si>
    <t>ne Siberia to Japan</t>
  </si>
  <si>
    <t>389_8</t>
  </si>
  <si>
    <t>brookei</t>
  </si>
  <si>
    <t>Mediterranean region to Caucasus and n Iran</t>
  </si>
  <si>
    <t>389_9</t>
  </si>
  <si>
    <t>peregrinator</t>
  </si>
  <si>
    <t>Sundevall, 1837</t>
  </si>
  <si>
    <t>Pakistan, India and Sri Lanka to s and e China</t>
  </si>
  <si>
    <t>389_10</t>
  </si>
  <si>
    <t>furuitii</t>
  </si>
  <si>
    <t>Bonin Is.  (Japan)</t>
  </si>
  <si>
    <t>Correct original spelling fruitii to proper furuitii  under ICZN code Article 32.5.1. Supported by internal information.</t>
  </si>
  <si>
    <t>389_11</t>
  </si>
  <si>
    <t>madens</t>
  </si>
  <si>
    <t>Ripley &amp; Watson, 1963</t>
  </si>
  <si>
    <t>389_12</t>
  </si>
  <si>
    <t>Morocco, Mauritania, Africa south of the Sahara</t>
  </si>
  <si>
    <t>389_13</t>
  </si>
  <si>
    <t>radama</t>
  </si>
  <si>
    <t>Hartlaub, 1861</t>
  </si>
  <si>
    <t>Madagascar and the Comoro Is.</t>
  </si>
  <si>
    <t>389_14</t>
  </si>
  <si>
    <t>ernesti</t>
  </si>
  <si>
    <t>Philippines, Indonesia, New Guinea and Bismarck Arch.</t>
  </si>
  <si>
    <t>389_15</t>
  </si>
  <si>
    <t>macropus</t>
  </si>
  <si>
    <t>Swainson, 1838</t>
  </si>
  <si>
    <t>389_16</t>
  </si>
  <si>
    <t>nesiotes</t>
  </si>
  <si>
    <t>Mayr, 1941</t>
  </si>
  <si>
    <t>Solomon Is, Vanuatu, New Caledonia, Fiji</t>
  </si>
  <si>
    <t>Rothschild, 1904</t>
  </si>
  <si>
    <t>391_1</t>
  </si>
  <si>
    <t>malindangensis</t>
  </si>
  <si>
    <t>Mearns, 1909</t>
  </si>
  <si>
    <t>w Mindanao</t>
  </si>
  <si>
    <t>391_2</t>
  </si>
  <si>
    <t>waterstradti</t>
  </si>
  <si>
    <t>se Mindanao</t>
  </si>
  <si>
    <t>Sharpe, 1893</t>
  </si>
  <si>
    <t>397_1</t>
  </si>
  <si>
    <t>Luzon to Leyte and Bohol</t>
  </si>
  <si>
    <t>397_2</t>
  </si>
  <si>
    <t>discurus</t>
  </si>
  <si>
    <t>Mindanao, Basilan and islands in Sulu Arch.</t>
  </si>
  <si>
    <t>398_1</t>
  </si>
  <si>
    <t>megalorynchos</t>
  </si>
  <si>
    <t>Sulawesi and nearby islands to Moluccas and w Papuan islands</t>
  </si>
  <si>
    <t>398_2</t>
  </si>
  <si>
    <t>s Moluccas</t>
  </si>
  <si>
    <t>398_3</t>
  </si>
  <si>
    <t>sumbensis</t>
  </si>
  <si>
    <t>Meyer, AB, 1882</t>
  </si>
  <si>
    <t>Sumba  (e Lesser Sundas)</t>
  </si>
  <si>
    <t>398_4</t>
  </si>
  <si>
    <t>hellmayri</t>
  </si>
  <si>
    <t>Roti, Semau and sw Timor  (e Lesser Sundas)</t>
  </si>
  <si>
    <t>398_5</t>
  </si>
  <si>
    <t>subaffinis</t>
  </si>
  <si>
    <t>Sclater, PL, 1883</t>
  </si>
  <si>
    <t>Babar and Tanimbar Is.</t>
  </si>
  <si>
    <t>399_1</t>
  </si>
  <si>
    <t>lucionensis</t>
  </si>
  <si>
    <t>Luzon and Mindoro (n Philippines)</t>
  </si>
  <si>
    <t>399_2</t>
  </si>
  <si>
    <t>hybridus</t>
  </si>
  <si>
    <t>Salomonsen, 1952</t>
  </si>
  <si>
    <t>Polillo  (n Philippines)</t>
  </si>
  <si>
    <t>399_3</t>
  </si>
  <si>
    <t>c Philippines to ne Borneo Is.</t>
  </si>
  <si>
    <t>Includes horrisonus. Forshaw, 2006, Juniper &amp; Parr, 1998</t>
  </si>
  <si>
    <t>399_4</t>
  </si>
  <si>
    <t>Meyer, AB &amp; Wiglesworth, 1895</t>
  </si>
  <si>
    <t>Talaud Is.  (n Moluccas)</t>
  </si>
  <si>
    <t>400_1</t>
  </si>
  <si>
    <t>duponti</t>
  </si>
  <si>
    <t>400_2</t>
  </si>
  <si>
    <t>freeri</t>
  </si>
  <si>
    <t>Polillo I.  (n Philippines)</t>
  </si>
  <si>
    <t>400_3</t>
  </si>
  <si>
    <t>Visayan Is. and Mindanao  (Philippines)</t>
  </si>
  <si>
    <t>400_4</t>
  </si>
  <si>
    <t>burbidgii</t>
  </si>
  <si>
    <t>400_5</t>
  </si>
  <si>
    <t>sumatranus</t>
  </si>
  <si>
    <t>Sulawesi and nearby islands</t>
  </si>
  <si>
    <t>401_1</t>
  </si>
  <si>
    <t>krameri</t>
  </si>
  <si>
    <t>s Mauritania and Senegal to s Sudan and w Uganda</t>
  </si>
  <si>
    <t>401_2</t>
  </si>
  <si>
    <t>parvirostris</t>
  </si>
  <si>
    <t>(Souancé, 1856)</t>
  </si>
  <si>
    <t>e Sudan to nw Somalia</t>
  </si>
  <si>
    <t>401_3</t>
  </si>
  <si>
    <t>borealis</t>
  </si>
  <si>
    <t>(Neumann, 1915)</t>
  </si>
  <si>
    <t>nw Pakistan to se China and c Myanmar</t>
  </si>
  <si>
    <t>401_4</t>
  </si>
  <si>
    <t>(Bechstein, 1800)</t>
  </si>
  <si>
    <t>Hartert, 1903</t>
  </si>
  <si>
    <t>403_1</t>
  </si>
  <si>
    <t>lunulatus</t>
  </si>
  <si>
    <t>403_2</t>
  </si>
  <si>
    <t>callainipictus</t>
  </si>
  <si>
    <t>Samar  (c Philippines)</t>
  </si>
  <si>
    <t>403_3</t>
  </si>
  <si>
    <t>Salvadori, 1891</t>
  </si>
  <si>
    <t>Leyte and Panaon  (n Philippines)</t>
  </si>
  <si>
    <t>403_4</t>
  </si>
  <si>
    <t>404_1</t>
  </si>
  <si>
    <t>Luzon and nearby islands</t>
  </si>
  <si>
    <t>404_2</t>
  </si>
  <si>
    <t>404_3</t>
  </si>
  <si>
    <t>bournsi</t>
  </si>
  <si>
    <t>404_4</t>
  </si>
  <si>
    <t>regulus</t>
  </si>
  <si>
    <t>Souancé, 1856</t>
  </si>
  <si>
    <t>Guimaras, Negros, Ticao, Tablas, Masbate, Panay, Romblon</t>
  </si>
  <si>
    <t>404_5</t>
  </si>
  <si>
    <t>chrysonotus</t>
  </si>
  <si>
    <t>Sclater, PL, 1872</t>
  </si>
  <si>
    <t>404_6</t>
  </si>
  <si>
    <t>404_7</t>
  </si>
  <si>
    <t>siquijorensis</t>
  </si>
  <si>
    <t>Siquijor</t>
  </si>
  <si>
    <t>404_8</t>
  </si>
  <si>
    <t>apicalis</t>
  </si>
  <si>
    <t>Mindanao, Dinagat, Siargao,Bazol, Balut</t>
  </si>
  <si>
    <t>404_9</t>
  </si>
  <si>
    <t>dohertyi</t>
  </si>
  <si>
    <t>404_10</t>
  </si>
  <si>
    <t>bonapartei</t>
  </si>
  <si>
    <t>Tello, Degner, Bates, JM &amp; Willard, 2006</t>
  </si>
  <si>
    <t>(Sharpe, 1876)</t>
  </si>
  <si>
    <t>409_1</t>
  </si>
  <si>
    <t>erythrogaster</t>
  </si>
  <si>
    <t>Philippine Is. (except Sulu Is. and Palawan group)</t>
  </si>
  <si>
    <t>409_2</t>
  </si>
  <si>
    <t>propinqua</t>
  </si>
  <si>
    <t>Palawan,  Balabac, Culion Is.  (w Philippines)</t>
  </si>
  <si>
    <t>Includes thompsoni. Irestedt, et al., 2013. Valid ssp? (Collar et al. 2015).</t>
  </si>
  <si>
    <t>409_3</t>
  </si>
  <si>
    <t>yairocho</t>
  </si>
  <si>
    <t>(Hachisuka, 1935)</t>
  </si>
  <si>
    <t>Sulu Is. (sw Philippines)</t>
  </si>
  <si>
    <t>Revive ssp yairocho, formerly synonymized with erythrogaster; Valid ssp? (Collar et al. 2015)</t>
  </si>
  <si>
    <t>409_4</t>
  </si>
  <si>
    <t>inspeculata</t>
  </si>
  <si>
    <t>Talaud Is.  (ne of Sulawesi)</t>
  </si>
  <si>
    <t>Talaud Pitta recognized by Collar et al. (2015) despite paraphyly w respect to yairocho</t>
  </si>
  <si>
    <t>410_1</t>
  </si>
  <si>
    <t>cucullata</t>
  </si>
  <si>
    <t>Hartlaub, 1843</t>
  </si>
  <si>
    <t>n India to s China and Indochina</t>
  </si>
  <si>
    <t>to Sumatra and Java</t>
  </si>
  <si>
    <t>410_2</t>
  </si>
  <si>
    <t>410_3</t>
  </si>
  <si>
    <t>mulleri</t>
  </si>
  <si>
    <t>Malay Pen., Sumatra, Java, Borneo and Sulu Is.</t>
  </si>
  <si>
    <t>410_4</t>
  </si>
  <si>
    <t>bangkana</t>
  </si>
  <si>
    <t>Bangka and Belitung Is.  (e of Sumatra)</t>
  </si>
  <si>
    <t>410_5</t>
  </si>
  <si>
    <t>sordida</t>
  </si>
  <si>
    <t>Philippine Is.  (except Palawan group)</t>
  </si>
  <si>
    <t>410_6</t>
  </si>
  <si>
    <t>Parkes, 1960</t>
  </si>
  <si>
    <t>Palawan group  (w Philippines)</t>
  </si>
  <si>
    <t>410_7</t>
  </si>
  <si>
    <t>sanghirana</t>
  </si>
  <si>
    <t>Sangihe Is.  (ne of Sulawesi)</t>
  </si>
  <si>
    <t>410_8</t>
  </si>
  <si>
    <t>forsteni</t>
  </si>
  <si>
    <t>n Sulawesi</t>
  </si>
  <si>
    <t>410_9</t>
  </si>
  <si>
    <t>goodfellowi</t>
  </si>
  <si>
    <t>White, CMN, 1937</t>
  </si>
  <si>
    <t>Aru Is.  (off s New Guinea)</t>
  </si>
  <si>
    <t>410_10</t>
  </si>
  <si>
    <t>mefoorana</t>
  </si>
  <si>
    <t>Schlegel, 1874</t>
  </si>
  <si>
    <t>Numfor I.  (off nw New Guinea)</t>
  </si>
  <si>
    <t>410_11</t>
  </si>
  <si>
    <t>rosenbergii</t>
  </si>
  <si>
    <t>Schlegel, 1871</t>
  </si>
  <si>
    <t>Biak I.  (off nw New Guinea)</t>
  </si>
  <si>
    <t>410_12</t>
  </si>
  <si>
    <t>Müller, S &amp; Schlegel, 1845</t>
  </si>
  <si>
    <t>w Papuan islands, New Guinea and Karkar I. (off n New Guinea)</t>
  </si>
  <si>
    <t>411_1</t>
  </si>
  <si>
    <t>coelestis</t>
  </si>
  <si>
    <t>Samar, Leyte and Bohol  (ec Philippines)</t>
  </si>
  <si>
    <t>411_2</t>
  </si>
  <si>
    <t>steerii</t>
  </si>
  <si>
    <t>Temminck &amp; Schlegel, 1850</t>
  </si>
  <si>
    <t>Wallace, 1864</t>
  </si>
  <si>
    <t>414_1</t>
  </si>
  <si>
    <t>sulphurea</t>
  </si>
  <si>
    <t>Malay Pen., s Vietnam and the Greater and Lesser Sundas</t>
  </si>
  <si>
    <t>414_2</t>
  </si>
  <si>
    <t>muscicapa</t>
  </si>
  <si>
    <t>Enggano I,  (off sw Sumatra)</t>
  </si>
  <si>
    <t>414_3</t>
  </si>
  <si>
    <t>simplex</t>
  </si>
  <si>
    <t>Cabanis, 1872</t>
  </si>
  <si>
    <t>w, n and c Philippines</t>
  </si>
  <si>
    <t>414_4</t>
  </si>
  <si>
    <t>414_5</t>
  </si>
  <si>
    <t>flaveola</t>
  </si>
  <si>
    <t>Cabanis, 1873</t>
  </si>
  <si>
    <t>Sulawesi, Selayar (s of Sulawesi) and Banggai and Peleng Is (e of Sulawesi)</t>
  </si>
  <si>
    <t>415_1</t>
  </si>
  <si>
    <t>Finsch, 1876</t>
  </si>
  <si>
    <t>Palau Is.  (e of the s Philippines)</t>
  </si>
  <si>
    <t>415_2</t>
  </si>
  <si>
    <t>leucorynchus</t>
  </si>
  <si>
    <t>Philippines to Borneo</t>
  </si>
  <si>
    <t>415_3</t>
  </si>
  <si>
    <t>amydrus</t>
  </si>
  <si>
    <t>w Malay Pen., Sumatra, Java, Bali and nearby islands</t>
  </si>
  <si>
    <t>415_4</t>
  </si>
  <si>
    <t>humei</t>
  </si>
  <si>
    <t>Andaman Is. and Coco  Is.  (n of the Andaman Is.)</t>
  </si>
  <si>
    <t>415_5</t>
  </si>
  <si>
    <t>Sulawesi and w and c Lesser Sundas</t>
  </si>
  <si>
    <t>415_6</t>
  </si>
  <si>
    <t>musschenbroeki</t>
  </si>
  <si>
    <t>Tanimbar and Babar Is.  (e Lesser Sundas)</t>
  </si>
  <si>
    <t>415_7</t>
  </si>
  <si>
    <t>leucopygialis</t>
  </si>
  <si>
    <t>Moluccas, New Guinea, Aru Is. (sw of New Guinea and n and e Australia</t>
  </si>
  <si>
    <t>415_8</t>
  </si>
  <si>
    <t>melaleucus</t>
  </si>
  <si>
    <t>New Caledonia and Loyalty Is.</t>
  </si>
  <si>
    <t>415_9</t>
  </si>
  <si>
    <t>tenuis</t>
  </si>
  <si>
    <t>Vanuatu and Banks Is.</t>
  </si>
  <si>
    <t>416_1</t>
  </si>
  <si>
    <t>multicolor</t>
  </si>
  <si>
    <t>416_2</t>
  </si>
  <si>
    <t>deignani</t>
  </si>
  <si>
    <t>Hall, BP, 1957</t>
  </si>
  <si>
    <t>s and e India, n and c Myanmar</t>
  </si>
  <si>
    <t>416_3</t>
  </si>
  <si>
    <t>Baker, ECS, 1922</t>
  </si>
  <si>
    <t>c peninsular India</t>
  </si>
  <si>
    <t>416_4</t>
  </si>
  <si>
    <t>tiphia</t>
  </si>
  <si>
    <t>n India to w Myanmar</t>
  </si>
  <si>
    <t>416_5</t>
  </si>
  <si>
    <t>Koelz, 1939</t>
  </si>
  <si>
    <t>nw Himalayas</t>
  </si>
  <si>
    <t>416_6</t>
  </si>
  <si>
    <t>philipi</t>
  </si>
  <si>
    <t>Oustalet, 1886</t>
  </si>
  <si>
    <t>sc China, e Myanmar, n Thailand and n and c Indochina</t>
  </si>
  <si>
    <t>416_7</t>
  </si>
  <si>
    <t>cambodiana</t>
  </si>
  <si>
    <t>se Thailand, Cambodia and s Vietnam</t>
  </si>
  <si>
    <t>416_8</t>
  </si>
  <si>
    <t>horizoptera</t>
  </si>
  <si>
    <t>se Myanmar and sw Thailand, Malay Pen., Sumatra, and nearby islands</t>
  </si>
  <si>
    <t>416_9</t>
  </si>
  <si>
    <t>scapularis</t>
  </si>
  <si>
    <t>416_10</t>
  </si>
  <si>
    <t>c and s Borneo</t>
  </si>
  <si>
    <t>416_11</t>
  </si>
  <si>
    <t>aequanimis</t>
  </si>
  <si>
    <t>Bangs, 1922</t>
  </si>
  <si>
    <t>n Borneo and w Philippines</t>
  </si>
  <si>
    <t>417_1</t>
  </si>
  <si>
    <t>igneus</t>
  </si>
  <si>
    <t>Myanmar to Sumatra and Borneo, Palawan</t>
  </si>
  <si>
    <t>417_2</t>
  </si>
  <si>
    <t>trophis</t>
  </si>
  <si>
    <t>418_1</t>
  </si>
  <si>
    <t>siebersi</t>
  </si>
  <si>
    <t>Rensch, 1928</t>
  </si>
  <si>
    <t>418_2</t>
  </si>
  <si>
    <t>exul</t>
  </si>
  <si>
    <t>Lombok  (w Lesser Sundas)</t>
  </si>
  <si>
    <t>418_3</t>
  </si>
  <si>
    <t>Beavan, 1867</t>
  </si>
  <si>
    <t>418_4</t>
  </si>
  <si>
    <t>minythomelas</t>
  </si>
  <si>
    <t>418_5</t>
  </si>
  <si>
    <t>modiglianii</t>
  </si>
  <si>
    <t>Salvadori, 1892</t>
  </si>
  <si>
    <t>418_6</t>
  </si>
  <si>
    <t>speciosus</t>
  </si>
  <si>
    <t>Himalayas to sw China</t>
  </si>
  <si>
    <t>418_7</t>
  </si>
  <si>
    <t>fraterculus</t>
  </si>
  <si>
    <t>ne India, n Myanmar, s China, Hainan and n Indochina</t>
  </si>
  <si>
    <t>418_8</t>
  </si>
  <si>
    <t>fohkiensis</t>
  </si>
  <si>
    <t>418_9</t>
  </si>
  <si>
    <t>semiruber</t>
  </si>
  <si>
    <t>Whistler &amp; Kinnear, 1933</t>
  </si>
  <si>
    <t>ec India, s Myanmar, Thailand and c and s Indochina</t>
  </si>
  <si>
    <t>418_10</t>
  </si>
  <si>
    <t>flammifer</t>
  </si>
  <si>
    <t>se Myanmar, s Thailand and n and c Malay Pen.</t>
  </si>
  <si>
    <t>418_11</t>
  </si>
  <si>
    <t>xanthogaster</t>
  </si>
  <si>
    <t>s Malay Pen., Sumatra and nearby islands</t>
  </si>
  <si>
    <t>418_12</t>
  </si>
  <si>
    <t>insulanus</t>
  </si>
  <si>
    <t>418_13</t>
  </si>
  <si>
    <t>novus</t>
  </si>
  <si>
    <t>Luzon and Negros  (n and c Philippines)</t>
  </si>
  <si>
    <t>418_14</t>
  </si>
  <si>
    <t>Samar, Bohol and Leyte  (ec Philippines)</t>
  </si>
  <si>
    <t>418_15</t>
  </si>
  <si>
    <t>johnstoniae</t>
  </si>
  <si>
    <t>Mt. Apo (se Mindanao, s Philippines)</t>
  </si>
  <si>
    <t>418_16</t>
  </si>
  <si>
    <t>gonzalesi</t>
  </si>
  <si>
    <t>Ripley &amp; Rabor, 1961</t>
  </si>
  <si>
    <t>n and e Mindanao (s Philippines)</t>
  </si>
  <si>
    <t>418_17</t>
  </si>
  <si>
    <t>nigroluteus</t>
  </si>
  <si>
    <t>Parkes, 1981</t>
  </si>
  <si>
    <t>sc Mindanao  (s Philippines)</t>
  </si>
  <si>
    <t>418_18</t>
  </si>
  <si>
    <t>marchesae</t>
  </si>
  <si>
    <t>Jolo  (Sulu Arch.)</t>
  </si>
  <si>
    <t>420_1</t>
  </si>
  <si>
    <t>sumatrensis</t>
  </si>
  <si>
    <t>s Thailand, Malay Pen., Sumatra, Riau Arch., and Borneo and nearby islands.</t>
  </si>
  <si>
    <t>420_2</t>
  </si>
  <si>
    <t>420_3</t>
  </si>
  <si>
    <t>babiensis</t>
  </si>
  <si>
    <t>Babi I.  (off w Sumatra)</t>
  </si>
  <si>
    <t>420_4</t>
  </si>
  <si>
    <t>kannegieteri</t>
  </si>
  <si>
    <t>(Büttikofer, 1896)</t>
  </si>
  <si>
    <t>420_5</t>
  </si>
  <si>
    <t>enganensis</t>
  </si>
  <si>
    <t>420_6</t>
  </si>
  <si>
    <t>bungurensis</t>
  </si>
  <si>
    <t>(Hartert, 1894)</t>
  </si>
  <si>
    <t>Anambas and Natuna Is.  (nw of Borneo)</t>
  </si>
  <si>
    <t>420_7</t>
  </si>
  <si>
    <t>vordermani</t>
  </si>
  <si>
    <t>(Hartert, 1901)</t>
  </si>
  <si>
    <t>Kangean Is.  (Java Sea n of Bali)</t>
  </si>
  <si>
    <t>420_8</t>
  </si>
  <si>
    <t>difficilis</t>
  </si>
  <si>
    <t>w Philippines</t>
  </si>
  <si>
    <t>420_9</t>
  </si>
  <si>
    <t>420_10</t>
  </si>
  <si>
    <t>wc Philippines</t>
  </si>
  <si>
    <t>420_11</t>
  </si>
  <si>
    <t>panayensis</t>
  </si>
  <si>
    <t>Visayan Cuckooshrike</t>
  </si>
  <si>
    <t>Coracina panayensis</t>
  </si>
  <si>
    <t>420_12</t>
  </si>
  <si>
    <t>boholensis</t>
  </si>
  <si>
    <t>420_13</t>
  </si>
  <si>
    <t>(Ogilvie-Grant, 1896)</t>
  </si>
  <si>
    <t>420_14</t>
  </si>
  <si>
    <t>kochii</t>
  </si>
  <si>
    <t>(Kutter, 1882)</t>
  </si>
  <si>
    <t>420_15</t>
  </si>
  <si>
    <t>guillemardi</t>
  </si>
  <si>
    <t>(Salvadori, 1886)</t>
  </si>
  <si>
    <t>Sulu Arch.  (s Philippines)</t>
  </si>
  <si>
    <t>(Ripley, 1952)</t>
  </si>
  <si>
    <t>423_1</t>
  </si>
  <si>
    <t>coerulescens</t>
  </si>
  <si>
    <t>423_2</t>
  </si>
  <si>
    <t>deschauenseei</t>
  </si>
  <si>
    <t>(duPont, 1972)</t>
  </si>
  <si>
    <t>423_3</t>
  </si>
  <si>
    <t>alterum</t>
  </si>
  <si>
    <t>Wardlaw-Ramsay, RG, 1881</t>
  </si>
  <si>
    <t>424_1</t>
  </si>
  <si>
    <t>lecroyae</t>
  </si>
  <si>
    <t>(Parkes, 1971)</t>
  </si>
  <si>
    <t>Luzon (n Philippines)</t>
  </si>
  <si>
    <t>424_2</t>
  </si>
  <si>
    <t>elusum</t>
  </si>
  <si>
    <t>Mindoro  (nc Philippines)</t>
  </si>
  <si>
    <t>424_3</t>
  </si>
  <si>
    <t>ripleyi</t>
  </si>
  <si>
    <t>424_4</t>
  </si>
  <si>
    <t>mindanense</t>
  </si>
  <si>
    <t>424_5</t>
  </si>
  <si>
    <t>Pedersen et al. 2018 propose to split E. everetti based on molecular phylogeny.</t>
  </si>
  <si>
    <t>(Blyth, 1861)</t>
  </si>
  <si>
    <t>425_1</t>
  </si>
  <si>
    <t>melanoleuca</t>
  </si>
  <si>
    <t>425_2</t>
  </si>
  <si>
    <t>Southern Black-and-white Triller</t>
  </si>
  <si>
    <t>Lalage minor</t>
  </si>
  <si>
    <t>(Forster, JR, 1781)</t>
  </si>
  <si>
    <t>426_1</t>
  </si>
  <si>
    <t>Kloss, 1926</t>
  </si>
  <si>
    <t>426_2</t>
  </si>
  <si>
    <t>striga</t>
  </si>
  <si>
    <t>s Thailand, s Malay Pen., Sumatra, Bangka, Belitung and w Java</t>
  </si>
  <si>
    <t>426_3</t>
  </si>
  <si>
    <t>nigra</t>
  </si>
  <si>
    <t>Borneo, nearby islands and the Philippines</t>
  </si>
  <si>
    <t>427_1</t>
  </si>
  <si>
    <t>n Pakistan to ne India, n and w Myanmar and sw China</t>
  </si>
  <si>
    <t>427_2</t>
  </si>
  <si>
    <t>avensis</t>
  </si>
  <si>
    <t>sc China through e Myanmar to n Thailand, n Laos and c Vietnam</t>
  </si>
  <si>
    <t>427_3</t>
  </si>
  <si>
    <t>(Hume, 1877)</t>
  </si>
  <si>
    <t>c and se China, Taiwan</t>
  </si>
  <si>
    <t>427_4</t>
  </si>
  <si>
    <t>saturata</t>
  </si>
  <si>
    <t>ne and c Vietnam, Hainan I.  (off se China)</t>
  </si>
  <si>
    <t>(Blyth, 1847)</t>
  </si>
  <si>
    <t>428_1</t>
  </si>
  <si>
    <t>ne India to Indochina and the Greater Sundas</t>
  </si>
  <si>
    <t>428_2</t>
  </si>
  <si>
    <t>plateni</t>
  </si>
  <si>
    <t>429_1</t>
  </si>
  <si>
    <t>albiventris</t>
  </si>
  <si>
    <t>429_2</t>
  </si>
  <si>
    <t>(Zimmer, JT, 1918)</t>
  </si>
  <si>
    <t>429_3</t>
  </si>
  <si>
    <t>Mindoro  (nw Philippines)</t>
  </si>
  <si>
    <t>430_1</t>
  </si>
  <si>
    <t>homeyeri</t>
  </si>
  <si>
    <t>s and sw Philippines; Sipadan and  small islands off e Borneo</t>
  </si>
  <si>
    <t>430_2</t>
  </si>
  <si>
    <t>Cebu  (sc Philippines)</t>
  </si>
  <si>
    <t>430_3</t>
  </si>
  <si>
    <t>(Walden, 1872)</t>
  </si>
  <si>
    <t>431_1</t>
  </si>
  <si>
    <t>fallax</t>
  </si>
  <si>
    <t>(McGregor, 1904)</t>
  </si>
  <si>
    <t>Calayan I.  (n Philippines)</t>
  </si>
  <si>
    <t>431_2</t>
  </si>
  <si>
    <t>illex</t>
  </si>
  <si>
    <t>Camiguin Norte I.  (n Philippines)</t>
  </si>
  <si>
    <t>431_3</t>
  </si>
  <si>
    <t>431_4</t>
  </si>
  <si>
    <t>Rand &amp; Rabor, 1957</t>
  </si>
  <si>
    <t>Siquijor  (sc Philippines)</t>
  </si>
  <si>
    <t>431_5</t>
  </si>
  <si>
    <t>apoensis</t>
  </si>
  <si>
    <t>(Mearns, 1905)</t>
  </si>
  <si>
    <t>431_6</t>
  </si>
  <si>
    <t>basilanica</t>
  </si>
  <si>
    <t>(Mearns, 1909)</t>
  </si>
  <si>
    <t>Basilan  (sw Philippines)</t>
  </si>
  <si>
    <t>431_7</t>
  </si>
  <si>
    <t>Parkes, 1966</t>
  </si>
  <si>
    <t>Bohol  (sc Philippines)</t>
  </si>
  <si>
    <t>Drapiez, 1828</t>
  </si>
  <si>
    <t>433_1</t>
  </si>
  <si>
    <t>c and e Siberia, n Mongolia</t>
  </si>
  <si>
    <t>433_2</t>
  </si>
  <si>
    <t>Stegmann, 1929</t>
  </si>
  <si>
    <t>e Mongolia, se Russia and ne China</t>
  </si>
  <si>
    <t>Malay Pen. and Sumatra</t>
  </si>
  <si>
    <t>433_3</t>
  </si>
  <si>
    <t>e China, Korea and s Japan</t>
  </si>
  <si>
    <t>se China, the Philippines, Borneo and Sulawesi</t>
  </si>
  <si>
    <t>433_4</t>
  </si>
  <si>
    <t>Latham, 1801</t>
  </si>
  <si>
    <t>Sakhalin Is. (se Russia), n and c Japan</t>
  </si>
  <si>
    <t>se China and e Indochina to the Lesser Sundas</t>
  </si>
  <si>
    <t>434_1</t>
  </si>
  <si>
    <t>erythronotus</t>
  </si>
  <si>
    <t>s Kazakhstan to ne Iran, Afghanistan, Pakistan and nc India</t>
  </si>
  <si>
    <t>434_2</t>
  </si>
  <si>
    <t>caniceps</t>
  </si>
  <si>
    <t>w, c and s India, Sri Lanka</t>
  </si>
  <si>
    <t>434_3</t>
  </si>
  <si>
    <t>tricolor</t>
  </si>
  <si>
    <t>Hodgson, 1837</t>
  </si>
  <si>
    <t>Nepal and e India through Myanmar and s China to n Laos and n Thailand</t>
  </si>
  <si>
    <t>434_4</t>
  </si>
  <si>
    <t>schach</t>
  </si>
  <si>
    <t>c and se China to n Vietnam</t>
  </si>
  <si>
    <t>434_5</t>
  </si>
  <si>
    <t>longicaudatus</t>
  </si>
  <si>
    <t>Ogilvie-Grant, 1902</t>
  </si>
  <si>
    <t>c and se Thailand, s Laos</t>
  </si>
  <si>
    <t>434_6</t>
  </si>
  <si>
    <t>bentet</t>
  </si>
  <si>
    <t>Malay Pen. to the Lesser Sundas and e Borneo</t>
  </si>
  <si>
    <t>434_7</t>
  </si>
  <si>
    <t>nasutus</t>
  </si>
  <si>
    <t>Philippines  (except Sulu Arch.)</t>
  </si>
  <si>
    <t>434_8</t>
  </si>
  <si>
    <t>434_9</t>
  </si>
  <si>
    <t>stresemanni</t>
  </si>
  <si>
    <t>Mertens, 1923</t>
  </si>
  <si>
    <t>e New Guinea</t>
  </si>
  <si>
    <t>Ogilvie-Grant, 1894</t>
  </si>
  <si>
    <t>435_1</t>
  </si>
  <si>
    <t>435_2</t>
  </si>
  <si>
    <t>tertius</t>
  </si>
  <si>
    <t>n Mindoro  (nc Philippines)</t>
  </si>
  <si>
    <t>435_3</t>
  </si>
  <si>
    <t>hachisuka</t>
  </si>
  <si>
    <t>Ripley, 1949</t>
  </si>
  <si>
    <t>436_1</t>
  </si>
  <si>
    <t>xanthonotus</t>
  </si>
  <si>
    <t>Malay Pen., Sumatra, Java and sw Borneo</t>
  </si>
  <si>
    <t>436_2</t>
  </si>
  <si>
    <t>mentawi</t>
  </si>
  <si>
    <t>w Sumatran islands</t>
  </si>
  <si>
    <t>436_3</t>
  </si>
  <si>
    <t>consobrinus</t>
  </si>
  <si>
    <t>Wardlaw-Ramsay, RG, 1880</t>
  </si>
  <si>
    <t>n,c,e Borneo and offlying islets</t>
  </si>
  <si>
    <t>436_4</t>
  </si>
  <si>
    <t>persuasus</t>
  </si>
  <si>
    <t>sw Philippines</t>
  </si>
  <si>
    <t>437_1</t>
  </si>
  <si>
    <t>Samar, Leyte, Bohol and e Mindanao</t>
  </si>
  <si>
    <t>437_2</t>
  </si>
  <si>
    <t>437_3</t>
  </si>
  <si>
    <t>Masbate and Negros</t>
  </si>
  <si>
    <t>437_4</t>
  </si>
  <si>
    <t>Basilan and w Mindanao</t>
  </si>
  <si>
    <t>437_5</t>
  </si>
  <si>
    <t>cinereogenys</t>
  </si>
  <si>
    <t>440_1</t>
  </si>
  <si>
    <t>diffusus</t>
  </si>
  <si>
    <t>440_2</t>
  </si>
  <si>
    <t>440_3</t>
  </si>
  <si>
    <t>macrourus</t>
  </si>
  <si>
    <t>440_4</t>
  </si>
  <si>
    <t>Vieillot, 1817</t>
  </si>
  <si>
    <t>Malay Pen., Sumatra, Java, Bali and Borneo</t>
  </si>
  <si>
    <t>440_5</t>
  </si>
  <si>
    <t>mundus</t>
  </si>
  <si>
    <t>Simeulue and Nias Is.  (off w Sumatra)</t>
  </si>
  <si>
    <t>440_6</t>
  </si>
  <si>
    <t>Sipura I.  (off w Sumatra)</t>
  </si>
  <si>
    <t>440_7</t>
  </si>
  <si>
    <t>Siberut and Pagi Is.  (off w Sumatra)</t>
  </si>
  <si>
    <t>440_8</t>
  </si>
  <si>
    <t>lamprochryseus</t>
  </si>
  <si>
    <t>Masalembu Is.  (Java Sea)</t>
  </si>
  <si>
    <t>440_9</t>
  </si>
  <si>
    <t>Sapudi, Raas and Kangean Is.  (ne of Java)</t>
  </si>
  <si>
    <t>440_10</t>
  </si>
  <si>
    <t>melanisticus</t>
  </si>
  <si>
    <t>Meyer, AB &amp; Wiglesworth, 1894</t>
  </si>
  <si>
    <t>Talaud Is.  (s of the Philippines)</t>
  </si>
  <si>
    <t>440_11</t>
  </si>
  <si>
    <t>sangirensis</t>
  </si>
  <si>
    <t>Meyer, AB &amp; Wiglesworth, 1898</t>
  </si>
  <si>
    <t>Sangihe and Tabukan Is. (off ne Sulawesi)</t>
  </si>
  <si>
    <t>440_12</t>
  </si>
  <si>
    <t>Siau, Tahulandang, Ruang, Biaro and Mayu Is.  (off ne Sulawesi)</t>
  </si>
  <si>
    <t>440_13</t>
  </si>
  <si>
    <t>440_14</t>
  </si>
  <si>
    <t>Banggai and Sula Is.  (e of Sulawesi)</t>
  </si>
  <si>
    <t>440_15</t>
  </si>
  <si>
    <t>Peleng I.  (off e Sulawesi)</t>
  </si>
  <si>
    <t>Add: Walther &amp; Jones, 2008</t>
  </si>
  <si>
    <t>440_16</t>
  </si>
  <si>
    <t>boneratensis</t>
  </si>
  <si>
    <t>Meyer, AB &amp; Wiglesworth, 1896</t>
  </si>
  <si>
    <t>islands of the Flores Sea</t>
  </si>
  <si>
    <t>440_17</t>
  </si>
  <si>
    <t>broderipi</t>
  </si>
  <si>
    <t>440_18</t>
  </si>
  <si>
    <t>Palawan, Luzon, Mindoro and satellite islands (w, n Philippines)</t>
  </si>
  <si>
    <t>440_19</t>
  </si>
  <si>
    <t>yamamurae</t>
  </si>
  <si>
    <t>Kuroda Sr, 1927</t>
  </si>
  <si>
    <t>Visayan Is., Mindanao and Basilan (c, s Philippines)</t>
  </si>
  <si>
    <t>440_20</t>
  </si>
  <si>
    <t>441_1</t>
  </si>
  <si>
    <t>albirictus</t>
  </si>
  <si>
    <t>se Iran and e Afghanistan to n India, se Tibet and nw Myanmar</t>
  </si>
  <si>
    <t>441_2</t>
  </si>
  <si>
    <t>macrocercus</t>
  </si>
  <si>
    <t>se Pakistan, c and s India</t>
  </si>
  <si>
    <t>441_3</t>
  </si>
  <si>
    <t>Blyth, 1850</t>
  </si>
  <si>
    <t>441_4</t>
  </si>
  <si>
    <t>cathoecus</t>
  </si>
  <si>
    <t>c, e and s China to e Myanmar, n Thailand and n Indochina</t>
  </si>
  <si>
    <t>441_5</t>
  </si>
  <si>
    <t>Kloss, 1921</t>
  </si>
  <si>
    <t>s Myanmar to a Indochina</t>
  </si>
  <si>
    <t>441_6</t>
  </si>
  <si>
    <t>Baker, ECS, 1918</t>
  </si>
  <si>
    <t>441_7</t>
  </si>
  <si>
    <t>javanus</t>
  </si>
  <si>
    <t>442_1</t>
  </si>
  <si>
    <t>leucogenis</t>
  </si>
  <si>
    <t>(Walden, 1870)</t>
  </si>
  <si>
    <t>c, n and e China</t>
  </si>
  <si>
    <t>to Malay Pen. and Cambodia</t>
  </si>
  <si>
    <t>442_2</t>
  </si>
  <si>
    <t>salangensis</t>
  </si>
  <si>
    <t>Reichenow, 1890</t>
  </si>
  <si>
    <t>to Malay Pen. and s Indochina</t>
  </si>
  <si>
    <t>442_3</t>
  </si>
  <si>
    <t>e Afghanistan to c Himalayas</t>
  </si>
  <si>
    <t>to s India and Sri Lanka</t>
  </si>
  <si>
    <t>442_4</t>
  </si>
  <si>
    <t>hopwoodi</t>
  </si>
  <si>
    <t>e Himalayas through s China and n Myanmar to ne Indochina</t>
  </si>
  <si>
    <t>to s Indochina</t>
  </si>
  <si>
    <t>442_5</t>
  </si>
  <si>
    <t>innexus</t>
  </si>
  <si>
    <t>442_6</t>
  </si>
  <si>
    <t>mouhoti</t>
  </si>
  <si>
    <t>sw and c Myanmar to c Indochina</t>
  </si>
  <si>
    <t>to s Burma, s Thailand and Cambodia</t>
  </si>
  <si>
    <t>442_7</t>
  </si>
  <si>
    <t>bondi</t>
  </si>
  <si>
    <t>442_8</t>
  </si>
  <si>
    <t>Oates, 1889</t>
  </si>
  <si>
    <t>s and se Myanmar and the Malay Pen.</t>
  </si>
  <si>
    <t>442_9</t>
  </si>
  <si>
    <t>batakensis</t>
  </si>
  <si>
    <t>(Robinson &amp; Kloss, 1919)</t>
  </si>
  <si>
    <t>n Sumatra</t>
  </si>
  <si>
    <t>442_10</t>
  </si>
  <si>
    <t>phaedrus</t>
  </si>
  <si>
    <t>(Reichenow, 1904)</t>
  </si>
  <si>
    <t>s Sumatra</t>
  </si>
  <si>
    <t>442_11</t>
  </si>
  <si>
    <t>periophthalmicus</t>
  </si>
  <si>
    <t>(Salvadori, 1894)</t>
  </si>
  <si>
    <t>Sipura and Pagai Is.  (off w Sumatra)</t>
  </si>
  <si>
    <t>442_12</t>
  </si>
  <si>
    <t>celaenus</t>
  </si>
  <si>
    <t>442_13</t>
  </si>
  <si>
    <t>siberu</t>
  </si>
  <si>
    <t>Siberut I.  (off w Sumatra)</t>
  </si>
  <si>
    <t>442_14</t>
  </si>
  <si>
    <t>stigmatops</t>
  </si>
  <si>
    <t>442_15</t>
  </si>
  <si>
    <t>leucophaeus</t>
  </si>
  <si>
    <t>Java, Bali, Lombok and the sw Philippines</t>
  </si>
  <si>
    <t>444_1</t>
  </si>
  <si>
    <t>abraensis</t>
  </si>
  <si>
    <t>Vaurie, 1947</t>
  </si>
  <si>
    <t>444_2</t>
  </si>
  <si>
    <t>balicassius</t>
  </si>
  <si>
    <t>444_3</t>
  </si>
  <si>
    <t>mirabilis</t>
  </si>
  <si>
    <t>445_1</t>
  </si>
  <si>
    <t>(Cabanis, 1851)</t>
  </si>
  <si>
    <t>c and s China to n Myanmar and n Indochina</t>
  </si>
  <si>
    <t>445_2</t>
  </si>
  <si>
    <t>hottentottus</t>
  </si>
  <si>
    <t>India through c Myanmar to s Indochina</t>
  </si>
  <si>
    <t>445_3</t>
  </si>
  <si>
    <t>faberi</t>
  </si>
  <si>
    <t>Hoogerwerf, 1962</t>
  </si>
  <si>
    <t>w Java (Panaitan I. and islands in Jakarta Bay)</t>
  </si>
  <si>
    <t>HBW 14, p. 213</t>
  </si>
  <si>
    <t>445_4</t>
  </si>
  <si>
    <t>jentincki</t>
  </si>
  <si>
    <t>(Vorderman, 1893)</t>
  </si>
  <si>
    <t>e Java, Bali and islands of the Java Sea</t>
  </si>
  <si>
    <t>445_5</t>
  </si>
  <si>
    <t>445_6</t>
  </si>
  <si>
    <t>445_7</t>
  </si>
  <si>
    <t>445_8</t>
  </si>
  <si>
    <t>Short-tailed Drongo</t>
  </si>
  <si>
    <t>Dicrurus striatus</t>
  </si>
  <si>
    <t>445_9</t>
  </si>
  <si>
    <t>(McGregor, 1903)</t>
  </si>
  <si>
    <t>445_10</t>
  </si>
  <si>
    <t>Hartert, 1902</t>
  </si>
  <si>
    <t>445_11</t>
  </si>
  <si>
    <t>(Salvadori, 1890)</t>
  </si>
  <si>
    <t>Obi I.  (c Moluccas)</t>
  </si>
  <si>
    <t>445_12</t>
  </si>
  <si>
    <t>banggaiensis</t>
  </si>
  <si>
    <t>Vaurie, 1952</t>
  </si>
  <si>
    <t>Banggai Is. (off e Sulawesi)</t>
  </si>
  <si>
    <t>445_13</t>
  </si>
  <si>
    <t>Sula Is.</t>
  </si>
  <si>
    <t>445_14</t>
  </si>
  <si>
    <t>leucops</t>
  </si>
  <si>
    <t>447_1</t>
  </si>
  <si>
    <t>apo</t>
  </si>
  <si>
    <t>Mindanao except w</t>
  </si>
  <si>
    <t>447_2</t>
  </si>
  <si>
    <t>superciliaris</t>
  </si>
  <si>
    <t>449_1</t>
  </si>
  <si>
    <t>pinicola</t>
  </si>
  <si>
    <t>Parkes, 1958</t>
  </si>
  <si>
    <t>nw Luzon</t>
  </si>
  <si>
    <t>449_2</t>
  </si>
  <si>
    <t>cyaniceps</t>
  </si>
  <si>
    <t>e, c and s Luzon and Catanduanes (Philippines)</t>
  </si>
  <si>
    <t>453_1</t>
  </si>
  <si>
    <t>hutchinsoni</t>
  </si>
  <si>
    <t>n, w and e Mindanao</t>
  </si>
  <si>
    <t>453_2</t>
  </si>
  <si>
    <t>nigrocinnamomea</t>
  </si>
  <si>
    <t>c and s Mindanao</t>
  </si>
  <si>
    <t>454_1</t>
  </si>
  <si>
    <t>styani</t>
  </si>
  <si>
    <t>(Hartlaub, 1899)</t>
  </si>
  <si>
    <t>India and Nepal to se China and Vietnam</t>
  </si>
  <si>
    <t>454_2</t>
  </si>
  <si>
    <t>454_3</t>
  </si>
  <si>
    <t>454_4</t>
  </si>
  <si>
    <t>tytleri</t>
  </si>
  <si>
    <t>(Beavan, 1867)</t>
  </si>
  <si>
    <t>454_5</t>
  </si>
  <si>
    <t>idiochroa</t>
  </si>
  <si>
    <t>Oberholser, 1911</t>
  </si>
  <si>
    <t>Car Nicobar  (n Nicobar I.)</t>
  </si>
  <si>
    <t>454_6</t>
  </si>
  <si>
    <t>Bianchi, 1907</t>
  </si>
  <si>
    <t>s Nicobar Is.</t>
  </si>
  <si>
    <t>454_7</t>
  </si>
  <si>
    <t>montana</t>
  </si>
  <si>
    <t>Riley, 1929</t>
  </si>
  <si>
    <t>n and c Thailand</t>
  </si>
  <si>
    <t>454_8</t>
  </si>
  <si>
    <t>galerita</t>
  </si>
  <si>
    <t>(Deignan, 1956)</t>
  </si>
  <si>
    <t>sw and se Thailand</t>
  </si>
  <si>
    <t>454_9</t>
  </si>
  <si>
    <t>forrestia</t>
  </si>
  <si>
    <t>Mergui Arch.  (off w Myanmar)</t>
  </si>
  <si>
    <t>454_10</t>
  </si>
  <si>
    <t>prophata</t>
  </si>
  <si>
    <t>Malay Pen., Sumatra and Borneo</t>
  </si>
  <si>
    <t>454_11</t>
  </si>
  <si>
    <t>454_12</t>
  </si>
  <si>
    <t>penidae</t>
  </si>
  <si>
    <t>Meise, 1942</t>
  </si>
  <si>
    <t>Penida I.  (near Bali in the Lesser Sundas)</t>
  </si>
  <si>
    <t>454_13</t>
  </si>
  <si>
    <t>karimatensis</t>
  </si>
  <si>
    <t>Chasen &amp; Kloss, 1932</t>
  </si>
  <si>
    <t>Karimata I.  (off w Borneo)</t>
  </si>
  <si>
    <t>454_14</t>
  </si>
  <si>
    <t>opisthocyanea</t>
  </si>
  <si>
    <t>Anamba Is.  (in the South China Sea)</t>
  </si>
  <si>
    <t>454_15</t>
  </si>
  <si>
    <t>gigantoptera</t>
  </si>
  <si>
    <t>Bunguran  (Natuna Is., South China Sea)</t>
  </si>
  <si>
    <t>454_16</t>
  </si>
  <si>
    <t>454_17</t>
  </si>
  <si>
    <t>leucophila</t>
  </si>
  <si>
    <t>454_18</t>
  </si>
  <si>
    <t>454_19</t>
  </si>
  <si>
    <t>Reusam and Babi Is.  (off nw Sumatra)</t>
  </si>
  <si>
    <t>454_20</t>
  </si>
  <si>
    <t>symmixta</t>
  </si>
  <si>
    <t>w and c Lesser Sundas</t>
  </si>
  <si>
    <t>454_21</t>
  </si>
  <si>
    <t>azurea</t>
  </si>
  <si>
    <t>Philippines  (except Camiguin Sur I.)</t>
  </si>
  <si>
    <t>454_22</t>
  </si>
  <si>
    <t>aeria</t>
  </si>
  <si>
    <t>Bangs &amp; Peters, JL, 1927</t>
  </si>
  <si>
    <t>Maratua Is.  (off e Borneo)</t>
  </si>
  <si>
    <t>454_23</t>
  </si>
  <si>
    <t>catarmanensis</t>
  </si>
  <si>
    <t>Rand &amp; Rabor, 1969</t>
  </si>
  <si>
    <t>Camiguin Sur I.  (s Philippines)</t>
  </si>
  <si>
    <t>455_1</t>
  </si>
  <si>
    <t>agusanae</t>
  </si>
  <si>
    <t>Rand, 1970</t>
  </si>
  <si>
    <t>Dinagat, Siargao and e Mindanao  (ec and se Philippines)</t>
  </si>
  <si>
    <t>455_2</t>
  </si>
  <si>
    <t>helenae</t>
  </si>
  <si>
    <t>Luzon, Polillo, Catanduanes  and Samar  (n Philippines)</t>
  </si>
  <si>
    <t>455_3</t>
  </si>
  <si>
    <t>Camiguin Norte  (n Philippines)</t>
  </si>
  <si>
    <t>456_1</t>
  </si>
  <si>
    <t>Luzon, Samar, Dinagat, Mindanao, Basilan and Tawitawi</t>
  </si>
  <si>
    <t>456_2</t>
  </si>
  <si>
    <t>rabori</t>
  </si>
  <si>
    <t>Sibuyan and Negros</t>
  </si>
  <si>
    <t>(Gould, 1852)</t>
  </si>
  <si>
    <t>458_1</t>
  </si>
  <si>
    <t>atrocaudata</t>
  </si>
  <si>
    <t>c and s Korea, Japan and Taiwan</t>
  </si>
  <si>
    <t>to Southeast Asia and Sumatra</t>
  </si>
  <si>
    <t>458_2</t>
  </si>
  <si>
    <t>Bangs, 1901</t>
  </si>
  <si>
    <t>Ryukyu Is.</t>
  </si>
  <si>
    <t>458_3</t>
  </si>
  <si>
    <t>periophthalmica</t>
  </si>
  <si>
    <t>Lanyu I.  (off of Taiwan) and Batan Is.  (n Philippines)</t>
  </si>
  <si>
    <t>to n and w Philippines)</t>
  </si>
  <si>
    <t>460_1</t>
  </si>
  <si>
    <t>unirufa</t>
  </si>
  <si>
    <t>Salomonsen, 1937</t>
  </si>
  <si>
    <t>Northern Rufous Paradise-flycatcher</t>
  </si>
  <si>
    <t>Terpsiphone unirufa</t>
  </si>
  <si>
    <t>See Fabre et al. 2012. mtDNA tree subject to hybridization in this complex. Await more evidence incl vocals.</t>
  </si>
  <si>
    <t>460_2</t>
  </si>
  <si>
    <t>cinnamomea</t>
  </si>
  <si>
    <t>460_3</t>
  </si>
  <si>
    <t>461_1</t>
  </si>
  <si>
    <t>compilator</t>
  </si>
  <si>
    <t>Malay Pen., Sumatra and islands off west coast, Borneo</t>
  </si>
  <si>
    <t>461_2</t>
  </si>
  <si>
    <t>enca</t>
  </si>
  <si>
    <t>Mentawai Is. (off w Sumatra), Java and Bali</t>
  </si>
  <si>
    <t>461_3</t>
  </si>
  <si>
    <t>Stresemann, 1936</t>
  </si>
  <si>
    <t>461_4</t>
  </si>
  <si>
    <t>mangoli</t>
  </si>
  <si>
    <t>Vaurie, 1958</t>
  </si>
  <si>
    <t>Sula Is.  (off e Sulawesi)</t>
  </si>
  <si>
    <t>461_5</t>
  </si>
  <si>
    <t>461_6</t>
  </si>
  <si>
    <t>sierramadrensis</t>
  </si>
  <si>
    <t>Rand &amp; Rabor, 1961</t>
  </si>
  <si>
    <t>461_7</t>
  </si>
  <si>
    <t>Samar and Mindanao  (s Philippines)</t>
  </si>
  <si>
    <t>462_1</t>
  </si>
  <si>
    <t>c and s Sakhalin I., Kuril Is. and Japan</t>
  </si>
  <si>
    <t>462_2</t>
  </si>
  <si>
    <t>connectens</t>
  </si>
  <si>
    <t>Stresemann, 1916</t>
  </si>
  <si>
    <t>Ryukyu Is.  (sw of Japan)</t>
  </si>
  <si>
    <t>462_3</t>
  </si>
  <si>
    <t>osai</t>
  </si>
  <si>
    <t>Ogawa, 1905</t>
  </si>
  <si>
    <t>s Ryukyu Is.  (sw of Japan)</t>
  </si>
  <si>
    <t>462_4</t>
  </si>
  <si>
    <t>mandshuricus</t>
  </si>
  <si>
    <t>Buturlin, 1913</t>
  </si>
  <si>
    <t>e and se Siberia, n Sakhalin I., Korea and ne China</t>
  </si>
  <si>
    <t>462_5</t>
  </si>
  <si>
    <t>colonorum</t>
  </si>
  <si>
    <t>Swinhoe, 1864</t>
  </si>
  <si>
    <t>c and s China, Taiwan, Hainan I.  (off se China) and n Indochina</t>
  </si>
  <si>
    <t>462_6</t>
  </si>
  <si>
    <t>tibetosinensis</t>
  </si>
  <si>
    <t>Kleinschmidt, O &amp; Weigold, 1922</t>
  </si>
  <si>
    <t>Tibet and the e Himalayas to n Myanmar and s China</t>
  </si>
  <si>
    <t>462_7</t>
  </si>
  <si>
    <t>Adams, 1859</t>
  </si>
  <si>
    <t>Afghanistan and Pakistan through the c Himalayas</t>
  </si>
  <si>
    <t>462_8</t>
  </si>
  <si>
    <t>macrorhynchos</t>
  </si>
  <si>
    <t>c and s Malay Pen., Greater and Lesser Sundas</t>
  </si>
  <si>
    <t>462_9</t>
  </si>
  <si>
    <t>philippinus</t>
  </si>
  <si>
    <t>(Bonaparte, 1853)</t>
  </si>
  <si>
    <t>(Siebold, 1824)</t>
  </si>
  <si>
    <t>(Wallace, 1865)</t>
  </si>
  <si>
    <t>464_1</t>
  </si>
  <si>
    <t>nw Luzon  (n Philippines)</t>
  </si>
  <si>
    <t>464_2</t>
  </si>
  <si>
    <t>zimmeri</t>
  </si>
  <si>
    <t>464_3</t>
  </si>
  <si>
    <t>w and c Philippines</t>
  </si>
  <si>
    <t>464_4</t>
  </si>
  <si>
    <t>Deignan, 1947</t>
  </si>
  <si>
    <t>sw Sulu Arch.  (sw Philippines)</t>
  </si>
  <si>
    <t>464_5</t>
  </si>
  <si>
    <t>helianthea</t>
  </si>
  <si>
    <t>Sulawesi, Banggai Is., Sula Is. and Selayar Is.</t>
  </si>
  <si>
    <t>465_1</t>
  </si>
  <si>
    <t>edithae</t>
  </si>
  <si>
    <t>Calayan and Camiguin Norte</t>
  </si>
  <si>
    <t>465_2</t>
  </si>
  <si>
    <t>montigenus</t>
  </si>
  <si>
    <t>465_3</t>
  </si>
  <si>
    <t>gilliardi</t>
  </si>
  <si>
    <t>(Parkes, 1958)</t>
  </si>
  <si>
    <t>Bataan Pen. of wc Luzon</t>
  </si>
  <si>
    <t>465_4</t>
  </si>
  <si>
    <t>ec and s Luzon, Panay, Mindoro and Catanduanes</t>
  </si>
  <si>
    <t>465_5</t>
  </si>
  <si>
    <t>visayanus</t>
  </si>
  <si>
    <t>465_6</t>
  </si>
  <si>
    <t>Ticao, Masbate, Guimaras and Negros</t>
  </si>
  <si>
    <t>465_7</t>
  </si>
  <si>
    <t>Mindanao, Samar and Leyte</t>
  </si>
  <si>
    <t>465_8</t>
  </si>
  <si>
    <t>Mearns, 1916</t>
  </si>
  <si>
    <t>Sulu Arch.  (except Bongao I.)</t>
  </si>
  <si>
    <t>465_9</t>
  </si>
  <si>
    <t>bongaoensis</t>
  </si>
  <si>
    <t>Bongao I.  (w Sulu Arch.)</t>
  </si>
  <si>
    <t>(Salvadori, 1865)</t>
  </si>
  <si>
    <t>467_1</t>
  </si>
  <si>
    <t>snowi</t>
  </si>
  <si>
    <t>ne Luzon</t>
  </si>
  <si>
    <t>467_2</t>
  </si>
  <si>
    <t>semilarvatus</t>
  </si>
  <si>
    <t>467_3</t>
  </si>
  <si>
    <t>nehrkorni</t>
  </si>
  <si>
    <t>468_1</t>
  </si>
  <si>
    <t>williamsoni</t>
  </si>
  <si>
    <t>Baker, ECS, 1915</t>
  </si>
  <si>
    <t>c Myanmar to s China,  c, sc Thailand, Cambodia, c, s Vietnam.</t>
  </si>
  <si>
    <t>Includes beaulieui. Alström, 2004.</t>
  </si>
  <si>
    <t>468_2</t>
  </si>
  <si>
    <t>Wardlaw-Ramsay, RG, 1886</t>
  </si>
  <si>
    <t>468_3</t>
  </si>
  <si>
    <t>468_4</t>
  </si>
  <si>
    <t>Borneo, Java and Bali</t>
  </si>
  <si>
    <t>468_5</t>
  </si>
  <si>
    <t>parva</t>
  </si>
  <si>
    <t>w Lesser Sundas</t>
  </si>
  <si>
    <t>468_6</t>
  </si>
  <si>
    <t>e lesser Sundas</t>
  </si>
  <si>
    <t>468_7</t>
  </si>
  <si>
    <t>aliena</t>
  </si>
  <si>
    <t>Greenway, 1935</t>
  </si>
  <si>
    <t>n, ne and s New Guinea</t>
  </si>
  <si>
    <t>468_8</t>
  </si>
  <si>
    <t>woodwardi</t>
  </si>
  <si>
    <t>Milligan, 1901</t>
  </si>
  <si>
    <t>extreme nw Western Australia</t>
  </si>
  <si>
    <t>468_9</t>
  </si>
  <si>
    <t>halli</t>
  </si>
  <si>
    <t>n Western Australia</t>
  </si>
  <si>
    <t>468_10</t>
  </si>
  <si>
    <t>Mayr &amp; McEvey, 1960</t>
  </si>
  <si>
    <t>ne Western Australia</t>
  </si>
  <si>
    <t>468_11</t>
  </si>
  <si>
    <t>melvillensis</t>
  </si>
  <si>
    <t>Melville and Bathurst Is.  (off n Australia)</t>
  </si>
  <si>
    <t>468_12</t>
  </si>
  <si>
    <t>soderbergi</t>
  </si>
  <si>
    <t>Mathews, 1921</t>
  </si>
  <si>
    <t>n Northern Territory  (n Australia)</t>
  </si>
  <si>
    <t>468_13</t>
  </si>
  <si>
    <t>Ingram, W, 1906</t>
  </si>
  <si>
    <t>c Australia</t>
  </si>
  <si>
    <t>468_14</t>
  </si>
  <si>
    <t>athertonensis</t>
  </si>
  <si>
    <t>Schodde &amp; Mason, IJ, 1999</t>
  </si>
  <si>
    <t>468_15</t>
  </si>
  <si>
    <t>horsfieldii</t>
  </si>
  <si>
    <t>Gould, 1847</t>
  </si>
  <si>
    <t>e and se Australia</t>
  </si>
  <si>
    <t>468_16</t>
  </si>
  <si>
    <t>secunda</t>
  </si>
  <si>
    <t>sc Australia</t>
  </si>
  <si>
    <t>469_1</t>
  </si>
  <si>
    <t>lhamarum</t>
  </si>
  <si>
    <t>Pamir Mts. and w Himalayas</t>
  </si>
  <si>
    <t>469_2</t>
  </si>
  <si>
    <t>inopinata</t>
  </si>
  <si>
    <t>Bianchi, 1905</t>
  </si>
  <si>
    <t>Tibetan Plateau and nw China</t>
  </si>
  <si>
    <t>469_3</t>
  </si>
  <si>
    <t>vernayi</t>
  </si>
  <si>
    <t>e Himalayas and sw China</t>
  </si>
  <si>
    <t>469_4</t>
  </si>
  <si>
    <t>inconspicua</t>
  </si>
  <si>
    <t>s Kazakhstan to e Iran, Pakistan and nw India</t>
  </si>
  <si>
    <t>469_5</t>
  </si>
  <si>
    <t>gulgula</t>
  </si>
  <si>
    <t>nc India to Sri Lanka and e to n Indochina</t>
  </si>
  <si>
    <t>469_6</t>
  </si>
  <si>
    <t>dharmakumarsinhjii</t>
  </si>
  <si>
    <t>Abdulali, 1976</t>
  </si>
  <si>
    <t>wc India</t>
  </si>
  <si>
    <t>469_7</t>
  </si>
  <si>
    <t>Brooks, WE, 1873</t>
  </si>
  <si>
    <t>469_8</t>
  </si>
  <si>
    <t>weigoldi</t>
  </si>
  <si>
    <t>Hartert, 1922</t>
  </si>
  <si>
    <t>c and e China</t>
  </si>
  <si>
    <t>469_9</t>
  </si>
  <si>
    <t>coelivox</t>
  </si>
  <si>
    <t>Swinhoe, 1859</t>
  </si>
  <si>
    <t>469_10</t>
  </si>
  <si>
    <t>sala</t>
  </si>
  <si>
    <t>469_11</t>
  </si>
  <si>
    <t>Hartert, 1923</t>
  </si>
  <si>
    <t>c and se Thailand to s Vietnam</t>
  </si>
  <si>
    <t>469_12</t>
  </si>
  <si>
    <t>wattersi</t>
  </si>
  <si>
    <t>469_13</t>
  </si>
  <si>
    <t>wolfei</t>
  </si>
  <si>
    <t>470_1</t>
  </si>
  <si>
    <t>atriceps</t>
  </si>
  <si>
    <t>ne India and Bangladesh though Southeast Asia to the Greater Sundas and w Philippines</t>
  </si>
  <si>
    <t>470_2</t>
  </si>
  <si>
    <t>hyperemnus</t>
  </si>
  <si>
    <t>470_3</t>
  </si>
  <si>
    <t>(Finsch, 1901)</t>
  </si>
  <si>
    <t>Bawean I.  (n of Java)</t>
  </si>
  <si>
    <t>470_4</t>
  </si>
  <si>
    <t>hodiernus</t>
  </si>
  <si>
    <t>(Bangs &amp; Peters, JL, 1927)</t>
  </si>
  <si>
    <t>Maratua I.  (off e Borneo)</t>
  </si>
  <si>
    <t>(Salvadori, 1870)</t>
  </si>
  <si>
    <t>471_1</t>
  </si>
  <si>
    <t>ilokensis</t>
  </si>
  <si>
    <t>Rand &amp; Rabor, 1967</t>
  </si>
  <si>
    <t>471_2</t>
  </si>
  <si>
    <t>urostictus</t>
  </si>
  <si>
    <t>c and s Luzon, Polillo and Catanduanes</t>
  </si>
  <si>
    <t>471_3</t>
  </si>
  <si>
    <t>atricaudatus</t>
  </si>
  <si>
    <t>Parkes, 1967</t>
  </si>
  <si>
    <t>Samar, Biliran, Leyte, Panaon, Bohol and Negros</t>
  </si>
  <si>
    <t>471_4</t>
  </si>
  <si>
    <t>Dinagat, Siargao, Bucas and Mindanao  (except Zamboanga Pen.)</t>
  </si>
  <si>
    <t>471_5</t>
  </si>
  <si>
    <t>Zamboanga Pen. (w Mindanao) and Basilan</t>
  </si>
  <si>
    <t>472_1</t>
  </si>
  <si>
    <t>jambu</t>
  </si>
  <si>
    <t>s Myanmar to s Indochina</t>
  </si>
  <si>
    <t>472_2</t>
  </si>
  <si>
    <t>analis</t>
  </si>
  <si>
    <t>Malay Pen., Sumatra and nearby islands, Java, Bali, Lombok and Sumbawa</t>
  </si>
  <si>
    <t>472_3</t>
  </si>
  <si>
    <t>gourdini</t>
  </si>
  <si>
    <t>Gray, GR, 1847</t>
  </si>
  <si>
    <t>Borneo, Maratua Is.and Karimunjawa Is.</t>
  </si>
  <si>
    <t>Gray's original spelling yourdini, but gourdini is in prevailing usage. Based on "Turdoïde de gourdin" of Homblon &amp; Jacquinot, 1844 referenced in Gray, 1847. See Mayr &amp; Greenway, 1960 (Peters Checklist, IX)</t>
  </si>
  <si>
    <t>472_4</t>
  </si>
  <si>
    <t>goiavier</t>
  </si>
  <si>
    <t>n and nc Philippines</t>
  </si>
  <si>
    <t>472_5</t>
  </si>
  <si>
    <t>Rand &amp; Rabor, 1960</t>
  </si>
  <si>
    <t>472_6</t>
  </si>
  <si>
    <t>Blyth, 1845</t>
  </si>
  <si>
    <t>473_1</t>
  </si>
  <si>
    <t>porphyreus</t>
  </si>
  <si>
    <t>w Sumatra and islands</t>
  </si>
  <si>
    <t>473_2</t>
  </si>
  <si>
    <t>plumosus</t>
  </si>
  <si>
    <t>Malay Pen., e Sumatra, Java, Bali and w and s Borneo</t>
  </si>
  <si>
    <t>473_3</t>
  </si>
  <si>
    <t>hutzi</t>
  </si>
  <si>
    <t>Stresemann, 1938</t>
  </si>
  <si>
    <t>n and e Borneo</t>
  </si>
  <si>
    <t>473_4</t>
  </si>
  <si>
    <t>hachisukae</t>
  </si>
  <si>
    <t>Deignan, 1952</t>
  </si>
  <si>
    <t>islands off n Borneo and sw Philippines</t>
  </si>
  <si>
    <t>Includes insularis as a synonym. Permanently invalid. Dickinson &amp; Christidis, 2014.</t>
  </si>
  <si>
    <t>477_1</t>
  </si>
  <si>
    <t>psaroides</t>
  </si>
  <si>
    <t>ne Afghanistan and n Pakistan through the c Himalayas to nw Myanmar</t>
  </si>
  <si>
    <t>477_2</t>
  </si>
  <si>
    <t>Baker, ECS, 1917</t>
  </si>
  <si>
    <t>ne India and w Myanmar</t>
  </si>
  <si>
    <t>477_3</t>
  </si>
  <si>
    <t>concolor</t>
  </si>
  <si>
    <t>Blyth, 1849</t>
  </si>
  <si>
    <t>e Myanmar and s Hunnan (s China) through Indochina</t>
  </si>
  <si>
    <t>477_4</t>
  </si>
  <si>
    <t>ambiens</t>
  </si>
  <si>
    <t>(Mayr, 1942)</t>
  </si>
  <si>
    <t>ne Myanmar and w Hunnan (s China)</t>
  </si>
  <si>
    <t>477_5</t>
  </si>
  <si>
    <t>(La Touche, 1922)</t>
  </si>
  <si>
    <t>n Yunnan  (s China)</t>
  </si>
  <si>
    <t>to Thailand, Laos and Vietnam</t>
  </si>
  <si>
    <t>477_6</t>
  </si>
  <si>
    <t>c Yunnan  (s China)</t>
  </si>
  <si>
    <t>to Thailand and Laos</t>
  </si>
  <si>
    <t>477_7</t>
  </si>
  <si>
    <t>leucothorax</t>
  </si>
  <si>
    <t>c China</t>
  </si>
  <si>
    <t>to Burma, Thailand and Vietnam</t>
  </si>
  <si>
    <t>477_8</t>
  </si>
  <si>
    <t>leucocephalus</t>
  </si>
  <si>
    <t>to Burma and n Indochina</t>
  </si>
  <si>
    <t>477_9</t>
  </si>
  <si>
    <t>nigerrimus</t>
  </si>
  <si>
    <t>Gould, 1863</t>
  </si>
  <si>
    <t>477_10</t>
  </si>
  <si>
    <t>perniger</t>
  </si>
  <si>
    <t>(Forster, JR, 1795)</t>
  </si>
  <si>
    <t>478_1</t>
  </si>
  <si>
    <t>parkesi</t>
  </si>
  <si>
    <t>duPont, 1980</t>
  </si>
  <si>
    <t>Burias</t>
  </si>
  <si>
    <t>478_2</t>
  </si>
  <si>
    <t>478_3</t>
  </si>
  <si>
    <t>(Hartert, 1916)</t>
  </si>
  <si>
    <t>482_1</t>
  </si>
  <si>
    <t>cinereiceps</t>
  </si>
  <si>
    <t>Tablas and Romblon</t>
  </si>
  <si>
    <t>482_2</t>
  </si>
  <si>
    <t>monticola</t>
  </si>
  <si>
    <t>482_3</t>
  </si>
  <si>
    <t>483_1</t>
  </si>
  <si>
    <t>ec and se Philippines</t>
  </si>
  <si>
    <t>483_2</t>
  </si>
  <si>
    <t>Camiguin Sur  (off n Mindanao)</t>
  </si>
  <si>
    <t>Camiguin Bulbul</t>
  </si>
  <si>
    <t>Hypsipetes catarmanensis</t>
  </si>
  <si>
    <t>483_3</t>
  </si>
  <si>
    <t>Sulu Bulbul</t>
  </si>
  <si>
    <t>Hypsipetes haynaldi</t>
  </si>
  <si>
    <t>(Temminck, 1830)</t>
  </si>
  <si>
    <t>484_1</t>
  </si>
  <si>
    <t>amaurotis</t>
  </si>
  <si>
    <t>s Sakhalin Is., Japan and South Korea</t>
  </si>
  <si>
    <t>484_2</t>
  </si>
  <si>
    <t>matchiae</t>
  </si>
  <si>
    <t>(Momiyama, 1923)</t>
  </si>
  <si>
    <t>s Kyushu  (s Japan)</t>
  </si>
  <si>
    <t>484_3</t>
  </si>
  <si>
    <t>ogawae</t>
  </si>
  <si>
    <t>Hartert, 1907</t>
  </si>
  <si>
    <t>n Ryukyu Is.</t>
  </si>
  <si>
    <t>484_4</t>
  </si>
  <si>
    <t>pryeri</t>
  </si>
  <si>
    <t>c Ryukyu Is.</t>
  </si>
  <si>
    <t>484_5</t>
  </si>
  <si>
    <t>stejnegeri</t>
  </si>
  <si>
    <t>s Ryukyu Is.</t>
  </si>
  <si>
    <t>484_6</t>
  </si>
  <si>
    <t>squamiceps</t>
  </si>
  <si>
    <t>(Kittlitz, 1830)</t>
  </si>
  <si>
    <t>Bonin Is.</t>
  </si>
  <si>
    <t>484_7</t>
  </si>
  <si>
    <t>Hartert, 1905</t>
  </si>
  <si>
    <t>Volcano Is.</t>
  </si>
  <si>
    <t>484_8</t>
  </si>
  <si>
    <t>borodinonis</t>
  </si>
  <si>
    <t>(Kuroda, Nagamichi, 1923)</t>
  </si>
  <si>
    <t>Borodino Is.</t>
  </si>
  <si>
    <t>484_9</t>
  </si>
  <si>
    <t>nagamichii</t>
  </si>
  <si>
    <t>Deignan, 1960</t>
  </si>
  <si>
    <t>Taiwan and Lanyu Is.</t>
  </si>
  <si>
    <t>Includes harterti Kuroda, 1922 as a synonym. Permanently invalid. Dickinson &amp; Christidis, 2014.</t>
  </si>
  <si>
    <t>484_10</t>
  </si>
  <si>
    <t>batanensis</t>
  </si>
  <si>
    <t>Batan, Ivuhos, Sabtang, Babuyan and Claro  (extreme n Philippines)</t>
  </si>
  <si>
    <t>484_11</t>
  </si>
  <si>
    <t>fugensis</t>
  </si>
  <si>
    <t>Dalupiri, Calayan and Fuga Is.  (n of Luzon in n Philippines)</t>
  </si>
  <si>
    <t>484_12</t>
  </si>
  <si>
    <t>camiguinensis</t>
  </si>
  <si>
    <t>Camiguin I.  (n of Luzon in n Philippines)</t>
  </si>
  <si>
    <t>(Gray, JE, 1830)</t>
  </si>
  <si>
    <t>485_1</t>
  </si>
  <si>
    <t>Tajikistan and n Afghanistan to s China, Indochina and Taiwan</t>
  </si>
  <si>
    <t>485_2</t>
  </si>
  <si>
    <t>tantilla</t>
  </si>
  <si>
    <t>Riley, 1935</t>
  </si>
  <si>
    <t>486_1</t>
  </si>
  <si>
    <t>riparia</t>
  </si>
  <si>
    <t>North America, Europe to c Asia</t>
  </si>
  <si>
    <t>to n Chile and n Argentina,  Africa, s Asia</t>
  </si>
  <si>
    <t>Includes innominata. Schweizer et al. 2018.</t>
  </si>
  <si>
    <t>486_2</t>
  </si>
  <si>
    <t>taczanowskii</t>
  </si>
  <si>
    <t>Stegmann, 1925</t>
  </si>
  <si>
    <t>s Siberia and c Mongolia to e Siberia</t>
  </si>
  <si>
    <t>to se Asia</t>
  </si>
  <si>
    <t>486_3</t>
  </si>
  <si>
    <t>ijimae</t>
  </si>
  <si>
    <t>(Lönnberg, 1908)</t>
  </si>
  <si>
    <t>Sakhalin I. Kuril Is. and Japan</t>
  </si>
  <si>
    <t>486_4</t>
  </si>
  <si>
    <t>shelleyi</t>
  </si>
  <si>
    <t>(Sharpe, 1885)</t>
  </si>
  <si>
    <t>to Sudan and Ethiopia</t>
  </si>
  <si>
    <t>Includes eilata. Schweizer et al. 2018.</t>
  </si>
  <si>
    <t>487_1</t>
  </si>
  <si>
    <t>rustica</t>
  </si>
  <si>
    <t>Europe, w and c Asia and n Africa</t>
  </si>
  <si>
    <t>to Africa and s Asia</t>
  </si>
  <si>
    <t>487_2</t>
  </si>
  <si>
    <t>transitiva</t>
  </si>
  <si>
    <t>Lebanon, Syria, Israel and Jordan</t>
  </si>
  <si>
    <t>487_3</t>
  </si>
  <si>
    <t>savignii</t>
  </si>
  <si>
    <t>Stephens, 1817</t>
  </si>
  <si>
    <t>487_4</t>
  </si>
  <si>
    <t>gutturalis</t>
  </si>
  <si>
    <t>e Himalayas to Korea and Japan, e and s China and Taiwan</t>
  </si>
  <si>
    <t>487_5</t>
  </si>
  <si>
    <t>Jerdon, 1864</t>
  </si>
  <si>
    <t>sc Siberia</t>
  </si>
  <si>
    <t>to s and se Asia</t>
  </si>
  <si>
    <t>487_6</t>
  </si>
  <si>
    <t>Ridgway, 1883</t>
  </si>
  <si>
    <t>487_7</t>
  </si>
  <si>
    <t>mandschurica</t>
  </si>
  <si>
    <t>Meise, 1934</t>
  </si>
  <si>
    <t>ne China</t>
  </si>
  <si>
    <t>to se Asia?</t>
  </si>
  <si>
    <t>Add: Turner, 2004.</t>
  </si>
  <si>
    <t>487_8</t>
  </si>
  <si>
    <t>Alaska, Canada and the USA to s Mexico</t>
  </si>
  <si>
    <t>to Argentina</t>
  </si>
  <si>
    <t>488_1</t>
  </si>
  <si>
    <t>Sparrman, 1789</t>
  </si>
  <si>
    <t>s Myanmar to s Vietnam east to the Philippines and s to the Moluccas and the Sundas</t>
  </si>
  <si>
    <t>488_2</t>
  </si>
  <si>
    <t>namiyei</t>
  </si>
  <si>
    <t>Ryukyu Is. and Taiwan</t>
  </si>
  <si>
    <t>488_3</t>
  </si>
  <si>
    <t>n and w New Guinea</t>
  </si>
  <si>
    <t>488_4</t>
  </si>
  <si>
    <t>s and e New Guinea</t>
  </si>
  <si>
    <t>488_5</t>
  </si>
  <si>
    <t>Mayr, 1934</t>
  </si>
  <si>
    <t>New Britain  (Bismarck Arch.)</t>
  </si>
  <si>
    <t>488_6</t>
  </si>
  <si>
    <t>subfusca</t>
  </si>
  <si>
    <t>Gould, 1856</t>
  </si>
  <si>
    <t>New Ireland (Bismarck Arch.) through the Solomons, New Caledonia, and Vanuatu to Fiji and Tonga</t>
  </si>
  <si>
    <t>488_7</t>
  </si>
  <si>
    <t>tahitica</t>
  </si>
  <si>
    <t>Society Is.</t>
  </si>
  <si>
    <t>489_1</t>
  </si>
  <si>
    <t>cashmeriense</t>
  </si>
  <si>
    <t>(Gould, 1858)</t>
  </si>
  <si>
    <t>Himalayas to sc China</t>
  </si>
  <si>
    <t>to India and se Asia</t>
  </si>
  <si>
    <t>489_2</t>
  </si>
  <si>
    <t>nigrimentale</t>
  </si>
  <si>
    <t>s and e China, Taiwan</t>
  </si>
  <si>
    <t>489_3</t>
  </si>
  <si>
    <t>dasypus</t>
  </si>
  <si>
    <t>sc Siberia to ne China, Korea and Japan</t>
  </si>
  <si>
    <t>to Greater Sundas and Philippines</t>
  </si>
  <si>
    <t>(Schlegel, 1844)</t>
  </si>
  <si>
    <t>490_1</t>
  </si>
  <si>
    <t>striolata</t>
  </si>
  <si>
    <t>Taiwan and the Philippines to the Greater and Lesser Sundas</t>
  </si>
  <si>
    <t>490_2</t>
  </si>
  <si>
    <t>(Hall, BP, 1953)</t>
  </si>
  <si>
    <t>ne Bangladesh, ne India, n Myanmar and s China</t>
  </si>
  <si>
    <t>490_3</t>
  </si>
  <si>
    <t>stanfordi</t>
  </si>
  <si>
    <t>(Mayr, 1941)</t>
  </si>
  <si>
    <t>e Myanmar, n Thailand and Indochina</t>
  </si>
  <si>
    <t>490_4</t>
  </si>
  <si>
    <t>(Kinnear, 1924)</t>
  </si>
  <si>
    <t>s Myanmar and w Thailand</t>
  </si>
  <si>
    <t>491_1</t>
  </si>
  <si>
    <t>coronatus</t>
  </si>
  <si>
    <t>e Himalayas to Indochina</t>
  </si>
  <si>
    <t>491_2</t>
  </si>
  <si>
    <t>thais</t>
  </si>
  <si>
    <t>Robinson &amp; Kloss, 1923</t>
  </si>
  <si>
    <t>peninsular Thailand</t>
  </si>
  <si>
    <t>491_3</t>
  </si>
  <si>
    <t>Chasen, 1938</t>
  </si>
  <si>
    <t>peninsular Malaysia</t>
  </si>
  <si>
    <t>491_4</t>
  </si>
  <si>
    <t>cucullatus</t>
  </si>
  <si>
    <t>Sumatra, Java and Bali</t>
  </si>
  <si>
    <t>491_5</t>
  </si>
  <si>
    <t>cinereicollis</t>
  </si>
  <si>
    <t>Sharpe, 1888</t>
  </si>
  <si>
    <t>ne Borneo</t>
  </si>
  <si>
    <t>491_6</t>
  </si>
  <si>
    <t>viridicollis</t>
  </si>
  <si>
    <t>(Salomonsen, 1962)</t>
  </si>
  <si>
    <t>491_7</t>
  </si>
  <si>
    <t>Hartert, 1897</t>
  </si>
  <si>
    <t>491_8</t>
  </si>
  <si>
    <t>491_9</t>
  </si>
  <si>
    <t>riedeli</t>
  </si>
  <si>
    <t>491_10</t>
  </si>
  <si>
    <t>stentor</t>
  </si>
  <si>
    <t>c and se Sulawesi</t>
  </si>
  <si>
    <t>491_11</t>
  </si>
  <si>
    <t>meisei</t>
  </si>
  <si>
    <t>Stresemann, 1931</t>
  </si>
  <si>
    <t>wc Sulawesi</t>
  </si>
  <si>
    <t>491_12</t>
  </si>
  <si>
    <t>hedymeles</t>
  </si>
  <si>
    <t>Stresemann, 1932</t>
  </si>
  <si>
    <t>Lompobatang  (sw Sulawesi)</t>
  </si>
  <si>
    <t>491_13</t>
  </si>
  <si>
    <t>dumasi</t>
  </si>
  <si>
    <t>Hartert, 1899</t>
  </si>
  <si>
    <t>Buru and Seram  (s Moluccas)</t>
  </si>
  <si>
    <t>491_14</t>
  </si>
  <si>
    <t>batjanensis</t>
  </si>
  <si>
    <t>Hartert, 1912</t>
  </si>
  <si>
    <t>Bacan  (off sw Halmahera)</t>
  </si>
  <si>
    <t>494_1</t>
  </si>
  <si>
    <t>riukiuensis</t>
  </si>
  <si>
    <t>s Sakhalin Is., s Kurile Is.</t>
  </si>
  <si>
    <t>Ryukyu Is., Taiwan</t>
  </si>
  <si>
    <t>494_2</t>
  </si>
  <si>
    <t>cantans</t>
  </si>
  <si>
    <t>(Temminck &amp; Schlegel, 1847)</t>
  </si>
  <si>
    <t>c and s Japan, n Ryukyu Is.</t>
  </si>
  <si>
    <t>494_3</t>
  </si>
  <si>
    <t>restrictus</t>
  </si>
  <si>
    <t>Daito (Borodino Is.), ? s Ryukyu Is.</t>
  </si>
  <si>
    <t>494_4</t>
  </si>
  <si>
    <t>diphone</t>
  </si>
  <si>
    <t>Izu Is., Bonin Is. and Volcano Is.</t>
  </si>
  <si>
    <t>495_1</t>
  </si>
  <si>
    <t>canturians</t>
  </si>
  <si>
    <t>c, e China</t>
  </si>
  <si>
    <t>to s China and se Asia</t>
  </si>
  <si>
    <t>495_2</t>
  </si>
  <si>
    <t>(Campbell, CW, 1892)</t>
  </si>
  <si>
    <t>ne China, se Siberia and Korea</t>
  </si>
  <si>
    <t>Taiwan, n Philippines</t>
  </si>
  <si>
    <t>(Blyth, 1870)</t>
  </si>
  <si>
    <t>496_1</t>
  </si>
  <si>
    <t>sepiarius</t>
  </si>
  <si>
    <t>(Kloss, 1931)</t>
  </si>
  <si>
    <t>496_2</t>
  </si>
  <si>
    <t>flaviventris</t>
  </si>
  <si>
    <t>(Salvadori, 1879)</t>
  </si>
  <si>
    <t>c and s Sumatra</t>
  </si>
  <si>
    <t>496_3</t>
  </si>
  <si>
    <t>vulcanius</t>
  </si>
  <si>
    <t>Java, Bali, Lombok and Sumbawa</t>
  </si>
  <si>
    <t>496_4</t>
  </si>
  <si>
    <t>kolichisi</t>
  </si>
  <si>
    <t>(Johnstone, RE &amp; Darnell, JC, 1997)</t>
  </si>
  <si>
    <t>Alor</t>
  </si>
  <si>
    <t>496_5</t>
  </si>
  <si>
    <t>(Hartert, 1898)</t>
  </si>
  <si>
    <t>Timor</t>
  </si>
  <si>
    <t>496_6</t>
  </si>
  <si>
    <t>banksi</t>
  </si>
  <si>
    <t>(Chasen, 1935)</t>
  </si>
  <si>
    <t>nw Borneo</t>
  </si>
  <si>
    <t>496_7</t>
  </si>
  <si>
    <t>oreophilus</t>
  </si>
  <si>
    <t>496_8</t>
  </si>
  <si>
    <t>(Ripley &amp; Rabor, 1962)</t>
  </si>
  <si>
    <t>(Swinhoe, 1863)</t>
  </si>
  <si>
    <t>500_1</t>
  </si>
  <si>
    <t>c and e Siberia to ne China and n Mongolia</t>
  </si>
  <si>
    <t>500_2</t>
  </si>
  <si>
    <t>robustus</t>
  </si>
  <si>
    <t>Stresemann, 1923</t>
  </si>
  <si>
    <t>nc China</t>
  </si>
  <si>
    <t>to n Indochina</t>
  </si>
  <si>
    <t>501_1</t>
  </si>
  <si>
    <t>trochilus</t>
  </si>
  <si>
    <t>s Sweden, w and c Europe</t>
  </si>
  <si>
    <t>501_2</t>
  </si>
  <si>
    <t>acredula</t>
  </si>
  <si>
    <t>Scandinavia (except s Sweden) to e Europe and w Siberia</t>
  </si>
  <si>
    <t>c, e and s Africa</t>
  </si>
  <si>
    <t>501_3</t>
  </si>
  <si>
    <t>yakutensis</t>
  </si>
  <si>
    <t>Ticehurst, 1935</t>
  </si>
  <si>
    <t>c and e Siberia</t>
  </si>
  <si>
    <t>e and s Africa</t>
  </si>
  <si>
    <t>(Stejneger, 1892)</t>
  </si>
  <si>
    <t>(Moseley, 1891)</t>
  </si>
  <si>
    <t>(Dubois, AJC, 1900)</t>
  </si>
  <si>
    <t>504_1</t>
  </si>
  <si>
    <t>luzonensis</t>
  </si>
  <si>
    <t>n and c Luzon</t>
  </si>
  <si>
    <t>504_2</t>
  </si>
  <si>
    <t>sorsogonensis</t>
  </si>
  <si>
    <t>s Luzon</t>
  </si>
  <si>
    <t>504_3</t>
  </si>
  <si>
    <t>Cebu and Negros</t>
  </si>
  <si>
    <t>(Blasius, JH, 1858)</t>
  </si>
  <si>
    <t>(Sharpe, 1887)</t>
  </si>
  <si>
    <t>508_1</t>
  </si>
  <si>
    <t>508_2</t>
  </si>
  <si>
    <t>barisanus</t>
  </si>
  <si>
    <t>Christie &amp; Elliott, A, 2016</t>
  </si>
  <si>
    <t>Subspecies epithet barisanus  is a replacement  name for  inornatus which is preoccupied with the merger of Seicercus into Phylloscopus. del Hoyo &amp; Collar, 2016</t>
  </si>
  <si>
    <t>508_3</t>
  </si>
  <si>
    <t>montis</t>
  </si>
  <si>
    <t>508_4</t>
  </si>
  <si>
    <t>xanthopygius</t>
  </si>
  <si>
    <t>(Whitehead, J, 1893)</t>
  </si>
  <si>
    <t>508_5</t>
  </si>
  <si>
    <t>floris</t>
  </si>
  <si>
    <t>(Hartert, 1897)</t>
  </si>
  <si>
    <t>508_6</t>
  </si>
  <si>
    <t>paulinae</t>
  </si>
  <si>
    <t>Timor  (Lesser Sundas)</t>
  </si>
  <si>
    <t>509_1</t>
  </si>
  <si>
    <t>peterseni</t>
  </si>
  <si>
    <t>Salomonsen, 1962</t>
  </si>
  <si>
    <t>509_2</t>
  </si>
  <si>
    <t>Ripley &amp; Rabor, 1958</t>
  </si>
  <si>
    <t>509_3</t>
  </si>
  <si>
    <t>s Luzon, nc and c Philippines</t>
  </si>
  <si>
    <t>509_4</t>
  </si>
  <si>
    <t>diuatae</t>
  </si>
  <si>
    <t>ne Mindanao</t>
  </si>
  <si>
    <t>509_5</t>
  </si>
  <si>
    <t>(Hartert, 1903)</t>
  </si>
  <si>
    <t>s Mindanao</t>
  </si>
  <si>
    <t>509_6</t>
  </si>
  <si>
    <t>Mt. Malindang  (nw Mindanao)</t>
  </si>
  <si>
    <t>509_7</t>
  </si>
  <si>
    <t>flavostriatus</t>
  </si>
  <si>
    <t>Mt. Katanglad  (nc Mindanao)</t>
  </si>
  <si>
    <t>511_1</t>
  </si>
  <si>
    <t>stentoreus</t>
  </si>
  <si>
    <t>511_2</t>
  </si>
  <si>
    <t>levantinus</t>
  </si>
  <si>
    <t>Israel, Jordan, Syria and nw Arabia</t>
  </si>
  <si>
    <t>511_3</t>
  </si>
  <si>
    <t>brunnescens</t>
  </si>
  <si>
    <t>Red Sea region to Kazakhstan and n India</t>
  </si>
  <si>
    <t>Entire C Asian population migratory, winters in Indian Subcontinent</t>
  </si>
  <si>
    <t>Indian Reed Warbler A. brunnescens is a potential split from western Palearctic stentoreus (Rasmussen &amp; Anderton 2012)</t>
  </si>
  <si>
    <t>511_4</t>
  </si>
  <si>
    <t>amyae</t>
  </si>
  <si>
    <t>ne India, Myanmar, Thailand and s China</t>
  </si>
  <si>
    <t>511_5</t>
  </si>
  <si>
    <t>(Legge, 1875)</t>
  </si>
  <si>
    <t>511_6</t>
  </si>
  <si>
    <t>Salomonsen, 1928</t>
  </si>
  <si>
    <t>511_7</t>
  </si>
  <si>
    <t>511_8</t>
  </si>
  <si>
    <t>Heinroth, 1903</t>
  </si>
  <si>
    <t>s Sulawesi</t>
  </si>
  <si>
    <t>511_9</t>
  </si>
  <si>
    <t>lentecaptus</t>
  </si>
  <si>
    <t>Hartert, 1924</t>
  </si>
  <si>
    <t>Borneo, c and e Java, w Lesser Sundas</t>
  </si>
  <si>
    <t>Swinhoe, 1860</t>
  </si>
  <si>
    <t>(Rand, 1960)</t>
  </si>
  <si>
    <t>Hosner et al., 2013</t>
  </si>
  <si>
    <t>(Gray, GR, 1861)</t>
  </si>
  <si>
    <t>518_1</t>
  </si>
  <si>
    <t>certhiola</t>
  </si>
  <si>
    <t>se Siberia (Transbakalia), e Mongolia and nc China</t>
  </si>
  <si>
    <t>518_2</t>
  </si>
  <si>
    <t>sparsimstriatus</t>
  </si>
  <si>
    <t>(Meise, 1934)</t>
  </si>
  <si>
    <t>sw Siberia to sc Siberia</t>
  </si>
  <si>
    <t>unknown</t>
  </si>
  <si>
    <t>518_3</t>
  </si>
  <si>
    <t>centralasiae</t>
  </si>
  <si>
    <t>(Sushkin, 1925)</t>
  </si>
  <si>
    <t>e Kazakhstan and ne Kyrgyzstan to w China</t>
  </si>
  <si>
    <t>poorly known</t>
  </si>
  <si>
    <t>518_4</t>
  </si>
  <si>
    <t>rubescens</t>
  </si>
  <si>
    <t>(Blyth, 1845)</t>
  </si>
  <si>
    <t>n Siberia</t>
  </si>
  <si>
    <t>to s India</t>
  </si>
  <si>
    <t>518_5</t>
  </si>
  <si>
    <t>(David &amp; Oustalet, 1877)</t>
  </si>
  <si>
    <t>se Siberia (Amurland), ne China</t>
  </si>
  <si>
    <t>Add: Kennerley &amp;  Pearson 2010, Drovetski et al., 2004</t>
  </si>
  <si>
    <t>520_1</t>
  </si>
  <si>
    <t>hendersonii</t>
  </si>
  <si>
    <t>(Cassin, 1858)</t>
  </si>
  <si>
    <t>Sakhalin I., s Kuril Is. and n Japan</t>
  </si>
  <si>
    <t>520_2</t>
  </si>
  <si>
    <t>lanceolata</t>
  </si>
  <si>
    <t>n Europe to e Siberia and ne China</t>
  </si>
  <si>
    <t>to Philippines and Greater Sundas</t>
  </si>
  <si>
    <t>521_1</t>
  </si>
  <si>
    <t>caudata</t>
  </si>
  <si>
    <t>521_2</t>
  </si>
  <si>
    <t>unicolor</t>
  </si>
  <si>
    <t>(Hartert, 1904)</t>
  </si>
  <si>
    <t>Mindanao  (except Zamboanga Pen.)</t>
  </si>
  <si>
    <t>521_3</t>
  </si>
  <si>
    <t>Zamboanga Pen.  (w Mindanao)</t>
  </si>
  <si>
    <t>523_1</t>
  </si>
  <si>
    <t>tweeddalei</t>
  </si>
  <si>
    <t>(McGregor, 1908)</t>
  </si>
  <si>
    <t>523_2</t>
  </si>
  <si>
    <t>alopex</t>
  </si>
  <si>
    <t>(Parkes, 1970)</t>
  </si>
  <si>
    <t>Bohol, Leyte and Cebu  (c Philippines)</t>
  </si>
  <si>
    <t>523_3</t>
  </si>
  <si>
    <t>amboinensis</t>
  </si>
  <si>
    <t>Ambon  (s Moluccas)</t>
  </si>
  <si>
    <t>523_4</t>
  </si>
  <si>
    <t>crex</t>
  </si>
  <si>
    <t>(Salomonsen, 1953)</t>
  </si>
  <si>
    <t>523_5</t>
  </si>
  <si>
    <t>523_6</t>
  </si>
  <si>
    <t>(Riley, 1919)</t>
  </si>
  <si>
    <t>523_7</t>
  </si>
  <si>
    <t>inquirendus</t>
  </si>
  <si>
    <t>(Siebers, 1928)</t>
  </si>
  <si>
    <t>Sumba I.  (Lesser Sundas)</t>
  </si>
  <si>
    <t>523_8</t>
  </si>
  <si>
    <t>timoriensis</t>
  </si>
  <si>
    <t>Timor I.  (Lesser Sundas)</t>
  </si>
  <si>
    <t>523_9</t>
  </si>
  <si>
    <t>muscalis</t>
  </si>
  <si>
    <t>(Rand, 1938)</t>
  </si>
  <si>
    <t>sc New Guinea</t>
  </si>
  <si>
    <t>523_10</t>
  </si>
  <si>
    <t>alisteri</t>
  </si>
  <si>
    <t>524_1</t>
  </si>
  <si>
    <t>toklao</t>
  </si>
  <si>
    <t>Pakistan to s China, Indochina and s Myanmar</t>
  </si>
  <si>
    <t>524_2</t>
  </si>
  <si>
    <t>524_3</t>
  </si>
  <si>
    <t>forbesi</t>
  </si>
  <si>
    <t>Philippines and ne Borneo</t>
  </si>
  <si>
    <t>(Rafinesque, 1810)</t>
  </si>
  <si>
    <t>525_1</t>
  </si>
  <si>
    <t>cisticola</t>
  </si>
  <si>
    <t>(Temminck, 1820)</t>
  </si>
  <si>
    <t>w France, Iberian Pen., Balearic Is. and nw Africa</t>
  </si>
  <si>
    <t>525_2</t>
  </si>
  <si>
    <t>juncidis</t>
  </si>
  <si>
    <t>s France to Turkey and Syria, also Egypt and large Mediterranean islands</t>
  </si>
  <si>
    <t>525_3</t>
  </si>
  <si>
    <t>uropygialis</t>
  </si>
  <si>
    <t>(Fraser, 1843)</t>
  </si>
  <si>
    <t>Senegal and Gambia to Ethiopia, Rwanda, Tanzania and Nigeria</t>
  </si>
  <si>
    <t>Includes perennius. Dickinson 2003.</t>
  </si>
  <si>
    <t>525_4</t>
  </si>
  <si>
    <t>terrestris</t>
  </si>
  <si>
    <t>(Smith, A, 1842)</t>
  </si>
  <si>
    <t>Gabon and Congo to s Tanzania and south to South Africa</t>
  </si>
  <si>
    <t>525_5</t>
  </si>
  <si>
    <t>neuroticus</t>
  </si>
  <si>
    <t>Meinertzhagen, R, 1920</t>
  </si>
  <si>
    <t>Cyprus, Lebanon and Israel to w Iran</t>
  </si>
  <si>
    <t>525_6</t>
  </si>
  <si>
    <t>cursitans</t>
  </si>
  <si>
    <t>(Franklin, 1831)</t>
  </si>
  <si>
    <t>e Afghanistan to n Myanmar and s China and south to se India and dry lowlands of Sri Lanka</t>
  </si>
  <si>
    <t>525_7</t>
  </si>
  <si>
    <t>salimalii</t>
  </si>
  <si>
    <t>Whistler, 1936</t>
  </si>
  <si>
    <t>525_8</t>
  </si>
  <si>
    <t>omalurus</t>
  </si>
  <si>
    <t>Blyth, 1851</t>
  </si>
  <si>
    <t>Sri Lanka (except dry lowlands)</t>
  </si>
  <si>
    <t>525_9</t>
  </si>
  <si>
    <t>brunniceps</t>
  </si>
  <si>
    <t>(Temminck &amp; Schlegel, 1850)</t>
  </si>
  <si>
    <t>s Korea, Japan and Batan I. (n Philippines)</t>
  </si>
  <si>
    <t>525_10</t>
  </si>
  <si>
    <t>tinnabulans</t>
  </si>
  <si>
    <t>(Swinhoe, 1859)</t>
  </si>
  <si>
    <t>se China and Taiwan to Thailand, Indochina and the Philippines (except Batan I. and the Palawan Is.)</t>
  </si>
  <si>
    <t>525_11</t>
  </si>
  <si>
    <t>nigrostriatus</t>
  </si>
  <si>
    <t>Palawan Is.</t>
  </si>
  <si>
    <t>525_12</t>
  </si>
  <si>
    <t>malaya</t>
  </si>
  <si>
    <t>Lynes, 1930</t>
  </si>
  <si>
    <t>Nicobar Is., se Myanmar, sw Thailand, the Malay Pen. and the Greater Sundas</t>
  </si>
  <si>
    <t>525_13</t>
  </si>
  <si>
    <t>fuscicapilla</t>
  </si>
  <si>
    <t>e Java, the Kangean Is. and lesser Sundas</t>
  </si>
  <si>
    <t>525_14</t>
  </si>
  <si>
    <t>constans</t>
  </si>
  <si>
    <t>525_15</t>
  </si>
  <si>
    <t>leanyeri</t>
  </si>
  <si>
    <t>Givens &amp; Hitchcock, 1953</t>
  </si>
  <si>
    <t>nc Australia</t>
  </si>
  <si>
    <t>525_16</t>
  </si>
  <si>
    <t>normani</t>
  </si>
  <si>
    <t>nw Queensland  n to ne Australia</t>
  </si>
  <si>
    <t>525_17</t>
  </si>
  <si>
    <t>laveryi</t>
  </si>
  <si>
    <t>Schodde &amp; Mason, IJ, 1979</t>
  </si>
  <si>
    <t>ne Australia, sc New Guinea</t>
  </si>
  <si>
    <t>526_1</t>
  </si>
  <si>
    <t>Jerdon, 1863</t>
  </si>
  <si>
    <t>s Nepal and ne India to n Myanmar and sw China</t>
  </si>
  <si>
    <t>526_2</t>
  </si>
  <si>
    <t>erythrocephalus</t>
  </si>
  <si>
    <t>peninsular India</t>
  </si>
  <si>
    <t>526_3</t>
  </si>
  <si>
    <t>equicaudatus</t>
  </si>
  <si>
    <t>Baker, ECS, 1924</t>
  </si>
  <si>
    <t>e Myanmar, Thailand and Indochina</t>
  </si>
  <si>
    <t>526_4</t>
  </si>
  <si>
    <t>courtoisi</t>
  </si>
  <si>
    <t>La Touche, 1926</t>
  </si>
  <si>
    <t>s and e China</t>
  </si>
  <si>
    <t>526_5</t>
  </si>
  <si>
    <t>volitans</t>
  </si>
  <si>
    <t>526_6</t>
  </si>
  <si>
    <t>semirufus</t>
  </si>
  <si>
    <t>Philippines and Sulu Arch.</t>
  </si>
  <si>
    <t>526_7</t>
  </si>
  <si>
    <t>rusticus</t>
  </si>
  <si>
    <t>Sulawesi and s Moluccas</t>
  </si>
  <si>
    <t>526_8</t>
  </si>
  <si>
    <t>lineocapilla</t>
  </si>
  <si>
    <t>Sumatra, sw Borneo, Java, Lesser Sundas and nw Australia</t>
  </si>
  <si>
    <t>526_9</t>
  </si>
  <si>
    <t>diminutus</t>
  </si>
  <si>
    <t>Mathews, 1922</t>
  </si>
  <si>
    <t>New Guinea, islands in the Torres Strait and ne Australia</t>
  </si>
  <si>
    <t>526_10</t>
  </si>
  <si>
    <t>alexandrae</t>
  </si>
  <si>
    <t>inland n Australia</t>
  </si>
  <si>
    <t>526_11</t>
  </si>
  <si>
    <t>exilis</t>
  </si>
  <si>
    <t>526_12</t>
  </si>
  <si>
    <t>polionotus</t>
  </si>
  <si>
    <t>Amadon, 1962</t>
  </si>
  <si>
    <t>529_1</t>
  </si>
  <si>
    <t>529_2</t>
  </si>
  <si>
    <t>Parkes, 1961</t>
  </si>
  <si>
    <t>Negros and Cebu</t>
  </si>
  <si>
    <t>531_1</t>
  </si>
  <si>
    <t>531_2</t>
  </si>
  <si>
    <t>mearnsi</t>
  </si>
  <si>
    <t>Moore, F, 1855</t>
  </si>
  <si>
    <t>532_1</t>
  </si>
  <si>
    <t>derbianus</t>
  </si>
  <si>
    <t>532_2</t>
  </si>
  <si>
    <t>nilesi</t>
  </si>
  <si>
    <t>Parkes, 1988</t>
  </si>
  <si>
    <t>Temminck, 1836</t>
  </si>
  <si>
    <t>533_1</t>
  </si>
  <si>
    <t>hesperius</t>
  </si>
  <si>
    <t>Oberholser, 1932</t>
  </si>
  <si>
    <t>Malay Pen., Sumatra and Belitung I. (e of Sumatra)</t>
  </si>
  <si>
    <t>533_2</t>
  </si>
  <si>
    <t>sericeus</t>
  </si>
  <si>
    <t>Borneo, w and sw Philippines</t>
  </si>
  <si>
    <t>533_3</t>
  </si>
  <si>
    <t>rubicundulus</t>
  </si>
  <si>
    <t>Chasen &amp; Kloss, 1931</t>
  </si>
  <si>
    <t>Natuna Is.</t>
  </si>
  <si>
    <t>(Lesson, R, 1830)</t>
  </si>
  <si>
    <t>534_1</t>
  </si>
  <si>
    <t>cineraceus</t>
  </si>
  <si>
    <t>Malay Pen., Sumatra, Bangka I. and Belitung I  (east of Sumatra)</t>
  </si>
  <si>
    <t>534_2</t>
  </si>
  <si>
    <t>germaini</t>
  </si>
  <si>
    <t>Fuchs &amp; Zuccon, 2018</t>
  </si>
  <si>
    <t>s Vietnam, se Cambodia</t>
  </si>
  <si>
    <t>subsp. nov. Fuchs &amp; Zuccon, 2018</t>
  </si>
  <si>
    <t>534_3</t>
  </si>
  <si>
    <t>baeus</t>
  </si>
  <si>
    <t>Nias and Pagai Is.  (off w Sumatra)</t>
  </si>
  <si>
    <t>534_4</t>
  </si>
  <si>
    <t>concinnus</t>
  </si>
  <si>
    <t>Riley, 1927</t>
  </si>
  <si>
    <t>Siberut and Sipura Is.  (off w Sumatra)</t>
  </si>
  <si>
    <t>534_5</t>
  </si>
  <si>
    <t>ruficeps</t>
  </si>
  <si>
    <t>534_6</t>
  </si>
  <si>
    <t>palliolatus</t>
  </si>
  <si>
    <t>Karimunjawa and Kangean Is.  (n of Java)</t>
  </si>
  <si>
    <t>534_7</t>
  </si>
  <si>
    <t>534_8</t>
  </si>
  <si>
    <t>borneoensis</t>
  </si>
  <si>
    <t>Salvadori, 1874</t>
  </si>
  <si>
    <t>534_9</t>
  </si>
  <si>
    <t>Cagayan Sulu I.  (n of Borneo)</t>
  </si>
  <si>
    <t>535_1</t>
  </si>
  <si>
    <t>Mayr, 1947</t>
  </si>
  <si>
    <t>535_2</t>
  </si>
  <si>
    <t>(Horsfield, 1822)</t>
  </si>
  <si>
    <t>538_1</t>
  </si>
  <si>
    <t>rubicapilla</t>
  </si>
  <si>
    <t>Nepal, Bhutan and ne India to Bangladesh and ec India</t>
  </si>
  <si>
    <t>538_2</t>
  </si>
  <si>
    <t>ticehursti</t>
  </si>
  <si>
    <t>(Stresemann &amp; Heinrich, 1940)</t>
  </si>
  <si>
    <t>w Myanmar</t>
  </si>
  <si>
    <t>538_3</t>
  </si>
  <si>
    <t>sulphureus</t>
  </si>
  <si>
    <t>(Rippon, 1900)</t>
  </si>
  <si>
    <t>e Myanmar, w Thailand and sw Yunnan (s China)</t>
  </si>
  <si>
    <t>538_4</t>
  </si>
  <si>
    <t>lutescens</t>
  </si>
  <si>
    <t>(Delacour, 1926)</t>
  </si>
  <si>
    <t>se Yunnan  (s China), n and ne Thailand and n Indochina</t>
  </si>
  <si>
    <t>538_5</t>
  </si>
  <si>
    <t>kinneari</t>
  </si>
  <si>
    <t>(Delacour &amp; Jabouille, 1924)</t>
  </si>
  <si>
    <t>c Vietnam</t>
  </si>
  <si>
    <t>538_6</t>
  </si>
  <si>
    <t>saraburiensis</t>
  </si>
  <si>
    <t>Deignan, 1956</t>
  </si>
  <si>
    <t>ec Thailand and w Cambodia</t>
  </si>
  <si>
    <t>538_7</t>
  </si>
  <si>
    <t>versuricola</t>
  </si>
  <si>
    <t>(Oberholser, 1922)</t>
  </si>
  <si>
    <t>e Cambodia and s Vietnam</t>
  </si>
  <si>
    <t>538_8</t>
  </si>
  <si>
    <t>condorensis</t>
  </si>
  <si>
    <t>(Robinson, 1921)</t>
  </si>
  <si>
    <t>Con Son I.  (off s Vietnam)</t>
  </si>
  <si>
    <t>538_9</t>
  </si>
  <si>
    <t>(Kloss, 1918)</t>
  </si>
  <si>
    <t>Tenasserim  (se Myanmar), coastal Gulf of Thailand to c Malay Pen.</t>
  </si>
  <si>
    <t>Includes chersonesophilus. Wells, 2007. Revise spelling of subspecies epithet to connectens from connecteus. Dickinson &amp; Christidis, 2014.</t>
  </si>
  <si>
    <t>538_10</t>
  </si>
  <si>
    <t>archipelagicus</t>
  </si>
  <si>
    <t>Mergui Arch.  (off sw Myanmar)</t>
  </si>
  <si>
    <t>538_11</t>
  </si>
  <si>
    <t>inveteratus</t>
  </si>
  <si>
    <t>coastal islands off se Thailand and Cambodia</t>
  </si>
  <si>
    <t>538_12</t>
  </si>
  <si>
    <t>s Malay Pen., Sumatra</t>
  </si>
  <si>
    <t>538_13</t>
  </si>
  <si>
    <t>woodi</t>
  </si>
  <si>
    <t>539_1</t>
  </si>
  <si>
    <t>zopherus</t>
  </si>
  <si>
    <t>Anambas Is. (e of Malay Pen.)</t>
  </si>
  <si>
    <t>539_2</t>
  </si>
  <si>
    <t>Bunguran  (North Natuna Is.)</t>
  </si>
  <si>
    <t>539_3</t>
  </si>
  <si>
    <t>zaperissus</t>
  </si>
  <si>
    <t>(Oberholser, 1932)</t>
  </si>
  <si>
    <t>North Natuna Is.  (except Bunguran)</t>
  </si>
  <si>
    <t>539_4</t>
  </si>
  <si>
    <t>argenteus</t>
  </si>
  <si>
    <t>(Chasen &amp; Kloss, 1930)</t>
  </si>
  <si>
    <t>Banggi and Malawali Is. (off n Borneo)</t>
  </si>
  <si>
    <t>539_5</t>
  </si>
  <si>
    <t>(Guillemard, 1885)</t>
  </si>
  <si>
    <t>Cagayan Sulu I.  (off n Borneo)</t>
  </si>
  <si>
    <t>539_6</t>
  </si>
  <si>
    <t>bornensis</t>
  </si>
  <si>
    <t>Borneo  (except north)</t>
  </si>
  <si>
    <t>539_7</t>
  </si>
  <si>
    <t>Sabah (n Borneo)</t>
  </si>
  <si>
    <t>539_8</t>
  </si>
  <si>
    <t>(Cabanis, 1850)</t>
  </si>
  <si>
    <t>540_1</t>
  </si>
  <si>
    <t>e and s Philippines</t>
  </si>
  <si>
    <t>540_2</t>
  </si>
  <si>
    <t>alcasidi</t>
  </si>
  <si>
    <t>duPont &amp; Rabor, 1973</t>
  </si>
  <si>
    <t>Dinagat and Siargao  (se Philippines)</t>
  </si>
  <si>
    <t>540_3</t>
  </si>
  <si>
    <t>striaticeps</t>
  </si>
  <si>
    <t>Basilan  (off sw Mindanao)</t>
  </si>
  <si>
    <t>540_4</t>
  </si>
  <si>
    <t>kettlewelli</t>
  </si>
  <si>
    <t>Sulu Arch  (sw Philippines)</t>
  </si>
  <si>
    <t>541_1</t>
  </si>
  <si>
    <t>minuta</t>
  </si>
  <si>
    <t>Leyte and Samar</t>
  </si>
  <si>
    <t>541_2</t>
  </si>
  <si>
    <t>fortichi</t>
  </si>
  <si>
    <t>541_3</t>
  </si>
  <si>
    <t>541_4</t>
  </si>
  <si>
    <t>Büttikofer, 1895</t>
  </si>
  <si>
    <t>545_1</t>
  </si>
  <si>
    <t>545_2</t>
  </si>
  <si>
    <t>(Gonzales &amp; Kennedy, 1990)</t>
  </si>
  <si>
    <t>(Rand &amp; Rabor, 1952)</t>
  </si>
  <si>
    <t>(Salomonsen, 1961)</t>
  </si>
  <si>
    <t>554_1</t>
  </si>
  <si>
    <t>554_2</t>
  </si>
  <si>
    <t>nigrocapitatus</t>
  </si>
  <si>
    <t>Samar and Leyte</t>
  </si>
  <si>
    <t>554_3</t>
  </si>
  <si>
    <t>(Rand &amp; Rabor, 1957)</t>
  </si>
  <si>
    <t>555_1</t>
  </si>
  <si>
    <t>capitalis</t>
  </si>
  <si>
    <t>Dinagat</t>
  </si>
  <si>
    <t>555_2</t>
  </si>
  <si>
    <t>euroaustralis</t>
  </si>
  <si>
    <t>(Parkes, 1988)</t>
  </si>
  <si>
    <t>Mindanao except Zamboanga Pen.</t>
  </si>
  <si>
    <t>555_3</t>
  </si>
  <si>
    <t>isabelae</t>
  </si>
  <si>
    <t>(Parkes, 1963)</t>
  </si>
  <si>
    <t>Basilan and Zamboanga Pen. on Mindanao</t>
  </si>
  <si>
    <t>556_1</t>
  </si>
  <si>
    <t>Mees, 1969</t>
  </si>
  <si>
    <t>556_2</t>
  </si>
  <si>
    <t>556_3</t>
  </si>
  <si>
    <t>nw Mindanao</t>
  </si>
  <si>
    <t>557_1</t>
  </si>
  <si>
    <t>s Sakhalin Is, Japan and coastal Korean Peninsula</t>
  </si>
  <si>
    <t>Includes yesoensis. van Balen 2008</t>
  </si>
  <si>
    <t>557_2</t>
  </si>
  <si>
    <t>Seebohm, 1891</t>
  </si>
  <si>
    <t>Izu Island south to Torishima (Nanpo Archipelago)</t>
  </si>
  <si>
    <t>557_3</t>
  </si>
  <si>
    <t>alani</t>
  </si>
  <si>
    <t>Iwo (Volcano) Island</t>
  </si>
  <si>
    <t>557_4</t>
  </si>
  <si>
    <t>557_5</t>
  </si>
  <si>
    <t>loochooensis</t>
  </si>
  <si>
    <t>Tristram, 1889</t>
  </si>
  <si>
    <t>Ryukyu Is.  except northern</t>
  </si>
  <si>
    <t>557_6</t>
  </si>
  <si>
    <t>daitoensis</t>
  </si>
  <si>
    <t>557_7</t>
  </si>
  <si>
    <t>obstinatus</t>
  </si>
  <si>
    <t>Ternate, Tidore, Bacan (w of Halmahera) and Seram</t>
  </si>
  <si>
    <t>557_8</t>
  </si>
  <si>
    <t>mountains in Sumatra, Java, Bali, Lesser Sundas, Sulawesi and southern Moluccas</t>
  </si>
  <si>
    <t>Assigned (9.1) to Z. japonicus from Z. montanus with revision of these two species (Lim et al. 2018)</t>
  </si>
  <si>
    <t>557_9</t>
  </si>
  <si>
    <t>(Robinson &amp; Kloss, 1918)</t>
  </si>
  <si>
    <t>Mount Dempo (s Sumatra)</t>
  </si>
  <si>
    <t>557_10</t>
  </si>
  <si>
    <t>(duPont, 1971)</t>
  </si>
  <si>
    <t>557_11</t>
  </si>
  <si>
    <t>557_12</t>
  </si>
  <si>
    <t>n Mindanao  (s Philippines)</t>
  </si>
  <si>
    <t>557_13</t>
  </si>
  <si>
    <t>vulcani</t>
  </si>
  <si>
    <t>c Mindanao  (s Philippines)</t>
  </si>
  <si>
    <t>557_14</t>
  </si>
  <si>
    <t>(Mayr, 1945)</t>
  </si>
  <si>
    <t>Negros  (wc Philippines)</t>
  </si>
  <si>
    <t>557_15</t>
  </si>
  <si>
    <t>halconensis</t>
  </si>
  <si>
    <t>(Mearns, 1907)</t>
  </si>
  <si>
    <t>558_1</t>
  </si>
  <si>
    <t>batanis</t>
  </si>
  <si>
    <t>extreme n Philippines, Taiwan</t>
  </si>
  <si>
    <t>558_2</t>
  </si>
  <si>
    <t>meyeni</t>
  </si>
  <si>
    <t>Calayan and Luzon south to c Philippines</t>
  </si>
  <si>
    <t>Includes Z. montanus gilli as a synonym. van Balen, 2008.</t>
  </si>
  <si>
    <t>559_1</t>
  </si>
  <si>
    <t>McGregor, 1908</t>
  </si>
  <si>
    <t>559_2</t>
  </si>
  <si>
    <t>559_3</t>
  </si>
  <si>
    <t>559_4</t>
  </si>
  <si>
    <t>559_5</t>
  </si>
  <si>
    <t>559_6</t>
  </si>
  <si>
    <t>babelo</t>
  </si>
  <si>
    <t>560_1</t>
  </si>
  <si>
    <t>Cagayancillo  (s of Palawan in w Philippines)</t>
  </si>
  <si>
    <t>560_2</t>
  </si>
  <si>
    <t>meyleri</t>
  </si>
  <si>
    <t>Camiguin Norte I.  (extreme n Philippines)</t>
  </si>
  <si>
    <t>560_3</t>
  </si>
  <si>
    <t>aureiloris</t>
  </si>
  <si>
    <t>560_4</t>
  </si>
  <si>
    <t>innominatus</t>
  </si>
  <si>
    <t>Finsch, 1901</t>
  </si>
  <si>
    <t>ne and c Luzon</t>
  </si>
  <si>
    <t>560_5</t>
  </si>
  <si>
    <t>luzonicus</t>
  </si>
  <si>
    <t>s Luzon and Catanduanes</t>
  </si>
  <si>
    <t>560_6</t>
  </si>
  <si>
    <t>Camiguin Sur I.  (off n Mindanao in s Philippines)</t>
  </si>
  <si>
    <t>560_7</t>
  </si>
  <si>
    <t>560_8</t>
  </si>
  <si>
    <t>Mindoro   (nw Philippines)</t>
  </si>
  <si>
    <t>561_1</t>
  </si>
  <si>
    <t>puella</t>
  </si>
  <si>
    <t>India and e Nepal to Indochina</t>
  </si>
  <si>
    <t>561_2</t>
  </si>
  <si>
    <t>561_3</t>
  </si>
  <si>
    <t>Moore, F, 1854</t>
  </si>
  <si>
    <t>Malay Pen.</t>
  </si>
  <si>
    <t>561_4</t>
  </si>
  <si>
    <t>Sumatra, Borneo and nearby islands</t>
  </si>
  <si>
    <t>561_5</t>
  </si>
  <si>
    <t>turcosa</t>
  </si>
  <si>
    <t>Walden, 1870</t>
  </si>
  <si>
    <t>561_6</t>
  </si>
  <si>
    <t>tweeddalii</t>
  </si>
  <si>
    <t>562_1</t>
  </si>
  <si>
    <t>cyanogastra</t>
  </si>
  <si>
    <t>Luzon, Polillo and Catanduanes</t>
  </si>
  <si>
    <t>562_2</t>
  </si>
  <si>
    <t>ellae</t>
  </si>
  <si>
    <t>Bohol, Leyte and Samar</t>
  </si>
  <si>
    <t>562_3</t>
  </si>
  <si>
    <t>hoogstraali</t>
  </si>
  <si>
    <t>Rand, 1948</t>
  </si>
  <si>
    <t>Mindanao and Dinagat</t>
  </si>
  <si>
    <t>562_4</t>
  </si>
  <si>
    <t>melanochlamys</t>
  </si>
  <si>
    <t>Swainson, 1820</t>
  </si>
  <si>
    <t>563_1</t>
  </si>
  <si>
    <t>c Himalayas and India to Indochina</t>
  </si>
  <si>
    <t>563_2</t>
  </si>
  <si>
    <t>Malay Pen., n Sumatra and nearby islands</t>
  </si>
  <si>
    <t>563_3</t>
  </si>
  <si>
    <t>corallipes</t>
  </si>
  <si>
    <t>563_4</t>
  </si>
  <si>
    <t>palawana</t>
  </si>
  <si>
    <t>563_5</t>
  </si>
  <si>
    <t>velata</t>
  </si>
  <si>
    <t>Temminck, 1821</t>
  </si>
  <si>
    <t>s Sumatra and Java</t>
  </si>
  <si>
    <t>564_1</t>
  </si>
  <si>
    <t>mesoleuca</t>
  </si>
  <si>
    <t>564_2</t>
  </si>
  <si>
    <t>isarog</t>
  </si>
  <si>
    <t>Luzon except nw</t>
  </si>
  <si>
    <t>564_3</t>
  </si>
  <si>
    <t>lilacea</t>
  </si>
  <si>
    <t>564_4</t>
  </si>
  <si>
    <t>564_5</t>
  </si>
  <si>
    <t>zamboanga</t>
  </si>
  <si>
    <t>Zamboanga Pen.  (w Mindanao), Basilan and e Bolod I.</t>
  </si>
  <si>
    <t>564_6</t>
  </si>
  <si>
    <t>oenochlamys</t>
  </si>
  <si>
    <t>565_1</t>
  </si>
  <si>
    <t>(Blyth, 1846)</t>
  </si>
  <si>
    <t>ne India, Bangladesh and sw Myanmar</t>
  </si>
  <si>
    <t>565_2</t>
  </si>
  <si>
    <t>Andaman and n Nicobar Is.</t>
  </si>
  <si>
    <t>565_3</t>
  </si>
  <si>
    <t>albiris</t>
  </si>
  <si>
    <t>Abdulali, 1967</t>
  </si>
  <si>
    <t>c and s Nicobar Is.</t>
  </si>
  <si>
    <t>565_4</t>
  </si>
  <si>
    <t>strigata</t>
  </si>
  <si>
    <t>Malay Pen., Sumatra, Java and n Borneo</t>
  </si>
  <si>
    <t>565_5</t>
  </si>
  <si>
    <t>altirostris</t>
  </si>
  <si>
    <t>islands off nw Sumatra</t>
  </si>
  <si>
    <t>565_6</t>
  </si>
  <si>
    <t>pachistorhina</t>
  </si>
  <si>
    <t>565_7</t>
  </si>
  <si>
    <t>565_8</t>
  </si>
  <si>
    <t>heterochlora</t>
  </si>
  <si>
    <t>Anamba and Natuna Is.  (between Malay Pen. and Borneo)</t>
  </si>
  <si>
    <t>565_9</t>
  </si>
  <si>
    <t>eustathis</t>
  </si>
  <si>
    <t>(Oberholser, 1926)</t>
  </si>
  <si>
    <t>Borneo (except n)</t>
  </si>
  <si>
    <t>565_10</t>
  </si>
  <si>
    <t>alipodis</t>
  </si>
  <si>
    <t>islands off e Borneo</t>
  </si>
  <si>
    <t>565_11</t>
  </si>
  <si>
    <t>gusti</t>
  </si>
  <si>
    <t>Bali</t>
  </si>
  <si>
    <t>565_12</t>
  </si>
  <si>
    <t>islands off ne Sulawesi</t>
  </si>
  <si>
    <t>565_13</t>
  </si>
  <si>
    <t>Sulawesi and the Philippines</t>
  </si>
  <si>
    <t>566_1</t>
  </si>
  <si>
    <t>Sulawesi to Java and the Lesser Sundas</t>
  </si>
  <si>
    <t>566_2</t>
  </si>
  <si>
    <t>todayensis</t>
  </si>
  <si>
    <t>568_1</t>
  </si>
  <si>
    <t>calvus</t>
  </si>
  <si>
    <t>568_2</t>
  </si>
  <si>
    <t>melanonotus</t>
  </si>
  <si>
    <t>Ogilvie-Grant, 1906</t>
  </si>
  <si>
    <t>568_3</t>
  </si>
  <si>
    <t>lowii</t>
  </si>
  <si>
    <t>569_1</t>
  </si>
  <si>
    <t>ec India</t>
  </si>
  <si>
    <t>569_2</t>
  </si>
  <si>
    <t>Hay, 1845</t>
  </si>
  <si>
    <t>n India to s China, Indochina and Thailand</t>
  </si>
  <si>
    <t>569_3</t>
  </si>
  <si>
    <t>Coco, Andaman and Nicobar Is.</t>
  </si>
  <si>
    <t>569_4</t>
  </si>
  <si>
    <t>religiosa</t>
  </si>
  <si>
    <t>Malay Pen., Sumatra, Java, Borneo and nearby islands</t>
  </si>
  <si>
    <t>569_5</t>
  </si>
  <si>
    <t>batuensis</t>
  </si>
  <si>
    <t>Finsch, 1899</t>
  </si>
  <si>
    <t>Batu and Mentawai Is.  (off w Sumatra)</t>
  </si>
  <si>
    <t>569_6</t>
  </si>
  <si>
    <t>(Sharpe, 1890)</t>
  </si>
  <si>
    <t>569_7</t>
  </si>
  <si>
    <t>venerata</t>
  </si>
  <si>
    <t>570_1</t>
  </si>
  <si>
    <t>cristatellus</t>
  </si>
  <si>
    <t>s and se China</t>
  </si>
  <si>
    <t>570_2</t>
  </si>
  <si>
    <t>brevipennis</t>
  </si>
  <si>
    <t>Hainan I.  (off se China) and Indochina</t>
  </si>
  <si>
    <t>570_3</t>
  </si>
  <si>
    <t>(Hartert, 1912)</t>
  </si>
  <si>
    <t>(Temminck, 1835)</t>
  </si>
  <si>
    <t>577_1</t>
  </si>
  <si>
    <t>caucasicus</t>
  </si>
  <si>
    <t>Lorenz, T, 1887</t>
  </si>
  <si>
    <t>Caucasus to s Iran</t>
  </si>
  <si>
    <t>577_2</t>
  </si>
  <si>
    <t>vulgaris</t>
  </si>
  <si>
    <t>most of Europe</t>
  </si>
  <si>
    <t>577_3</t>
  </si>
  <si>
    <t>faroensis</t>
  </si>
  <si>
    <t>Feilden, 1872</t>
  </si>
  <si>
    <t>Faroe Is.</t>
  </si>
  <si>
    <t>577_4</t>
  </si>
  <si>
    <t>zetlandicus</t>
  </si>
  <si>
    <t>Hartert, 1918</t>
  </si>
  <si>
    <t>Shetland Is.</t>
  </si>
  <si>
    <t>577_5</t>
  </si>
  <si>
    <t>Azores</t>
  </si>
  <si>
    <t>577_6</t>
  </si>
  <si>
    <t>poltaratskyi</t>
  </si>
  <si>
    <t>Finsch, 1878</t>
  </si>
  <si>
    <t>se European Russia to w Mongolia</t>
  </si>
  <si>
    <t>577_7</t>
  </si>
  <si>
    <t>tauricus</t>
  </si>
  <si>
    <t>Buturlin, 1904</t>
  </si>
  <si>
    <t>Ukraine, sw Russia and Turkey</t>
  </si>
  <si>
    <t>577_8</t>
  </si>
  <si>
    <t>purpurascens</t>
  </si>
  <si>
    <t>e Turkey, Georgia and Armenia</t>
  </si>
  <si>
    <t>577_9</t>
  </si>
  <si>
    <t>oppenheimi</t>
  </si>
  <si>
    <t>Neumann, 1915</t>
  </si>
  <si>
    <t>se Turkey and n Iraq</t>
  </si>
  <si>
    <t>577_10</t>
  </si>
  <si>
    <t>nobilior</t>
  </si>
  <si>
    <t>Hume, 1879</t>
  </si>
  <si>
    <t>ne Iran, s Turkmenistan and Afghanistan</t>
  </si>
  <si>
    <t>577_11</t>
  </si>
  <si>
    <t>porphyronotus</t>
  </si>
  <si>
    <t>e Kazakhstan and nw China to Uzbekistan and Tajikistan</t>
  </si>
  <si>
    <t>577_12</t>
  </si>
  <si>
    <t>Brooks, WE, 1876</t>
  </si>
  <si>
    <t>w Himalayas</t>
  </si>
  <si>
    <t>577_13</t>
  </si>
  <si>
    <t>c and s Pakistan</t>
  </si>
  <si>
    <t>578_1</t>
  </si>
  <si>
    <t>mystacalis</t>
  </si>
  <si>
    <t>n and wc Philippines</t>
  </si>
  <si>
    <t>578_2</t>
  </si>
  <si>
    <t>ec and s  Philippines</t>
  </si>
  <si>
    <t>579_1</t>
  </si>
  <si>
    <t>inornatus</t>
  </si>
  <si>
    <t>Samar  (ec Philippines)</t>
  </si>
  <si>
    <t>579_2</t>
  </si>
  <si>
    <t>Biliran and Leyte  (ec Philippines)</t>
  </si>
  <si>
    <t>579_3</t>
  </si>
  <si>
    <t>Panay and Negros  (wc Philippines)</t>
  </si>
  <si>
    <t>Visayan Rhabdornis</t>
  </si>
  <si>
    <t>Rhabdornis rabori</t>
  </si>
  <si>
    <t>See Collar 2011b for proposed split of Visayan Rhabdornis; await supplements to numerical index</t>
  </si>
  <si>
    <t>579_4</t>
  </si>
  <si>
    <t>alaris</t>
  </si>
  <si>
    <t>583_1</t>
  </si>
  <si>
    <t>c and e Siberia to n Mongolia and ne China</t>
  </si>
  <si>
    <t>583_2</t>
  </si>
  <si>
    <t>Sakhalin, s Kuril Is. and Japan</t>
  </si>
  <si>
    <t>(Holandre, 1825)</t>
  </si>
  <si>
    <t>585_1</t>
  </si>
  <si>
    <t>aurea</t>
  </si>
  <si>
    <t>e European Russia to e Siberia and n Mongolia</t>
  </si>
  <si>
    <t>to the Philippines and se Asia</t>
  </si>
  <si>
    <t>585_2</t>
  </si>
  <si>
    <t>toratugumi</t>
  </si>
  <si>
    <t>(Momiyama, 1940)</t>
  </si>
  <si>
    <t>se Russia, Korea, Sakhalin, Kuril Is. and Japan</t>
  </si>
  <si>
    <t>e China</t>
  </si>
  <si>
    <t>586_1</t>
  </si>
  <si>
    <t>sowerbyi</t>
  </si>
  <si>
    <t>586_2</t>
  </si>
  <si>
    <t>mandarinus</t>
  </si>
  <si>
    <t>587_1</t>
  </si>
  <si>
    <t>erythropleurus</t>
  </si>
  <si>
    <t>Christmas I.  (s of Java)</t>
  </si>
  <si>
    <t>587_2</t>
  </si>
  <si>
    <t>loeseri</t>
  </si>
  <si>
    <t>Meyer de Schauensee, 1939</t>
  </si>
  <si>
    <t>587_3</t>
  </si>
  <si>
    <t>indrapurae</t>
  </si>
  <si>
    <t>Robinson &amp; Kloss, 1916</t>
  </si>
  <si>
    <t>sc Sumatra</t>
  </si>
  <si>
    <t>587_4</t>
  </si>
  <si>
    <t>fumidus</t>
  </si>
  <si>
    <t>Müller, S, 1844</t>
  </si>
  <si>
    <t>587_5</t>
  </si>
  <si>
    <t>c Java</t>
  </si>
  <si>
    <t>587_6</t>
  </si>
  <si>
    <t>Bartels, 1938</t>
  </si>
  <si>
    <t>ec Java</t>
  </si>
  <si>
    <t>587_7</t>
  </si>
  <si>
    <t>(Seebohm, 1893)</t>
  </si>
  <si>
    <t>e Java</t>
  </si>
  <si>
    <t>587_8</t>
  </si>
  <si>
    <t>587_9</t>
  </si>
  <si>
    <t>niveiceps</t>
  </si>
  <si>
    <t>(Hellmayr, 1919)</t>
  </si>
  <si>
    <t>Sexually dimorphic subspecies niveiceps not member of Island Thrush complex  (Nylander et al. 2008)  but wait for new phylogeny of Turdidae</t>
  </si>
  <si>
    <t>587_10</t>
  </si>
  <si>
    <t>thomassoni</t>
  </si>
  <si>
    <t>(Seebohm, 1894)</t>
  </si>
  <si>
    <t>587_11</t>
  </si>
  <si>
    <t>mayonensis</t>
  </si>
  <si>
    <t>s Luzon  (s Philippines)</t>
  </si>
  <si>
    <t>587_12</t>
  </si>
  <si>
    <t>587_13</t>
  </si>
  <si>
    <t>Negros  (sw Philippines)</t>
  </si>
  <si>
    <t>587_14</t>
  </si>
  <si>
    <t>nw Mindanao  (s Philippines)</t>
  </si>
  <si>
    <t>587_15</t>
  </si>
  <si>
    <t>katanglad</t>
  </si>
  <si>
    <t>587_16</t>
  </si>
  <si>
    <t>kelleri</t>
  </si>
  <si>
    <t>se Mindanao  (s Philippines)</t>
  </si>
  <si>
    <t>587_17</t>
  </si>
  <si>
    <t>hygroscopus</t>
  </si>
  <si>
    <t>587_18</t>
  </si>
  <si>
    <t>(Büttikofer, 1893)</t>
  </si>
  <si>
    <t>sw Sulawesi</t>
  </si>
  <si>
    <t>587_19</t>
  </si>
  <si>
    <t>Sclater, PL, 1861</t>
  </si>
  <si>
    <t>w Timor   (s Lesser Sundas)</t>
  </si>
  <si>
    <t>587_20</t>
  </si>
  <si>
    <t>sterlingi</t>
  </si>
  <si>
    <t>e Timor   (s Lesser Sundas)</t>
  </si>
  <si>
    <t>587_21</t>
  </si>
  <si>
    <t>Seram   (w of New Guinea)</t>
  </si>
  <si>
    <t>587_22</t>
  </si>
  <si>
    <t>versteegi</t>
  </si>
  <si>
    <t>Junge, 1939</t>
  </si>
  <si>
    <t>w New Guinea</t>
  </si>
  <si>
    <t>587_23</t>
  </si>
  <si>
    <t>(De Vis, 1890)</t>
  </si>
  <si>
    <t>Includes erebus and keysseri. Beehler &amp; Pratt 2016. (T. p. erebus Mayr &amp; Gilliard, 1952 replaces preoccupied T. p. carbonarius Mayr &amp; Gilliard, 1951. H&amp;M corrigendum 5).</t>
  </si>
  <si>
    <t>587_24</t>
  </si>
  <si>
    <t>tolokiwae</t>
  </si>
  <si>
    <t>Diamond, 1989</t>
  </si>
  <si>
    <t>Tolokiwa   (Bismarck Arch.)</t>
  </si>
  <si>
    <t>587_25</t>
  </si>
  <si>
    <t>beehleri</t>
  </si>
  <si>
    <t>Ripley, 1977</t>
  </si>
  <si>
    <t>New Ireland  (Bismarck Arch.)</t>
  </si>
  <si>
    <t>587_26</t>
  </si>
  <si>
    <t>heinrothi</t>
  </si>
  <si>
    <t>Rothschild &amp; Hartert, 1924</t>
  </si>
  <si>
    <t>St. Matthias   (Bismarck Arch.)</t>
  </si>
  <si>
    <t>587_27</t>
  </si>
  <si>
    <t>(De Vis, 1894)</t>
  </si>
  <si>
    <t>Goodenough   (D'Entrecasteaux Arch.)</t>
  </si>
  <si>
    <t>587_28</t>
  </si>
  <si>
    <t>bougainvillei</t>
  </si>
  <si>
    <t>Bougainville   (n Solomons)</t>
  </si>
  <si>
    <t>587_29</t>
  </si>
  <si>
    <t>kulambangrae</t>
  </si>
  <si>
    <t>Kolombangara   (c Solomons</t>
  </si>
  <si>
    <t>587_30</t>
  </si>
  <si>
    <t>sladeni</t>
  </si>
  <si>
    <t>Cain &amp; Galbraith, ICJ, 1955</t>
  </si>
  <si>
    <t>Guadalcanal  (s Solomons)</t>
  </si>
  <si>
    <t>587_31</t>
  </si>
  <si>
    <t>rennellianus</t>
  </si>
  <si>
    <t>Mayr, 1931</t>
  </si>
  <si>
    <t>Rennell  (s Solomons)</t>
  </si>
  <si>
    <t>587_32</t>
  </si>
  <si>
    <t>vanikorensis</t>
  </si>
  <si>
    <t>islands of n Vanuatu</t>
  </si>
  <si>
    <t>587_33</t>
  </si>
  <si>
    <t>placens</t>
  </si>
  <si>
    <t>Ureparapara and Vanua Lava  (Banks Islands in n Vanuatu)</t>
  </si>
  <si>
    <t>587_34</t>
  </si>
  <si>
    <t>whitneyi</t>
  </si>
  <si>
    <t>Gaua I.  (Banks Islands in n Vanuatu)</t>
  </si>
  <si>
    <t>587_35</t>
  </si>
  <si>
    <t>malekulae</t>
  </si>
  <si>
    <t>Pentecost, Malekula and Ambrym Is.  (c Vanuatu)</t>
  </si>
  <si>
    <t>587_36</t>
  </si>
  <si>
    <t>becki</t>
  </si>
  <si>
    <t>Paama, Lopevi, Epi and Emae Is.  (c Vanuatu)</t>
  </si>
  <si>
    <t>587_37</t>
  </si>
  <si>
    <t>efatensis</t>
  </si>
  <si>
    <t>Efate and Nguna Is.  (sc Vanuatu)</t>
  </si>
  <si>
    <t>587_38</t>
  </si>
  <si>
    <t>(Ramsay, EP, 1879)</t>
  </si>
  <si>
    <t>Erromango I.  (s Vanuatu)</t>
  </si>
  <si>
    <t>587_39</t>
  </si>
  <si>
    <t>pritzbueri</t>
  </si>
  <si>
    <t>Layard, EL, 1878</t>
  </si>
  <si>
    <t>Tanna I.  (s Vanuatu) and Lifou I.  (Loyalty Is.)</t>
  </si>
  <si>
    <t>587_40</t>
  </si>
  <si>
    <t>mareensis</t>
  </si>
  <si>
    <t>Layard, EL &amp; Tristram, 1879</t>
  </si>
  <si>
    <t>Mare I.  (Loyalty Is.)</t>
  </si>
  <si>
    <t>587_41</t>
  </si>
  <si>
    <t>xanthopus</t>
  </si>
  <si>
    <t>Forster, JR, 1844</t>
  </si>
  <si>
    <t>587_42</t>
  </si>
  <si>
    <t>poliocephalus</t>
  </si>
  <si>
    <t>587_43</t>
  </si>
  <si>
    <t>vinitinctus</t>
  </si>
  <si>
    <t>(Gould, 1855)</t>
  </si>
  <si>
    <t>587_44</t>
  </si>
  <si>
    <t>(Seebohm, 1891)</t>
  </si>
  <si>
    <t>w Fiji Is.</t>
  </si>
  <si>
    <t>587_45</t>
  </si>
  <si>
    <t>(Ramsay, EP, 1875)</t>
  </si>
  <si>
    <t>Kadavu I. (s Fiji)</t>
  </si>
  <si>
    <t>587_46</t>
  </si>
  <si>
    <t>(Layard, EL, 1876)</t>
  </si>
  <si>
    <t>Vanua Levu  (n Fiji)</t>
  </si>
  <si>
    <t>587_47</t>
  </si>
  <si>
    <t>hades</t>
  </si>
  <si>
    <t>Gau I.  (c Fiji(</t>
  </si>
  <si>
    <t>587_48</t>
  </si>
  <si>
    <t>tempesti</t>
  </si>
  <si>
    <t>Layard, EL, 1876</t>
  </si>
  <si>
    <t>Taveuni I.  (ne Fiji)</t>
  </si>
  <si>
    <t>587_49</t>
  </si>
  <si>
    <t>samoensis</t>
  </si>
  <si>
    <t>Samoan Thrush T. samoensis (Pratt and Mittermeier 2016)</t>
  </si>
  <si>
    <t>Temminck, 1832</t>
  </si>
  <si>
    <t>590_1</t>
  </si>
  <si>
    <t>orii</t>
  </si>
  <si>
    <t>Yamashina, 1929</t>
  </si>
  <si>
    <t>Sakhalin I., Kurile Is.</t>
  </si>
  <si>
    <t>Japan, Ryukyu Is</t>
  </si>
  <si>
    <t>Add: Brazil, 2009</t>
  </si>
  <si>
    <t>590_2</t>
  </si>
  <si>
    <t>chrysolaus</t>
  </si>
  <si>
    <t>n, c Japan</t>
  </si>
  <si>
    <t>s Japan, se China, Taiwan, ne Philippines</t>
  </si>
  <si>
    <t>Temminck, 1831</t>
  </si>
  <si>
    <t>(Kittlitz, 1832)</t>
  </si>
  <si>
    <t>593_1</t>
  </si>
  <si>
    <t>Luzon and Catanduanes</t>
  </si>
  <si>
    <t>593_2</t>
  </si>
  <si>
    <t>parvimaculatus</t>
  </si>
  <si>
    <t>(McGregor, 1910)</t>
  </si>
  <si>
    <t>Polillo</t>
  </si>
  <si>
    <t>593_3</t>
  </si>
  <si>
    <t>shemleyi</t>
  </si>
  <si>
    <t>Marinduque</t>
  </si>
  <si>
    <t>593_4</t>
  </si>
  <si>
    <t>Ticao, Masbate, Negros and Panay</t>
  </si>
  <si>
    <t>Visayan Shama</t>
  </si>
  <si>
    <t>Kittacincla superciliaris</t>
  </si>
  <si>
    <t>Visayan Shama is a proposed split from White-browned Shama (Lim et al. 2010, Collar 2011b, not H&amp;M4 nor HBW)</t>
  </si>
  <si>
    <t>(Swinhoe, 1861)</t>
  </si>
  <si>
    <t>597_1</t>
  </si>
  <si>
    <t>c and s Siberia to Korea and Japan</t>
  </si>
  <si>
    <t>to Indochina and n Borneo</t>
  </si>
  <si>
    <t>597_2</t>
  </si>
  <si>
    <t>gulmergi</t>
  </si>
  <si>
    <t>(Baker, ECS, 1923)</t>
  </si>
  <si>
    <t>ne Afghanistan and nw Himalayas</t>
  </si>
  <si>
    <t>597_3</t>
  </si>
  <si>
    <t>cacabata</t>
  </si>
  <si>
    <t>Penard, TE, 1919</t>
  </si>
  <si>
    <t>c Himalayas to s Tibet and ne India</t>
  </si>
  <si>
    <t>s Burma and s Thailand</t>
  </si>
  <si>
    <t>597_4</t>
  </si>
  <si>
    <t>rothschildi</t>
  </si>
  <si>
    <t>c and s China to n Myanmar and nw Vietnam</t>
  </si>
  <si>
    <t>Pallas, 1811</t>
  </si>
  <si>
    <t>598_1</t>
  </si>
  <si>
    <t>c Siberia and n Mongolia to Sakhalin, Japan and Korea</t>
  </si>
  <si>
    <t>598_2</t>
  </si>
  <si>
    <t>poonensis</t>
  </si>
  <si>
    <t>n Pakistan to Bhutan. Also c, s  India.</t>
  </si>
  <si>
    <t>Sri Lanka, Andaman Is and Nicobar Is.</t>
  </si>
  <si>
    <t>Species status of poonensis uncertain (Rheindt, comm)</t>
  </si>
  <si>
    <t>598_3</t>
  </si>
  <si>
    <t>siamensis</t>
  </si>
  <si>
    <t>(Gyldenstolpe, 1916)</t>
  </si>
  <si>
    <t>se Myanmar to nw Thailand. Also sc Vietnam.</t>
  </si>
  <si>
    <t>Species status of siamensis uncertain (Rheindt, comm)</t>
  </si>
  <si>
    <t>Amadon &amp; duPont, 1970</t>
  </si>
  <si>
    <t>(Hodgson, 1845)</t>
  </si>
  <si>
    <t>601_1</t>
  </si>
  <si>
    <t>herioti</t>
  </si>
  <si>
    <t>601_2</t>
  </si>
  <si>
    <t>camarinensis</t>
  </si>
  <si>
    <t>Rufous-breasted Blue-flycatcher</t>
  </si>
  <si>
    <t>Cyornis camarinensis</t>
  </si>
  <si>
    <t>603_1</t>
  </si>
  <si>
    <t>603_2</t>
  </si>
  <si>
    <t>Chasen &amp; Kloss, 1930</t>
  </si>
  <si>
    <t>Karimunjawa Is.  (off nc Java)</t>
  </si>
  <si>
    <t>603_3</t>
  </si>
  <si>
    <t>Stresemann, 1925</t>
  </si>
  <si>
    <t>603_4</t>
  </si>
  <si>
    <t>Karimata Is.  (off sw Borneo)</t>
  </si>
  <si>
    <t>603_5</t>
  </si>
  <si>
    <t>blythi</t>
  </si>
  <si>
    <t>(Giebel, 1875)</t>
  </si>
  <si>
    <t>603_6</t>
  </si>
  <si>
    <t>marinduquensis</t>
  </si>
  <si>
    <t>603_7</t>
  </si>
  <si>
    <t>w, c and s Philippines</t>
  </si>
  <si>
    <t>603_8</t>
  </si>
  <si>
    <t>603_9</t>
  </si>
  <si>
    <t>peromissus</t>
  </si>
  <si>
    <t>Salayar I.  (off sw Sulawesi)</t>
  </si>
  <si>
    <t>603_10</t>
  </si>
  <si>
    <t>kalaoensis</t>
  </si>
  <si>
    <t>(Hartert, 1896)</t>
  </si>
  <si>
    <t>Kalao I.  (n of c Lesser Sundas)</t>
  </si>
  <si>
    <t>604_1</t>
  </si>
  <si>
    <t>ruficrissa</t>
  </si>
  <si>
    <t>Mt. Kinabalu  (n Borneo)</t>
  </si>
  <si>
    <t>604_2</t>
  </si>
  <si>
    <t>isola</t>
  </si>
  <si>
    <t>(Hachisuka, 1932)</t>
  </si>
  <si>
    <t>mountains of n Borneo except Mt. Kinabalu</t>
  </si>
  <si>
    <t>604_3</t>
  </si>
  <si>
    <t>604_4</t>
  </si>
  <si>
    <t>604_5</t>
  </si>
  <si>
    <t>w Mindanao  (s Philippines)</t>
  </si>
  <si>
    <t>604_6</t>
  </si>
  <si>
    <t>ruficauda</t>
  </si>
  <si>
    <t>604_7</t>
  </si>
  <si>
    <t>ocularis</t>
  </si>
  <si>
    <t>The spelling in the original description "occularis" is a misspelled Latin word and must be corrected to "ocularis" following H&amp;M4 Vol. 2, Appendix 8.</t>
  </si>
  <si>
    <t>(Temminck, 1829)</t>
  </si>
  <si>
    <t>605_1</t>
  </si>
  <si>
    <t>(Weigold, 1922)</t>
  </si>
  <si>
    <t>se Siberia, ne China and n Korea</t>
  </si>
  <si>
    <t>to the Philippines and Greater Sundas</t>
  </si>
  <si>
    <t>605_2</t>
  </si>
  <si>
    <t>cyanomelana</t>
  </si>
  <si>
    <t>Kuril Is., Japan and s Korea</t>
  </si>
  <si>
    <t>to the Philippines and Borneo</t>
  </si>
  <si>
    <t>Thayer &amp; Bangs, 1909</t>
  </si>
  <si>
    <t>607_1</t>
  </si>
  <si>
    <t>nigrimentalis</t>
  </si>
  <si>
    <t>607_2</t>
  </si>
  <si>
    <t>607_3</t>
  </si>
  <si>
    <t>nigriloris</t>
  </si>
  <si>
    <t>607_4</t>
  </si>
  <si>
    <t>n and c Sulawesi, Sula Is.</t>
  </si>
  <si>
    <t>607_5</t>
  </si>
  <si>
    <t>607_6</t>
  </si>
  <si>
    <t>obiensis</t>
  </si>
  <si>
    <t>Obi  (c Moluccas)</t>
  </si>
  <si>
    <t>607_7</t>
  </si>
  <si>
    <t>(van Oort, 1911)</t>
  </si>
  <si>
    <t>Seram  (s Moluccas)</t>
  </si>
  <si>
    <t>609_1</t>
  </si>
  <si>
    <t>sillimani</t>
  </si>
  <si>
    <t>609_2</t>
  </si>
  <si>
    <t>poliogyna</t>
  </si>
  <si>
    <t>Philippine Shortwing species complex is a proposed split from White-browed Shortwing species complex</t>
  </si>
  <si>
    <t>609_3</t>
  </si>
  <si>
    <t>andersoni</t>
  </si>
  <si>
    <t>s Luzon  (n Philippines)</t>
  </si>
  <si>
    <t>609_4</t>
  </si>
  <si>
    <t>Hartert, 1916</t>
  </si>
  <si>
    <t>609_5</t>
  </si>
  <si>
    <t>brunneiceps</t>
  </si>
  <si>
    <t>Negros and Panay  (wc Philippines)</t>
  </si>
  <si>
    <t>609_6</t>
  </si>
  <si>
    <t>Mt. Malindang  (Mindanao)</t>
  </si>
  <si>
    <t>609_7</t>
  </si>
  <si>
    <t>609_8</t>
  </si>
  <si>
    <t>erythrogyna</t>
  </si>
  <si>
    <t>Bornean Shortwing Is a proposed split from White-browed Shortwing species complex (HBW, Eaton et al 2016)</t>
  </si>
  <si>
    <t>609_9</t>
  </si>
  <si>
    <t>Salvadori, 1879</t>
  </si>
  <si>
    <t>Sumatran Shortwing</t>
  </si>
  <si>
    <t>609_10</t>
  </si>
  <si>
    <t>Javan Shortwing Is a proposed split from White-browed Shortwing species complex (HBW, Eaton et al 2016)</t>
  </si>
  <si>
    <t>609_11</t>
  </si>
  <si>
    <t>Flores Shortwing Is a proposed split from White-browed Shortwing species complex (HBW, Eaton et al 2016)</t>
  </si>
  <si>
    <t>613_1</t>
  </si>
  <si>
    <t>bochaiensis</t>
  </si>
  <si>
    <t>Shulpin, 1928</t>
  </si>
  <si>
    <t>sc Siberia and n Mongolia</t>
  </si>
  <si>
    <t>613_2</t>
  </si>
  <si>
    <t>cyane</t>
  </si>
  <si>
    <t>e Siberia, ne China and Korea</t>
  </si>
  <si>
    <t>613_3</t>
  </si>
  <si>
    <t>nechaevi</t>
  </si>
  <si>
    <t>(Red'kin, 2006)</t>
  </si>
  <si>
    <t>Sakhalin, s Kuril and Japanese islands</t>
  </si>
  <si>
    <t>614_1</t>
  </si>
  <si>
    <t>svecica</t>
  </si>
  <si>
    <t>n Europe, n Asia, n Alaska and nw Canada</t>
  </si>
  <si>
    <t>to n Africa and s Asia</t>
  </si>
  <si>
    <t>614_2</t>
  </si>
  <si>
    <t>namnetum</t>
  </si>
  <si>
    <t>Mayaud, 1934</t>
  </si>
  <si>
    <t>sw and c France</t>
  </si>
  <si>
    <t>to nw Africa</t>
  </si>
  <si>
    <t>614_3</t>
  </si>
  <si>
    <t>cyanecula</t>
  </si>
  <si>
    <t>(Meisner, 1804)</t>
  </si>
  <si>
    <t>Netherlands and n, e France to Belarus and nw Ukraine</t>
  </si>
  <si>
    <t>614_4</t>
  </si>
  <si>
    <t>azuricollis</t>
  </si>
  <si>
    <t>(Rafinesque, 1814)</t>
  </si>
  <si>
    <t>n, c  Spain</t>
  </si>
  <si>
    <t>Add: Johnsen et al., 2006</t>
  </si>
  <si>
    <t>614_5</t>
  </si>
  <si>
    <t>volgae</t>
  </si>
  <si>
    <t>(Kleinschmidt, O, 1907)</t>
  </si>
  <si>
    <t>ne Ukraine, c and e European Russia</t>
  </si>
  <si>
    <t>to ne Africa and sw Asia</t>
  </si>
  <si>
    <t>614_6</t>
  </si>
  <si>
    <t>magna</t>
  </si>
  <si>
    <t>(Zarudny &amp; Loudon, 1904)</t>
  </si>
  <si>
    <t>e Turkey, the Caucasus and n Iran</t>
  </si>
  <si>
    <t>to ne Africa</t>
  </si>
  <si>
    <t>614_7</t>
  </si>
  <si>
    <t>pallidogularis</t>
  </si>
  <si>
    <t>(Zarudny, 1897)</t>
  </si>
  <si>
    <t>Kazakhstan and Turkmenistan</t>
  </si>
  <si>
    <t>to s Asia</t>
  </si>
  <si>
    <t>614_8</t>
  </si>
  <si>
    <t>n Afghanistan, n Pakistan and the nw Himalayas</t>
  </si>
  <si>
    <t>to India</t>
  </si>
  <si>
    <t>614_9</t>
  </si>
  <si>
    <t>mountains of c Asia</t>
  </si>
  <si>
    <t>614_10</t>
  </si>
  <si>
    <t>kobdensis</t>
  </si>
  <si>
    <t>(Tugarinov, 1929)</t>
  </si>
  <si>
    <t>w Mongolia and w China</t>
  </si>
  <si>
    <t>614_11</t>
  </si>
  <si>
    <t>przevalskii</t>
  </si>
  <si>
    <t>615_1</t>
  </si>
  <si>
    <t>calliope</t>
  </si>
  <si>
    <t>Siberia, n Mongolia, ne China and n Korea</t>
  </si>
  <si>
    <t>615_2</t>
  </si>
  <si>
    <t>camtschatkensis</t>
  </si>
  <si>
    <t>Kamchatka, Commander and Kuril Is., n Japan</t>
  </si>
  <si>
    <t>to se Asia and the Philippines</t>
  </si>
  <si>
    <t>615_3</t>
  </si>
  <si>
    <t>beicki</t>
  </si>
  <si>
    <t>(Meise, 1937)</t>
  </si>
  <si>
    <t>(Pallas, 1773)</t>
  </si>
  <si>
    <t>618_1</t>
  </si>
  <si>
    <t>narcissina</t>
  </si>
  <si>
    <t>Sakhalin, Kuril Is. and Japan  (except Ryukyu Is.)</t>
  </si>
  <si>
    <t>618_2</t>
  </si>
  <si>
    <t>owstoni</t>
  </si>
  <si>
    <t>Okinawa and Ryukyu Is.  (s Japan)</t>
  </si>
  <si>
    <t>Okinawa' Flycatcher is a candidate split (Leader et al. 2013, Dong et al. 2015). Await data on additional populations. English name under discussion</t>
  </si>
  <si>
    <t>621_1</t>
  </si>
  <si>
    <t>621_2</t>
  </si>
  <si>
    <t>(Vaurie, 1951)</t>
  </si>
  <si>
    <t>624_1</t>
  </si>
  <si>
    <t>rara</t>
  </si>
  <si>
    <t>(Salomonsen, 1977)</t>
  </si>
  <si>
    <t>624_2</t>
  </si>
  <si>
    <t>(McGregor, 1921)</t>
  </si>
  <si>
    <t>Calayan  (n Philippines)</t>
  </si>
  <si>
    <t>624_3</t>
  </si>
  <si>
    <t>Luzon, Mindoro (n, nw Philippines)</t>
  </si>
  <si>
    <t>Includes mindorensis. Dickinson et al.,  1991, Clement, 2006</t>
  </si>
  <si>
    <t>624_4</t>
  </si>
  <si>
    <t>624_5</t>
  </si>
  <si>
    <t>montigena</t>
  </si>
  <si>
    <t>Mt. Apo, Mt. Katanglad and Mt McKinley  (c Mindanao in s Philippines)</t>
  </si>
  <si>
    <t>624_6</t>
  </si>
  <si>
    <t>matutumensis</t>
  </si>
  <si>
    <t>Mt. Busa and Mt. Matutum  (s Mindanao in s Philippines)</t>
  </si>
  <si>
    <t>624_7</t>
  </si>
  <si>
    <t>daggayana</t>
  </si>
  <si>
    <t>Meyer de Schauensee &amp; duPont, 1962</t>
  </si>
  <si>
    <t>Misamis Oriental province  (nc Mindanao in s Philippines)</t>
  </si>
  <si>
    <t>624_8</t>
  </si>
  <si>
    <t>Mt. Malindang  (nw Mindanao ins Philippines)</t>
  </si>
  <si>
    <t>(Ripley &amp; Marshall, JT Jr, 1967)</t>
  </si>
  <si>
    <t>626_1</t>
  </si>
  <si>
    <t>collini</t>
  </si>
  <si>
    <t>(Rothschild, 1925)</t>
  </si>
  <si>
    <t>w and c Himalayas</t>
  </si>
  <si>
    <t>626_2</t>
  </si>
  <si>
    <t>australorientis</t>
  </si>
  <si>
    <t>e Himalayas to sc China, n Indochina, Thailand and Myanmar</t>
  </si>
  <si>
    <t>626_3</t>
  </si>
  <si>
    <t>langbianis</t>
  </si>
  <si>
    <t>(Kloss, 1927)</t>
  </si>
  <si>
    <t>s Laos and sc Vietnam</t>
  </si>
  <si>
    <t>626_4</t>
  </si>
  <si>
    <t>westermanni</t>
  </si>
  <si>
    <t>Malay Pen., n Sumatra, Borneo, Mindanao  (s Philippines), Sulawesi (except s) and Moluccas</t>
  </si>
  <si>
    <t>626_5</t>
  </si>
  <si>
    <t>626_6</t>
  </si>
  <si>
    <t>626_7</t>
  </si>
  <si>
    <t>hasselti</t>
  </si>
  <si>
    <t>(Finsch, 1898)</t>
  </si>
  <si>
    <t>s Sumatra, Java, Bali, s Sulawesi and w and c Lesser Sundas</t>
  </si>
  <si>
    <t>626_8</t>
  </si>
  <si>
    <t>627_1</t>
  </si>
  <si>
    <t>leucopterus</t>
  </si>
  <si>
    <t>e Himalayas to c and e China</t>
  </si>
  <si>
    <t>627_2</t>
  </si>
  <si>
    <t>auroreus</t>
  </si>
  <si>
    <t>sc Siberia and Mongolia to Korea and ne China</t>
  </si>
  <si>
    <t>to se China</t>
  </si>
  <si>
    <t>629_1</t>
  </si>
  <si>
    <t>solitarius</t>
  </si>
  <si>
    <t>nw Africa, sw  and sc Europe, n Turkey to Georgia and Azerbaijan</t>
  </si>
  <si>
    <t>629_2</t>
  </si>
  <si>
    <t>Greece and w and s Turkey through the Middle East to the nw Himalayas</t>
  </si>
  <si>
    <t>to ne Africa and India</t>
  </si>
  <si>
    <t>629_3</t>
  </si>
  <si>
    <t>pandoo</t>
  </si>
  <si>
    <t>c Himalayas to e China and nw Vietnam</t>
  </si>
  <si>
    <t>629_4</t>
  </si>
  <si>
    <t>e Mongolia to Sakhalin south to Japan, extreme n Philippines and ne China</t>
  </si>
  <si>
    <t>to Indonesia</t>
  </si>
  <si>
    <t>Asian Rock Thrush including pandoo, &amp; madoci may be split (Zuccon &amp; Ericson 2010a, Rasmussen &amp; Anderton 2012). Further study needed.</t>
  </si>
  <si>
    <t>629_5</t>
  </si>
  <si>
    <t>madoci</t>
  </si>
  <si>
    <t>Chasen, 1940</t>
  </si>
  <si>
    <t>Malay Pen. and n Sumatra</t>
  </si>
  <si>
    <t>(Parrot, 1908)</t>
  </si>
  <si>
    <t>631_1</t>
  </si>
  <si>
    <t>rossorum</t>
  </si>
  <si>
    <t>e Iran to sc Kazakhstan and Afghanistan</t>
  </si>
  <si>
    <t>631_2</t>
  </si>
  <si>
    <t>bicolor</t>
  </si>
  <si>
    <t>Pakistan to n India and Nepal</t>
  </si>
  <si>
    <t>631_3</t>
  </si>
  <si>
    <t>c and se India to Myanmar, s China, Thailand and Indochina</t>
  </si>
  <si>
    <t>631_4</t>
  </si>
  <si>
    <t>nilgiriensis</t>
  </si>
  <si>
    <t>Whistler, 1940</t>
  </si>
  <si>
    <t>631_5</t>
  </si>
  <si>
    <t>atratus</t>
  </si>
  <si>
    <t>(Blyth, 1851)</t>
  </si>
  <si>
    <t>631_6</t>
  </si>
  <si>
    <t>caprata</t>
  </si>
  <si>
    <t>631_7</t>
  </si>
  <si>
    <t>randi</t>
  </si>
  <si>
    <t>631_8</t>
  </si>
  <si>
    <t>anderseni</t>
  </si>
  <si>
    <t>631_9</t>
  </si>
  <si>
    <t>fruticola</t>
  </si>
  <si>
    <t>Java to Alor I. (c Lesser Sundas)</t>
  </si>
  <si>
    <t>631_10</t>
  </si>
  <si>
    <t>pyrrhonotus</t>
  </si>
  <si>
    <t>631_11</t>
  </si>
  <si>
    <t>francki</t>
  </si>
  <si>
    <t>Rensch, 1931</t>
  </si>
  <si>
    <t>Sumba I.  (s Lesser Sundas)</t>
  </si>
  <si>
    <t>631_12</t>
  </si>
  <si>
    <t>(Stresemann, 1912)</t>
  </si>
  <si>
    <t>Sulawesi and Selayar I.  (s of Sulawesi)</t>
  </si>
  <si>
    <t>631_13</t>
  </si>
  <si>
    <t>cognatus</t>
  </si>
  <si>
    <t>Babar I.  (e Lesser Sundas)</t>
  </si>
  <si>
    <t>631_14</t>
  </si>
  <si>
    <t>aethiops</t>
  </si>
  <si>
    <t>(Sclater, PL, 1880)</t>
  </si>
  <si>
    <t>n New Guinea, Bismarck Arch.</t>
  </si>
  <si>
    <t>631_15</t>
  </si>
  <si>
    <t>belensis</t>
  </si>
  <si>
    <t>wc New Guinea</t>
  </si>
  <si>
    <t>631_16</t>
  </si>
  <si>
    <t>wahgiensis</t>
  </si>
  <si>
    <t>Mayr &amp; Gilliard, 1951</t>
  </si>
  <si>
    <t>632_1</t>
  </si>
  <si>
    <t>ne Canada, Greenland and Iceland</t>
  </si>
  <si>
    <t>632_2</t>
  </si>
  <si>
    <t>oenanthe</t>
  </si>
  <si>
    <t>n and c Europe through n Asia to e Siberia and nw North America</t>
  </si>
  <si>
    <t>n and c Africa</t>
  </si>
  <si>
    <t>632_3</t>
  </si>
  <si>
    <t>libanotica</t>
  </si>
  <si>
    <t>s Europe through the Middle East and sw Asia to Mongolia and nw China</t>
  </si>
  <si>
    <t>n Africa and sw Asia</t>
  </si>
  <si>
    <t>632_4</t>
  </si>
  <si>
    <t>(Dixon, 1882)</t>
  </si>
  <si>
    <t>635_1</t>
  </si>
  <si>
    <t>parsonsi</t>
  </si>
  <si>
    <t>McGregor, 1927</t>
  </si>
  <si>
    <t>635_2</t>
  </si>
  <si>
    <t>olivaceus</t>
  </si>
  <si>
    <t>635_3</t>
  </si>
  <si>
    <t>636_1</t>
  </si>
  <si>
    <t>Palawan and Balabac  (w Philippines)</t>
  </si>
  <si>
    <t>636_2</t>
  </si>
  <si>
    <t>culionensis</t>
  </si>
  <si>
    <t>Calamian Group  (w Philippines)</t>
  </si>
  <si>
    <t>637_1</t>
  </si>
  <si>
    <t>striatissimum</t>
  </si>
  <si>
    <t>637_2</t>
  </si>
  <si>
    <t>aeruginosum</t>
  </si>
  <si>
    <t>637_3</t>
  </si>
  <si>
    <t>affine</t>
  </si>
  <si>
    <t>Ripley &amp; Rabor, 1966</t>
  </si>
  <si>
    <t>Hartert, 1904</t>
  </si>
  <si>
    <t>639_1</t>
  </si>
  <si>
    <t>nigrilore</t>
  </si>
  <si>
    <t>mountains of Mindanao (except ne)</t>
  </si>
  <si>
    <t>639_2</t>
  </si>
  <si>
    <t>mountains of ne Mindanao</t>
  </si>
  <si>
    <t>(McGregor, 1914)</t>
  </si>
  <si>
    <t>640_1</t>
  </si>
  <si>
    <t>anthonyi</t>
  </si>
  <si>
    <t>640_2</t>
  </si>
  <si>
    <t>masawan</t>
  </si>
  <si>
    <t>Mt. Malindang  (nw Mindanao in s Philippines)</t>
  </si>
  <si>
    <t>640_3</t>
  </si>
  <si>
    <t>kampalili</t>
  </si>
  <si>
    <t>Manuel &amp; Gilliard, 1953</t>
  </si>
  <si>
    <t>n, c and se Mindanao (s Philippines)</t>
  </si>
  <si>
    <t>Dicaeum kampalili</t>
  </si>
  <si>
    <t>641_1</t>
  </si>
  <si>
    <t>inexpectatum</t>
  </si>
  <si>
    <t>641_2</t>
  </si>
  <si>
    <t>641_3</t>
  </si>
  <si>
    <t>viridissimum</t>
  </si>
  <si>
    <t>(Hermann, 1783)</t>
  </si>
  <si>
    <t>Sharpe, 1876</t>
  </si>
  <si>
    <t>Gould, 1872</t>
  </si>
  <si>
    <t>646_1</t>
  </si>
  <si>
    <t>rubropygium</t>
  </si>
  <si>
    <t>Baker, ECS, 1921</t>
  </si>
  <si>
    <t>Bangladesh though Myanmar to nc Malay Pen.</t>
  </si>
  <si>
    <t>646_2</t>
  </si>
  <si>
    <t>trigonostigma</t>
  </si>
  <si>
    <t>c Malay Pen., Sumatra and nearby islands, Karimata I. (sw Borneo)</t>
  </si>
  <si>
    <t>646_3</t>
  </si>
  <si>
    <t>antioproctum</t>
  </si>
  <si>
    <t>Simeulue I. (off w Sumatra)</t>
  </si>
  <si>
    <t>Add: Cheke &amp; Mann, 2008</t>
  </si>
  <si>
    <t>646_4</t>
  </si>
  <si>
    <t>megastoma</t>
  </si>
  <si>
    <t>Natuna Is.  (nw of Borneo)</t>
  </si>
  <si>
    <t>646_5</t>
  </si>
  <si>
    <t>flaviclunis</t>
  </si>
  <si>
    <t>Java, Bali and Krakatau</t>
  </si>
  <si>
    <t>646_6</t>
  </si>
  <si>
    <t>dayakanum</t>
  </si>
  <si>
    <t>Borneo and nearby islands</t>
  </si>
  <si>
    <t>646_7</t>
  </si>
  <si>
    <t>xanthopygium</t>
  </si>
  <si>
    <t>646_8</t>
  </si>
  <si>
    <t>intermedium</t>
  </si>
  <si>
    <t>Romblon  (nc Philippines)</t>
  </si>
  <si>
    <t>646_9</t>
  </si>
  <si>
    <t>cnecolaemum</t>
  </si>
  <si>
    <t>Parkes, 1989</t>
  </si>
  <si>
    <t>Tablas  (nc Philippines)</t>
  </si>
  <si>
    <t>646_10</t>
  </si>
  <si>
    <t>sibuyanicum</t>
  </si>
  <si>
    <t>Sibuyan  (nc Philippines)</t>
  </si>
  <si>
    <t>646_11</t>
  </si>
  <si>
    <t>dorsale</t>
  </si>
  <si>
    <t>646_12</t>
  </si>
  <si>
    <t>besti</t>
  </si>
  <si>
    <t>Siquijor  (sw of Bohol in c Philippines)</t>
  </si>
  <si>
    <t>646_13</t>
  </si>
  <si>
    <t>pallidius</t>
  </si>
  <si>
    <t>646_14</t>
  </si>
  <si>
    <t>cinereigulare</t>
  </si>
  <si>
    <t>646_15</t>
  </si>
  <si>
    <t>isidroi</t>
  </si>
  <si>
    <t>Camiguin Sur  (n of Mindanao in s Philippines)</t>
  </si>
  <si>
    <t>646_16</t>
  </si>
  <si>
    <t>assimile</t>
  </si>
  <si>
    <t>c Sulu Arch  (sw Philippines)</t>
  </si>
  <si>
    <t>646_17</t>
  </si>
  <si>
    <t>sibutuense</t>
  </si>
  <si>
    <t>647_1</t>
  </si>
  <si>
    <t>cagayanense</t>
  </si>
  <si>
    <t>647_2</t>
  </si>
  <si>
    <t>obscurum</t>
  </si>
  <si>
    <t>n, c and s Luzon, Catanduanes  (n Philippines)</t>
  </si>
  <si>
    <t>647_3</t>
  </si>
  <si>
    <t>pontifex</t>
  </si>
  <si>
    <t>Mayr, 1946</t>
  </si>
  <si>
    <t>647_4</t>
  </si>
  <si>
    <t>Zamboanga Pen.  (w Mindanao in s Philippines)</t>
  </si>
  <si>
    <t>647_5</t>
  </si>
  <si>
    <t>hypoleucum</t>
  </si>
  <si>
    <t>(Kittlitz, 1833)</t>
  </si>
  <si>
    <t>648_1</t>
  </si>
  <si>
    <t>palawanorum</t>
  </si>
  <si>
    <t>Hachisuka, 1926</t>
  </si>
  <si>
    <t>648_2</t>
  </si>
  <si>
    <t>fugaense</t>
  </si>
  <si>
    <t>Calayan and Fuga (extreme n Philippines)</t>
  </si>
  <si>
    <t>648_3</t>
  </si>
  <si>
    <t>salomonseni</t>
  </si>
  <si>
    <t>648_4</t>
  </si>
  <si>
    <t>pygmaeum</t>
  </si>
  <si>
    <t>648_5</t>
  </si>
  <si>
    <t>davao</t>
  </si>
  <si>
    <t>649_1</t>
  </si>
  <si>
    <t>ignipectus</t>
  </si>
  <si>
    <t>Himalayas to e China, n and c Indochina, n Thailand and Myanmar</t>
  </si>
  <si>
    <t>649_2</t>
  </si>
  <si>
    <t>cambodianum</t>
  </si>
  <si>
    <t>Delacour &amp; Jabouille, 1928</t>
  </si>
  <si>
    <t>e Thailand and Cambodia</t>
  </si>
  <si>
    <t>649_3</t>
  </si>
  <si>
    <t>dolichorhynchum</t>
  </si>
  <si>
    <t>Deignan, 1938</t>
  </si>
  <si>
    <t>649_4</t>
  </si>
  <si>
    <t>beccarii</t>
  </si>
  <si>
    <t>649_5</t>
  </si>
  <si>
    <t>formosum</t>
  </si>
  <si>
    <t>Ogilvie-Grant, 1912</t>
  </si>
  <si>
    <t>649_6</t>
  </si>
  <si>
    <t>luzoniense</t>
  </si>
  <si>
    <t>649_7</t>
  </si>
  <si>
    <t>bonga</t>
  </si>
  <si>
    <t>649_8</t>
  </si>
  <si>
    <t>650_1</t>
  </si>
  <si>
    <t>malacensis</t>
  </si>
  <si>
    <t>s Myanmar to Indochina and the Malay Pen., Sumatra and nearby islands, Borneo (except n), Java and Bali</t>
  </si>
  <si>
    <t>Includes anambae. Cheke &amp; Mann, 2008</t>
  </si>
  <si>
    <t>650_2</t>
  </si>
  <si>
    <t>Riley, 1920</t>
  </si>
  <si>
    <t>650_3</t>
  </si>
  <si>
    <t>mjobergi</t>
  </si>
  <si>
    <t>650_4</t>
  </si>
  <si>
    <t>paraguae</t>
  </si>
  <si>
    <t>650_5</t>
  </si>
  <si>
    <t>heliolusius</t>
  </si>
  <si>
    <t>Oberholser, 1923</t>
  </si>
  <si>
    <t>w and c Mindanao, Basilan  (s Philippines)</t>
  </si>
  <si>
    <t>650_6</t>
  </si>
  <si>
    <t>wiglesworthi</t>
  </si>
  <si>
    <t>650_7</t>
  </si>
  <si>
    <t>iris</t>
  </si>
  <si>
    <t>sw Sulu Arch.  (extreme sw Philippines)</t>
  </si>
  <si>
    <t>650_8</t>
  </si>
  <si>
    <t>chlorigaster</t>
  </si>
  <si>
    <t>650_9</t>
  </si>
  <si>
    <t>Cagayan Sulu  (w Philippines)</t>
  </si>
  <si>
    <t>650_10</t>
  </si>
  <si>
    <t>heliocalus</t>
  </si>
  <si>
    <t>Sangihe and Siau Is.  (n of Sulawesi)</t>
  </si>
  <si>
    <t>650_11</t>
  </si>
  <si>
    <t>Shelley, 1878</t>
  </si>
  <si>
    <t>Incudes nesophilus. Cheke &amp; Mann, 2008</t>
  </si>
  <si>
    <t>650_12</t>
  </si>
  <si>
    <t>extremus</t>
  </si>
  <si>
    <t>Mees, 1966</t>
  </si>
  <si>
    <t>650_13</t>
  </si>
  <si>
    <t>convergens</t>
  </si>
  <si>
    <t>Rensch, 1929</t>
  </si>
  <si>
    <t>Lesser Sundas  (except Sumba)</t>
  </si>
  <si>
    <t>650_14</t>
  </si>
  <si>
    <t>rubrigena</t>
  </si>
  <si>
    <t>Sumba  (sw Lesser Sundas)</t>
  </si>
  <si>
    <t>651_1</t>
  </si>
  <si>
    <t>birgitae</t>
  </si>
  <si>
    <t>651_2</t>
  </si>
  <si>
    <t>griseigularis</t>
  </si>
  <si>
    <t>se and s Philippines</t>
  </si>
  <si>
    <t>652_1</t>
  </si>
  <si>
    <t>henkei</t>
  </si>
  <si>
    <t>(Meyer, AB, 1884)</t>
  </si>
  <si>
    <t>n Luzon and islands to the n</t>
  </si>
  <si>
    <t>652_2</t>
  </si>
  <si>
    <t>sperata</t>
  </si>
  <si>
    <t>c and s Luzon, Polillo, Marinduque and Catanduanes  (n Philippines)</t>
  </si>
  <si>
    <t>652_3</t>
  </si>
  <si>
    <t>w, c and s Philippines  (except w and s Mindanao and Sulu Arch.)</t>
  </si>
  <si>
    <t>652_4</t>
  </si>
  <si>
    <t>juliae</t>
  </si>
  <si>
    <t>w and s Mindanao and Sulu Arch.</t>
  </si>
  <si>
    <t>Orange-lined Sunbird</t>
  </si>
  <si>
    <t>Leptocoma juliae</t>
  </si>
  <si>
    <t>(Jardine, 1842)</t>
  </si>
  <si>
    <t>654_1</t>
  </si>
  <si>
    <t>andamanicus</t>
  </si>
  <si>
    <t>654_2</t>
  </si>
  <si>
    <t>proselius</t>
  </si>
  <si>
    <t>n Nicobar Is.</t>
  </si>
  <si>
    <t>654_3</t>
  </si>
  <si>
    <t>klossi</t>
  </si>
  <si>
    <t>654_4</t>
  </si>
  <si>
    <t>(Swinhoe, 1869)</t>
  </si>
  <si>
    <t>s and se China, Hainan I. and n Vietnam</t>
  </si>
  <si>
    <t>654_5</t>
  </si>
  <si>
    <t>flammaxillaris</t>
  </si>
  <si>
    <t>Myanmar, Thailand, c and s Indochina and n Malay Pen.</t>
  </si>
  <si>
    <t>654_6</t>
  </si>
  <si>
    <t>ornatus</t>
  </si>
  <si>
    <t>Lesson, R, 1827</t>
  </si>
  <si>
    <t>c and s Malay Pen., Sumatra, Borneo, Java, Bali and most Lesser Sundas</t>
  </si>
  <si>
    <t>654_7</t>
  </si>
  <si>
    <t>polyclystus</t>
  </si>
  <si>
    <t>654_8</t>
  </si>
  <si>
    <t>aurora</t>
  </si>
  <si>
    <t>654_9</t>
  </si>
  <si>
    <t>654_10</t>
  </si>
  <si>
    <t>jugularis</t>
  </si>
  <si>
    <t>Philippines (except n Luzon and w and sw islands)</t>
  </si>
  <si>
    <t>654_11</t>
  </si>
  <si>
    <t>654_12</t>
  </si>
  <si>
    <t>(Blasius, W, 1885)</t>
  </si>
  <si>
    <t>Sulawesi and many nearby islands</t>
  </si>
  <si>
    <t>654_13</t>
  </si>
  <si>
    <t>infrenatus</t>
  </si>
  <si>
    <t>Tukangbesi and other islands off se Sulawesi</t>
  </si>
  <si>
    <t>654_14</t>
  </si>
  <si>
    <t>robustirostris</t>
  </si>
  <si>
    <t>(Mees, 1964)</t>
  </si>
  <si>
    <t>Banggai and Sula Is.  (off e Sulawesi)</t>
  </si>
  <si>
    <t>654_15</t>
  </si>
  <si>
    <t>teysmanni</t>
  </si>
  <si>
    <t>Büttikofer, 1893</t>
  </si>
  <si>
    <t>islands in the Flores Sea</t>
  </si>
  <si>
    <t>654_16</t>
  </si>
  <si>
    <t>frenatus</t>
  </si>
  <si>
    <t>n Moluccas, New Guinea (except n), Aru Is.  (sw of New Guinea, islands se of New Guinea and ne Australia</t>
  </si>
  <si>
    <t>654_17</t>
  </si>
  <si>
    <t>buruensis</t>
  </si>
  <si>
    <t>Buru I.  (s Moluccas)</t>
  </si>
  <si>
    <t>654_18</t>
  </si>
  <si>
    <t>clementiae</t>
  </si>
  <si>
    <t>s Moluccas  (except Buru)</t>
  </si>
  <si>
    <t>654_19</t>
  </si>
  <si>
    <t>keiensis</t>
  </si>
  <si>
    <t>Kai Is.  (sw of New Guinea)</t>
  </si>
  <si>
    <t>654_20</t>
  </si>
  <si>
    <t>654_21</t>
  </si>
  <si>
    <t>flavigastra</t>
  </si>
  <si>
    <t>(Gould, 1843)</t>
  </si>
  <si>
    <t>(Hachisuka, 1941)</t>
  </si>
  <si>
    <t>655_1</t>
  </si>
  <si>
    <t>655_2</t>
  </si>
  <si>
    <t>primigenia</t>
  </si>
  <si>
    <t>c Mindanao</t>
  </si>
  <si>
    <t>656_1</t>
  </si>
  <si>
    <t>656_2</t>
  </si>
  <si>
    <t>boltoni</t>
  </si>
  <si>
    <t>ec and e Mindanao</t>
  </si>
  <si>
    <t>656_3</t>
  </si>
  <si>
    <t>tibolii</t>
  </si>
  <si>
    <t>Kennedy, Gonzales &amp; Miranda, 1997</t>
  </si>
  <si>
    <t>More data needed to confirm split of tibolii from boltoni (Hosner et al. 2013)</t>
  </si>
  <si>
    <t>Oustalet, 1876</t>
  </si>
  <si>
    <t>659_1</t>
  </si>
  <si>
    <t>guimarasensis</t>
  </si>
  <si>
    <t>Panay and Guimaras  (wc Philippines)</t>
  </si>
  <si>
    <t>659_2</t>
  </si>
  <si>
    <t>daphoenonota</t>
  </si>
  <si>
    <t>Parkes, 1963</t>
  </si>
  <si>
    <t>Negros  (sc Philippines)</t>
  </si>
  <si>
    <t>664_1</t>
  </si>
  <si>
    <t>flavipectus</t>
  </si>
  <si>
    <t>664_2</t>
  </si>
  <si>
    <t>c and s Luzon, Polillo, Marinduque and Mindoro  (n Philippines)</t>
  </si>
  <si>
    <t>664_3</t>
  </si>
  <si>
    <t>rubrinota</t>
  </si>
  <si>
    <t>Lubang  (n of Mindoro in n Philippines)</t>
  </si>
  <si>
    <t>664_4</t>
  </si>
  <si>
    <t>bella</t>
  </si>
  <si>
    <t>664_5</t>
  </si>
  <si>
    <t>bonita</t>
  </si>
  <si>
    <t>664_6</t>
  </si>
  <si>
    <t>arolasi</t>
  </si>
  <si>
    <t>666_1</t>
  </si>
  <si>
    <t>flammifera</t>
  </si>
  <si>
    <t>Samar, Leyte, Bohol, Dinagat and Mindanao (e and s Philippines)</t>
  </si>
  <si>
    <t>666_2</t>
  </si>
  <si>
    <t>Basilan (sw Philippines)</t>
  </si>
  <si>
    <t>668_1</t>
  </si>
  <si>
    <t>Alcasid &amp; Gonzales, 1968</t>
  </si>
  <si>
    <t>668_2</t>
  </si>
  <si>
    <t>Samar, Biliran and Leyte,  (ec Philippines)</t>
  </si>
  <si>
    <t>668_3</t>
  </si>
  <si>
    <t>clarae</t>
  </si>
  <si>
    <t>e Mindanao  (s Philippines)</t>
  </si>
  <si>
    <t>668_4</t>
  </si>
  <si>
    <t>w Mindanao and Basilan  (s Philippines)</t>
  </si>
  <si>
    <t>670_1</t>
  </si>
  <si>
    <t>Europe through n and c Asia to ne Siberia and ne Mongolia</t>
  </si>
  <si>
    <t>670_2</t>
  </si>
  <si>
    <t>dybowskii</t>
  </si>
  <si>
    <t>Domaniewski, 1915</t>
  </si>
  <si>
    <t>670_3</t>
  </si>
  <si>
    <t>transcaucasicus</t>
  </si>
  <si>
    <t>Buturlin, 1906</t>
  </si>
  <si>
    <t>e Turkey, the Caucasus to Armenia and Iran</t>
  </si>
  <si>
    <t>670_4</t>
  </si>
  <si>
    <t>kansuensis</t>
  </si>
  <si>
    <t>670_5</t>
  </si>
  <si>
    <t>dilutus</t>
  </si>
  <si>
    <t>Richmond, 1896</t>
  </si>
  <si>
    <t>s Kazakhstan and e Iran to nw China and s Mongolia</t>
  </si>
  <si>
    <t>670_6</t>
  </si>
  <si>
    <t>tibetanus</t>
  </si>
  <si>
    <t>Baker, ECS, 1925</t>
  </si>
  <si>
    <t>Tibet to c China</t>
  </si>
  <si>
    <t>670_7</t>
  </si>
  <si>
    <t>saturatus</t>
  </si>
  <si>
    <t>Sakhalin and Kuril Is. and Japan though e China to Taiwan and the n Philippines</t>
  </si>
  <si>
    <t>670_8</t>
  </si>
  <si>
    <t>hepaticus</t>
  </si>
  <si>
    <t>Ripley, 1948</t>
  </si>
  <si>
    <t>ne India (ne Arunachal Pradeshl), se Tibet and nw Myanmar</t>
  </si>
  <si>
    <t>670_9</t>
  </si>
  <si>
    <t>Dubois, AJC, 1887</t>
  </si>
  <si>
    <t>w Nepal to Bhutan and ne India (Assam), s China, Southeast Asia, Sumatra, Java and s Philippines</t>
  </si>
  <si>
    <t>Includes obscuratus (Inferred in Rasmussen &amp; Anderton, 2012)</t>
  </si>
  <si>
    <t>(Reichenbach, 1862)</t>
  </si>
  <si>
    <t>671_1</t>
  </si>
  <si>
    <t>brunneiventris</t>
  </si>
  <si>
    <t>671_2</t>
  </si>
  <si>
    <t>(Sharpe, 1889)</t>
  </si>
  <si>
    <t>671_3</t>
  </si>
  <si>
    <t>malayana</t>
  </si>
  <si>
    <t>(Robinson, 1928)</t>
  </si>
  <si>
    <t>671_4</t>
  </si>
  <si>
    <t>hyperythra</t>
  </si>
  <si>
    <t>671_5</t>
  </si>
  <si>
    <t>(Stresemann, 1931)</t>
  </si>
  <si>
    <t>671_6</t>
  </si>
  <si>
    <t>672_1</t>
  </si>
  <si>
    <t>prasina</t>
  </si>
  <si>
    <t>Indochina, Malay Pen., Sumatra and Java</t>
  </si>
  <si>
    <t>672_2</t>
  </si>
  <si>
    <t>coelica</t>
  </si>
  <si>
    <t>Borneo and w Philippines</t>
  </si>
  <si>
    <t>Hachisuka &amp; Delacour, 1937</t>
  </si>
  <si>
    <t>676_1</t>
  </si>
  <si>
    <t>punctulata</t>
  </si>
  <si>
    <t>n Pakistan, India (except ne), Nepal and Sri Lanka</t>
  </si>
  <si>
    <t>676_2</t>
  </si>
  <si>
    <t>subundulata</t>
  </si>
  <si>
    <t>(Godwin-Austen, 1874)</t>
  </si>
  <si>
    <t>Bhutan, ne India, Bangladesh and w Myanmar</t>
  </si>
  <si>
    <t>676_3</t>
  </si>
  <si>
    <t>yunnanensis</t>
  </si>
  <si>
    <t>se Tibet, sw China and n Myanmar</t>
  </si>
  <si>
    <t>676_4</t>
  </si>
  <si>
    <t>topela</t>
  </si>
  <si>
    <t>s Myanmar, Thailand, se China, Taiwan, Hainan and Indochina</t>
  </si>
  <si>
    <t>676_5</t>
  </si>
  <si>
    <t>cabanisi</t>
  </si>
  <si>
    <t>n and w Philippines, n Borneo</t>
  </si>
  <si>
    <t>676_6</t>
  </si>
  <si>
    <t>fretensis</t>
  </si>
  <si>
    <t>s Malay Pen., Sumatra and Nias I.</t>
  </si>
  <si>
    <t>676_7</t>
  </si>
  <si>
    <t>nisoria</t>
  </si>
  <si>
    <t>Java, Bali, w Lesser Sundas and s Borneo</t>
  </si>
  <si>
    <t>Includes holmesi and fortior. Payne, 2010</t>
  </si>
  <si>
    <t>676_8</t>
  </si>
  <si>
    <t>sumbae</t>
  </si>
  <si>
    <t>Sumba I.  (w Lesser Sundas)</t>
  </si>
  <si>
    <t>676_9</t>
  </si>
  <si>
    <t>blasii</t>
  </si>
  <si>
    <t>c and e Lesser Sundas</t>
  </si>
  <si>
    <t>676_10</t>
  </si>
  <si>
    <t>Hoogerwerf, 1963</t>
  </si>
  <si>
    <t>Bawean I.  (north of Java)</t>
  </si>
  <si>
    <t>676_11</t>
  </si>
  <si>
    <t>particeps</t>
  </si>
  <si>
    <t>(Riley, 1920)</t>
  </si>
  <si>
    <t>677_1</t>
  </si>
  <si>
    <t>leucogastra</t>
  </si>
  <si>
    <t>Malay Pen., Sumatra and Java</t>
  </si>
  <si>
    <t>677_2</t>
  </si>
  <si>
    <t>Palawan  (w Philippines), n and e Borneo</t>
  </si>
  <si>
    <t>677_3</t>
  </si>
  <si>
    <t>smythiesi</t>
  </si>
  <si>
    <t>w Borneo</t>
  </si>
  <si>
    <t>677_4</t>
  </si>
  <si>
    <t>castanonota</t>
  </si>
  <si>
    <t>Mayr, 1938</t>
  </si>
  <si>
    <t>677_5</t>
  </si>
  <si>
    <t>677_6</t>
  </si>
  <si>
    <t>manueli</t>
  </si>
  <si>
    <t>(Vieillot, 1807)</t>
  </si>
  <si>
    <t>678_1</t>
  </si>
  <si>
    <t>rubronigra</t>
  </si>
  <si>
    <t>n India and Nepal</t>
  </si>
  <si>
    <t>678_2</t>
  </si>
  <si>
    <t>ne India, Bangladesh, Myanmar and sw China</t>
  </si>
  <si>
    <t>678_3</t>
  </si>
  <si>
    <t>Thailand, se China and Indochina</t>
  </si>
  <si>
    <t>678_4</t>
  </si>
  <si>
    <t>678_5</t>
  </si>
  <si>
    <t>batakana</t>
  </si>
  <si>
    <t>(Chasen &amp; Kloss, 1929)</t>
  </si>
  <si>
    <t>nw Sumatra</t>
  </si>
  <si>
    <t>678_6</t>
  </si>
  <si>
    <t>(Swinhoe, 1865)</t>
  </si>
  <si>
    <t>Taiwan and n Luzon  (n Philippines)</t>
  </si>
  <si>
    <t>678_7</t>
  </si>
  <si>
    <t>jagori</t>
  </si>
  <si>
    <t>(Martens, KE, 1866)</t>
  </si>
  <si>
    <t>Philippines  (except n Luzon),  Borneo, Sulawesi and offshore islands (Togian Is, Muna and Buton)</t>
  </si>
  <si>
    <t>Includes brunneiceps (Dickinson &amp; Christidis 2014).</t>
  </si>
  <si>
    <t>681_1</t>
  </si>
  <si>
    <t>plexa</t>
  </si>
  <si>
    <t>s, se Asia</t>
  </si>
  <si>
    <t>Restore and move as a subspecies from Western Yellow Wagtail to Eastern Yellow Wagtail. Harris et al. 2018.</t>
  </si>
  <si>
    <t>681_2</t>
  </si>
  <si>
    <t>tschutschensis</t>
  </si>
  <si>
    <t>s Siberia, n Mongolia, e Kazakhstan and nw China  to  ne Siberia and nw North America</t>
  </si>
  <si>
    <t>s, se Asia to Australia</t>
  </si>
  <si>
    <t>Includes zaissanensis, angarensis and simillima.</t>
  </si>
  <si>
    <t>681_3</t>
  </si>
  <si>
    <t>macronyx</t>
  </si>
  <si>
    <t>(Stresemann, 1920)</t>
  </si>
  <si>
    <t>sc Siberia, ne Mongolia and ne China</t>
  </si>
  <si>
    <t>681_4</t>
  </si>
  <si>
    <t>taivana</t>
  </si>
  <si>
    <t>se Siberia, Sakhalin and n Japan</t>
  </si>
  <si>
    <t>682_1</t>
  </si>
  <si>
    <t>citreola</t>
  </si>
  <si>
    <t>n, e Europe to c Siberia, Mongolia and ne China</t>
  </si>
  <si>
    <t>India and se Asia</t>
  </si>
  <si>
    <t>Includes werae. Alström &amp; Mild, 2003</t>
  </si>
  <si>
    <t>682_2</t>
  </si>
  <si>
    <t>calcarata</t>
  </si>
  <si>
    <t>e Iran and Afghanistan to c China</t>
  </si>
  <si>
    <t>683_1</t>
  </si>
  <si>
    <t>patriciae</t>
  </si>
  <si>
    <t>Vaurie, 1957</t>
  </si>
  <si>
    <t>683_2</t>
  </si>
  <si>
    <t>schmitzi</t>
  </si>
  <si>
    <t>Tschusi, 1900</t>
  </si>
  <si>
    <t>Madeira</t>
  </si>
  <si>
    <t>683_3</t>
  </si>
  <si>
    <t>w Europe, Canary Is. and nw Africa to c, e, ne Asia.</t>
  </si>
  <si>
    <t>to e, w Africa, s Asia, the Sundas and New Guinea.</t>
  </si>
  <si>
    <t>Includes canariensis, melanope and robusta.</t>
  </si>
  <si>
    <t>684_1</t>
  </si>
  <si>
    <t>yarrellii</t>
  </si>
  <si>
    <t>Ireland, Britain and coastal w Europe</t>
  </si>
  <si>
    <t>684_2</t>
  </si>
  <si>
    <t>se Greenland, Iceland and the Faroe Is. through continental Europe to the Ural Mts, the Caucasus, c Asia and Middle East</t>
  </si>
  <si>
    <t>Africa, Arabia and sw, s Asia</t>
  </si>
  <si>
    <t>Includes dukhunensis.</t>
  </si>
  <si>
    <t>684_3</t>
  </si>
  <si>
    <t>subpersonata</t>
  </si>
  <si>
    <t>Meade-Waldo, 1901</t>
  </si>
  <si>
    <t>w Morocco</t>
  </si>
  <si>
    <t>684_4</t>
  </si>
  <si>
    <t>Gould, 1861</t>
  </si>
  <si>
    <t>n Iran to sw Siberia, w Mongolia, nw China and w Himalayas</t>
  </si>
  <si>
    <t>e Arabia to India</t>
  </si>
  <si>
    <t>684_5</t>
  </si>
  <si>
    <t>baicalensis</t>
  </si>
  <si>
    <t>sc Siberia to ne China</t>
  </si>
  <si>
    <t>India to c Indochina</t>
  </si>
  <si>
    <t>684_6</t>
  </si>
  <si>
    <t>n Siberia to nw Alaska</t>
  </si>
  <si>
    <t>684_7</t>
  </si>
  <si>
    <t>lugens</t>
  </si>
  <si>
    <t>Gloger, 1829</t>
  </si>
  <si>
    <t>coastal se Siberia and islands, n Korea and n and c Japan</t>
  </si>
  <si>
    <t>684_8</t>
  </si>
  <si>
    <t>leucopsis</t>
  </si>
  <si>
    <t>inland se Siberia, c and e China, s Korea and sw Japan</t>
  </si>
  <si>
    <t>684_9</t>
  </si>
  <si>
    <t>alboides</t>
  </si>
  <si>
    <t>c and e Himalayas to s China, n Indochina and n Myanmar</t>
  </si>
  <si>
    <t>686_1</t>
  </si>
  <si>
    <t>rufulus</t>
  </si>
  <si>
    <t>India and Sri Lanka to s China and Indochina</t>
  </si>
  <si>
    <t>Includes waitei</t>
  </si>
  <si>
    <t>686_2</t>
  </si>
  <si>
    <t>Eyton, 1839</t>
  </si>
  <si>
    <t>Malay Pen., s Indochina, Sumatra, Java and Borneo.</t>
  </si>
  <si>
    <t>686_3</t>
  </si>
  <si>
    <t>686_4</t>
  </si>
  <si>
    <t>albidus</t>
  </si>
  <si>
    <t>Sulawesi, Bali and w Lesser Sundas</t>
  </si>
  <si>
    <t>686_5</t>
  </si>
  <si>
    <t>Richmond, 1907</t>
  </si>
  <si>
    <t>687_1</t>
  </si>
  <si>
    <t>hodgsoni</t>
  </si>
  <si>
    <t>Himalayas to c China, also c Japan</t>
  </si>
  <si>
    <t>687_2</t>
  </si>
  <si>
    <t>Uchida &amp; Kuroda, Nagamichi, 1916</t>
  </si>
  <si>
    <t>ne Russia to Kamchatka Pen. and south to Mongolia, ne China and n Japan</t>
  </si>
  <si>
    <t>688_1</t>
  </si>
  <si>
    <t>gustavi</t>
  </si>
  <si>
    <t>nw Russia to the Kamchatka Pen., Commander Is.</t>
  </si>
  <si>
    <t>e Asia to n Borneo and Indonesia</t>
  </si>
  <si>
    <t>Includes stejnegeri. Alström &amp; Mild, 2003</t>
  </si>
  <si>
    <t>688_2</t>
  </si>
  <si>
    <t>se Siberia and ne China</t>
  </si>
  <si>
    <t>691_1</t>
  </si>
  <si>
    <t>migratoria</t>
  </si>
  <si>
    <t>691_2</t>
  </si>
  <si>
    <t>Riley, 1915</t>
  </si>
  <si>
    <t>c and ec China</t>
  </si>
  <si>
    <t>692_1</t>
  </si>
  <si>
    <t>692_2</t>
  </si>
  <si>
    <t>693_1</t>
  </si>
  <si>
    <t>erythrinus</t>
  </si>
  <si>
    <t>n, c and e Europe to c Siberia</t>
  </si>
  <si>
    <t>to India, Burma and Thailand</t>
  </si>
  <si>
    <t>693_2</t>
  </si>
  <si>
    <t>grebnitskii</t>
  </si>
  <si>
    <t>e Siberia, n Mongolia, ne China and Korea</t>
  </si>
  <si>
    <t>to Thailand and Vietnam</t>
  </si>
  <si>
    <t>693_3</t>
  </si>
  <si>
    <t>kubanensis</t>
  </si>
  <si>
    <t>Laubmann, 1915</t>
  </si>
  <si>
    <t>Turkey, the Caucasus, n Iran and Turkmenistan</t>
  </si>
  <si>
    <t>693_4</t>
  </si>
  <si>
    <t>ferghanensis</t>
  </si>
  <si>
    <t>(Kozlova, 1939)</t>
  </si>
  <si>
    <t>e Kazakhstan to w China, w Himalayas, Pakistan and Afghanistan</t>
  </si>
  <si>
    <t>nw India</t>
  </si>
  <si>
    <t>693_5</t>
  </si>
  <si>
    <t>roseatus</t>
  </si>
  <si>
    <t>c and e Himalayas to c and s China</t>
  </si>
  <si>
    <t>694_1</t>
  </si>
  <si>
    <t>n, w and c Europe to ne Siberia and n Mongolia</t>
  </si>
  <si>
    <t>694_2</t>
  </si>
  <si>
    <t>balearica</t>
  </si>
  <si>
    <t>(Homeyer, 1862)</t>
  </si>
  <si>
    <t>c and s Spain, Balearic Is.</t>
  </si>
  <si>
    <t>694_3</t>
  </si>
  <si>
    <t>corsicana</t>
  </si>
  <si>
    <t>Tschusi, 1912</t>
  </si>
  <si>
    <t>Corsica</t>
  </si>
  <si>
    <t>694_4</t>
  </si>
  <si>
    <t>Whitaker, 1898</t>
  </si>
  <si>
    <t>s Italy, nw Africa</t>
  </si>
  <si>
    <t>694_5</t>
  </si>
  <si>
    <t>Madarász, 1903</t>
  </si>
  <si>
    <t>e Balkans and Turkey to the Caucasus and s Ukraine</t>
  </si>
  <si>
    <t>694_6</t>
  </si>
  <si>
    <t>altaiensis</t>
  </si>
  <si>
    <t>ne Kazakhstan, sw Siberia and w Mongolia</t>
  </si>
  <si>
    <t>694_7</t>
  </si>
  <si>
    <t>tianschanica</t>
  </si>
  <si>
    <t>Laubmann, 1927</t>
  </si>
  <si>
    <t>se Kazakhstan to Tajikistan and nw China</t>
  </si>
  <si>
    <t>694_8</t>
  </si>
  <si>
    <t>himalayensis</t>
  </si>
  <si>
    <t>Himalayas to s China</t>
  </si>
  <si>
    <t>694_9</t>
  </si>
  <si>
    <t>Robinson &amp; Kloss, 1919</t>
  </si>
  <si>
    <t>s Vietnam</t>
  </si>
  <si>
    <t>694_10</t>
  </si>
  <si>
    <t>Ridgway, 1884</t>
  </si>
  <si>
    <t>se Siberia, ne China, Korea, Sakhalin and Kuril Is. and Japan</t>
  </si>
  <si>
    <t>694_11</t>
  </si>
  <si>
    <t>694_12</t>
  </si>
  <si>
    <t>(Brehm, CL, 1846)</t>
  </si>
  <si>
    <t>se Canada and ne USA</t>
  </si>
  <si>
    <t>694_13</t>
  </si>
  <si>
    <t>percna</t>
  </si>
  <si>
    <t>Bent, 1912</t>
  </si>
  <si>
    <t>Newfoundland</t>
  </si>
  <si>
    <t>For the use of percna Bent, 1912 rather than pusilla Gloger 1834 for this subspecies see Payne, 1987, COSEWIC, 2004.</t>
  </si>
  <si>
    <t>694_14</t>
  </si>
  <si>
    <t>sitkensis</t>
  </si>
  <si>
    <t>Grinnell, 1909</t>
  </si>
  <si>
    <t>coastal s Alaska to coastal w USA</t>
  </si>
  <si>
    <t>694_15</t>
  </si>
  <si>
    <t>bendirei</t>
  </si>
  <si>
    <t>inland sw Canada and inland nw USA</t>
  </si>
  <si>
    <t>694_16</t>
  </si>
  <si>
    <t>benti</t>
  </si>
  <si>
    <t>Griscom, 1937</t>
  </si>
  <si>
    <t>c Rocky Mts.  (wc USA)</t>
  </si>
  <si>
    <t>Includes vividior and reai. Clement, 2010.</t>
  </si>
  <si>
    <t>694_17</t>
  </si>
  <si>
    <t>grinnelli</t>
  </si>
  <si>
    <t>wc to sw USA</t>
  </si>
  <si>
    <t>694_18</t>
  </si>
  <si>
    <t>stricklandi</t>
  </si>
  <si>
    <t>Ridgway, 1885</t>
  </si>
  <si>
    <t>sw USA to s Mexico</t>
  </si>
  <si>
    <t>694_19</t>
  </si>
  <si>
    <t>mesamericana</t>
  </si>
  <si>
    <t>Guatemala and Belize to Nicaragua</t>
  </si>
  <si>
    <t>(Finsch, 1902)</t>
  </si>
  <si>
    <t>695_1</t>
  </si>
  <si>
    <t>vanderbilti</t>
  </si>
  <si>
    <t>(Meyer de Schauensee, 1939)</t>
  </si>
  <si>
    <t>695_2</t>
  </si>
  <si>
    <t>estherae</t>
  </si>
  <si>
    <t>695_3</t>
  </si>
  <si>
    <t>chaseni</t>
  </si>
  <si>
    <t>(Kinzelbach, Dickinson &amp; Somadikarta, 2009)</t>
  </si>
  <si>
    <t>695_4</t>
  </si>
  <si>
    <t>renatae</t>
  </si>
  <si>
    <t>(Schuchmann &amp; Wolters, 1982)</t>
  </si>
  <si>
    <t>695_5</t>
  </si>
  <si>
    <t>(Ripley &amp; Rabor, 1961)</t>
  </si>
  <si>
    <t>Pallas, 1773</t>
  </si>
  <si>
    <t>698_1</t>
  </si>
  <si>
    <t>aureola</t>
  </si>
  <si>
    <t>e Europe to e Siberia and south to Kazakhstan and c Mongolia</t>
  </si>
  <si>
    <t>698_2</t>
  </si>
  <si>
    <t>ornata</t>
  </si>
  <si>
    <t>sc Siberia and ne Mongolia to se Siberia, Japan and ne China</t>
  </si>
  <si>
    <t>Scopoli, 1769</t>
  </si>
  <si>
    <t>Temminck &amp; Schlegel, 1848</t>
  </si>
  <si>
    <t>Checklist of birds of the Philippines. Wild Bird Club of the Philippines. www.birdwatch.ph</t>
  </si>
  <si>
    <t xml:space="preserve">Jensen, A., D. Allen, R. Hutchinson, C. Perez, W. van de Ven &amp; JJ. Brinkman (2019): </t>
  </si>
  <si>
    <t>Status IUCN-HBW</t>
  </si>
  <si>
    <t>English Name IOC</t>
  </si>
  <si>
    <t>Former Scientific Name WBCP</t>
  </si>
  <si>
    <t>Sulawesi to New Guinea, Bismarck Arch. and s Philippines</t>
  </si>
  <si>
    <t>Palearctic region; winters to Near East, India and Myanmar</t>
  </si>
  <si>
    <t>S Mediterranean basin to e Asia</t>
  </si>
  <si>
    <t>Wooded ponds, swamps and streams of ne Asia</t>
  </si>
  <si>
    <t>breeds in northern and eastern Siberia; winters Japan, Korea, and eastern China</t>
  </si>
  <si>
    <t>Palearctic; winters to s Africa and Australasian region</t>
  </si>
  <si>
    <t>Holarctic; winters to Africa, n South America and Malay Arch.</t>
  </si>
  <si>
    <t>E Siberia and Mongolia to n Japan; winters to India</t>
  </si>
  <si>
    <t>N and central Eurasia; winters to Africa and s Asia</t>
  </si>
  <si>
    <t>Philippine Islands</t>
  </si>
  <si>
    <t>Breeds ne Asia; winters to s China, Taiwan and Philippines</t>
  </si>
  <si>
    <t>Palearctic and N America; winters to s Eurasia and n S America</t>
  </si>
  <si>
    <t>Palearctic; winters to tropical Africa, India and SE Asia</t>
  </si>
  <si>
    <t>NE Eurasia; winters to India, SE Asia and se China</t>
  </si>
  <si>
    <t>Discontinuous Palearctic; winters to India, SE Asia and e China</t>
  </si>
  <si>
    <t>N Palearctic region; winters to n Africa and s Asia</t>
  </si>
  <si>
    <t>Manchuria and extreme se Siberia; winters to s China</t>
  </si>
  <si>
    <t>E Palearctic; winters to SE Asia and e China</t>
  </si>
  <si>
    <t>Humid forests of Palawan (sw Philippines)</t>
  </si>
  <si>
    <t>Breeds w Hawaiian and Revillagigedo islands; ranges n Pacific</t>
  </si>
  <si>
    <t>Breeds islands off Japan; disperses to n Indian Ocean</t>
  </si>
  <si>
    <t>Hawaiian Islands; ranges south to Polynesia</t>
  </si>
  <si>
    <t>Volcano, Bonin and w Hawaiian islands; ranges to Polynesia</t>
  </si>
  <si>
    <t>Breeds coastal islands off Japan and China; ranges to s Pacific</t>
  </si>
  <si>
    <t>Widespread tropical Pacific and Indian oceans</t>
  </si>
  <si>
    <t>S Australia and Tasmania; winters to n Pacific</t>
  </si>
  <si>
    <t>Azores to Cape Verde, Johnston and nw Hawaiian islands</t>
  </si>
  <si>
    <t>Central and s Eurasia; s Africa; winters to c Africa and India</t>
  </si>
  <si>
    <t>Siberia, Manchuria and Korea; winters to s China and n India</t>
  </si>
  <si>
    <t>India to SE Asia; winters to e China, Sumatra and Philippines</t>
  </si>
  <si>
    <t>Locally in e N and s S America, Africa, Eurasia to Australasia</t>
  </si>
  <si>
    <t>Breeds ne China and Korea; winters to SE Asia</t>
  </si>
  <si>
    <t>S Asia, Malay Archipelago, New Guinea region and s Oceania</t>
  </si>
  <si>
    <t>E Asia; winters to SE Asia, Philippines and Greater Sundas</t>
  </si>
  <si>
    <t>India to SE Asia, Philippines and Indonesia</t>
  </si>
  <si>
    <t>S Japan; winters se China to Ryukyu Islands and Indonesia</t>
  </si>
  <si>
    <t>Humid forests of s Asia and Malay Archipelago</t>
  </si>
  <si>
    <t>Lowlands of s Asia; winters to Greater Sundas</t>
  </si>
  <si>
    <t>E Asia; winters to SE Asia, Philippines and Indonesia</t>
  </si>
  <si>
    <t>Lowlands of India to SE Asia and Philippines</t>
  </si>
  <si>
    <t>Breeds s Eurasia; winters to India</t>
  </si>
  <si>
    <t>Australia and Tasmania; winters to New Guinea region</t>
  </si>
  <si>
    <t>Christmas I.; ranges to s China Sea and Australia</t>
  </si>
  <si>
    <t>India to SE Asia, Malay Archipelago and Philippine Islands</t>
  </si>
  <si>
    <t>Mediterranean basin environs to e Asia</t>
  </si>
  <si>
    <t>Forests of larger Philippine Islands (except Palawan)</t>
  </si>
  <si>
    <t>Philippines (Luzon, Leyte, Samar and Mindanao)</t>
  </si>
  <si>
    <t>Luzon (Philippine Islands)</t>
  </si>
  <si>
    <t>Negros, Samar, Mindanao, Bohol, Biliran, Basilan, and Siquijor (Philippine Islands)</t>
  </si>
  <si>
    <t>China and Korea; winters to SE Asia, Philippines and Indonesia</t>
  </si>
  <si>
    <t>E Asia; winters to s Asia, Philippines and Greater Sundas</t>
  </si>
  <si>
    <t>Coasts and islands of s Asia to Philippines and Australia</t>
  </si>
  <si>
    <t>Lowlands of India to SE Asia, Borneo, Java and Philippines</t>
  </si>
  <si>
    <t>NE Asia; winters SE Asia to Philippines and Indonesia</t>
  </si>
  <si>
    <t>Lowlands of SE Asia, Malay Archipelago and Philippines</t>
  </si>
  <si>
    <t>Northern Philippines (Calayan I.)</t>
  </si>
  <si>
    <t>Wetlands of Luzon I. (n Philippines). Status unknown</t>
  </si>
  <si>
    <t>Philippine Islands (except Palawan)</t>
  </si>
  <si>
    <t>southern Thailand, Indochina, and the Philippines to coastal northern Australia and southwestern Oceania</t>
  </si>
  <si>
    <t>Lowlands of s and e Asia and Malay Archipelago</t>
  </si>
  <si>
    <t>Karekelong I. (Talaud Islands) and Philippine Islands</t>
  </si>
  <si>
    <t>Palearctic; winters in ne Africa and s Asia</t>
  </si>
  <si>
    <t>Luzon I. (n Philippines)</t>
  </si>
  <si>
    <t>Andaman Is. and Malay Pen. to Philippines and Australasia</t>
  </si>
  <si>
    <t>Mediterranean and sub-Saharan Africa to SE Asia and Taiwan</t>
  </si>
  <si>
    <t>Indonesia to Australia and New Zealand; winters to Philippines</t>
  </si>
  <si>
    <t>N Africa and Eurasia; winters to South Africa and s Asia</t>
  </si>
  <si>
    <t>Palearctic; winters to n Africa, India, Myanmar and s China</t>
  </si>
  <si>
    <t>Breeds ne China and Japan; winters to India and SE Asia</t>
  </si>
  <si>
    <t>breeds Siberia and western Alaska; winters from eastern Africa to South Asia (east to southern China) and the Hawaiian Islands, south through Asia and the tropical Paficic to Australia and New Zealand</t>
  </si>
  <si>
    <t>Holarctic; almost cosmopolitan post-breeding dispersal</t>
  </si>
  <si>
    <t>Sandy coasts of SE Asia to Philippines and Indonesia</t>
  </si>
  <si>
    <t>Siberia to Manchuria and Mongolia; winters to Australasia</t>
  </si>
  <si>
    <t>Locally in Africa, Madagascar and Oriental region</t>
  </si>
  <si>
    <t>Swamps and marshes of India, SE Asia and Philippine Islands</t>
  </si>
  <si>
    <t>Breeds w Alaska; winters Hawaii and Micronesia to Polynesia</t>
  </si>
  <si>
    <t>Siberia; winters to Philippines, Indonesia and n Australia</t>
  </si>
  <si>
    <t>Breeds ne Asia; winters to Philippines, Indonesia and Australia</t>
  </si>
  <si>
    <t>NE Siberia; winters to India, SE Asia, Philippines and Australia</t>
  </si>
  <si>
    <t>Breeds n Palearctic; winters to s Africa, s Asia and Australia</t>
  </si>
  <si>
    <t>Breeds ne Siberia; winters in Australasia and Polynesia</t>
  </si>
  <si>
    <t>Arctic Siberia; winters to s Africa, SE Asia and Australasia</t>
  </si>
  <si>
    <t>N Palearctic; winters to Africa, Indonesia and Philippines</t>
  </si>
  <si>
    <t>NE Palearctic; winters SE Asia to Philippines and Australia</t>
  </si>
  <si>
    <t>Breeds Siberia and Alaska; disperses to s Asia and Australasia</t>
  </si>
  <si>
    <t>Breeds Holarctic; worldwide coastal post-breeding dispersal</t>
  </si>
  <si>
    <t>N Palearctic; winters to Africa and Indian subcontinent</t>
  </si>
  <si>
    <t>Arctic N America and Siberia; winters to s S America, Australia</t>
  </si>
  <si>
    <t>Siberia and Manchuria; winters to s Asia and n Australia</t>
  </si>
  <si>
    <t>Breeds Siberia and Alaska; winters s US to Panama</t>
  </si>
  <si>
    <t>Philippines (central and n Luzon and mts. of Mindanao)</t>
  </si>
  <si>
    <t>Scandinavia to Siberia; winters tropical Africa and SE Asia</t>
  </si>
  <si>
    <t>Sakhalin and Japan; winters e Australia, Tasmania, New Guinea</t>
  </si>
  <si>
    <t>Siberia; winters India to SE Asia, Indonesia and Philippines</t>
  </si>
  <si>
    <t>Siberia; winters India to SE Asia, Philippines and n Australia</t>
  </si>
  <si>
    <t>N Eurasia; winters to s Africa, s Asia, Philippines, n Australia</t>
  </si>
  <si>
    <t>Holarctic circumpolar; winters at sea in southern hemisphere</t>
  </si>
  <si>
    <t>Palearctic; winters to s Africa, c Asia, Philippines and Australia</t>
  </si>
  <si>
    <t>N Eurasia; winters to s Africa, s Asia, Philippines and Australia</t>
  </si>
  <si>
    <t>Mountains of Siberia; winters to SE Asia and Australasia</t>
  </si>
  <si>
    <t>Palearctic; winters to s Africa, s Asia and Australasia</t>
  </si>
  <si>
    <t>Breeds n Eurasia; winters to s Africa, s Asia and Australia</t>
  </si>
  <si>
    <t>Breeds n Eurasia; winters Mediterranean region to SE Asia</t>
  </si>
  <si>
    <t>Palearctic; winters to s Africa, s Asia, Philippines and Australia</t>
  </si>
  <si>
    <t>E Siberia; winters SE Asia to Philippines and Indonesia</t>
  </si>
  <si>
    <t>E Asia; winters India to SE Asia, Philippines and Australasia</t>
  </si>
  <si>
    <t>N Palearctic; winters to Africa, s Asia and e North America</t>
  </si>
  <si>
    <t>Coastal e China; winters South Korea and s Japan to n Vietnam</t>
  </si>
  <si>
    <t>W-central N America; winters Pacific coasts of S America</t>
  </si>
  <si>
    <t>Coastal Siberia, Kuril Islands, Korea, China and Japan</t>
  </si>
  <si>
    <t>Breeds ne Siberia to Japan; winters south to Taiwan</t>
  </si>
  <si>
    <t>Cosmopolitan—wide distribution worldwide</t>
  </si>
  <si>
    <t>Coastal e China; winters to Thailand, Borneo and Moluccas</t>
  </si>
  <si>
    <t>Alaska and Siberia; winters to Singapore and Indonesia</t>
  </si>
  <si>
    <t>Palearctic; winters to Africa, s Asia and Australasia</t>
  </si>
  <si>
    <t>Circumpolar Arctic tundra; winters at sea in southern oceans</t>
  </si>
  <si>
    <t>Java, Bali and Lombok to Sumbawa, Flores, Solor and Timor</t>
  </si>
  <si>
    <t>Philippines, Taiwan and Lan-yü I.</t>
  </si>
  <si>
    <t>southern Myanmar through the Thai-Malay Peninsula to Sumatra, Java, and Lombok. Also the Philippines (native or introduced?), and many feral populations, e.g. the Seychelles, the Mascarenes, Indochina, Borneo, Hawaii, and Tahiti, among others</t>
  </si>
  <si>
    <t>Forests of Mindoro (central Philippines). Status unknown</t>
  </si>
  <si>
    <t>Negros and Panay (central Philippines)</t>
  </si>
  <si>
    <t>Tawitawi I. (Sulu Archipelago). Known only from two specimens collected in 1891; probably extinct</t>
  </si>
  <si>
    <t>Tawitawi (Sulu Archipelago)</t>
  </si>
  <si>
    <t>SE Philippines (Mindanao and Basilan)</t>
  </si>
  <si>
    <t>SE Asia to Philippines and Indonesia</t>
  </si>
  <si>
    <t>Montane forests of Luzon (n Philippines)</t>
  </si>
  <si>
    <t>Negros (known from a 1953 specimen from Mt. Canlaon)</t>
  </si>
  <si>
    <t>Highlands of Philippine Islands</t>
  </si>
  <si>
    <t>Highlands of Mindoro (central Philippines)</t>
  </si>
  <si>
    <t>N Philippines (Luzon, Polillo and Catanduanes)</t>
  </si>
  <si>
    <t>Forests of Mindoro (n-central Philippines)</t>
  </si>
  <si>
    <t>N Philippines (Luzon, Marinduque and Catanduanes)</t>
  </si>
  <si>
    <t>India to SE Asia; winters to Greater Sundas</t>
  </si>
  <si>
    <t>breeds from northern Pakistan to India, southern China, Myanmar, Thailand and Indochina; winters to southern India (Eastern and Western Ghats), Bangladesh, lowlands of the Thai-Malay Peninsula, Sumatra, Java, Bali, the Philippines, Borneo, and Sulawesi</t>
  </si>
  <si>
    <t>S Himalayas to s China and Taiwan; winters to Indonesia</t>
  </si>
  <si>
    <t>Russia to Siberia, n China, Korea, Japan; winters to Australia</t>
  </si>
  <si>
    <t>S Philippines (Mindanao, Dinagat and Siargao)</t>
  </si>
  <si>
    <t>Palawan (sw Philippines)</t>
  </si>
  <si>
    <t>Philippines (Luzon, Catanduanes and Marinduque)</t>
  </si>
  <si>
    <t>Philippines (Bohol, Samar, Biliran, Leyte, Mindando and Basilan)</t>
  </si>
  <si>
    <t>Philippines (Panay and Negros)</t>
  </si>
  <si>
    <t>Montane rainforests of Mindanao (s Philippines)</t>
  </si>
  <si>
    <t>Montane forests of Mindoro (Philippines)</t>
  </si>
  <si>
    <t>Philippine Islands, Sulu Archipelago and Talaud Archipelago</t>
  </si>
  <si>
    <t>Philippines (Basilan, Mindanao, Siargao and Dinagat)</t>
  </si>
  <si>
    <t>Philippines (Mindoro)</t>
  </si>
  <si>
    <t>Philippines (Cebu)</t>
  </si>
  <si>
    <t>Philippines (Camiguin Sur)</t>
  </si>
  <si>
    <t>Philippines (Sulu Archipelago on Sulu, Siasi, Tawi Tawi, and Sibutu)</t>
  </si>
  <si>
    <t>southwestern Philippines (Palawan and Calamian Islands)</t>
  </si>
  <si>
    <t>Philippines and Palawan (absent in Sulu Archipelago)</t>
  </si>
  <si>
    <t>Lowlands of Philippine Islands</t>
  </si>
  <si>
    <t>Philippines (Cebu, Leyte, Mindanao, Negros, Biliran, Samar)</t>
  </si>
  <si>
    <t>N Sulawesi and Philippines (absent from Palawan)</t>
  </si>
  <si>
    <t>Forests of Mindanao (s Philippines)</t>
  </si>
  <si>
    <t>Manchuria, Korea and China to s India, Malaya and Sulu Arch.</t>
  </si>
  <si>
    <t>Central and s Philippines</t>
  </si>
  <si>
    <t>S Philippines (Basilan, Dinagat and Mindanao)</t>
  </si>
  <si>
    <t>Central Philippines (Bohol, Samar and Leyte)</t>
  </si>
  <si>
    <t>India to s China, SE Asia, New Guinea and Indonesia</t>
  </si>
  <si>
    <t>S China, Thailand and Indochina to Sumatra, Borneo and Java</t>
  </si>
  <si>
    <t>SW Philippines (Palawan, Balabac, Busuanga and Calauit)</t>
  </si>
  <si>
    <t>Sulu Archipelago (Jolo, Tawitawi and Sanga Sanga)</t>
  </si>
  <si>
    <t>Central Philippines (Panay, Guimaras and Negros)</t>
  </si>
  <si>
    <t>S Philippines (Camiguin, Dinagat and Mindanao)</t>
  </si>
  <si>
    <t>Philippines (Luzon, Marinduque and Catanduanes)`</t>
  </si>
  <si>
    <t>Mindoro (central Philippines)</t>
  </si>
  <si>
    <t>Philippines (Samar, Leyte, Calicoan and Bohol)</t>
  </si>
  <si>
    <t>Sulu Arch. (Bongao, Jolo, Tawitawi, Sanga Sanga and Sibutu)</t>
  </si>
  <si>
    <t>S Philippines (Balabac, Palawan and Calamian Islands)</t>
  </si>
  <si>
    <t>N Philippines (Luzon, Polillo, Catanduanes and Marinduque)</t>
  </si>
  <si>
    <t>Philippines (Negros, Guimaras, Panay, Masbate and Ticao)</t>
  </si>
  <si>
    <t>Philippines (Balabac, Palawan, Busuanga and Calamian Is.)</t>
  </si>
  <si>
    <t>Steppes of ne Asia; winters from Malawi to South Africa</t>
  </si>
  <si>
    <t>S Asia, Malay Arch. and New Guinea region; winters to s India</t>
  </si>
  <si>
    <t>Forests and scrub of Philippine Islands and Palawan</t>
  </si>
  <si>
    <t>Mountains of Mindanao (s Philippines)</t>
  </si>
  <si>
    <t>Mountains of Luzon (n Philippines)</t>
  </si>
  <si>
    <t>S Philippines (Balabac, Palawan, Calamian and adj. islands)</t>
  </si>
  <si>
    <t>Mindoro (n-central Philippines)</t>
  </si>
  <si>
    <t>Sulu Archipelago</t>
  </si>
  <si>
    <t>N Philippines (lowlands of Luzon and Marinduque)</t>
  </si>
  <si>
    <t>Montane forests of Mindanao (s Philippines)</t>
  </si>
  <si>
    <t>Camiguin (Philippines)</t>
  </si>
  <si>
    <t>C Philippines (Leyte, Samar and Bohol)</t>
  </si>
  <si>
    <t>Mountains of n Luzon (n Philippines)</t>
  </si>
  <si>
    <t>S Japan to Korea and se China; winters to SE Asia and Borneo</t>
  </si>
  <si>
    <t>SE Asia to Borneo; winters to Gr. Sundas; vagrant to nw Australia</t>
  </si>
  <si>
    <t>NE Asia; &gt;Philippines and Indonesia</t>
  </si>
  <si>
    <t>Mts. of Mindanao (s Philippines)</t>
  </si>
  <si>
    <t>C Philippines (Guimaras, Negros and Panay)</t>
  </si>
  <si>
    <t>India to Myanmar, Andaman Is., Greater Sundas and Palawan</t>
  </si>
  <si>
    <t>N Philippines (Luzon and Mindoro)</t>
  </si>
  <si>
    <t>NE Asia; &gt; to SE Asia, Greater Sundas and Philippines</t>
  </si>
  <si>
    <t>N Philippines (montane forests of Luzon)</t>
  </si>
  <si>
    <t>N Philippines (mountains of n Luzon)</t>
  </si>
  <si>
    <t>E Himalayas to s China; &gt; to SE Asia and Greater Sundas</t>
  </si>
  <si>
    <t>Philippines (Tablas)</t>
  </si>
  <si>
    <t>Philippines (Bohol, Leyte and Samar)</t>
  </si>
  <si>
    <t>Philippines (Guimaras, Masbate, Negros, Panay and Ticao)</t>
  </si>
  <si>
    <t>Philippine Islands and Sulu Archipelago</t>
  </si>
  <si>
    <t>breeds China, Manchuria and Japan; winters to Thailand, Indochina, the Thai-Malay Peninsula, and Sumatr</t>
  </si>
  <si>
    <t>SW Philippines (Calamian Group and Palawan)</t>
  </si>
  <si>
    <t>SE Siberia and n Manchuria; winters to s China and Ryukyu Is.</t>
  </si>
  <si>
    <t>SW Philippines (Balabac, Calauit and Palawan)</t>
  </si>
  <si>
    <t>SW Philippines (Palawan, Culion and Busuanga)</t>
  </si>
  <si>
    <t>SW Philippines (Balabac, Busuanga, Calamianes and Palawan)</t>
  </si>
  <si>
    <t>Mts. of Palawan (sw Philippines)</t>
  </si>
  <si>
    <t>Philippines (Mindoro and Semirara)</t>
  </si>
  <si>
    <t>Philippines (Guimaras, Masbate, Panay, Negros, Ticao, Verde)</t>
  </si>
  <si>
    <t>S Philippines (Basilan and Zamboanga Pen. of w Mindanao)</t>
  </si>
  <si>
    <t>Montane forests of n Luzon (n Philippines)</t>
  </si>
  <si>
    <t>breeds northeastern China, adjacent southeastern Siberia, and Korea; winters to southeastern China</t>
  </si>
  <si>
    <t>Breeds ne Asia; winters to SE Asia and Taiwan</t>
  </si>
  <si>
    <t>Breeds Ural Mountains east to Sea of Okhotsk, Mongolia, and Manchuria (and possibly northern Korea); winters from Nepal and Bangladesh east to southern China, Hainan, Andaman Islands, Thailand, Mayala, and southeast Asia</t>
  </si>
  <si>
    <t>Breeds ne Asia; winters in SE Asia</t>
  </si>
  <si>
    <t>Izu Islands (s Japanese Archipelago); &gt; n Philippines</t>
  </si>
  <si>
    <t>S Philippines (Samar, Leyte, Mindanao, Negros) and Sulu Arch.</t>
  </si>
  <si>
    <t>Incompletely known. Breeds Japan (Honshu, Shikoku, Kyushu); winter range uncertain</t>
  </si>
  <si>
    <t>Incompletely known. Breeds s Kamchatka, Sakhalin, Kurile Is, ne Hokkaido; winters at least to Indonesia</t>
  </si>
  <si>
    <t>SE Siberia to n China; winters s Asia, n Australia and Philippines</t>
  </si>
  <si>
    <t>E Siberia to n China and n Manchuria; winters to s Asia</t>
  </si>
  <si>
    <t>Breeds ne China (Liaoning to Hubei); winters in Philippines</t>
  </si>
  <si>
    <t>northern Luzon (northernmost Ilocos Norte Province), Philippines</t>
  </si>
  <si>
    <t>northeastern Luzon (Philippines)</t>
  </si>
  <si>
    <t>southeastern Luzon and Catanduanes, Philippines</t>
  </si>
  <si>
    <t>NE Asia; winters to Philippines, Indonesia and w New Guinea</t>
  </si>
  <si>
    <t>E Palearctic; winters to s Asia, Greater Sundas and Philippines</t>
  </si>
  <si>
    <t>S Philippines (Leyte and Samar)</t>
  </si>
  <si>
    <t>S Philippines (Mindanao)</t>
  </si>
  <si>
    <t>northern and central Luzon (Philippines)</t>
  </si>
  <si>
    <t>SW Philippines (Balabac and Palawan)</t>
  </si>
  <si>
    <t>S Philippines (Balabac and Palawan)</t>
  </si>
  <si>
    <t>N Philippines (n Luzon)</t>
  </si>
  <si>
    <t>Central Philippines (montane forests of Panay)</t>
  </si>
  <si>
    <t>Philippines (montane forests of Negros)</t>
  </si>
  <si>
    <t>SW Philippines (montane forests of Palawan)</t>
  </si>
  <si>
    <t>Negros and Panay, c Philippines; population on Panay may be an undescribed subspecies</t>
  </si>
  <si>
    <t>Philippines (Leyte and Samar)</t>
  </si>
  <si>
    <t>N Philippines (Sierra Madre Mountains of n Luzon)</t>
  </si>
  <si>
    <t>Sulawesi, Java, Bali, Lesser Sundas and s Philippines (Mindanao)</t>
  </si>
  <si>
    <t>Lowlands of s-central China; winters to SE Asia and Philippines</t>
  </si>
  <si>
    <t>NE Asia; winters in s China and Philippines</t>
  </si>
  <si>
    <t>SE Siberia to n Mongolia and n Korea; winters to SE Asia</t>
  </si>
  <si>
    <t>S Sakhalin, Kuril Is. and n Japan; winters to Philippines, e Indies</t>
  </si>
  <si>
    <t>S China to Indochina; winters to SE Asia and n Philippines</t>
  </si>
  <si>
    <t>S-central Europe; winters primarily India and se Arabian Pen.</t>
  </si>
  <si>
    <t>Thai-Malay Peninsula, Sumatra, Java, Borneo, southwestern Philippines (Sulu Archipelago), and Lesser Sundas (Lombok, Sumbawa, and Flores)</t>
  </si>
  <si>
    <t>Patchily distributed Philippines to Sumatra, Java, Lesser Sundas</t>
  </si>
  <si>
    <t>Siberia, Mongolia and Japan; winters to Indonesia and Philippines</t>
  </si>
  <si>
    <t>NE Siberia to Kuril Is. and Japan; winters to SE Asia and Sumatra</t>
  </si>
  <si>
    <t>N Siberia to Kamchatka; winters to Japan, s China and Myanmar</t>
  </si>
  <si>
    <t>S Philippines (Balabac, Busuanga, Culion, Bantac and Palawan)</t>
  </si>
  <si>
    <t>Cebu (s-central Philippines)</t>
  </si>
  <si>
    <t>SE Siberia to ne China; &gt; to New Guinea and Philippines</t>
  </si>
  <si>
    <t>N Philippines (Luzon and Negros)</t>
  </si>
  <si>
    <t>Nepal to n India, s China and Taiwan; &gt; to Indochina</t>
  </si>
  <si>
    <t>SW Philippines (Balabac, Calamian and Palawan)</t>
  </si>
  <si>
    <t>breeds central China (Shaanxi east to Beijing, and south to northwest Hubei); wintering range very poorly known, but recorded south to the Thai-Malay Peninsula</t>
  </si>
  <si>
    <t>S Philippines (montane forests of Mindanao)</t>
  </si>
  <si>
    <t>Philippines (lowlands of Negros and Guimaras)</t>
  </si>
  <si>
    <t>Montane forests of Mt. Apo on Mindanao (s Philippines)</t>
  </si>
  <si>
    <t>Siberia to Japan; &gt; to SE Asia, Philippines and Palau Is.</t>
  </si>
  <si>
    <t>breeds from Finland and northern Russia to east to Mongolia, northeast China, Korea, and Japan; resident in Japan (except for Hokkaido), otherwise winters to southern China, Taiwan, Indochina, Myanmar, and Thailand</t>
  </si>
  <si>
    <t>Mountains of ne Asia; &gt; in SE Asia and Greater Sundas</t>
  </si>
  <si>
    <t>SE Siberia, Sakhalin and ne China; &gt; to SE Asia, Indonesia</t>
  </si>
  <si>
    <t>Siberia to Kamchatka Pen. and n Mongolia; &gt; to Borneo</t>
  </si>
  <si>
    <t>Lowlands of Palawan (sw Philippines)</t>
  </si>
  <si>
    <t>Submontane forests of Mindanao (s Philippines)</t>
  </si>
  <si>
    <t>Submontane forests of Luzon (n Philippines)</t>
  </si>
  <si>
    <t>Rocky streams of n Luzon (n Philippines)</t>
  </si>
  <si>
    <t>Philippines (Cebu, Leyte and Mindanao)</t>
  </si>
  <si>
    <t>Philippines (Balabac, Busuanga, Palawan and Calamian)</t>
  </si>
  <si>
    <t>Widespread throughout Philippine Islands</t>
  </si>
  <si>
    <t>Philippines (Panay and Negros); probably extinct on Guimaras</t>
  </si>
  <si>
    <t>N Philippines (Mindoro); vagrant to Panay and Negros</t>
  </si>
  <si>
    <t>Philippines (rediscovered 1992 after 85-year absence on Cebu)</t>
  </si>
  <si>
    <t>Mangroves and scrub of SE Asia, Palawan and Greater Sundas</t>
  </si>
  <si>
    <t>S Philippines (montane forests of e Mindanao)</t>
  </si>
  <si>
    <t>Basilan, Dinagat, Siargo, Biliran, Samar, Leyte and Mindanao</t>
  </si>
  <si>
    <t>N Philippines (Luzon)</t>
  </si>
  <si>
    <t>Philippines (Bohol)</t>
  </si>
  <si>
    <t>S Philippines (Balabac, Busuanga, Culion and Palawan)</t>
  </si>
  <si>
    <t>Philippines (Cebu, Negros, Panay, Sibuyan and Tablas)</t>
  </si>
  <si>
    <t>SW Philippines (Palawan)</t>
  </si>
  <si>
    <t>S Philippines (Mts. of Mindanao)</t>
  </si>
  <si>
    <t>S Philippines (Mt. Katanglad and Mt. Apo on Mindanao)</t>
  </si>
  <si>
    <t>Borneo, Natuna, Banggi, Cagayan and Sulu islands</t>
  </si>
  <si>
    <t>Java, Bali, Lombok, Sumbawa, Kangean Is.; introd. Christmas I.</t>
  </si>
  <si>
    <t>Russian Far East to se China and s Japan; &gt;s and SE Asia</t>
  </si>
  <si>
    <t>Tundra of n Palearctic, Alaska; &gt;Africa and Indonesia</t>
  </si>
  <si>
    <t>N Eurasia; winters Mediterranean region and s Asia</t>
  </si>
  <si>
    <t>N Palearctic; winters Mediterranean region, China and Ryukyu Is.</t>
  </si>
  <si>
    <t>Taiga of n Eurasia; &gt; to India, SE Asia and Philippines</t>
  </si>
  <si>
    <t>S-central Eurasia; &gt; to India</t>
  </si>
  <si>
    <t>Honshu (Japan); &gt; e China, n Philippines and Taiwan</t>
  </si>
  <si>
    <t>New Britain I. (Bismarck Archipelago)</t>
  </si>
  <si>
    <t>S New Guinea and n and e Australia</t>
  </si>
  <si>
    <t>Taiga of Scandinavia to Ural Mountains</t>
  </si>
  <si>
    <t>Taiga and wooded tundra of Ural Mountains to Lake Baikal</t>
  </si>
  <si>
    <t>Taiga of e Siberia (east of Lake Baikal)</t>
  </si>
  <si>
    <t>Tundra of n Russia and nw Siberia (accidental in Quebec)</t>
  </si>
  <si>
    <t>Tundra of ne Siberia</t>
  </si>
  <si>
    <t>breeds from interior and northern Alaska east across arctic Canada to the Hudson Bay regoin; winters in the south central United States and in northeastern Mexico</t>
  </si>
  <si>
    <t>breeds in western Alaska; winters in California and western Mexico</t>
  </si>
  <si>
    <t>Lowlands of India, s Asia, Indonesia and New Guinea</t>
  </si>
  <si>
    <t>Lowlands of coastal ne Australia</t>
  </si>
  <si>
    <t>Holarctic; winters to Mexico, North Africa, India and Borneo</t>
  </si>
  <si>
    <t>Coastal sw Greenland</t>
  </si>
  <si>
    <t>breeds in northern Eurasia; winters to the Mediterranean region, India, Japan, Korea, and China</t>
  </si>
  <si>
    <t>breeds northern North America; winters south to the southern United States and northwestern Mexico</t>
  </si>
  <si>
    <t>N Borneo, Palawan and Sulu Archipelago</t>
  </si>
  <si>
    <t>northern Philippines (Luzon, Mindoro, Marinduque, and Babuyan Islands)</t>
  </si>
  <si>
    <t>central Philippines: Visayan Islands (Masbate, Negros, Cebu, Bohol, Leyte, and Samar), western Mindanao, and Basilan</t>
  </si>
  <si>
    <t>southeastern Philippines (eastern Mindanao)</t>
  </si>
  <si>
    <t>Sulawesi, Talisei, Tendila, Lembeh and Togian islands</t>
  </si>
  <si>
    <t>Sangihe, Siau, Tahulandang and Ruang islands (off Sulawesi)</t>
  </si>
  <si>
    <t>Talaud Islands (n Moluccas)</t>
  </si>
  <si>
    <t>Dry scrub of ne India to Myanmar and Indochina</t>
  </si>
  <si>
    <t>SE China and Hainan</t>
  </si>
  <si>
    <t>Steppes of Mongolia and n China (Xinjiang)</t>
  </si>
  <si>
    <t>Steppes of Manchuria to w China (Gansu and Qinghai)</t>
  </si>
  <si>
    <t>India to Sri Lanka, Malaya, Indochina, se China and Taiwan</t>
  </si>
  <si>
    <t>Nicobar Islands</t>
  </si>
  <si>
    <t>N Australia (Northern Territory)</t>
  </si>
  <si>
    <t>N India and adjacent Nepal and Bangladesh</t>
  </si>
  <si>
    <t>Myanmar to sw Yunnan, Malay Peninsula and n Sumatra</t>
  </si>
  <si>
    <t>N Vietnam to s China (se Yunnan, Guangxi and Hainan I.)</t>
  </si>
  <si>
    <t>N Indochina to e Thailand</t>
  </si>
  <si>
    <t>S Sumatra, Java and Bali</t>
  </si>
  <si>
    <t>Breeds South Pacific islands from New Zealand to Easter I.</t>
  </si>
  <si>
    <t>Juan Fernández, San Ambrosio and San Félix islands (off Chile)</t>
  </si>
  <si>
    <t>Breeds Marquesas and Society islands; confined to trop. Pacific</t>
  </si>
  <si>
    <t>Breeds New Caledonia; ranges s Pacific Ocean</t>
  </si>
  <si>
    <t>Europe east to Ural Mountains and nw Africa</t>
  </si>
  <si>
    <t>Iraq and sw Iran</t>
  </si>
  <si>
    <t>Caucasus to Myanmar and Sri Lanka; Africa s of the Sahara</t>
  </si>
  <si>
    <t>SE to ne Asia, Hainan, Taiwan, Japan and s Kuril Islands</t>
  </si>
  <si>
    <t>N Philippine Islands</t>
  </si>
  <si>
    <t>Mindanao (s Philippines)</t>
  </si>
  <si>
    <t>Locally in Eurasia</t>
  </si>
  <si>
    <t>Canada to Mexico; winters to Guatemala</t>
  </si>
  <si>
    <t>Breeds islands in w Indian Ocean</t>
  </si>
  <si>
    <t>Islands in e Indian Ocean and Easter I.</t>
  </si>
  <si>
    <t>Breeds sw Pacific islands</t>
  </si>
  <si>
    <t>Breeds and disperses widely in tropical Pacific Ocean</t>
  </si>
  <si>
    <t>India to Indochina, n Malay Peninsula and Philippines</t>
  </si>
  <si>
    <t>Java and Wallacea</t>
  </si>
  <si>
    <t>S Palearctic to India; winters to central Africa and se China</t>
  </si>
  <si>
    <t>Banc d'Arguin (off coast of Mauritania)</t>
  </si>
  <si>
    <t>Coasts of Red Sea and Somalia</t>
  </si>
  <si>
    <t>Palearctic and n Afrotropical region; winters to Philippines</t>
  </si>
  <si>
    <t>Southern Africa</t>
  </si>
  <si>
    <t>India and SE Asia to Indonesia and Philippines</t>
  </si>
  <si>
    <t>Moluccas, New Guinea and Bismarck Arch. to w, n and e Australia</t>
  </si>
  <si>
    <t>Solomon Islands</t>
  </si>
  <si>
    <t>formerly Bonin Islands; extinct since the late 1800s</t>
  </si>
  <si>
    <t>Philippines, e Borneo and Sulawesi</t>
  </si>
  <si>
    <t>Australia and New Guinea, west to Java</t>
  </si>
  <si>
    <t>Palau and Caroline islands</t>
  </si>
  <si>
    <t>Bismarck Archipelago to Solomon Islands</t>
  </si>
  <si>
    <t>Africa south of the Sahara and islands in Gulf of Guinea</t>
  </si>
  <si>
    <t>Red Sea environs and n Somalia</t>
  </si>
  <si>
    <t>Comoro Islands</t>
  </si>
  <si>
    <t>Aldabra and Amirante islands</t>
  </si>
  <si>
    <t>Diego Garcia, Chagos and Maldive islands</t>
  </si>
  <si>
    <t>Andaman Islands, Nicobar Islands and islands off w Sumatra</t>
  </si>
  <si>
    <t>Manchuria to ne China, Japan, Ryukyu and Bonin islands</t>
  </si>
  <si>
    <t>E China to n Vietnam and n Myanmar</t>
  </si>
  <si>
    <t>Myanmar and Thailand to Greater Sundas and Mascarene Islands</t>
  </si>
  <si>
    <t>Aru Islands and nw New Guinea</t>
  </si>
  <si>
    <t>N-central New Guinea</t>
  </si>
  <si>
    <t>E Queensland, New Caledonia and Loyalty Islands</t>
  </si>
  <si>
    <t>N-central Australia</t>
  </si>
  <si>
    <t>Tahiti (Society Islands)</t>
  </si>
  <si>
    <t>Melanesia (New Hanover to w Fiji)</t>
  </si>
  <si>
    <t>Central Thailand to s Indochina</t>
  </si>
  <si>
    <t>West and central Indonesian Archipelago</t>
  </si>
  <si>
    <t>Eurasia to Manchuria, India, Africa and Comoro Islands</t>
  </si>
  <si>
    <t>Japan, China, Indochina, Malaya, Sumatra and Java</t>
  </si>
  <si>
    <t>southwestern Palearctic east to Iran, and Africa south of the Sahara</t>
  </si>
  <si>
    <t>Southern and e Asia, Indonesia and Philippine Islands</t>
  </si>
  <si>
    <t>Coastal SE Asia, Malay Archipelago, Oceania and Australasia</t>
  </si>
  <si>
    <t>New Caledonia and Loyalty Islands</t>
  </si>
  <si>
    <t>Breeds Trindade I. and Martín Vaz I.; ranges to Brazil</t>
  </si>
  <si>
    <t>Breeds w Indian Ocean on Aldabra and adjacent islands</t>
  </si>
  <si>
    <t>Cocos and Christmas is. (Indian Ocean); Paracel Is. (S China Sea)</t>
  </si>
  <si>
    <t>Breeds islands in w and central Pacific</t>
  </si>
  <si>
    <t>Breeds e Pacific on Revillagigedo, Cocos and Galapagos islands</t>
  </si>
  <si>
    <t>Mascarene Islands; disperses to coasts of India and Somalia</t>
  </si>
  <si>
    <t>Islands in Indian and Pacific oceans</t>
  </si>
  <si>
    <t>Breeds islands in Caribbean and sw Atlantic Ocean</t>
  </si>
  <si>
    <t>Islands in n Tasman Sea</t>
  </si>
  <si>
    <t>Islands in central and w Pacific to islands off w Australia</t>
  </si>
  <si>
    <t>N-central Europe to s China; winters to SE Asia and Indonesia</t>
  </si>
  <si>
    <t>Honshu I. (Japan)</t>
  </si>
  <si>
    <t>Pakistan to e China, Indochina and Malay Peninsula</t>
  </si>
  <si>
    <t>Greater and Lesser Sundas, Sulawesi and Philippines</t>
  </si>
  <si>
    <t>India and Sri Lanka to Myanmar and extreme sw China</t>
  </si>
  <si>
    <t>Malay Peninsula, Sumatra and Borneo</t>
  </si>
  <si>
    <t>S Philippines (Palawan and Calauit)</t>
  </si>
  <si>
    <t>N and e Philippine Islands</t>
  </si>
  <si>
    <t>NE India to Myanmar, s China and n Malay Peninsula</t>
  </si>
  <si>
    <t>SW India and Sri Lanka</t>
  </si>
  <si>
    <t>Sulawesi, Banggai and Sula islands</t>
  </si>
  <si>
    <t>N India and Nepal</t>
  </si>
  <si>
    <t>Indo-Gangetic plain</t>
  </si>
  <si>
    <t>Myanmar to sw China, Thailand and Indochina</t>
  </si>
  <si>
    <t>Southern China and n Vietnam</t>
  </si>
  <si>
    <t>Malay Peninsula, n Sumatra and Anambas Islands</t>
  </si>
  <si>
    <t>Andaman Islands</t>
  </si>
  <si>
    <t>Hainan (s China)</t>
  </si>
  <si>
    <t>Lowlands of n Borneo</t>
  </si>
  <si>
    <t>S Borneo</t>
  </si>
  <si>
    <t>S Sumatra and Batu Islands</t>
  </si>
  <si>
    <t>N India to Indochina, Malaya, Greater Sundas and Philippines</t>
  </si>
  <si>
    <t>Peninsular India</t>
  </si>
  <si>
    <t>NE India and Nepal; sw India (Western Ghats) and Sri Lanka</t>
  </si>
  <si>
    <t>Myanmar to Indochina, Malay Pen., Indonesia and Philippines</t>
  </si>
  <si>
    <t>India and Nepal to s China, Indochina and Malay Peninsula</t>
  </si>
  <si>
    <t>SW India</t>
  </si>
  <si>
    <t>Nias I. (off w Sumatra)</t>
  </si>
  <si>
    <t>Java (vagrant to Bali)</t>
  </si>
  <si>
    <t>SW Philippines (Palawan and Calamianes)</t>
  </si>
  <si>
    <t>Polillo (off Luzon in n Philippines)</t>
  </si>
  <si>
    <t>SE Philippine Islands</t>
  </si>
  <si>
    <t>Mongolia to e China and Taiwan; winters to India and Indonesia</t>
  </si>
  <si>
    <t>Sakhalin, Kuril Is. and Japan; winters to Philippines and Indonesia</t>
  </si>
  <si>
    <t>S Ryukyu Islands (Iriomote and Ishigaki)</t>
  </si>
  <si>
    <t>N India and Nepal to central China and Indochina</t>
  </si>
  <si>
    <t>Mountains of Taiwan</t>
  </si>
  <si>
    <t>S India and Sri Lanka</t>
  </si>
  <si>
    <t>N Borneo</t>
  </si>
  <si>
    <t>Flores (Lesser Sundas)</t>
  </si>
  <si>
    <t>Andaman and Nicobar islands</t>
  </si>
  <si>
    <t>Philippines (Luzon, Mindoro, Negros and Catanduanes)</t>
  </si>
  <si>
    <t>Philippines (Cebu, Bohol, Leyte, Samar, Siquijor and Mindanao)</t>
  </si>
  <si>
    <t>Europe to Asia Minor and Siberia; winters to Africa</t>
  </si>
  <si>
    <t>Central and e Asia; winters to India, Sri Lanka and Indochina</t>
  </si>
  <si>
    <t>Himalayas and mountains of central Asia</t>
  </si>
  <si>
    <t>NW Africa (Morocco to Tunisia)</t>
  </si>
  <si>
    <t>Madeira and Canary Islands</t>
  </si>
  <si>
    <t>NW Africa and Europe to s-central Asia; winters to s Africa</t>
  </si>
  <si>
    <t>Siberia to n India, China and Ryukyu Is.; winters to Iraq, SE Asia</t>
  </si>
  <si>
    <t>Indian subcontinent to Indochina and Malay Peninsula</t>
  </si>
  <si>
    <t>Taiwan and Hainan (s China)</t>
  </si>
  <si>
    <t>Sulawesi to Moluccas, New Guinea, Solomons and Australia</t>
  </si>
  <si>
    <t>Indian subcontinent and SE Asia to s China</t>
  </si>
  <si>
    <t>Malay Peninsula, Indonesian Archipelago and Philippine Islands</t>
  </si>
  <si>
    <t>Moluccas, New Guinea, Bismarck Arch. and coastal n Australia</t>
  </si>
  <si>
    <t>breeds from central Siberia east to Japan, northern Korea, and perhaps northeastern China; winters Japan and Korea south to southeast Asia</t>
  </si>
  <si>
    <t>Izu Islands and Bonin Islands</t>
  </si>
  <si>
    <t>Daito Islands</t>
  </si>
  <si>
    <t>Pakistan and India to Assam; winters to Sri Lanka</t>
  </si>
  <si>
    <t>Myanmar to n Thailand, Sumatra and Java</t>
  </si>
  <si>
    <t>Ryukyu Islands</t>
  </si>
  <si>
    <t>Batan Islands (n Philippines)</t>
  </si>
  <si>
    <t>Taiwan and Lan-yü I.</t>
  </si>
  <si>
    <t>Philippines; vagrant to Palau Islands (w Micronesia)</t>
  </si>
  <si>
    <t>Sulawesi and Sula Islands</t>
  </si>
  <si>
    <t>Sulawesi, Muna and adjacent islands</t>
  </si>
  <si>
    <t>Peleng I. (Banggai Is.) and Sula Is. (Taliabu, Mangole, Sanana)</t>
  </si>
  <si>
    <t>Tukangbesi Islands (Binongka and Kaledupa)</t>
  </si>
  <si>
    <t>Salawati I. and nw New Guinea</t>
  </si>
  <si>
    <t>Cocos Islands (ne Indian Ocean)</t>
  </si>
  <si>
    <t>Gunungapi I. (Banda Sea)</t>
  </si>
  <si>
    <t>Flores I. (Lesser Sundas)</t>
  </si>
  <si>
    <t>Philippine Islands, Sulawesi, Sula Islands (Taliabu), Moluccas (Buru), and the Lesser Sunda Islands (Sumba, Alor, Sawu, Roti, and Timor)</t>
  </si>
  <si>
    <t>Palau Is. (w Caroline Islands)</t>
  </si>
  <si>
    <t>Anchorite Is. (Admiralty Islands)</t>
  </si>
  <si>
    <t>Admiralty Islands</t>
  </si>
  <si>
    <t>Skoki I. (Admiralty Islands)</t>
  </si>
  <si>
    <t>Bismarck Arch. (New Hanover, New Ireland, Tabar and Tanga)</t>
  </si>
  <si>
    <t>Bismarck Archipelago (Witu Islands and New Britain)</t>
  </si>
  <si>
    <t>Fiji Islands and Vanuatu</t>
  </si>
  <si>
    <t>Samoa Islands and Niue I.</t>
  </si>
  <si>
    <t>Tonga Islands</t>
  </si>
  <si>
    <t>Macquarie I. Extinct</t>
  </si>
  <si>
    <t>N New Guinea</t>
  </si>
  <si>
    <t>Coral Sea islets (se New Guinea to n New Caledonia)</t>
  </si>
  <si>
    <t>S New Guinea, Australia and Norfolk I.</t>
  </si>
  <si>
    <t>S Asia, Malay Archipelago and Philippine Islands</t>
  </si>
  <si>
    <t>Sulawesi, w Moluccas and Lesser Sundas</t>
  </si>
  <si>
    <t>Known from a 1912 specimen from Borneo</t>
  </si>
  <si>
    <t>Known from 4 specimens from New Guinea</t>
  </si>
  <si>
    <t>E New Guinea, s Australia (winters to n); accidental Tasmania</t>
  </si>
  <si>
    <t>New Zealand and Chatham Islands</t>
  </si>
  <si>
    <t>Pakistan and India to the Thai-Malay Peninsula, Indonesia and Philippines</t>
  </si>
  <si>
    <t>W peninsular India and Sri Lanka</t>
  </si>
  <si>
    <t>Japan, e China, Manchuria, Indochina and Taiwan</t>
  </si>
  <si>
    <t>Palearctic; winters to Arabia and s China</t>
  </si>
  <si>
    <t>Africa south of the Sahara and St. Helena I.</t>
  </si>
  <si>
    <t>Madagascar, Réunion, Mauritius and Comoro Islands</t>
  </si>
  <si>
    <t>N Marianas (Guam, Saipan, Tinian and Pagan)</t>
  </si>
  <si>
    <t>Palearctic; winters to Africa, Indonesia and Philippines</t>
  </si>
  <si>
    <t>Mountains of Java and nw New Guinea</t>
  </si>
  <si>
    <t>Mountains of central New Guinea</t>
  </si>
  <si>
    <t>Wetlands of Australia, Tasmania, New Zealand and Buru I.</t>
  </si>
  <si>
    <t>N India to Nepal and (formerly?) Bangladesh</t>
  </si>
  <si>
    <t>Cambodia and s Laos; winters in Vietnam</t>
  </si>
  <si>
    <t>Spottily distributed coastal n Australia (mainly Queensland)</t>
  </si>
  <si>
    <t>S Iberian Peninsula, n Morocco, Algeria and Tunisia</t>
  </si>
  <si>
    <t>Africa south of the Sahara and extreme s Arabian Peninsula</t>
  </si>
  <si>
    <t>Extreme e Iran to India and Myanmar</t>
  </si>
  <si>
    <t>Peninsular Thailand to s China, n Indochina and Taiwan</t>
  </si>
  <si>
    <t>S Philippines (Bohol and Mindanao)</t>
  </si>
  <si>
    <t>Negros I. (Philippines)</t>
  </si>
  <si>
    <t>Mountains of n Luzon I. (n Philippines)</t>
  </si>
  <si>
    <t>S and central Luzon I. (n Philippines)</t>
  </si>
  <si>
    <t>Nepal, Sikkim and Bangladesh to n Myanmar</t>
  </si>
  <si>
    <t>NE India (lower w Bengal)</t>
  </si>
  <si>
    <t>S Kyushu I. and Makenoshima I. south to Ryukyu Islands</t>
  </si>
  <si>
    <t>Myanmar to s China, n Indochina and Hainan I.</t>
  </si>
  <si>
    <t>S-central Myanmar</t>
  </si>
  <si>
    <t>Central Thailand</t>
  </si>
  <si>
    <t>Thai-Malay Peninsula</t>
  </si>
  <si>
    <t>Sumatra, Belitung I. and Bangka I. to Java and Bali</t>
  </si>
  <si>
    <t>SW Philippines (Palawan and Calamian Is.)</t>
  </si>
  <si>
    <t>N Philippines (Luzon to Mindoro, Sibuyan and Masbate)</t>
  </si>
  <si>
    <t>Philippines (Negros, Cebu and Panay)</t>
  </si>
  <si>
    <t>Iceland and Scandinavia to s Europe; winters to Africa</t>
  </si>
  <si>
    <t>Russia to Siberia and south to Caspian Sea and Aral Sea</t>
  </si>
  <si>
    <t>breeds northeastern arctic Canada, Greenland, Iceland, Spitsbergen, and southern Scandanavia south to France; primarily winters western Africa</t>
  </si>
  <si>
    <t>breeds northern Scandanavia to eastern Siberia; winters eastern Africa to the Caspian Sea and South Asia</t>
  </si>
  <si>
    <t>India and SE Asia</t>
  </si>
  <si>
    <t>Philippines to New Guinea and Bismarck Archipelago</t>
  </si>
  <si>
    <t>Pamirs to w China (w Xinjiang); winters to Africa and w India</t>
  </si>
  <si>
    <t>Himalayas and s Tibet: winters from India to Sumatra</t>
  </si>
  <si>
    <t>E Tibet to s Mongolia; winters Thailand to Greater Sundas</t>
  </si>
  <si>
    <t>E Siberia and Russian Far East; winters Taiwan to Australia</t>
  </si>
  <si>
    <t>Kamchatka to Chukotsk Peninsula; winters to Australia</t>
  </si>
  <si>
    <t>Turkey to s Afghanistan; winters se Mediterranean and Red Sea</t>
  </si>
  <si>
    <t>Transcaspia to se Kazakhstan; winters to South Africa</t>
  </si>
  <si>
    <t>W China to s Mongolia and s Siberia; winters Australasia</t>
  </si>
  <si>
    <t>British Isles to Ural Mts.; winters to nw Africa and India</t>
  </si>
  <si>
    <t>E Russia, Manchuria; winters to Africa, SE Asia and Indonesia</t>
  </si>
  <si>
    <t>N Siberia; winters SE Asia to coastal Australia, Tasmania</t>
  </si>
  <si>
    <t>NE Siberia to w Alaska; winters China to New Zealand</t>
  </si>
  <si>
    <t>Alaska, n N Am. and n Eurasia, winters to Africa, Australasia</t>
  </si>
  <si>
    <t>NE Alaska and Arctic Canada; winters se US to s S America</t>
  </si>
  <si>
    <t>Siberia; winters to South Africa and Australasia</t>
  </si>
  <si>
    <t>New Siberian Archipelago; winters to Australasia</t>
  </si>
  <si>
    <t>Chukotsk Peninsula (Russia); winters Australasia</t>
  </si>
  <si>
    <t>Wrangel I. (Russia) and nw Alaska; winters to n Venezuela</t>
  </si>
  <si>
    <t>Canadian low Arctic; winters to s South America</t>
  </si>
  <si>
    <t>Canadian high Arctic and n Greenland; winters in w Europe</t>
  </si>
  <si>
    <t>Scandinavia and nw Russia; winters to s Africa and India</t>
  </si>
  <si>
    <t>N Russia; winters to India, SE Asia, Philippines and Australia</t>
  </si>
  <si>
    <t>Russia to Chukotsk Pen.; winters China, Japan and Taiwan</t>
  </si>
  <si>
    <t>Sea of Okhotsk to Kuril Islands; wintering grounds unknown</t>
  </si>
  <si>
    <t>N Sakhalin; wintering grounds unknown</t>
  </si>
  <si>
    <t>NW Alaska and nw Canada; winters e China, Korea and Japan</t>
  </si>
  <si>
    <t>SW Alaska; winters in w US and w Mexico</t>
  </si>
  <si>
    <t>Iceland, Faeroe, Orkney and Shetland is.; winters in British Is.</t>
  </si>
  <si>
    <t>N Palearctic and Aleutians; winters to Africa, India, Indonesia</t>
  </si>
  <si>
    <t>Iceland, Faeroes and Scotland; winters Br. Isles and w Europe</t>
  </si>
  <si>
    <t>Scandinavia to Iberia; winters to Africa, India and Indonesia</t>
  </si>
  <si>
    <t>Siberia and Mongolia to e Russia; winters to Africa and India</t>
  </si>
  <si>
    <t>S Manchuria; winters in SE Asia</t>
  </si>
  <si>
    <t>NW China (nw Xinjiang); winter grounds unknown</t>
  </si>
  <si>
    <t>Pamir Mountains to n India and Tibet; winters in India</t>
  </si>
  <si>
    <t>Seychelles and Madagascar to Australia, Polynesia and Hawaii</t>
  </si>
  <si>
    <t>Galapagos Islands</t>
  </si>
  <si>
    <t>W Mexico (Revillagigedo Islands) to Costa Rica (Cocos I.)</t>
  </si>
  <si>
    <t>Caribbean and s Atlantic islands; Gulf of Guinea to Cameroon</t>
  </si>
  <si>
    <t>Cavilli I. and Tubbataha Reef (Sulu Sea)</t>
  </si>
  <si>
    <t>NE Australia and New Guinea to Tuamotu Archipelago</t>
  </si>
  <si>
    <t>Marcus I. and Wake I. through Micronesia to Caroline Islands</t>
  </si>
  <si>
    <t>Clipperton I. (off w Mexico) and Cocos I. (off Costa Rica)</t>
  </si>
  <si>
    <t>St. Helena and adjacent s Atlantic islands to Gulf of Guinea</t>
  </si>
  <si>
    <t>Seychelles and Mascarene islands and s Pacific to Hawaii, Clipperton and Cocos islands</t>
  </si>
  <si>
    <t>Henderson I. and Pitcairn I.</t>
  </si>
  <si>
    <t>SE California to w Mexico; Maine to C Am.; winters to Peru</t>
  </si>
  <si>
    <t>West Indies to Trinidad; winters to n Brazil</t>
  </si>
  <si>
    <t>Palearctic; winters tropical Africa and Persian Gulf to India</t>
  </si>
  <si>
    <t>Transbaikalia to Manchuria and e China; winters SE Asia</t>
  </si>
  <si>
    <t>E US to Gr. Antilles and Yucatán; winters to Brazil and Peru</t>
  </si>
  <si>
    <t>California to n Baja and nw Mexico; winters to Ecuador</t>
  </si>
  <si>
    <t>Coasts and rivers of French Guiana to ne Argentina</t>
  </si>
  <si>
    <t>coastal southern Africa (Namibia to Mozambique)</t>
  </si>
  <si>
    <t>breeds Tanzania, Seychelles, Aldabra, Rodrigues I., and northern Madagascar; disperses north to Somalia, and south to southern Madagascar</t>
  </si>
  <si>
    <t>Red Sea and nw Somalia to Maldives, Myanmar and Sri Lanka</t>
  </si>
  <si>
    <t>Ryukyu Islands and southeastern China to the Philippines, the Sunda Islands, Wallacea, New Guinea, Australia, and the tropical Pacific Ocean (to southeastern Polynesia)</t>
  </si>
  <si>
    <t>Europe to w Asia and w Indian Ocean; winters Africa to India</t>
  </si>
  <si>
    <t>Ghana to Gabon</t>
  </si>
  <si>
    <t>SE Russia to Japan, SE Asia, Philippines and New Guinea</t>
  </si>
  <si>
    <t>Coastal w Africa</t>
  </si>
  <si>
    <t>Madagascar, Aldabra, Seychelles, Mascarene and Andaman is.</t>
  </si>
  <si>
    <t>Ryukyu Is., Taiwan, Philippines, Indonesia and Australia</t>
  </si>
  <si>
    <t>W coast of Mexico and Central America</t>
  </si>
  <si>
    <t>Gulf of Mexico, e Mexico and W Indies; Gulf of Guinea islands</t>
  </si>
  <si>
    <t>S Red Sea and Indian Ocean to Ryukyu Is. and Philippines</t>
  </si>
  <si>
    <t>New Guinea, Australia and New Caledonia</t>
  </si>
  <si>
    <t>Bonin Islands to Hawaii and South Pacific islands</t>
  </si>
  <si>
    <t>Islands off w Mexico and Central America to Galapagos Is.</t>
  </si>
  <si>
    <t>Juan Fernández Islands (off Chile)</t>
  </si>
  <si>
    <t>Coastal e N America to W Indies; Azores, Europe and Africa</t>
  </si>
  <si>
    <t>Sri Lanka, Andaman Islands and Mergui Archipelago</t>
  </si>
  <si>
    <t>Arabian Sea; e China to New Guinea, Solomons and Ryukyus</t>
  </si>
  <si>
    <t>Moluccas and n and w Australia</t>
  </si>
  <si>
    <t>Aldabra, Amirante, Chagos and Maldive islands</t>
  </si>
  <si>
    <t>Andaman and Nicobar islands east to eastern China and southern Japan, south through southeast Asia to the Philippines, the Sunda Islands, New Guinea and northern Australia, Micronesia, Melanesia, and west central Polynesia (east to Samoa)</t>
  </si>
  <si>
    <t>N Am., S Am., Atlantic islands, Europe and w Africa to China</t>
  </si>
  <si>
    <t>breeds from central Asia to northern Mongolia, and Kashmir to Tibet; winters in the Indian Ocean</t>
  </si>
  <si>
    <t>breeds northwestern Africa and central and southern Europe to southeastern Siberia, eastern China and south to Pakistan and northern India; winters Africa and southern and southeastern Asia to Thai-Malay Peninsula, Sulawesi, and the Philippines</t>
  </si>
  <si>
    <t>eastern and southern Africa, and Madagascar</t>
  </si>
  <si>
    <t>breeds Australia; winters northern Australia north to New Guinea, the Sunda Islands, and the Philippines</t>
  </si>
  <si>
    <t>N Scandinavia and Russia; winters to s S America and S Africa</t>
  </si>
  <si>
    <t>Arctic N Am and Siberia; winters to s S America and S Africa</t>
  </si>
  <si>
    <t>Western Palearctic</t>
  </si>
  <si>
    <t>Mauritania, Mali and Ghana; coastal Senegambia and Guinea</t>
  </si>
  <si>
    <t>Central Sahara to central Sudan</t>
  </si>
  <si>
    <t>Egypt (Dakhla and Kharga oases)</t>
  </si>
  <si>
    <t>Nile Valley to Khartoum; Red Sea Hills of e Egypt to n Eritrea</t>
  </si>
  <si>
    <t>Palestine, Sinai and Arabia to Aden and Oman</t>
  </si>
  <si>
    <t>Iran to Azerbaijan, Transcaspia, Afghanistan and Uzbekistan</t>
  </si>
  <si>
    <t>Mountains of central Asia</t>
  </si>
  <si>
    <t>Peninsular India and Sri Lanka</t>
  </si>
  <si>
    <t>Philippines, Sulu Archipelago and islands off n Borneo</t>
  </si>
  <si>
    <t>Palawan and adjacent islands (Calauit, Comiran, and Lambucan), Philippines</t>
  </si>
  <si>
    <t>Banggai, Sulas, Kai, Moluccas to New Guinea and Solomons</t>
  </si>
  <si>
    <t>New Caledonia, Isle of Pines and Loyalty Islands</t>
  </si>
  <si>
    <t>Fiji Islands</t>
  </si>
  <si>
    <t>SW Siberia to Iran, Afghanistan, Kashmir and Nepal</t>
  </si>
  <si>
    <t>Central Siberia to China, Korea, Japan and Kuril Islands</t>
  </si>
  <si>
    <t>NE India to Myanmar and s-c China (w Yunnan and Hainan I.)</t>
  </si>
  <si>
    <t>Tibet to Myanmar, Thailand, SE Asia and n Philippines</t>
  </si>
  <si>
    <t>Sind, Punjab and w Nepal south through peninsular India</t>
  </si>
  <si>
    <t>N India to Malaya, Indochina, Philippines, Gr. and Lesser Sundas</t>
  </si>
  <si>
    <t>Myanmar to e China and Taiwan</t>
  </si>
  <si>
    <t>Calayan Island (north Philippines)</t>
  </si>
  <si>
    <t>Lanyu Island (off Taiwan) and Itbayat, Batan and Sabtang Islands (north Philippines)</t>
  </si>
  <si>
    <t>India to southeastern China, south to the Philippines, Indonesia and western Papuan islands</t>
  </si>
  <si>
    <t>Christmas I. (Indian Ocean)</t>
  </si>
  <si>
    <t>Numfor, Biak and Mios Num islands (n New Guinea)</t>
  </si>
  <si>
    <t>Malay Arch. to New Guinea, Philippines and Solomon Islands</t>
  </si>
  <si>
    <t>Palau Islands</t>
  </si>
  <si>
    <t>N Luzon (n Philippines)</t>
  </si>
  <si>
    <t>N Philippines (central and s Luzon and Polillo)</t>
  </si>
  <si>
    <t>NE Philippines (Vigo-Gigmoto watershed on Catanduanes)</t>
  </si>
  <si>
    <t>Philippines (Samar, Leyte and Bohol)</t>
  </si>
  <si>
    <t>S Philippines (Mindanao and Dinagat)</t>
  </si>
  <si>
    <t>Basilan I. (se Philippines)</t>
  </si>
  <si>
    <t>Leyte, Mindoro, Bohol, Dinagat, Samar, Mindanao and Siquijor</t>
  </si>
  <si>
    <t>S Philippines (Basilan) and Sulu Archipelago</t>
  </si>
  <si>
    <t>Luzon, Mindanao and adjacent Philippines</t>
  </si>
  <si>
    <t>Marinduque (n-central Philippines)</t>
  </si>
  <si>
    <t>S Luzon, Polillo, Alabat, Catanduanes, Lubang and Mindoro</t>
  </si>
  <si>
    <t>E Philippines (Mandate to Cebu, Basilan and Mindanao)</t>
  </si>
  <si>
    <t>Sulu Archipelago (Bongao, Jolo, Sibutu and Tawitawi)</t>
  </si>
  <si>
    <t>northern Ryukyu Islands (Yakushima, Amami-Oshima and Okinawa)</t>
  </si>
  <si>
    <t>S Ryukyu Islands (Ishigaki, Iriomote and Yonaguni)</t>
  </si>
  <si>
    <t>Mountains of Taiwan and Botel Tobago</t>
  </si>
  <si>
    <t>N Philippines (Batan, Calayan, Camiguin Norte and Sabtang)</t>
  </si>
  <si>
    <t>N Philippines (s Luzon, Polillo and Catanduanes)</t>
  </si>
  <si>
    <t>Lowland forests of n and central Philippines</t>
  </si>
  <si>
    <t>Mountains of Mindanao (se Philippines)</t>
  </si>
  <si>
    <t>Lan-yü I. (Taiwan); Batan, Calayan and Camiguin Norte is.</t>
  </si>
  <si>
    <t>Philippines (except Palawan, Basilan and Sulu Archipelago)</t>
  </si>
  <si>
    <t>S Philippines and islands off n Borneo</t>
  </si>
  <si>
    <t>Talaud Islands, Sangihe I. (Sulawesi) and Doi I. (n Moluccas)</t>
  </si>
  <si>
    <t>Sulawesi, Talisei, Bangka, Lembeh and Togian islands</t>
  </si>
  <si>
    <t>Banggai Is., Sula Is. and s Moluccas (Obi and Seram)</t>
  </si>
  <si>
    <t>Matasiri I., Java, Lesser Sundas and islands south of Sulawesi</t>
  </si>
  <si>
    <t>N Philippines (Luzon, Mindoro and Sibuyan)</t>
  </si>
  <si>
    <t>Philippines (Negros and Siquijor)</t>
  </si>
  <si>
    <t>N India to Nepal, Thailand, Indochina and Andaman Islands</t>
  </si>
  <si>
    <t>Enggano I. (off w Sumatra)</t>
  </si>
  <si>
    <t>Palawan, adjacent s Philippines and Banggai Islands</t>
  </si>
  <si>
    <t>N Philippines (Calayan, Camiguin Norte and Fuga)</t>
  </si>
  <si>
    <t>Malay Peninsula, Sumatra and Borneo to Bali and Philippines</t>
  </si>
  <si>
    <t>Pakistan to n India and s China</t>
  </si>
  <si>
    <t>Bangladesh to Myanmar, s Thailand, Indochina and Malay Pen.</t>
  </si>
  <si>
    <t>Greater Sundas and adjacent islands to sw Philippines</t>
  </si>
  <si>
    <t>S Philippines (Jolo, Tawitawi, Basilan and Sanga Sanga)</t>
  </si>
  <si>
    <t>Kangean Islands (Java Sea)</t>
  </si>
  <si>
    <t>Babuyanes Islands (n Philippines)</t>
  </si>
  <si>
    <t>N-central Philippines (Mindoro and Semirara)</t>
  </si>
  <si>
    <t>Philippines: Batanes Islands (Batan, Ivojos, and Sabtang), north of Luzon</t>
  </si>
  <si>
    <t>India and Nepal to Bangladesh, Myanmar and Indochina</t>
  </si>
  <si>
    <t>S and se China, Hainan I. and Taiwan</t>
  </si>
  <si>
    <t>Malay Pen., Sumatra, Java, Borneo, Palawan and Philippines</t>
  </si>
  <si>
    <t>Moluccas (Indonesia)</t>
  </si>
  <si>
    <t>S Myanmar to s Thailand, Malay Peninsula and Sumatra</t>
  </si>
  <si>
    <t>W and central Java</t>
  </si>
  <si>
    <t>E Java and Bali</t>
  </si>
  <si>
    <t>S Philippines (Palawan, Balabac, Busuanga, Culion, Calauit)</t>
  </si>
  <si>
    <t>N Luzon (Cagayan Province)</t>
  </si>
  <si>
    <t>Luzon (south of range of cagayensis)</t>
  </si>
  <si>
    <t>South Africa</t>
  </si>
  <si>
    <t>Sub-Saharan Africa; nw India to Nepal and Myanmar</t>
  </si>
  <si>
    <t>Nepal to Pakistan, India, Sri Lanka, Laccadives and Maldives</t>
  </si>
  <si>
    <t>S China and Indochina; winters to Borneo</t>
  </si>
  <si>
    <t>NE India to Thailand, Malaya, Sumatra, Borneo and L Sundas</t>
  </si>
  <si>
    <t>Philippines (including Palawan), Sulu Archipelago, Sangihe, Siau, Ruang, Talaud Islands, and the northern Moluccas</t>
  </si>
  <si>
    <t>Sulawesi and the Banggai, Sula, and Tukangbesi Islands</t>
  </si>
  <si>
    <t>breeds northern and eastern Australia; migrates to New Guinea, Lesser Sundas, and Moluccas</t>
  </si>
  <si>
    <t>Bismarck Archipelago</t>
  </si>
  <si>
    <t>NE India to SE Asia, Greater Sundas and Palawan</t>
  </si>
  <si>
    <t>Extreme s Thailand and Malay Peninsula</t>
  </si>
  <si>
    <t>N Sumatra and w Java</t>
  </si>
  <si>
    <t>SE Borneo and s Philippine Islands</t>
  </si>
  <si>
    <t>Sulawesi, Madu, Flores, and Timor; the population on Timor may represent an undescribed subspecies</t>
  </si>
  <si>
    <t>Lesser Sundas (Romang, Kisar, Leti, Moa, Sermata and Damar)</t>
  </si>
  <si>
    <t>Known from one specimen from Tepa I. (Babar Islands)</t>
  </si>
  <si>
    <t>Lowlands of coastal n New Guinea and adjacent islands</t>
  </si>
  <si>
    <t>Lowlands of coastal s New Guinea and adjacent islands</t>
  </si>
  <si>
    <t>Moluccas, Lesser Sundas, n Australia and Melville I.</t>
  </si>
  <si>
    <t>NE Australia (n and e Queensland)</t>
  </si>
  <si>
    <t>E Australia (se Queensland to ne New South Wales)</t>
  </si>
  <si>
    <t>India to Nepal, Myanmar, Thailand and s Indochina</t>
  </si>
  <si>
    <t>Sumatra, Borneo and Palawan (sw Philippines)</t>
  </si>
  <si>
    <t>E Himalayas to s China, Myanmar, Malay Pen. and Indochina</t>
  </si>
  <si>
    <t>S Malay Peninsula, Sumatra and Borneo</t>
  </si>
  <si>
    <t>Java, Sulawesi and Togian Islands</t>
  </si>
  <si>
    <t>southern Myanmar (Tenasserim) and southern Thailand south through the Thai-Malay Peninsula, the Greater Sundas, the western Lesser Sumbas (east at least to Sumba and Flores), and the Philippines</t>
  </si>
  <si>
    <t>Sulu Archipelago (Jolo, Basilan, Tawitawi and adjacent islands)</t>
  </si>
  <si>
    <t>Sulawesi, Butung, Tukangbesi and Banggai Islands</t>
  </si>
  <si>
    <t>Philippines (Luzon, Mindoro and Negros)</t>
  </si>
  <si>
    <t>southern Philippines (Basilan, Biliran, Leyte, Samar, Mindanao, Malamaui, and Bohol)</t>
  </si>
  <si>
    <t>Jolo, Bongao and Tawi Tawi, Sulu Archipelago</t>
  </si>
  <si>
    <t>breeds northeastern India, northern Myanmar, northern Thailand, northern Indochina, and southeastern China, including Hainan; winters south to Sumatra</t>
  </si>
  <si>
    <t>Himalayas from Kashmir east to northeastern India and Bangladesh, Myanmar, Thailand south through the Malay Peninsula to Sumatra, Borneo, and Palawan</t>
  </si>
  <si>
    <t>India and Myanmar to SE Asia; winters to Greater Sundas</t>
  </si>
  <si>
    <t>Vietnam to s Thailand, Malay Pen., Sumatra, Java and Borneo</t>
  </si>
  <si>
    <t>India to Indochina, Sulawesi, Lesser Sundas, n and e Australia</t>
  </si>
  <si>
    <t>SE China (se Yunnan to Jiangsu) and Vietnam</t>
  </si>
  <si>
    <t>Montane grasslands of e New Guinea</t>
  </si>
  <si>
    <t>breeds Japan; at least partially migratory, but winter range not well documented</t>
  </si>
  <si>
    <t>breeds southeastern Siberia to northeastern China, Sakhalin I. and northern Korea; winters southeastern China south at least to southern Thailand</t>
  </si>
  <si>
    <t>southern China (Yunnan to e Guangdong); at least partially migratory, wintering to the southern Malay Peninsula and perhaps to northern Sumatra</t>
  </si>
  <si>
    <t>N Pakistan to Bangladesh and n India</t>
  </si>
  <si>
    <t>northern and eastern Thailand and Indochina</t>
  </si>
  <si>
    <t>S India</t>
  </si>
  <si>
    <t>Mantanani I. (off Borneo); Rasa and Ursula is. (off Palawan)</t>
  </si>
  <si>
    <t>SW Philippines (Cuyo, Dicabaito and Linapacan)</t>
  </si>
  <si>
    <t>Philippines (Romblon, Tablas, Sibuyan, Banton and Semirara)</t>
  </si>
  <si>
    <t>SW Sulu Islands (Sibutu and Tumindao)</t>
  </si>
  <si>
    <t>Daito Islands (s Japanese Archipelago)</t>
  </si>
  <si>
    <t>Ryukyu Islands (s Japan)</t>
  </si>
  <si>
    <t>Lan-yü I. (off se Taiwan)</t>
  </si>
  <si>
    <t>N Philippines (Batan, Sabtang and Calayan)</t>
  </si>
  <si>
    <t>N Philippines (Luzon and Catanduanes)</t>
  </si>
  <si>
    <t>S Philippines (Mindanao, Samar, Leyte and Bohol)</t>
  </si>
  <si>
    <t>S Myanmar, Malay Pen., Thailand, Sumatra and Java</t>
  </si>
  <si>
    <t>Bawean I. (Java Sea off n Java)</t>
  </si>
  <si>
    <t>S Philippines (Palawan and Calamian Islands)</t>
  </si>
  <si>
    <t>N India to w Assam and central peninsular India</t>
  </si>
  <si>
    <t>E Assam to s Yunnan, n Malay Pen., Thailand and Indochina</t>
  </si>
  <si>
    <t>Car Nicobar (Nicobar Islands)</t>
  </si>
  <si>
    <t>Great Nicobar (Nicobar Islands)</t>
  </si>
  <si>
    <t>S Malay Peninsula, Riau Archipelago, Sumatra and Bangka I.</t>
  </si>
  <si>
    <t>W Java</t>
  </si>
  <si>
    <t>Borneo and North Natuna Islands</t>
  </si>
  <si>
    <t>SE Siberia to se Manchuria, e China, Korea and Japan; winters S Asia</t>
  </si>
  <si>
    <t>Ryukyu Islands and Taiwan</t>
  </si>
  <si>
    <t>Philippines (Luzon, Panay, Negros, Bohol, Samar, and Leyte, and associated smaller islands: Bilaran, Boracay, Buad, Carabao, Catanduanes, Guimaras, Lubang, Marinduque, Masbate, Polillo, and Semirara)</t>
  </si>
  <si>
    <t>Philippines (Ticao)</t>
  </si>
  <si>
    <t>Philippines (Siquijor)</t>
  </si>
  <si>
    <t>Philippines (Sibuyan)</t>
  </si>
  <si>
    <t>Hispaniola and (?) Cuba</t>
  </si>
  <si>
    <t>Andes of Colombia, Ecuador and nw Peru</t>
  </si>
  <si>
    <t>N Venezuela and Guyana</t>
  </si>
  <si>
    <t>S Peru to Bolivia, se Brazil and Tierra del Fuego</t>
  </si>
  <si>
    <t>Falkland Islands</t>
  </si>
  <si>
    <t>N Philippines (mountains of Luzon and Catanduanes)</t>
  </si>
  <si>
    <t>Central Philippines (Negros and Panay)</t>
  </si>
  <si>
    <t>Philippines (Basilan, Mindanao, Leyte, Bohol and Samar)</t>
  </si>
  <si>
    <t>Bangladesh and ne India to s China, Indochina and n Malay Peninsula</t>
  </si>
  <si>
    <t>Simeulue I. (off nw Sumatra)</t>
  </si>
  <si>
    <t>Sulawesi, Talaud Is., Sangihe I., Banggai Is. and Sula Is.</t>
  </si>
  <si>
    <t>SE Siberia to e China, Japan and Korea; winters to Gr. Sundas</t>
  </si>
  <si>
    <t>NE Pakistan to Bangladesh, s China, Myanmar and Malay Pen.</t>
  </si>
  <si>
    <t>NE Pakistan and n India to Bhutan and Bangladesh</t>
  </si>
  <si>
    <t>NE India to s China, Sumatra and Riau Archipelago</t>
  </si>
  <si>
    <t>N Borneo, Labuan, Balambangan, Banguey and s Sula islands</t>
  </si>
  <si>
    <t>S Philippines (Palawan, Busuanga and Culion)</t>
  </si>
  <si>
    <t>Wallacea, New Guinea, New Britain and coastal n Australia</t>
  </si>
  <si>
    <t>NE Pakistan to India, Myanmar, s Thailand, Cambodia, Vietnam</t>
  </si>
  <si>
    <t>SE China and n Vietnam</t>
  </si>
  <si>
    <t>Greater and Lesser Sundas</t>
  </si>
  <si>
    <t>E Lesser Sundas (Alor, Timor, Roti and Kisar)</t>
  </si>
  <si>
    <t>N Philippines</t>
  </si>
  <si>
    <t>S Philippines (Mindanao); sight record from Jolo (Sulu Arch.)</t>
  </si>
  <si>
    <t>N-central and s Sulawesi</t>
  </si>
  <si>
    <t>southern Myanmar through the Thai-Malay Peninsula, Sumatra, and Borneo</t>
  </si>
  <si>
    <t>Islands off w Sumatra (Simeulue to Enggano)</t>
  </si>
  <si>
    <t>Java and Bali to Lombok and Kangean Islands</t>
  </si>
  <si>
    <t>Sulawesi, Banggai, Sula and adjacent islands</t>
  </si>
  <si>
    <t>S Myanmar and pen. Thailand to Sumatra, Borneo and adj. is.</t>
  </si>
  <si>
    <t>Philippine Islands and Sulu Archipelago (absent from Palawan)</t>
  </si>
  <si>
    <t>Philippines (Calayan, Camiguin Norte, Babuyan, Claro, Fuga)</t>
  </si>
  <si>
    <t>northern Philippines (central Luzon to Mindoro, Panay, Negros, Bohol, and Leyte); identity of the population on Palawan not determined, but may belong with Ridgetop Swiftlet</t>
  </si>
  <si>
    <t>northern Philippines (northern Luzon)</t>
  </si>
  <si>
    <t>southern Philippines (montane Mindoro, Mindanao, and Sulu Archipelago)</t>
  </si>
  <si>
    <t>N Philippines (Mt. Data on n Luzon)</t>
  </si>
  <si>
    <t>S Philippines (Mt. Apo on Mindanao)</t>
  </si>
  <si>
    <t>Nias and adjacent islands off w Sumatra</t>
  </si>
  <si>
    <t>N Borneo, Natuna Islands and (?) Sumatra</t>
  </si>
  <si>
    <t>Maratua Archipelago (off ne Borneo)</t>
  </si>
  <si>
    <t>Java; single Philippine record from Basilan</t>
  </si>
  <si>
    <t>Philippines (Luzon, Mindoro, Cebu, Bohol and Mindanao)</t>
  </si>
  <si>
    <t>S Myanmar to s Malay Peninsula, se Vietnam and w Java</t>
  </si>
  <si>
    <t>Sumatra, Nias I., and Borneo; one 1887 Palawan specimen</t>
  </si>
  <si>
    <t>SE Borneo</t>
  </si>
  <si>
    <t>Coasts of Malay Peninsula, n Borneo and s Philippines</t>
  </si>
  <si>
    <t>Anambas Islands (South China Sea)</t>
  </si>
  <si>
    <t>Siberia to Japan and Kuril Islands.; winters to Australia</t>
  </si>
  <si>
    <t>Himalayas to sw China; winters to India and Myanmar</t>
  </si>
  <si>
    <t>SW India and Sri Lanka; Bangladesh to SE Asia, Andaman Is.</t>
  </si>
  <si>
    <t>Malay Peninsula, Greater Sundas and Palawan</t>
  </si>
  <si>
    <t>Myanmar to Indochina, Malay Peninsula, Sumatra and Borneo</t>
  </si>
  <si>
    <t>Siberia to Kamchatka, n China and n Japan; winters Indonesia, Melanesia, Australia, Tasmania</t>
  </si>
  <si>
    <t>Nepal to se China, Myanmar, Thailand, Indochina, Philippines</t>
  </si>
  <si>
    <t>Malay Peninsula to Borneo, Sumatra and adjacent islands; this species also recently reported from (has recently colonized?) Sulawesi and the Lesser Sundas (Flores, Sumba, Timor), although the subspecific identity of these birds is not yet established</t>
  </si>
  <si>
    <t>N Philippines (ne Luzon and Marinduque</t>
  </si>
  <si>
    <t>N Philippines (s and central Luzon)</t>
  </si>
  <si>
    <t>Polillo I. (n Philippines)</t>
  </si>
  <si>
    <t>Central Philippines (Bohol, Leyte and Samar)</t>
  </si>
  <si>
    <t>Himalayas to China, Manchuria and Korea; winters to Indonesia</t>
  </si>
  <si>
    <t>breeds from the southern Himalayas to the Ryukyu Islands and southeastern Asia, the Thai-Malay Peninsula, Sumatra, Java, the Philippines, and Borneo; winters to southeastern India, the Philippines, Sulawesi, and Helmahera</t>
  </si>
  <si>
    <t>southwestern India (southern Western Ghats)</t>
  </si>
  <si>
    <t>S Andaman Islands</t>
  </si>
  <si>
    <t>Simeulue I. (off Sumatra)</t>
  </si>
  <si>
    <t>N and e Australia; winters to New Guinea, s Moluccas, adj. islands</t>
  </si>
  <si>
    <t>New Guinea, w Papuan is., D'Entrecasteaux and Louisiade Arch.</t>
  </si>
  <si>
    <t>Feni I. and Solomon Islands</t>
  </si>
  <si>
    <t>Forests of Negros (central Philippines)</t>
  </si>
  <si>
    <t>Nepal to India, Sri Lanka and nw Myanmar</t>
  </si>
  <si>
    <t>Myanmar to Thailand, Indochina and south to Isthmus of Kra</t>
  </si>
  <si>
    <t>S Malay Peninsula, Riau Archipelago and Lingga Archipelago</t>
  </si>
  <si>
    <t>Sumatra, Bangka and Billiton islands</t>
  </si>
  <si>
    <t>Banyak I. (off nw Sumatra)</t>
  </si>
  <si>
    <t>Lesser Sundas (Bali, Lombok, Sumbawa and Flores)</t>
  </si>
  <si>
    <t>Philippines (Balabac, Culion, Lubang, Mindoro, Palawan, Calauit)</t>
  </si>
  <si>
    <t>E Himalayas to n Myanmar and sw China; winters to Sumatra</t>
  </si>
  <si>
    <t>Japan to Korea, ne China; winters to Taiwan, Philippines, Borneo</t>
  </si>
  <si>
    <t>Ryukyu Islands: winters Philippines and Talaud Islands</t>
  </si>
  <si>
    <t>Andaman Islands; questionable Nicobar I. specimen</t>
  </si>
  <si>
    <t>Riau Arch., Mentawi Arch., s Malay Pen. and Greater Sundas</t>
  </si>
  <si>
    <t>Sulu Archipelago (Tawitawi, Bulubuk and Sanga Sanga)</t>
  </si>
  <si>
    <t>S Sulawesi, Sangihe, Muna and Butung islands</t>
  </si>
  <si>
    <t>Peleng I. (off e Sulawesi)</t>
  </si>
  <si>
    <t>Sula Islands (e of Sulawesi)</t>
  </si>
  <si>
    <t>Arabian Peninsula to Caucasus Mountains and nw India</t>
  </si>
  <si>
    <t>W India and Sri Lanka</t>
  </si>
  <si>
    <t>Myanmar to Malay Peninsula and Indochina</t>
  </si>
  <si>
    <t>S and e China; Hainan and Taiwan</t>
  </si>
  <si>
    <t>Bohol, Cebu, Negros, Samar, Siquijor, Leyte, Biliran</t>
  </si>
  <si>
    <t>Central Philippines (Romblon, Sibuyan and Tablas)</t>
  </si>
  <si>
    <t>Basilan (s Philippines)</t>
  </si>
  <si>
    <t>Sulu Archipelago (Bongao, Jolo, Papahag and Tawitawi)</t>
  </si>
  <si>
    <t>Peninsular India (Ratnagiri District)</t>
  </si>
  <si>
    <t>Andaman Islands and Cocos Islands (Indian Ocean)</t>
  </si>
  <si>
    <t>NW India to Malay Pen., Thailand, Myanmar, Mergui Arch.</t>
  </si>
  <si>
    <t>S Thailand and Myanmar</t>
  </si>
  <si>
    <t>S Sumatra, Borneo and adjacent islands</t>
  </si>
  <si>
    <t>Islands off w Sumatra (except Enggano)</t>
  </si>
  <si>
    <t>Enggano I. (off sw Sumatra)</t>
  </si>
  <si>
    <t>Java, Bali and adjacent islands in Java Sea</t>
  </si>
  <si>
    <t>Philippines, Sulu Archipelago and Palawan</t>
  </si>
  <si>
    <t>Sulawesi to nw New Guinea and Lesser Sundas</t>
  </si>
  <si>
    <t>Palau Islands (w Caroline Islands)</t>
  </si>
  <si>
    <t>Lowlands of Nepal and n India to s Myanmar and Laos</t>
  </si>
  <si>
    <t>SW India (Kerala) and Sri Lanka</t>
  </si>
  <si>
    <t>Peninsular Myanmar and peninsular Thailand</t>
  </si>
  <si>
    <t>Java and Bali to Lombok, Sulawesi, Sula Is., w Lesser Sundas</t>
  </si>
  <si>
    <t>British Isles to w Russia, Iberian and Baltic peninsulas</t>
  </si>
  <si>
    <t>SE Europe and North Africa to nw India</t>
  </si>
  <si>
    <t>L Baikal and n India through e and SE Asia mainland and islands</t>
  </si>
  <si>
    <t>Lesser Sundas (Bali to Timor and Wetar)</t>
  </si>
  <si>
    <t>Sulawesi to Moluccas, New Guinea and Bismarck Arch.</t>
  </si>
  <si>
    <t>Solomon Islands (Bougainville to Makira)</t>
  </si>
  <si>
    <t>resident in southwestern India and Sri Lanka; breeds from Bhutan and northeastern India to southeastern China, Indochina, and the northern Thai-Malay Peninsula (south to the Isthmus of Kra), this population partially migratory, wintering to the southern Thai-Malay Peninsula and Sumatra</t>
  </si>
  <si>
    <t>southern Andaman Islands and Nicobar Islands</t>
  </si>
  <si>
    <t>Borneo and adjacent northern offshore islands</t>
  </si>
  <si>
    <t>W Palearctic to Baluchistan; winters to s India and Africa</t>
  </si>
  <si>
    <t>Central and s India and Sri Lanka</t>
  </si>
  <si>
    <t>Assam to Malay Peninsula, Indochina and Sumatra</t>
  </si>
  <si>
    <t>Egypt (Nile Valley to Suez Canal)</t>
  </si>
  <si>
    <t>Senegambia to Ethiopia, Somalia and Uganda</t>
  </si>
  <si>
    <t>Chad to Cameroon (Adamawa Plateau), n Uganda and Kenya</t>
  </si>
  <si>
    <t>Samar, Leyte, Bohol, Panaon, Buad, Calicoan and Biliran</t>
  </si>
  <si>
    <t>Philippines (Mindanao, Basilan, Dinagat and Siargao)</t>
  </si>
  <si>
    <t>Ticao I. (central Philippines)</t>
  </si>
  <si>
    <t>Panay, Masbate, Guimaras, Negros, Pan de Azucar and Sicogon</t>
  </si>
  <si>
    <t>NE Pakistan to s China, s to Sri Lanka, Singapore and Vietnam</t>
  </si>
  <si>
    <t>Philippines (Samar, Leyte, Biliran and Catanduanes)</t>
  </si>
  <si>
    <t>Philippines (Guimaras, Negros, Panay, Calagayan, Pan de Azucar)</t>
  </si>
  <si>
    <t>Cebu (central Philippines)</t>
  </si>
  <si>
    <t>Philippines (Masbate, Romblon and Tablas); possibly Palawan</t>
  </si>
  <si>
    <t>Philippines (Catanduanes, Lubang, Luzon, Marinduque, Mindoro)</t>
  </si>
  <si>
    <t>Samar, Calicoan, Leyte, Bohol, Basilan, Mindanao and Dinagat)</t>
  </si>
  <si>
    <t>Sibuyan, Cebu, Guimaras, Negros, Panay and Gigantes</t>
  </si>
  <si>
    <t>Korea; extinct on Tsushima I. (Japan)</t>
  </si>
  <si>
    <t>Montane forests of n Myanmar and adjacent sw China</t>
  </si>
  <si>
    <t>Thailand, Myanmar and Indochina</t>
  </si>
  <si>
    <t>S Thailand and Malay Pen. to Gr. Sundas and offshore islands</t>
  </si>
  <si>
    <t>Philippines (Leyte, Samar, Panaon, Calicoan and Bohol)</t>
  </si>
  <si>
    <t>Philippines (Panay, Negros, Masbate and Guimaras)</t>
  </si>
  <si>
    <t>Formerly Cebu (central Philippines). Extinct</t>
  </si>
  <si>
    <t>Mindoro (Philippines)</t>
  </si>
  <si>
    <t>Philippines (Bohol, Leyte, Samar, Biliran and Panaon)</t>
  </si>
  <si>
    <t>Mindanao (except Zamboanga Peninsula) and Samal</t>
  </si>
  <si>
    <t>S Philippines (Zamboanga Pen. of w Mindando and Basilan)</t>
  </si>
  <si>
    <t>Philippines (central and s Luzon, Catanduanes and Marinduque)</t>
  </si>
  <si>
    <t>N India and Nepal to n Myanmar, sw China and Indochina</t>
  </si>
  <si>
    <t>Malay Pen. to Borneo, Sumatra, Java, Balabac and Palawan</t>
  </si>
  <si>
    <t>N Philippines (Luzon, Mindoro, Negros and Bohol)</t>
  </si>
  <si>
    <t>S Philippines (Samar, Leyte and Cebu to Mindanao)</t>
  </si>
  <si>
    <t>breeds from Europe and north Africa east to Siberia, Bhutan, and western China; partially migratory, wintering south to central Africa, India, and southeastern Asia</t>
  </si>
  <si>
    <t>Tibet to China and Japan; winters to India, Malaya, Philippines</t>
  </si>
  <si>
    <t>S India (Western and Eastern Ghats) and Sri Lanka</t>
  </si>
  <si>
    <t>Madeira and w Canary Islands</t>
  </si>
  <si>
    <t>E Canary Islands</t>
  </si>
  <si>
    <t>N Cape Verde Islands</t>
  </si>
  <si>
    <t>SE Cape Verde Islands</t>
  </si>
  <si>
    <t>NE Africa and Arabia</t>
  </si>
  <si>
    <t>Somalia, coastal Kenya and Socotra</t>
  </si>
  <si>
    <t>N and s Moluccas</t>
  </si>
  <si>
    <t>Java to Lesser Sundas, Sulawesi and Tanimbar Islands</t>
  </si>
  <si>
    <t>N Eurasia (Faeroes to central Siberia); winters to N Africa</t>
  </si>
  <si>
    <t>Siberia (Yenisey River to Kolyma River)</t>
  </si>
  <si>
    <t>NE Asia and Sakhalin</t>
  </si>
  <si>
    <t>Palearctic; winters to s Africa, s Eurasia and Greater Sundas</t>
  </si>
  <si>
    <t>S and e China to Myanmar and n Indochina</t>
  </si>
  <si>
    <t>Arctic tundra of North America (Alaska to Greenland)</t>
  </si>
  <si>
    <t>N Eurasia (south of the tundra)</t>
  </si>
  <si>
    <t>Tundra of Eurasia (Lapland to ne Siberia)</t>
  </si>
  <si>
    <t>NE Siberia to Kamchatka Peninsula and Japan</t>
  </si>
  <si>
    <t>Volcano Islands and Bonin Islands</t>
  </si>
  <si>
    <t>Thai-Malay Peninsula, Philippines, Greater Sundas, New Guinea, and Bismarck Archipelago; birds of Solomon Islands probably also this subspecies</t>
  </si>
  <si>
    <t>Vanuatu and New Caledonia</t>
  </si>
  <si>
    <t>Sulawesi and adjacent islands to Moluccas and w Papuan is.</t>
  </si>
  <si>
    <t>S Moluccas (Buru, Seram, Ambon, Haruku and Seram Laut)</t>
  </si>
  <si>
    <t>Sumba (e Lesser Sundas)</t>
  </si>
  <si>
    <t>E Lesser Sundas (Roti, Semau and sw Timor)</t>
  </si>
  <si>
    <t>Babar and Tanimbar Islands (Yamdena and Larat)</t>
  </si>
  <si>
    <t>Polillo (n Philippines)</t>
  </si>
  <si>
    <t>S Philippines, Sulu Archipelago and islands off north Borneo</t>
  </si>
  <si>
    <t>Philippines (Visayan Islands and Mindanao)</t>
  </si>
  <si>
    <t>Sulawesi, Togian, Sula, Muna, Buton is. and Banggai Arch.</t>
  </si>
  <si>
    <t>southern Mauritania south to Guinea, east to southern Sudan, South Sudan, and extreme northern Uganda. The species is widely introduced around the world, although the the subspecific identify of these populations is poorly known; now feral across Europe and the Middle East, and locally in north and south Africa, Mauritius, the Seychelles, locally in southeast Asia, Japan, Australia, New Zealand, the Hawaiian Islands, locally in North America (California, Florida, and northern Baja California), locally in the Greater and Lesser Antilles, and in Venezuela</t>
  </si>
  <si>
    <t>eastern Sudan, Eritrea, northwestern Ethiopia, and Djibouti</t>
  </si>
  <si>
    <t>NW Pakistan to n India, Nepal, se China and c Myanmar</t>
  </si>
  <si>
    <t>S peninsular India and Sri Lanka</t>
  </si>
  <si>
    <t>Samar (central Philippines)</t>
  </si>
  <si>
    <t>N Philippines (Leyte and Panaon)</t>
  </si>
  <si>
    <t>Philippines (Banton, Catanduanes, Luzon, Polillo, Marinduque)</t>
  </si>
  <si>
    <t>Sibuyan (Philippines)</t>
  </si>
  <si>
    <t>Guimaras, Masbate, Negros, Panay, Tablas, Ticao and Romblon</t>
  </si>
  <si>
    <t>Formerly Cebu (Philippines). Extinct</t>
  </si>
  <si>
    <t>Formerly Siquijor (Philippines). Probably extinct</t>
  </si>
  <si>
    <t>S Philippines (Mindanao, Basol and Dinagat)</t>
  </si>
  <si>
    <t>Basilan (Philippines)</t>
  </si>
  <si>
    <t>Sulu Archipelago (Bongao, Jolo and Tawitawi)</t>
  </si>
  <si>
    <t>Philippine Islands (except Palawan group)</t>
  </si>
  <si>
    <t>SW Philippines (Palawan and Balabac)</t>
  </si>
  <si>
    <t>Sulu Islands, Philippines</t>
  </si>
  <si>
    <t>Sumatra, Java, Borneo, and western Sulu Island</t>
  </si>
  <si>
    <t>Bangka and Belitung islands (off Sumatra)</t>
  </si>
  <si>
    <t>W Philippines (Palawan, Culion, Balabac, Calauit and Busuanga)</t>
  </si>
  <si>
    <t>Aru Islands (off s New Guinea)</t>
  </si>
  <si>
    <t>W Papuan islands, New Guinea and Karkar I.</t>
  </si>
  <si>
    <t>Malay Peninsula, Greater and Lesser Sundas</t>
  </si>
  <si>
    <t>Lubang, Luzon, Mindoro, Verde, Negros, Bohol and Cebu</t>
  </si>
  <si>
    <t>S Philippines (Mindanao, Basilan and Sulu Archipelago)</t>
  </si>
  <si>
    <t>Sulawesi, Salayar and Banggai Islands (Peleng and Banggai)</t>
  </si>
  <si>
    <t>Babelthuap I. (Palau Islands)</t>
  </si>
  <si>
    <t>Philippines, Palawan, Borneo and Natuna Islands</t>
  </si>
  <si>
    <t>Sumatra, Bangka, Belitung, Kangean islands, Java and Bali</t>
  </si>
  <si>
    <t>Andaman and Cocos islands (Bay of Bengal)</t>
  </si>
  <si>
    <t>Babar I. and Tanimbar Islands (Larat, Yamdena and Kirimoen)</t>
  </si>
  <si>
    <t>Moluccas, Kai Is., Aru Is., New Guinea, n and e Australia</t>
  </si>
  <si>
    <t>New Caledonia, Maré and Lifou (Loyalty Islands)</t>
  </si>
  <si>
    <t>Vanuatu and Banks Islands</t>
  </si>
  <si>
    <t>Peninsular India to n and central Myanmar</t>
  </si>
  <si>
    <t>Central India (south of the Ganges River)</t>
  </si>
  <si>
    <t>NE India (Kumaon to Bengal and Assam)</t>
  </si>
  <si>
    <t>Pakistan and nw India (Punjab)</t>
  </si>
  <si>
    <t>SW China to central Myanmar, n Thailand, Laos and n Vietnam</t>
  </si>
  <si>
    <t>Cambodia to se Thailand and s Vietnam</t>
  </si>
  <si>
    <t>southern Myanmar to Thailand, the Thai-Malay Peninsula, Sumatra, and adjacent islands</t>
  </si>
  <si>
    <t>N Borneo, adjacent northern islands and Palawan</t>
  </si>
  <si>
    <t>Myanmar, Malaya, Sumatra, Borneo and adj. islands; Palawan</t>
  </si>
  <si>
    <t>Lombok (Lesser Sundas)</t>
  </si>
  <si>
    <t>Enggano I. (off Sumatra)</t>
  </si>
  <si>
    <t>Himalayas (Kashmir to e Assam); &gt;n India</t>
  </si>
  <si>
    <t>SE China (Hunan, Fujian, Guangdong and Guangxi)</t>
  </si>
  <si>
    <t>SE India (E Ghats) to s Myanmar, Thailand and n Indochina</t>
  </si>
  <si>
    <t>S Myanmar to sw Thailand and n Malay Peninsula</t>
  </si>
  <si>
    <t>S Malaya, Sumatra, Bangka and Belitung islands</t>
  </si>
  <si>
    <t>C Philippines (Samar and Leyte)</t>
  </si>
  <si>
    <t>Mt. Apo, Mindanao (s Philippines)</t>
  </si>
  <si>
    <t>s Mindanao (s Philippines)</t>
  </si>
  <si>
    <t>Jolo Group (Sulu Archipelago)</t>
  </si>
  <si>
    <t>central and southern Thai-Malay Peninsula, Sumatra, and Borneo</t>
  </si>
  <si>
    <t>Babi I. (off Sumatra)</t>
  </si>
  <si>
    <t>Nias I. (off Sumatra)</t>
  </si>
  <si>
    <t>Anambas and Natuna islands (South China Sea)</t>
  </si>
  <si>
    <t>S Philippines (Palawan, Busuanga and Balabac)</t>
  </si>
  <si>
    <t>Philippines (Luzon, Polillo and Lubang)</t>
  </si>
  <si>
    <t>Philippines (Mindoro, Libagao and Tablas)</t>
  </si>
  <si>
    <t>Philippines (Bohol, Leyte, Panaon, Calicoan and Samar)</t>
  </si>
  <si>
    <t>Cebu (Philippines). Probably extinct</t>
  </si>
  <si>
    <t>S Philippines (Mindanao, Nipa and Basilan)</t>
  </si>
  <si>
    <t>N Philippines (lowlands of Luzon and Catanduanes)</t>
  </si>
  <si>
    <t>Marinduque (n Philippines)</t>
  </si>
  <si>
    <t>Philippines (Bohol, Samar, Biliran and Leyte)</t>
  </si>
  <si>
    <t>S Philippines (Mindanao and Basilan)</t>
  </si>
  <si>
    <t>Sulu Archipelago (Bongao, Jolo, Lapac and Tawitawi)</t>
  </si>
  <si>
    <t>Malay Peninsula, Sumatra, Java and offshore islands</t>
  </si>
  <si>
    <t>Borneo and Philippine Islands</t>
  </si>
  <si>
    <t>N Pakistan, Himalayas and ne Indian subcontinent</t>
  </si>
  <si>
    <t>W China to c and s Myanmar, n Thailand and n Vietnam</t>
  </si>
  <si>
    <t>C and s China and Taiwan; &gt;Indochina</t>
  </si>
  <si>
    <t>N Vietnam and Hainan; &gt;Indochina</t>
  </si>
  <si>
    <t>Calayan (n Philippines)</t>
  </si>
  <si>
    <t>Camiguin Norte (n Philippines)</t>
  </si>
  <si>
    <t>Siquijor (Philippines)</t>
  </si>
  <si>
    <t>Philippines (Dinagat, Samar, Leyte, Biliran and Mindanao)</t>
  </si>
  <si>
    <t>Bohol (Philippines)</t>
  </si>
  <si>
    <t>E Siberia to nw Mongolia; &gt; to India and Malay Pen.</t>
  </si>
  <si>
    <t>Manchuria and Amurland; &gt; to Malay Pen. and Sumatra</t>
  </si>
  <si>
    <t>NE Iran to Pakistan and n India</t>
  </si>
  <si>
    <t>W and s India and Sri Lanka</t>
  </si>
  <si>
    <t>Nepal to n Myanmar, Yunnan, n Laos and n Thailand</t>
  </si>
  <si>
    <t>Central and se Thailand</t>
  </si>
  <si>
    <t>E New Guinea</t>
  </si>
  <si>
    <t>N Philippines (Mindoro)</t>
  </si>
  <si>
    <t>southern Myanmar, Thailand, the Thai-Malay Peninsula, Sumatra, Java, and southwestern Borneo</t>
  </si>
  <si>
    <t>Mentawi Archipelago and adjacent islands off Sumatra</t>
  </si>
  <si>
    <t>Borneo and adjacent islands</t>
  </si>
  <si>
    <t>SW Philippines (Palawan and Culion)</t>
  </si>
  <si>
    <t>Philippines (Leyte, e Mindanao and Samar)</t>
  </si>
  <si>
    <t>Philippines. Formerly Cebu (last recorded 1906)</t>
  </si>
  <si>
    <t>Philippines (Masbate and Negros)</t>
  </si>
  <si>
    <t>S Philippines (Basilan and w Mindanao)</t>
  </si>
  <si>
    <t>Sumatra, Java, Borneo, Bali, Belitung and Nias islands</t>
  </si>
  <si>
    <t>Sipura I. (off Sumatra)</t>
  </si>
  <si>
    <t>Siberut and Pagi islands (off Sumatra)</t>
  </si>
  <si>
    <t>Sangihe and Tabuken islands (off n Sulawesi)</t>
  </si>
  <si>
    <t>Siau, Tahulandang, Ruang, Biaro and Mayu is. (off Sulawesi)</t>
  </si>
  <si>
    <t>Sulawesi, Bangka, Talisei, Lembeh, Togian Is., Muna, Butung</t>
  </si>
  <si>
    <t>Banggai and Sula islands (off Sulawesi)</t>
  </si>
  <si>
    <t>Tukangbesi Islands (off Sulawesi) and islands in Flores Sea</t>
  </si>
  <si>
    <t>Lesser Sundas (Lombok, Sumba, Sumbawa, Flores, Bisar, Alor)</t>
  </si>
  <si>
    <t>northern and western Philippines (Luzon, Mindoro, Palawan, and associated smaller islands)</t>
  </si>
  <si>
    <t>central and southern Philippines (Tablas, Panay, Romblon, Sibuyan, Masbate, and Samar south to Mindanao)</t>
  </si>
  <si>
    <t>SE Iran to Afghanistan and n India</t>
  </si>
  <si>
    <t>breeds central and eastern China, Myanmar, northern Thailand, and northen Indochina; northern populations migrate south to southeastern China, Indochina, the Thai-Malay Peninsula, northwestern Borneo, and Sumatra</t>
  </si>
  <si>
    <t>S Myanmar, s Thailand and s Vietnam</t>
  </si>
  <si>
    <t>Manchuria and e China; &gt; to Indochina</t>
  </si>
  <si>
    <t>SE China and s Thailand; &gt; to Hainan</t>
  </si>
  <si>
    <t>E Afghanistan to Sikkim; &gt; to s India and Sri Lanka</t>
  </si>
  <si>
    <t>E Himalayas to Myanmar and s China; &gt; to Indochina</t>
  </si>
  <si>
    <t>S Myanmar and n Thailand; &gt; to Indochina</t>
  </si>
  <si>
    <t>southern Thailand, southern Laos, Cambodia, and southern Vietnam</t>
  </si>
  <si>
    <t>extreme southern Myanmar, southern Thailand, and the Thai-Malay Peninsula</t>
  </si>
  <si>
    <t>N Sumatra</t>
  </si>
  <si>
    <t>S Sumatra</t>
  </si>
  <si>
    <t>Simeulue I. and adjacent Mentawi Islands (off Sumatra)</t>
  </si>
  <si>
    <t>Siberut I. (off Sumatra)</t>
  </si>
  <si>
    <t>Java, Bali, Lombok, Palawan, Calamian and Balabac islands</t>
  </si>
  <si>
    <t>C and s Luzon, Lubang, Marinduque, Mindoro and Polillo</t>
  </si>
  <si>
    <t>breeds central and southern China south to n Myanmar, n Laos and n Vietnam; most of the population migrates south, wintering in Indochina, Thailand, and Myanmar</t>
  </si>
  <si>
    <t>India to Myanmar, n Thailand and s Indochina</t>
  </si>
  <si>
    <t>Panaitan Island and islands in Jakarta Bay, western Java</t>
  </si>
  <si>
    <t>eastern Java, Bali, Masalembu, and Kangean Island</t>
  </si>
  <si>
    <t>Philippines (Bohol, Leyte, Panaon, Samar and Calicoan)</t>
  </si>
  <si>
    <t>S Philippines (Basilan, Mindanao and Nipa)</t>
  </si>
  <si>
    <t>Banggai Islands, off of eastern Sulawesi</t>
  </si>
  <si>
    <t>Sulawesi, Matasiri Island (Java Sea), Sanghie, and Siau</t>
  </si>
  <si>
    <t>Philippines (se Mindanao)</t>
  </si>
  <si>
    <t>Philippines (Basilan and Zamboanga Peninsula of n Mindanao)</t>
  </si>
  <si>
    <t>Philippines (highlands of n Luzon)</t>
  </si>
  <si>
    <t>Philippines (Luzon and Catanduanes)</t>
  </si>
  <si>
    <t>Philippines (montane forests of n Mindanao)</t>
  </si>
  <si>
    <t>Philippines (montane forests of se Mindanao)</t>
  </si>
  <si>
    <t>India and Nepal to s China and Indochina; Hainan</t>
  </si>
  <si>
    <t>Andaman Islands and Cocos Islands (Bay of Bengal)</t>
  </si>
  <si>
    <t>N and central Thailand</t>
  </si>
  <si>
    <t>Peninsular Thailand</t>
  </si>
  <si>
    <t>Mergui Archipelago (s Myanmar)</t>
  </si>
  <si>
    <t>southern Thailand, Thai-Malay Peninsula, Sumatra, and Borneo</t>
  </si>
  <si>
    <t>Penida I. (Lesser Sundas)</t>
  </si>
  <si>
    <t>Karimata I. (off w Borneo)</t>
  </si>
  <si>
    <t>Natunas Islands (South China Sea)</t>
  </si>
  <si>
    <t>Mentawi Archipelago (off Sumatra)</t>
  </si>
  <si>
    <t>Enggano I. (Sumatra)</t>
  </si>
  <si>
    <t>Babi and Lasia islands (west of Sumatra)</t>
  </si>
  <si>
    <t>Maratua Islands (off Borneo)</t>
  </si>
  <si>
    <t>S Philippines (Camiguin Sur)</t>
  </si>
  <si>
    <t>N Philippines (Luzon, Samar and Polillo)</t>
  </si>
  <si>
    <t>N Philippines (Camiguin Norte)</t>
  </si>
  <si>
    <t>Japan (Honshu, Shikoku and Kyushu); &gt; to SE Asia</t>
  </si>
  <si>
    <t>Philippines (Luzon, Batan, Mindoro and Palawan)</t>
  </si>
  <si>
    <t>S Philippines (Mindanao, Basilan and islands in Sulu Arch.)</t>
  </si>
  <si>
    <t>Talaud Islands (Karakelong, Salebabu and Kaburuang)</t>
  </si>
  <si>
    <t>southern Thai-Malay Peninsula, Riau Archipelago, Sumatra and associated islands, and Borneo</t>
  </si>
  <si>
    <t>Java, Bali and Mentawi Archipelago</t>
  </si>
  <si>
    <t>Sulawesi, Talaud Is., Togian Is. and Tukangbesi Is.; population in the Banggai Is. probably this subspecies (but possibly is Corvus enca mangoli).</t>
  </si>
  <si>
    <t>Sula Islands (Taliabu, Seho, Mangole and Sanana)</t>
  </si>
  <si>
    <t>S Philippines (Balabac, Culion, Mindoro and Palawan)</t>
  </si>
  <si>
    <t>N Philippines (Sierra Madre Mountains of Luzon)</t>
  </si>
  <si>
    <t>S Philippines (Samar and Mindanao)</t>
  </si>
  <si>
    <t>Sakhalin, Kuril Islands and n Japanese Archipelago</t>
  </si>
  <si>
    <t>S Ryukyu Islands (Amami-O-Shima, Okinawa and Miyako-Jima)</t>
  </si>
  <si>
    <t>southern Ryukyu Islands (Ishigaki, Iriomote, Kohama, Kuru and Aragusuku)</t>
  </si>
  <si>
    <t>NE Asia</t>
  </si>
  <si>
    <t>N China to n Indochina and Taiwan</t>
  </si>
  <si>
    <t>E Himalayas to se Tibet, n Myanmar and w China</t>
  </si>
  <si>
    <t>Extreme e Iran to nw India and w Himalayas</t>
  </si>
  <si>
    <t>southern Indochina, the Thai-Malay Peninsula, Sumatra, Java, and the Lesser Sundas</t>
  </si>
  <si>
    <t>N Philippines (nw Luzon)</t>
  </si>
  <si>
    <t>Panay, Negros, Cebu, Leyte, Mindanao, Biliran and Palawan</t>
  </si>
  <si>
    <t>Sulu Archipelago (Bongao and Tawitawi)</t>
  </si>
  <si>
    <t>Sulawesi, Salayar, Banggai and Sula islands</t>
  </si>
  <si>
    <t>N Philippines (Calayan and Camiguin Norte)</t>
  </si>
  <si>
    <t>N Philippines (Bataan Peninsula of central Luzon)</t>
  </si>
  <si>
    <t>Philippines (c and s Luzon, Panay, Mindoro and Catanduanes)</t>
  </si>
  <si>
    <t>Philippines (Guimaras, Masbate, Negros and Ticao)</t>
  </si>
  <si>
    <t>Philippines (Samar, Leyte, Biliran and Mindanao)</t>
  </si>
  <si>
    <t>Bongao I. (Sulu Archipelago)</t>
  </si>
  <si>
    <t>N Philippines (central and s Luzon)</t>
  </si>
  <si>
    <t>Local in s China, Myanmar, Thailand, Indochina and s Vietnam</t>
  </si>
  <si>
    <t>S Borneo, Java and Bali</t>
  </si>
  <si>
    <t>Lesser Sundas (Lombok, Sumbawa, Sumba and Flores)</t>
  </si>
  <si>
    <t>E Lesser Sundas (Sawu and Timor)</t>
  </si>
  <si>
    <t>N, ne and s New Guinea</t>
  </si>
  <si>
    <t>Extreme nw Western Australia</t>
  </si>
  <si>
    <t>N Western Australia</t>
  </si>
  <si>
    <t>NE Western Australia</t>
  </si>
  <si>
    <t>Melville and Bathurst Islands (Northern Territory)</t>
  </si>
  <si>
    <t>Arnhem Land (northern Northern Territory), Australia</t>
  </si>
  <si>
    <t>E Northern Territory to nw Queensland and ne South Australia</t>
  </si>
  <si>
    <t>NE Queensland (Atherton-Evelyn Tablelands)</t>
  </si>
  <si>
    <t>eastern Australia, from ne Queensland (southern Cape York Peninsula) south to se South Australia</t>
  </si>
  <si>
    <t>S South Australia</t>
  </si>
  <si>
    <t>Pamir Mts. and w Himalayas (Kashmir to n Punjab)</t>
  </si>
  <si>
    <t>Tibetan plateau, e Qinghai, Gansu and sw Inner Mongolia</t>
  </si>
  <si>
    <t>e Himalayas and adjacent China (se Xizang and w Yunnan)</t>
  </si>
  <si>
    <t>Transcaspia to Turkmenistan, e Iran, Afghanistan and nw India</t>
  </si>
  <si>
    <t>E India to Sri Lanka and Indochina</t>
  </si>
  <si>
    <t>E China (Shandong to s Shaanxi and c Sichuan)</t>
  </si>
  <si>
    <t>SE and s China to n Vietnam; Hainan I.</t>
  </si>
  <si>
    <t>Taiwan and Philippine Islands</t>
  </si>
  <si>
    <t>NE India to sw China, SE Asia, Bali, Borneo and Palawan</t>
  </si>
  <si>
    <t>Sumatra, Simeulue, Nias, Mentawai, Bangka and Belitung islands</t>
  </si>
  <si>
    <t>Bawean I. (Java Sea)</t>
  </si>
  <si>
    <t>Maratua Islands (Celebes Sea)</t>
  </si>
  <si>
    <t>N Philippines (Luzon and Polillo); formerly Catanduanes</t>
  </si>
  <si>
    <t>Philippines (Bohol, Samar, Panaon, Biliran and Leyte)</t>
  </si>
  <si>
    <t>S Philippines (Dinagat, Siargao and Mindanao)</t>
  </si>
  <si>
    <t>S Philippines (Basilan and Zamboanga area of Mindanao)</t>
  </si>
  <si>
    <t>Lowlands of se Thailand to s Indochina</t>
  </si>
  <si>
    <t>Java and Bali; probably introduced to Lombok and s Sulawesi</t>
  </si>
  <si>
    <t>Borneo and Maratua Islands</t>
  </si>
  <si>
    <t>N and central Philippine Islands</t>
  </si>
  <si>
    <t>Philippines (Bohol, Cebu, Leyte, Samar, Ticao and Biliran)</t>
  </si>
  <si>
    <t>S Philippines (Mindanao, Basilan, Camiguin Sur and Sulu Arch.)</t>
  </si>
  <si>
    <t>W Sumatra, Nias, Batu, Banyak and Mentawi islands</t>
  </si>
  <si>
    <t>Malay Peninsula, Riau Arch., e Sumatra and Java</t>
  </si>
  <si>
    <t>N and e Borneo</t>
  </si>
  <si>
    <t>Banggai and adjacent islands off ne Borneo; Mapun (southern Philippines)</t>
  </si>
  <si>
    <t>Himalayas of n Afghanistan to e Assam and se Tibet</t>
  </si>
  <si>
    <t>E Assam (s of the Brahmaputra) to w Myanmar</t>
  </si>
  <si>
    <t>E Myanmar to sw China, e Thailand, Laos and s Vietnam</t>
  </si>
  <si>
    <t>NE Myanmar to sw China (w Yunnan in Irrawaddy watershed)</t>
  </si>
  <si>
    <t>E Myanmar to sw China; winters to Thailand and s Laos</t>
  </si>
  <si>
    <t>SW China (Likiang Mts. of nw Yunnan) to Thailand and s Laos</t>
  </si>
  <si>
    <t>E China (Sichuan to Shaanxi and Hebei); winters to s Laos</t>
  </si>
  <si>
    <t>Maritime provinces of se China</t>
  </si>
  <si>
    <t>Burias (Philippines)</t>
  </si>
  <si>
    <t>Luzon, Marinduque, Catanduanes, Polillo and adj. small islands</t>
  </si>
  <si>
    <t>Samar, Leyte, Cebu, Bohol and Mindanao and adj. small islands</t>
  </si>
  <si>
    <t>Philippines (Dinagat, Mindanao, Panaon, Biliran and Siargao)</t>
  </si>
  <si>
    <t>Central Japanese is. (Honshu to Kyushu); Cheju-Do I. (Korea)</t>
  </si>
  <si>
    <t>S Japan (Hachijo-jima, Tanegashima and Yakushima)</t>
  </si>
  <si>
    <t>N Ryukyu Islands (Amami-O-Shima and Tokuno-Shima)</t>
  </si>
  <si>
    <t>Central Ryukyu Islands (Ihiya, Okinawa, Zamami and Kume)</t>
  </si>
  <si>
    <t>Ryukyu Islands (Ishigaki, Iriomote and Yonaguni)</t>
  </si>
  <si>
    <t>Bonin Islands (Mukojima, Chichijima and Hahajima)</t>
  </si>
  <si>
    <t>Volcano Islands (Japan)</t>
  </si>
  <si>
    <t>Daito Islands (Japan)</t>
  </si>
  <si>
    <t>Philippines (Babuyan Claro, Batan, Ivojos and Sabtang)</t>
  </si>
  <si>
    <t>Philippines (Calayan, Fuga and Dalupiri)</t>
  </si>
  <si>
    <t>Afghanistan and Pakistan to n India, Myanmar and SE Asia</t>
  </si>
  <si>
    <t>N Philippines (Luzon and [?] Negros)</t>
  </si>
  <si>
    <t>Breeds widely in Holarctic regions; &gt;in tropics</t>
  </si>
  <si>
    <t>Kamchatka Pen. and Kuril Is. to Amur River and Hokkaido</t>
  </si>
  <si>
    <t>Lower Egypt and Suez Canal region</t>
  </si>
  <si>
    <t>E Himalayas to ne Myanmar, Japan, Korea; &gt;n Australia</t>
  </si>
  <si>
    <t>Northeast China; &gt;SE Asia</t>
  </si>
  <si>
    <t>Andamans and Myanmar to Indochina, Sundas, Wallacea, Philippines</t>
  </si>
  <si>
    <t>N and w New Guinea</t>
  </si>
  <si>
    <t>S and e New Guinea</t>
  </si>
  <si>
    <t>New Britain (Bismarck Archipelago)</t>
  </si>
  <si>
    <t>New Ireland to Solomons, New Caledonia, Vanuatu, Fiji and Tonga</t>
  </si>
  <si>
    <t>Society Islands (Moorea and Tahiti)</t>
  </si>
  <si>
    <t>SE China (Fujian and Guangxi) and Taiwan</t>
  </si>
  <si>
    <t>Siberia to Kuril Is., Japan; &gt;Greater Sundas, Philippines</t>
  </si>
  <si>
    <t>Greater and Lesser Sundas to the Philippines and Taiwan</t>
  </si>
  <si>
    <t>NW India to n Myanmar and nw Thailand</t>
  </si>
  <si>
    <t>NE Myanmar to sw China (s Yunnan), n Thailand and n Laos</t>
  </si>
  <si>
    <t>Thailand/Tenasserim border and w Thailand</t>
  </si>
  <si>
    <t>Mts. of e Nepal to ne India, sw China, n Thailand, Laos, Vietnam</t>
  </si>
  <si>
    <t>Mountains of peninsular Thailand (south of Isthmus of Kra)</t>
  </si>
  <si>
    <t>Malay Peninsula</t>
  </si>
  <si>
    <t>Mts. of ne Borneo (Kinabalu to Mulu and Tama Abu Range)</t>
  </si>
  <si>
    <t>Mountains of Palawan (sw Philippines)</t>
  </si>
  <si>
    <t>Flores (w Lesser Sundas)</t>
  </si>
  <si>
    <t>N Sulawesi</t>
  </si>
  <si>
    <t>N-central and se Sulawesi</t>
  </si>
  <si>
    <t>S-central Sulawesi (Latimojong Mountains)</t>
  </si>
  <si>
    <t>S Sulawesi (Mt. Lompobatang) and Taliabu I. (Sula Islands)</t>
  </si>
  <si>
    <t>S Moluccas (Buru and Seram)</t>
  </si>
  <si>
    <t>Mountains of Bacan I. (n Moluccas)</t>
  </si>
  <si>
    <t>Main Japanese islands south to Cheju-Do Islands. Also Hawaiian Islands (introduced)</t>
  </si>
  <si>
    <t>S Izu Islands, Bonin Islands and Volcano Islands</t>
  </si>
  <si>
    <t>Mountains of n Sumatra</t>
  </si>
  <si>
    <t>Mountains of central and s Sumatra</t>
  </si>
  <si>
    <t>Timor (e Lesser Sundas)</t>
  </si>
  <si>
    <t>Mountains of n Borneo (Sabah and Sarawak)</t>
  </si>
  <si>
    <t>N Borneo (Mt. Kinabalu)</t>
  </si>
  <si>
    <t>Siberia to Mongolia and w China; winters to India and Indochina</t>
  </si>
  <si>
    <t>N China (south of Gobi Desert) to n Sichuan; winters to Indochina</t>
  </si>
  <si>
    <t>W Europe to s Poland and Romania; winters to w Africa</t>
  </si>
  <si>
    <t>Scandinavia to Siberia (Yenisey River); winters to w Africa</t>
  </si>
  <si>
    <t>E Siberia (Taymyr Peninsula to Anadyr River); winters to s Africa</t>
  </si>
  <si>
    <t>N and central Luzon (n Philippines)</t>
  </si>
  <si>
    <t>S Luzon (s Philippines)</t>
  </si>
  <si>
    <t>Philippines (Cebu and Negros)</t>
  </si>
  <si>
    <t>High mountains of s Malay Peninsula</t>
  </si>
  <si>
    <t>Mountains of Borneo (Kinabalu to Poi Range)</t>
  </si>
  <si>
    <t>Mountains of Flores (w Lesser Sundas)</t>
  </si>
  <si>
    <t>Mountains of Timor (e Lesser Sundas)</t>
  </si>
  <si>
    <t>Philippines (s Luzon, Negros and Mindoro)</t>
  </si>
  <si>
    <t>Diuata Mountains of ne Mindanao (s Philippines)</t>
  </si>
  <si>
    <t>Mindanao (Mt. Apo and Mt. Mayo)</t>
  </si>
  <si>
    <t>Mindanao (Mt. Malindang and Zamboanga Peninsula)</t>
  </si>
  <si>
    <t>Mindanao (Mt. Katanglad and mts. of Misamis Oriental Prov.)</t>
  </si>
  <si>
    <t>northern Israel</t>
  </si>
  <si>
    <t>Arabia and Iran to Mongolia and India; winters to India</t>
  </si>
  <si>
    <t>Plains of Brahmaputra River (Assam) to Myanmar and sw China</t>
  </si>
  <si>
    <t>Philippines (Luzon, Mindoro, Leyte, Bohol and Mindanao)</t>
  </si>
  <si>
    <t>S Sulawesi</t>
  </si>
  <si>
    <t>SE Borneo, Java and w Lesser Sundas (Lombok and Sumbawa)</t>
  </si>
  <si>
    <t>S Siberia to Manchuria and Sea of Japan; winters to India</t>
  </si>
  <si>
    <t>SE Siberia to ne China; winters to Andaman and Nicobar is.</t>
  </si>
  <si>
    <t>N Siberia to Sea of Okhotsk and Kamchatka; winters to s India</t>
  </si>
  <si>
    <t>Mt. Apo on s-central Mindanao (s Philippines)</t>
  </si>
  <si>
    <t>Mt. Malindang on nw Mindanao (s Philippines)</t>
  </si>
  <si>
    <t>Philippines (Luzon, Panay, Tablas, Marinduque, Ticao, Negros)</t>
  </si>
  <si>
    <t>Philippines (Bohol, Cebu and Leyte)</t>
  </si>
  <si>
    <t>Ambon (s Moluccas)</t>
  </si>
  <si>
    <t>S Philippines (Mindanao and Camiguin Sur)</t>
  </si>
  <si>
    <t>N-central Sulawesi</t>
  </si>
  <si>
    <t>Sumba (Lesser Sundas)</t>
  </si>
  <si>
    <t>S New Guinea (Middle Fly River region)</t>
  </si>
  <si>
    <t>Coastal n and e Australia (King Sound to Sydney, NSW)</t>
  </si>
  <si>
    <t>Pakistan to India, s China, s Myanmar, Thailand and Indochina</t>
  </si>
  <si>
    <t>Borneo and Java</t>
  </si>
  <si>
    <t>Philippines (Luzon, Mindoro, Panay, Samar and Mindanao)</t>
  </si>
  <si>
    <t>Coastal w France to Iberian Pen., Balearic Islands and nw Africa</t>
  </si>
  <si>
    <t>S France to Corsica, Sardinia, Balkans, Turkey, Syria and Israel</t>
  </si>
  <si>
    <t>Senegal to s Nigeria, Sudan, Rwanda and n Tanzania; Mafia I.</t>
  </si>
  <si>
    <t>southern Africa, from Equatorial Guinea (Rio Muni), central Democratic Republic of the Congo, Burundi and southern Tanzania south to southern South Africa</t>
  </si>
  <si>
    <t>Cyprus, Levant, Iraq and w Iran</t>
  </si>
  <si>
    <t>E Afghanistan to Pakistan, Nepal, n Myanmar, India, Sri Lanka</t>
  </si>
  <si>
    <t>SW India (Kerala)</t>
  </si>
  <si>
    <t>Japan (Honshu to Ryukyu, Izu and Cheju-Do is.) to n Philippines</t>
  </si>
  <si>
    <t>S China to Indochina, Hainan, Taiwan and Philippines</t>
  </si>
  <si>
    <t>SW Philippines (Culion and Palawan)</t>
  </si>
  <si>
    <t>Nicobar Islands, southern Myanmar and Thailand through the Thai-Malay Peninsula to Sumatra and Java</t>
  </si>
  <si>
    <t>E Java, Kangean Islands and Lesser Sundas</t>
  </si>
  <si>
    <t>Sulawesi, Togian Is., Muna I., Tukangbesi Is. and Peleng I.</t>
  </si>
  <si>
    <t>Disjunct in coastal n Australia to western Gulf of Carpenteria</t>
  </si>
  <si>
    <t>Coastal s New Guinea and coastal n Queensland</t>
  </si>
  <si>
    <t>Coastal ne Queensland (Cape York Pen. south to Keppel I.)</t>
  </si>
  <si>
    <t>Foothills of Nepal to ne India, n Myanmar and sw China (Yunnan)</t>
  </si>
  <si>
    <t>S India (s Mysore, w Tamil Nadu and Kerala)</t>
  </si>
  <si>
    <t>E Myanmar to central Thailand, Cambodia and s Vietnam</t>
  </si>
  <si>
    <t>SE China (se Yunnan to s Hunan, Jiangxi and Fujian)</t>
  </si>
  <si>
    <t>Sulawesi subregion and s Moluccas</t>
  </si>
  <si>
    <t>Java, Bali, Lesser Sundas and n Australia (Northern Territory)</t>
  </si>
  <si>
    <t>New Guinea to Solomon Islands and islands in Torres Strait</t>
  </si>
  <si>
    <t>N Australia (Pilbara region to Mackenzie River, Queensland)</t>
  </si>
  <si>
    <t>E Australia (c Queensland to s Victoria and adj. South Australia)</t>
  </si>
  <si>
    <t>Philippines (Panay, Masbate, Guimaras, Bantayan, Calagna-an, and Ticao)</t>
  </si>
  <si>
    <t>Philippines (Negros and Cebu)</t>
  </si>
  <si>
    <t>S Philippines (Samar, Leyte, Dinagat, Bohol and Mindanao)</t>
  </si>
  <si>
    <t>Luzon (n Philippines); single specimen from Palawan</t>
  </si>
  <si>
    <t>Catanduanes (n Philippines)</t>
  </si>
  <si>
    <t>Myanmar to Thailand, Malay Peninsula, Sumatra, and Riau and Lingga archipelagos</t>
  </si>
  <si>
    <t>Sirhassen I. (South Natuna Islands)</t>
  </si>
  <si>
    <t>southern Myanmar to the Malay Peninsula, Indochina, Sumatra and adjacent islands</t>
  </si>
  <si>
    <t>Nias and Pagai islands (off w Sumatra)</t>
  </si>
  <si>
    <t>Siberut and Sipoura islands (off w Sumatra)</t>
  </si>
  <si>
    <t>Coastal mangroves of Java</t>
  </si>
  <si>
    <t>Kangean and Karimunjawa islands (Java Sea)</t>
  </si>
  <si>
    <t>Mapun (southern Philippines)</t>
  </si>
  <si>
    <t>Lowlands of e Nepal to ne India and extreme n Myanmar</t>
  </si>
  <si>
    <t>W Myanmar (Upper Chindwin District to Arakan)</t>
  </si>
  <si>
    <t>S China (se Yunnan) to n and e Thailand, Laos and Tonkin</t>
  </si>
  <si>
    <t>Central Vietnam</t>
  </si>
  <si>
    <t>E Thailand and w Cambodia</t>
  </si>
  <si>
    <t>E Cambodia and s Vietnam</t>
  </si>
  <si>
    <t>Pulau Kundur (South China Sea)</t>
  </si>
  <si>
    <t>Coastal Gulf of Siam (Isthmus of Kra to Cambodia)</t>
  </si>
  <si>
    <t>S Malay Pen., Sumatra, Banyak, Batu, Lingga and Riau islands</t>
  </si>
  <si>
    <t>Pulau Bunguran (North Natuna Islands)</t>
  </si>
  <si>
    <t>Borneo, and Bangka and Belitung islands (east coast of Sumatra)</t>
  </si>
  <si>
    <t>S Philippines (Samar, Leyte, Bohol and Mindanao)</t>
  </si>
  <si>
    <t>S Philippines (Dinagat and Siargao)</t>
  </si>
  <si>
    <t>S Philippines (Basilan and Malamaui)</t>
  </si>
  <si>
    <t>Sulu Archipelago (Bongao, Jolo and Tawitawi islands)</t>
  </si>
  <si>
    <t>N Philippines (Leyte and Samar)</t>
  </si>
  <si>
    <t>Central Philippines (Bohol)</t>
  </si>
  <si>
    <t>S Philippines (Basilan)</t>
  </si>
  <si>
    <t>N Philippines (s Luzon)</t>
  </si>
  <si>
    <t>Philippines (s Sierra Madre Mountains of s Luzon)</t>
  </si>
  <si>
    <t>S Philippines (Dinagat)</t>
  </si>
  <si>
    <t>S Philippines (Mindanao, excluding Zamboanga Peninsula)</t>
  </si>
  <si>
    <t>S Philippines (Basilan and Zamboanga Peninsula of Mindanao)</t>
  </si>
  <si>
    <t>S Philippines (Mt. Hilong Hilong on ne Mindanao)</t>
  </si>
  <si>
    <t>S Philippines (Mts. Apo, Matutum, Mayo, Katanglad on Mindanao)</t>
  </si>
  <si>
    <t>S Philippines (Mt. Malindang on Mindanao)</t>
  </si>
  <si>
    <t>Main Japanese islands (Honshu to Kyushu)</t>
  </si>
  <si>
    <t>Izu Is. (s Japan); introduced to Bonin Is.</t>
  </si>
  <si>
    <t>Volcano Is. (Iwo Jima and Minami-iwo-Jima)</t>
  </si>
  <si>
    <t>Ryukyu Is. (Tanegashima and Yakushima)</t>
  </si>
  <si>
    <t>Iriomote (Ryukyu Is.)</t>
  </si>
  <si>
    <t>Daito Is. (Philippine Sea)</t>
  </si>
  <si>
    <t>Lüdao (Green) and Lanyu (Orchid) Islands (southeast of Taiwan) and Batan Islands (Philippines, north of Luzon)</t>
  </si>
  <si>
    <t>Philippines (Luzon, Banton, Calayan, Lubang, Verde, Caluya)</t>
  </si>
  <si>
    <t>Philippines (Bohol, Leyte, Samar, Calicoan and Biliran)</t>
  </si>
  <si>
    <t>Philippines (Basilan, Dinagat, Mindanao, Siargao, Camiguin Sur)</t>
  </si>
  <si>
    <t>Sulu Archipelago (Sulu, Tawitawi, Jolo, Bongao, Sanga Sanga)</t>
  </si>
  <si>
    <t>Talaud Is. (Karakelong and Salebabu) and n Sulawesi</t>
  </si>
  <si>
    <t>Cagayancillo I. (Sulu Archipelago)</t>
  </si>
  <si>
    <t>northern Philippines (northwestern Luzon)</t>
  </si>
  <si>
    <t>northern Philippines (northeastern and central Luzon)</t>
  </si>
  <si>
    <t>N Philippines (se Luzon and Catanduanes)</t>
  </si>
  <si>
    <t>Philippines (Masbate, Negros, Ticao, Panay and Caluya)</t>
  </si>
  <si>
    <t>India to Myanmar, Thailand and Indochina</t>
  </si>
  <si>
    <t>central and southern Thai-Malay Peninsula</t>
  </si>
  <si>
    <t>Sumatra, Borneo and adjacent islands</t>
  </si>
  <si>
    <t>N Philippines (Luzon and Polillo)</t>
  </si>
  <si>
    <t>Philippines (Bohol, Samar and Leyte)</t>
  </si>
  <si>
    <t>India to pen. Thailand to Sumatra, Lingga Arch. and Bangka I.</t>
  </si>
  <si>
    <t>southern peninsular Thailand through the Thai-Malay Peninsula to Sumatra, and Simeulue Island, off the west coast of Sumatra</t>
  </si>
  <si>
    <t>S Philippines (Palawan and Balabac)</t>
  </si>
  <si>
    <t>N Philippines (Cordillera Mountains of nw Luzon)</t>
  </si>
  <si>
    <t>Philippines (Samar, Leyte and Biliran)</t>
  </si>
  <si>
    <t>S Philippines (e Mindanao)</t>
  </si>
  <si>
    <t>S Philippines (w Mindanao, Basilan and East Blood)</t>
  </si>
  <si>
    <t>Philippines (Cebu, Guimaras, Panay and Negros)</t>
  </si>
  <si>
    <t>Assam to Bangladesh and Myanmar (Arakan Yoma Mts.)</t>
  </si>
  <si>
    <t>Andaman Islands and Car Nicobar I.</t>
  </si>
  <si>
    <t>Great and Central Nicobar islands</t>
  </si>
  <si>
    <t>Thai-Malay Peninsula, Sumatra, Java, and western Borneo</t>
  </si>
  <si>
    <t>Simuelue, Banyan and Nias islands (off w Sumatra)</t>
  </si>
  <si>
    <t>Mentawi Islands (off w Sumatra)</t>
  </si>
  <si>
    <t>Enggano I. (off s Sumatra)</t>
  </si>
  <si>
    <t>Anambas and Natuna islands (off Borneo)</t>
  </si>
  <si>
    <t>E Borneo</t>
  </si>
  <si>
    <t>Panjang, Maratau and Derawan islands (off e Borneo)</t>
  </si>
  <si>
    <t>Talaud, Sangihe, Siau, Tahjlandang, Ruang, and Biaro islands</t>
  </si>
  <si>
    <t>N Sulawesi and Philippine Islands</t>
  </si>
  <si>
    <t>Mindanao, Cebu, Panay, Negros, Bohol, Samar and Ticao</t>
  </si>
  <si>
    <t>NE peninsular India</t>
  </si>
  <si>
    <t>N India to Myanmar, Thailand, Indochina and s China</t>
  </si>
  <si>
    <t>Thai-Malay Peninsula, Sumatra, Bangka Island, Java, Bali, and Borneo</t>
  </si>
  <si>
    <t>Batu and Mentawi islands (off nw Sumatra)</t>
  </si>
  <si>
    <t>W Lesser Sundas (Sumbawa, Flores, Pantar, Lomblen and Alor)</t>
  </si>
  <si>
    <t>E Myanmar to n Indochina, se and central China</t>
  </si>
  <si>
    <t>Volga Delta and n Caucasus to Caspian Sea and s Iran</t>
  </si>
  <si>
    <t>Canary Is. and Iceland to Ural Mts., n Ukraine and se Europe</t>
  </si>
  <si>
    <t>Faeroes</t>
  </si>
  <si>
    <t>Shetland Islands</t>
  </si>
  <si>
    <t>E Ural Mountains to Lake Baikal, Kazakhstan and w Mongolia</t>
  </si>
  <si>
    <t>E and s Ukraine, Crimea and Asia Minor</t>
  </si>
  <si>
    <t>W Transcaucasia to Georgia and Armenia</t>
  </si>
  <si>
    <t>Afghanistan, Transcaspia and Khorasan</t>
  </si>
  <si>
    <t>S Dzungaria and Tien Shan Mts. to Pamir Mts. and Samarkand</t>
  </si>
  <si>
    <t>W Himalayas (Kashmir to Garhwal)</t>
  </si>
  <si>
    <t>Locally in w Pakistan (Sind)</t>
  </si>
  <si>
    <t>Philippines (Luzon, Masbate, Negros, Catanduanes and Panay)</t>
  </si>
  <si>
    <t>Philippines (Basilan, Samar, Leyte, Bohol, Dinagat, Mindanao)</t>
  </si>
  <si>
    <t>Philippines (montane forests of Samar)</t>
  </si>
  <si>
    <t>Philippines (Leyte and Biliran)</t>
  </si>
  <si>
    <t>NE Asia; winters to SE Asia, Sumatra and Java</t>
  </si>
  <si>
    <t>Sakhalin I. and n Japan; winters to s China, SE Asia and Sumatra</t>
  </si>
  <si>
    <t>Siberia to Manchuria and Korea; winters to s China and Indochina</t>
  </si>
  <si>
    <t>Manchuria and Japan; winters in Taiwan and Lan-yü I.</t>
  </si>
  <si>
    <t>SW China (Sichuan)</t>
  </si>
  <si>
    <t>W-central China (Guizhou)</t>
  </si>
  <si>
    <t>Central Java</t>
  </si>
  <si>
    <t>W Java (Mt. Lawoe region)</t>
  </si>
  <si>
    <t>Mountains of e Java</t>
  </si>
  <si>
    <t>Mountains of s Luzon (n Philippines)</t>
  </si>
  <si>
    <t>Tolokiwa I. (Bismarck Archipelago)</t>
  </si>
  <si>
    <t>St. Matthias I. (Bismarck Archipelago)</t>
  </si>
  <si>
    <t>Bougainville (Solomon Islands)</t>
  </si>
  <si>
    <t>Guadalcanal (Solomon Islands)</t>
  </si>
  <si>
    <t>Rennell (Solomon Islands)</t>
  </si>
  <si>
    <t>Vanuatu (Vanikoro, Santa Cruz and Espíritu Santo)</t>
  </si>
  <si>
    <t>Gau I. (Banks Group)</t>
  </si>
  <si>
    <t>Vanuatu (Pentecost, Malakulu and Ambrim)</t>
  </si>
  <si>
    <t>Vanuatu (Paama, Lopevi, Epi and Mai)</t>
  </si>
  <si>
    <t>Erromango (Vanuatu)</t>
  </si>
  <si>
    <t>Vanuatu (Tanna; the thrush on Futuna probably also is this subspecies) and Loyalty Islands (Lifou, where probably extinct)</t>
  </si>
  <si>
    <t>Kuril Islands; winters to main Japanese islands and Ryukyu Is.</t>
  </si>
  <si>
    <t>Sakhalin I. (Russia) to n Japan; winters to s China and Philippines</t>
  </si>
  <si>
    <t>Polillo (Philippines)</t>
  </si>
  <si>
    <t>Marinduque (Philippines)</t>
  </si>
  <si>
    <t>SE Siberia to Japan; &gt; to Indochina and Greater Sundas</t>
  </si>
  <si>
    <t>W Himalayas (e Afghanistan to Kashmir and Garhwal)</t>
  </si>
  <si>
    <t>E Himalayas to se Tibet and ne India; &gt; to s Thailand</t>
  </si>
  <si>
    <t>breeds in mountains of western China and northern Myanmar; winters in southern China, Indochina, and the Thai-Malay Peninsula</t>
  </si>
  <si>
    <t>Siberia to Japan, s China and India; &gt; to Greater Sundas</t>
  </si>
  <si>
    <t>N plateau of Thailand and Vietnam</t>
  </si>
  <si>
    <t>Coastal lowlands of s Thailand, Malaya, Sumatra and Borneo</t>
  </si>
  <si>
    <t>Karimunjawa Islands (Java Sea)</t>
  </si>
  <si>
    <t>W Java and Sebesi I. (Sunda Strait)</t>
  </si>
  <si>
    <t>Karimata I. (off sw Borneo)</t>
  </si>
  <si>
    <t>Philippines (Marinduque)</t>
  </si>
  <si>
    <t>Central and s Philippines, Palawan and Sulu Archipelago</t>
  </si>
  <si>
    <t>Montane forests of Sarawak (n Borneo)</t>
  </si>
  <si>
    <t>Philippines (Leyte, Samar and e Mindanao)</t>
  </si>
  <si>
    <t>W Mindanao (s Philippines)</t>
  </si>
  <si>
    <t>breeds in northeastern China (Heilongjiang south to eastern Hebei), southeastern Russia (Amurskaya Oblast and Primorskiy Kray), and the Korean peninsula; the species winters south to Myanmar, Thailand, and the Greater Sundas</t>
  </si>
  <si>
    <t>breeds Japan and southern Kuril Islands; the species winters south to Myanmar, Thailand, and the Greater Sundas</t>
  </si>
  <si>
    <t>N Philippines (montane forests of Luzon and Mindoro)</t>
  </si>
  <si>
    <t>Central Philippines (montane forests of Negros and Panay)</t>
  </si>
  <si>
    <t>Sulawesi (except the south); a population on Taliabu provisionally is assigned here, but may represent an undescribed subspecies</t>
  </si>
  <si>
    <t>Montane forests of s Sulawesi</t>
  </si>
  <si>
    <t>Montane forests of Obi (s Moluccas)</t>
  </si>
  <si>
    <t>Montane forests of Seram (s Moluccas)</t>
  </si>
  <si>
    <t>Mountains of s Palawan (s Philippines)</t>
  </si>
  <si>
    <t>Highlands of Mindoro (Philippines)</t>
  </si>
  <si>
    <t>Mountains of Negros (Philippines)</t>
  </si>
  <si>
    <t>S Philippines (Mt. Malindang region of nw Mindanao)</t>
  </si>
  <si>
    <t>S Philippines (Mt. Apo and Mt. Matutum on Mindanao)</t>
  </si>
  <si>
    <t>breeds eastern Siberia to northeastern China, Korea and Japan; the species winters in southern China, Indochina, the Thai-Malay Peninsula, Sumatra, Java, and Borneo, but the nonbreeding distributions of the two subspecies are not well differentiated</t>
  </si>
  <si>
    <t>breeds breeds south central Siberia (and perhaps adjacent northeastern Kazakhastan) and northern Mongolia; the species winters in southern China, Indochina, the Thai-Malay Peninsula, Sumatra, Java, and Borneo, but the nonbreeding distributions of the two subspecies are not well differentiated</t>
  </si>
  <si>
    <t>Scandinavia across Siberia to w Alaska; &gt; N Africa, s Asia</t>
  </si>
  <si>
    <t>Western France</t>
  </si>
  <si>
    <t>Central Europe and Spain; &gt; to North Africa</t>
  </si>
  <si>
    <t>NE Ukraine to middle Volga River</t>
  </si>
  <si>
    <t>SW Siberia to Turkmenistan, Altai Mts. and upper Yenisey</t>
  </si>
  <si>
    <t>W Pakistan and nw India</t>
  </si>
  <si>
    <t>W China (Xinjiang)</t>
  </si>
  <si>
    <t>Inner Mongolia to w China (Qinghai) and s Tibet</t>
  </si>
  <si>
    <t>Central Philippines (Leyte and Samar)</t>
  </si>
  <si>
    <t>Calayan (Philippines)</t>
  </si>
  <si>
    <t>Luzon and Mindoro (Philippines)</t>
  </si>
  <si>
    <t>Negros (Philippines)</t>
  </si>
  <si>
    <t>Mountains of central Mindanao (s Philippines)</t>
  </si>
  <si>
    <t>Mt. Busa and Mt. Matutum, south central Mindanao (Philippines)</t>
  </si>
  <si>
    <t>N Mindanao (s Philippines)</t>
  </si>
  <si>
    <t>Himalayas (Nepal to Sikkim); &gt; to plains of India</t>
  </si>
  <si>
    <t>Himalayas (Bhutan to s China, n Myanmar, Thailand, Indochina)</t>
  </si>
  <si>
    <t>s Laos and s Vietnam</t>
  </si>
  <si>
    <t>Thai-Malay Peninsula, Sumatra, Borneo, Mindanao, Sulawesi, Bacan, Seram, and Mindanao</t>
  </si>
  <si>
    <t>N Philippines (Luzon, Negros and Panay)</t>
  </si>
  <si>
    <t>Mountains of s Palawan (sw Philippines)</t>
  </si>
  <si>
    <t>S Sumatra, Java, Bali, Lombok, Sumbawa, Flores and s Sulawesi</t>
  </si>
  <si>
    <t>E Lesser Sundas (Timor and Wetar)</t>
  </si>
  <si>
    <t>W China to se Tibet and nw Thailand; &gt; to n Myanmar</t>
  </si>
  <si>
    <t>S Siberia to Mongolia; &gt; to Japan and Ryukyu Islands</t>
  </si>
  <si>
    <t>S Europe, nw Africa and Middle East; winters to central Africa</t>
  </si>
  <si>
    <t>N Iraq and Iran to Pakistan; winters to n India and ne Africa</t>
  </si>
  <si>
    <t>Transcaspia to e Iran, Afghanistan and n Kashmir</t>
  </si>
  <si>
    <t>Pakistan to Baluchistan and Kashmir; &gt; to central India</t>
  </si>
  <si>
    <t>Central India to sw China, Myanmar, n Thailand and Indochina</t>
  </si>
  <si>
    <t>S India (w Madras and Kerala)</t>
  </si>
  <si>
    <t>N Philippines (Luzon, Lubang and Mindoro)</t>
  </si>
  <si>
    <t>Philippines (Negros, Bohol, Masbate, Ticao, Cebu, Siquijor)</t>
  </si>
  <si>
    <t>S Philippines (Mindanao, Camiguin Sur, Leyte and Biliran)</t>
  </si>
  <si>
    <t>Java, Bali. Lombok, Sumbawa, Flores, Lomblen and Alor</t>
  </si>
  <si>
    <t>Lesser Sundas (Kisar, Wetar, Sawu, Semau, Roti and Timor)</t>
  </si>
  <si>
    <t>Sumba I. (Lesser Sundas)</t>
  </si>
  <si>
    <t>Sulawesi, Salayar and Butung islands</t>
  </si>
  <si>
    <t>Babar I. (Lesser Sundas)</t>
  </si>
  <si>
    <t>N New Guinea and New Britain (Bismarck Archipelago)</t>
  </si>
  <si>
    <t>Central mts. of New Guinea (Wissel Lakes to Snow Mountains)</t>
  </si>
  <si>
    <t>Central highlands of New Guinea to Huon Pen. and se mountains</t>
  </si>
  <si>
    <t>British Isles to Mediterranean, and east to Siberia, Alaska, and nw Canada (Yukon); &gt; to c Africa</t>
  </si>
  <si>
    <t>S Spain and Balearic Is. to Iran, Kazakhstan and Mongolia</t>
  </si>
  <si>
    <t>N Philippines (Sierra Madre Mts. of n Luzon); Catanduanes</t>
  </si>
  <si>
    <t>Central Philippines (s Luzon; Samar, Leyte and possibly Bohol)</t>
  </si>
  <si>
    <t>SW Philippines (Busuanga, Culion, Calauit and Calamianes)</t>
  </si>
  <si>
    <t>N Philippines (Lubang, Luzon, Romblon, Sibuyan, Catanduanes)</t>
  </si>
  <si>
    <t>Cent. and s Philippines (Cebu, Negros, Mindoro and Mindanao)</t>
  </si>
  <si>
    <t>S Philippines (Diuata Mts. of ne Mindanao)</t>
  </si>
  <si>
    <t>S Philippines (Mt. Malindang on nw Mindanao)</t>
  </si>
  <si>
    <t>N Philippines (Luzon, Mindoro and Catanduanes)</t>
  </si>
  <si>
    <t>S Philippines (Bohol, Leyte, Dinagat, Mindanao and Samar)</t>
  </si>
  <si>
    <t>Central Philippines (Negros and Guimaras)</t>
  </si>
  <si>
    <t>southern Bangladesh to southern Myanmar and peninsular Thailand</t>
  </si>
  <si>
    <t>Malay Peninsula to Singapore, Sumatra and satellite islands</t>
  </si>
  <si>
    <t>Great Natuna I. (North Natuna Islands)</t>
  </si>
  <si>
    <t>Krakatoa I., Java and Bali</t>
  </si>
  <si>
    <t>Borneo and adjacent offshore northern islands</t>
  </si>
  <si>
    <t>N Philippines (Luzon, Marinduque, Mindoro and Polillo)</t>
  </si>
  <si>
    <t>N Philippines (Romblon)</t>
  </si>
  <si>
    <t>N Philippines (Tablas)</t>
  </si>
  <si>
    <t>N Philippines (Sibuyan)</t>
  </si>
  <si>
    <t>Central Philippines (Masbate, Panay and Negros)</t>
  </si>
  <si>
    <t>S Philippines (Siquijor)</t>
  </si>
  <si>
    <t>Central Philippines (Cebu)</t>
  </si>
  <si>
    <t>Philippines (Mindanao, Samar, Leyte, Calicoan, Biliran and Bohol)</t>
  </si>
  <si>
    <t>Sulu Archipelago (Tawitawi, Jolo and Siasi)</t>
  </si>
  <si>
    <t>Sulu Archipelago (Sibutu, Omapoy and Sipangkot)</t>
  </si>
  <si>
    <t>N Philippines (Sierra Madre Mts. of ne Luzon)</t>
  </si>
  <si>
    <t>N Philippines (central and s Luzon and Catanduanes)</t>
  </si>
  <si>
    <t>Philippines (Bohol, Samar, Leyte, Dinagat, Panaon, Mindanao)</t>
  </si>
  <si>
    <t>S Philippines (Zamboanga Peninsula of Mindanao)</t>
  </si>
  <si>
    <t>S Philippines (Basilan, Bongao, Jolo, Tawitawi and Siasi)</t>
  </si>
  <si>
    <t>S Philippines (Balabac, Culion, Calauit and Palawan)</t>
  </si>
  <si>
    <t>Fuga I. (n Philippines off n Luzon)</t>
  </si>
  <si>
    <t>N Philippines (Ilocos Norte Province of extreme n Luzon)</t>
  </si>
  <si>
    <t>Central and s Luzon and central Philippine Is.</t>
  </si>
  <si>
    <t>E Himalayas (Kashmir) to s-cent. China, Myanmar and Indochina</t>
  </si>
  <si>
    <t>Mts. of s peninsular Thailand and Malay Peninsula</t>
  </si>
  <si>
    <t>Montane forests of Taiwan</t>
  </si>
  <si>
    <t>N Philippines (montane forests of n Luzon)</t>
  </si>
  <si>
    <t>Central Philippines (Samar I.)</t>
  </si>
  <si>
    <t>Mts. of s Philippines (Negros and Mindanao)</t>
  </si>
  <si>
    <t>S Myanmar to pen. Thailand, Indochina, Sumatra and s Borneo</t>
  </si>
  <si>
    <t>Maratua Is. (off Borneo)</t>
  </si>
  <si>
    <t>S Philippines (Balabac, Culion, Palawan and Calauit)</t>
  </si>
  <si>
    <t>S Philippines (Basilan, w and central Mindanao and Talicod)</t>
  </si>
  <si>
    <t>Sulu Archipelago (Bongao, Jolo, Tawitawi and Basbas)</t>
  </si>
  <si>
    <t>S Philippines (Sibutu and Sitanki)</t>
  </si>
  <si>
    <t>Cebu, Masbate, Negros, Panay, Sibuyan, Tablas, Romblon, Ticao</t>
  </si>
  <si>
    <t>Sangihe and Siau islands (off Sulawesi)</t>
  </si>
  <si>
    <t>Sulawesi and adjacent islands</t>
  </si>
  <si>
    <t>Banggai and Sula Islands</t>
  </si>
  <si>
    <t>W Lesser Sundas (Lombok to Pantar and Alor)</t>
  </si>
  <si>
    <t>Philippines (northern Luzon and adjacent islets)</t>
  </si>
  <si>
    <t>Philippines (central and southern Luzon, Polillo, and Catanduanes; intergrades with henkei in central Luzon)</t>
  </si>
  <si>
    <t>southern Philippines (Mindoro east to Samar, south to Palawan and eastern Mindanao)</t>
  </si>
  <si>
    <t>Andaman Is. (Bay of Bengal)</t>
  </si>
  <si>
    <t>Car Nicobar I. (Bay of Bengal)</t>
  </si>
  <si>
    <t>N Nicobar Is. (Bay of Bengal)</t>
  </si>
  <si>
    <t>Myanmar to Thailand, Cambodia and n Malay Pen. (s to Penang)</t>
  </si>
  <si>
    <t>S Malay Pen. to Sumatra, Borneo, Java, Lesser Sundas and adj. is.</t>
  </si>
  <si>
    <t>S Luzon, central and s Philippine Is.</t>
  </si>
  <si>
    <t>Sulu Archipelago (s Philippines)</t>
  </si>
  <si>
    <t>Sulawesi, Talaud, Salayar and adjacent smaller islands</t>
  </si>
  <si>
    <t>Tukangbesi Is. (off Sulawesi)</t>
  </si>
  <si>
    <t>Banggai Is. and Sula Is.</t>
  </si>
  <si>
    <t>N Moluccas, Aru and w Papuan is., New Guinea and ne Queensland</t>
  </si>
  <si>
    <t>Buru I. (s Moluccas)</t>
  </si>
  <si>
    <t>S Moluccas (Seram, Ambon and adjacent islands)</t>
  </si>
  <si>
    <t>Kai Is. (Kai Kecil, Kai Besar, Ohimas and Add)</t>
  </si>
  <si>
    <t>Northwest New Guinea and Sepik Ramu</t>
  </si>
  <si>
    <t>Bismarck Archipelago and Solomon Is.</t>
  </si>
  <si>
    <t>S Philippines (Mt. Hilong Hilong on Mindanao)</t>
  </si>
  <si>
    <t>S Philippines (montane forests of central and e Mindanao)</t>
  </si>
  <si>
    <t>S Philippines (montane forests of Mt. Malindang on w Mindanao)</t>
  </si>
  <si>
    <t>Philippines (Panay and Guimaras)</t>
  </si>
  <si>
    <t>Philippines (Negros)</t>
  </si>
  <si>
    <t>N Philippines (c Luzon, Mindoro, Polillo and Marinduque</t>
  </si>
  <si>
    <t>N Philippines (Lubang)</t>
  </si>
  <si>
    <t>S Philippines (Samar, Leyte, Dinagat, Siargao and Mindanao)</t>
  </si>
  <si>
    <t>Philippines (Ticao, Masbate, Panay, Negros and Cebu)</t>
  </si>
  <si>
    <t>S Philippines (Sulu Archipelago)</t>
  </si>
  <si>
    <t>Philippines (Samar, Leyte, Bohol, Mindanao, Dinagat and Biliran)</t>
  </si>
  <si>
    <t>S Philippines (Basilan I.)</t>
  </si>
  <si>
    <t>N Philippines (Sierra Madre Mts. of e-central Luzon)</t>
  </si>
  <si>
    <t>S Philippines (e Mindanao in Davao area)</t>
  </si>
  <si>
    <t>S Philippines (central and w Mindanao); Basilan?</t>
  </si>
  <si>
    <t>Europe to n Africa, n Mongolia, Manchuria and Sea of Okhotsk</t>
  </si>
  <si>
    <t>E Asia (lower Amur River to Manchuria and n Korea)</t>
  </si>
  <si>
    <t>S Caucasus (Black Sea coast of Georgia to n Iran)</t>
  </si>
  <si>
    <t>W China (Zaidam basin and n Gansu)</t>
  </si>
  <si>
    <t>Transcaspia to w Pakistan, Gobi Desert and w China (Xinjiang)</t>
  </si>
  <si>
    <t>S Kuril Is., Japan, South Korea, Ryukyu Is., Taiwan and se China</t>
  </si>
  <si>
    <t>Central Myanmar, Malaya, Hainan, Vietnam and w Indonesia</t>
  </si>
  <si>
    <t>Philippines (montane forests of Luzon and Mindoro)</t>
  </si>
  <si>
    <t>Borneo (Sarawak and Sabah)</t>
  </si>
  <si>
    <t>Mountains of Malay Peninsula</t>
  </si>
  <si>
    <t>Montane forests of Java</t>
  </si>
  <si>
    <t>Montane forests of Sulawesi</t>
  </si>
  <si>
    <t>W Lesser Sundas (Lombok, Sumbawa and Flores)</t>
  </si>
  <si>
    <t>S Myanmar to Thailand, Laos, Malay Peninsula, Sumatra and Java</t>
  </si>
  <si>
    <t>NE India (Assam) to Bhutan and w Myanmar</t>
  </si>
  <si>
    <t>NE Myanmar and sw China</t>
  </si>
  <si>
    <t>S China to n Thailand, Indochina, Hainan and Taiwan</t>
  </si>
  <si>
    <t>Philippines (Luzon, Mindoro, Panay, Cebu, Calauit and Palawan)</t>
  </si>
  <si>
    <t>S Thailand and Malay Peninsula to Sumatra and adjacent islands</t>
  </si>
  <si>
    <t>Flores, Timor, Tanimbar Islands and adj. Lesser Sundas</t>
  </si>
  <si>
    <t>SE Myanmar, peninsular Thailand and Malay Pen. to Sumatra</t>
  </si>
  <si>
    <t>Palawan, islands in Sulu Archipelago and Borneo</t>
  </si>
  <si>
    <t>N Borneo (Kucing region of sw Sarawak)</t>
  </si>
  <si>
    <t>Luzon, Mindoro, Camiguin Norte, Catanduanes and Polillo</t>
  </si>
  <si>
    <t>SE Nepal and ne India to Myanmar and nw Yunnan</t>
  </si>
  <si>
    <t>SW China (sw Yunnan) to Thailand, Laos and Vietnam</t>
  </si>
  <si>
    <t>Pen. Thailand, Malaya, Sumatra, Riau Arch. and Lingga Arch.</t>
  </si>
  <si>
    <t>Philippines, Sulu Islands, Palawan, Borneo, Sulawesi, Muna and Butung</t>
  </si>
  <si>
    <t>Breeds northern Siberia; winter range incompletely known, but winters in southeast Asia, west perhaps to India</t>
  </si>
  <si>
    <t>Breeds eastern Siberia south to western Transbaikalia, southern Siberia, northern Mongolia, Kamchatka, Commander and northern Kurile Islands, and extreme northwestern North America; winters to southeastern China (and Taiwan?), the Philippines, and southeastern Asia from Myanmar east to Indochina and south to Indonesia</t>
  </si>
  <si>
    <t>NE Russia to Siberia, Mongolia and Manchuria; &gt;to India</t>
  </si>
  <si>
    <t>Azores (Furnas and São Miguel)</t>
  </si>
  <si>
    <t>breeds in Eurasia, from the Canary Islands, Europe, and north Africa (Atlas Mountains) east to Siberia and Japan; winters to north and east Africa, southern Asia, and southeastern Asia</t>
  </si>
  <si>
    <t>SE Greenland, Iceland to Faeroes, Europe, s Urals, Asia Minor</t>
  </si>
  <si>
    <t>Indian subcontinent (except range of watei), to s China, Indochina</t>
  </si>
  <si>
    <t>Extreme sw India, Sri Lanka, Malay Pen., Gr. Sundas, s Indochina</t>
  </si>
  <si>
    <t>Philippine, Palawan and (?) n Borneo</t>
  </si>
  <si>
    <t>Sulawesi, Bali and w Lesser Sundas (Lombok to Sumba)</t>
  </si>
  <si>
    <t>E Lesser Sundas (Sawu, Timor, Roti, Kisar, Leti, Moa, Sermata)</t>
  </si>
  <si>
    <t>Himalayas to China and Japan; &gt;SE Asia</t>
  </si>
  <si>
    <t>NE Eurasia; &gt;India, Myanmar, Philippines and Borneo</t>
  </si>
  <si>
    <t>N Eurasia; &gt;Philippines, n Borneo and Wallacea</t>
  </si>
  <si>
    <t>E Manchuria to North Korea; winters to e China</t>
  </si>
  <si>
    <t>E China</t>
  </si>
  <si>
    <t>N Philippines (mountains of nw Luzon)</t>
  </si>
  <si>
    <t>S Philippines (mountains of Mindanao)</t>
  </si>
  <si>
    <t>E Europe to w Asia; winters to India and Indochina</t>
  </si>
  <si>
    <t>E Siberia to Bering Sea and Sea of Okhotsk; winters to se China</t>
  </si>
  <si>
    <t>Caucasus to nw Iran; winters to sw Iran</t>
  </si>
  <si>
    <t>Mts. of ne Iran to n Afghanistan, Pakistan, and w Himalayas</t>
  </si>
  <si>
    <t>E Himalayas to Tibet and China; winters to s India and Indochina</t>
  </si>
  <si>
    <t>Coniferous forests of n Europe to e Siberia and n Mongolia</t>
  </si>
  <si>
    <t>S-central Canada and n-central US; winters to se US</t>
  </si>
  <si>
    <t>resident on Newfoundland</t>
  </si>
  <si>
    <t>Coastal s Alaska to nw California; winters to ne US</t>
  </si>
  <si>
    <t>S Yukon and n Br. Col. to w US e of Cascades; winters to Baja</t>
  </si>
  <si>
    <t>Mts. of se Montana and ne Wyoming to sw US; winters to s Texas</t>
  </si>
  <si>
    <t>Mountains of sw US</t>
  </si>
  <si>
    <t>southeastern Arizona and southern New Mexico south through western Mexico (Sierra Nevada Occidental) to Chiapas</t>
  </si>
  <si>
    <t>Mountains of w Java</t>
  </si>
  <si>
    <t>Tengger Mountains (s-central Java)</t>
  </si>
  <si>
    <t>Mountains of Sulawesi</t>
  </si>
  <si>
    <t>Boreal forests of Finland to Bering Sea; &gt; to Indochina</t>
  </si>
  <si>
    <t>Amur River to Manchuria, N Korea, Kamchatka and Kuril Is.</t>
  </si>
  <si>
    <t>Range Clements/eBird</t>
  </si>
  <si>
    <t>First record: 5 Feb 2017, One observation at Hinactacan, Lapaz,  Iiloilo, Panya by Rachel Casio and Melba Salditos, DENR Region 6</t>
  </si>
  <si>
    <t>First record: ssp  middendorffii - Kavaywan Lake, Raele, Itbayat, Batanes 14-Mar-2018 by Sammy Telan, Cecil Morella, Angie Macunan</t>
  </si>
  <si>
    <t>First record: 27 Mar - 10 Apr 2010, One individual in Candaba Marsh, Pampanga  photo-documented by Fergus Crystal and Alex Loinaz. See Jensen, A.E., Fisher, T. and Hutchinson, R. (2015) FORKTAIL 31: 24–36</t>
  </si>
  <si>
    <t>First record: 5 Dec 2010 - 11 Jan 2011, 14 individuals of subspecies frontalis in Candaba Marsh, Pampanga photo-documented by Alex Loinaz. See Jensen, A.E., Fisher, T. and Hutchinson, R. (2015) FORKTAIL 31: 24–36</t>
  </si>
  <si>
    <t>First record: 7 February 2006, Two individuals recorded by local farmers at Buenavista, Virac, Catanduanes. One bird was captured and kept in captivity by the local DENR until it died in 2014. See Jensen, A.E., Fisher, T. and Hutchinson, R. (2015) FORKTAIL 31: 24–36</t>
  </si>
  <si>
    <t xml:space="preserve">First record: 25 November 2001, One observed at Magat Dam, Isabela by Merlijn van Weerd and Timothy Fisher. See van  Weerd, M. and van der Ploeg, J. (2004) </t>
  </si>
  <si>
    <t>First record: 30 November – 14 December 2013, An adult male was on fishponds near Barangay Gabu, Laoag, Ilocos Norte, Luzon. Found and photographed by Richard Ruiz. See Jensen, A.E., Fisher, T. and Hutchinson, R. (2015) FORKTAIL 31: 24–36</t>
  </si>
  <si>
    <t>First record: 9 – 20 January 2016, One male at Candaba Marsh, Pampanga, Luzon found by Robert Hutchinson</t>
  </si>
  <si>
    <t>First record: 7 – 23 January 2016, One male at Candaba Marsh, Pampanga, Luzon found by Kevin Carlo Artiaga</t>
  </si>
  <si>
    <t>First record: 16 - 21 December 2017, One individual in Candaba Marsh, Pampanga, found by Robert Hutchinson</t>
  </si>
  <si>
    <t>First record: Batan, Batanes, 17-Jan-2018 by Sammy Telan, Olanski Balbido, Alain Pascua</t>
  </si>
  <si>
    <t>First record: 10 January 2014, An injured, adult individual caught in Bibincahan, Sorsogon City where it was turned over to the Albay Parks and Wildlife, Legazpi City, Luzon (Annabelle Barquilla, DENR- PENRO  Sorsogon in litt. 2014). See Jensen, A.E., Fisher, T. and Hutchinson, R. (2015) FORKTAIL 31: 24–36.</t>
  </si>
  <si>
    <t xml:space="preserve">First record: 11 May 2013, First photo-documented record by Robert Hutchinson and Arne Jensen north of Jessie Beazley Reef, Palawan. Two previous sight records probably this species on 8 May 2008 off Calusa and Cavili Island, Cagayancillo, Palawan by Arne Jensen. See Jensen, A.E., Fisher, T. and Hutchinson, R. (2015) FORKTAIL 31: 24–36. </t>
  </si>
  <si>
    <t xml:space="preserve">First record: 14 April 2004, One caught and photo-documented off Puerto Galera, Mindoro by Peter Stevens. See Jensen, A.E., Fisher, T. and Hutchinson, R. (2015) FORKTAIL 31: 24–36. </t>
  </si>
  <si>
    <t>First record: 27 April 2012, One photo-documented by Chris Johns between San Isidro and Didadungan, Palanan, Isabela. See Jensen, A.E., Fisher, T. and Hutchinson, R. (2015) FORKTAIL 31: 24–36.</t>
  </si>
  <si>
    <t xml:space="preserve">First record: Piddig, Ilocos Norte, 26-Dec-2018 by Michael Calaramo </t>
  </si>
  <si>
    <t xml:space="preserve">First record: 15 April 1997, One adult Finn Danielsen, Danilo Balete and Ronald Altamirano at Maconacon, Isabela. See Collar, N. (1999) </t>
  </si>
  <si>
    <t>First record: 30 Dec 2007, One sub-adult  in Candaba Marsh, Pampanga, photo-documented by Tina Mallari. 30 Dec 2007. See Jensen, A.E., Fisher, T. and Hutchinson, R. (2015) FORKTAIL 31: 24–36.</t>
  </si>
  <si>
    <t xml:space="preserve">First documented breeding record is from Zamboanga City (2013) by Maia Tañedo. May also breed in Baras Bird Sanctuary, Sultan Kudarat </t>
  </si>
  <si>
    <t xml:space="preserve">First record: 15 Jan 2009, One photo-documented in Lake Bito, Leyte by Arnulito Viojan, DENR. See Custodio,C. (2009)  </t>
  </si>
  <si>
    <t>First record: 7 – 16 September 2016, One frequenting various localities near General Santos, South Cotabato, Mindanao was found by a fishpond owner and identified from  photos by Desmond Allen</t>
  </si>
  <si>
    <t xml:space="preserve">First record: May 1995: First records of two individuals at Bancoran Island, Tawi-tawi photo-documented by Jose Ma. Lorenzo Tan </t>
  </si>
  <si>
    <t xml:space="preserve">First record: 8 Sep 2002: One immature caught on Batan Island, Batanes by Darwin Salamagos. Died in captivity same place in 2004 ( DENR-PAWB information). See van der Ploug, J. and Minter, T. (2004) </t>
  </si>
  <si>
    <t>First record: Vayang Rolling Hills coastal ponds and fields, Batan, Batanes, 7-Nov-2018 by Robert Hutchinson, Charls Lee Ibañes, Tonji and Sylvia Ramos</t>
  </si>
  <si>
    <t>The population restricted to the Cordilleras, Luzon, appears to be resident. Recorded in single numbers on seasonal migration in Taiwan but not reported among raptor species migrating in the Sierra Madre Mountain Range, Luzon</t>
  </si>
  <si>
    <t xml:space="preserve">First record: Holotype taken at Magsidel, Calayan Island, Cagayan on 11 May 2004. See Allen, D., Oliveros, C., Espanola, C., Broad, G. and Gonzales, J.C.T. (2004) </t>
  </si>
  <si>
    <t>The identification of recent individuals in Mindanao referring to either Australasian Swamphen Porphyrio melanotus or Black-backed Swamphen Porphyrio indicus requires taxonomic clarification</t>
  </si>
  <si>
    <t xml:space="preserve">First record: July 2008 - May 2010:  Three birds, of which one was shot and one was caught but later released, observed in Tugod, Calayan Island by Conrado Duerme. A single bird remained until it was killed end May 2010 (Christian Perez, WBCP). See Oliveros, C.H. and Layusa, C.A.A (2010) </t>
  </si>
  <si>
    <t>Breeding record from Cebu (May 2013) by Tateo Osawa.</t>
  </si>
  <si>
    <t>First record of two birds in Candaba Marsh, Pampanga by James McCarthy, Rolf Hennes, and Timothy Fisher (January 2000). See Jensen, A.E., Fisher, T. and Hutchinson, R. (2015) Forktail 31: 24–36.</t>
  </si>
  <si>
    <t xml:space="preserve">Since last published record from 1946 - 1947, claimed but unverified records from  Ligawasan Marshes: Salipada K. Pendatun Municipality, Maguindanao 1971-2006 (Pendalay 2006), Ebpanan Marsh or Libungan Marsh, Maguindanao in 2001 by Renato Fernandez and Blaz Tabaranza (Tabaranza 2004) and by local communities in Ebpanan Marsh, Maguindanao in 2010 (Laurie 2011).
From February 9, 2019 at least 18 confirmed at Liguasan Marsh and further observed by several other visits March and April </t>
  </si>
  <si>
    <t>First record of one adult bird at Candaba Marsh, Pampanga (January 2008) by Fergus Crystal. See Jensen, A.E., Fisher, T. and Hutchinson, R. (2015)  Forktail 31: 24–36</t>
  </si>
  <si>
    <t>Holotype collected in Mt. Kitanglad Range Natural Park 22 January 1995. See Kennedy et al (2001)</t>
  </si>
  <si>
    <t>First record: 20 Dec 1994, Two birds caught and photo-documented in Candaba Marsh, Pampanga. See Shigeta, Y., Hiraoka, T. and Gonzalez , J. C. T. (2002)</t>
  </si>
  <si>
    <t>First record one adult observed about 28 nautical miles NW of Bancoran Reef, Sulu Sea (October 2004):  by Arne Jensen, Tery Aquino and Michaela Ledesma. See Jensen, A.E., Fisher, T. and Hutchinson, R. (2015)  Forktail 31: 24–36.</t>
  </si>
  <si>
    <t>First record: 14 February 2017, from Mahatao, Batanes by Bob Natural.</t>
  </si>
  <si>
    <t>First record of one adult bird at Aborlan, Palawan (Feb 2011) by Alex Tiongco and Jimmy Chew. See Jensen, A.E., Fisher, T. and Hutchinson, R. (2015)  Forktail 31: 24–36.</t>
  </si>
  <si>
    <t>First record: 11 November 2016, One resting on the Galoc Oil Rig, 56km from Coron, Palawan was photographed by Kim Pagente</t>
  </si>
  <si>
    <t>Subspecies florensis and japonica are non-breeding visitors, totogo is resident in the Babuyan Islands</t>
  </si>
  <si>
    <t>New species, see Rasmussen et al. (2012)</t>
  </si>
  <si>
    <t>Subspecies jotaka recorded in the Philippines</t>
  </si>
  <si>
    <t>First record of one bird at Hill 394, Subic, Zambales (April 2009) by Taweewat Supindham. See Jensen, A.E., Fisher, T. and Hutchinson, R. (2015) FORKTAIL 31: 24–36.</t>
  </si>
  <si>
    <t>First record: 8 September 2016, One photographed by Denjo Perez at Brgy Buayan, General Santos  City, South Cotabato, Mindanao</t>
  </si>
  <si>
    <t>First record: 22 – 27 September 2016: One photographed by Alex Tiongco and Marts Cervero at Cape San Agustin, Davao Oriental, Mindanao. A pair found near General Santos, South Cotabato, Mindanao by Peter Simpson on 24 October 2016 that stayed into 2017 and bred successfully</t>
  </si>
  <si>
    <t>First record of one adult bird at Sabtang Island, Batanes (September 1994) by Timothy Fisher. See Jensen, A.E., Fisher, T. and Hutchinson, R. (2015) FORKTAIL 31: 24–36.</t>
  </si>
  <si>
    <t>New species, see Tello, J. G., Degner J. F., Bates, J. M., and Willard, D. E. (2006)</t>
  </si>
  <si>
    <t>First record observed at Bahay Pare, Candaba Marsh, Pampanga (September 2001) by Timothy Fisher, James McCarthy and Spike Millington. See Jensen, A.E., Fisher, T. and Hutchinson, R. (2015) FORKTAIL 31: 24–36</t>
  </si>
  <si>
    <t>Migratory subspecies leucogenis documented from Luzon (Zambales, Bataan, Bulacan and Laguna)</t>
  </si>
  <si>
    <t xml:space="preserve">First record: 7 – 8 October 2016, One, probably an adult female, on Itbayat, Batanes was photographed by Linda Gocon. </t>
  </si>
  <si>
    <t>First record: Apo Reef Natural Park, Sablayan, Occidental Mindoro. 03-Mar-13 by Bob Natural</t>
  </si>
  <si>
    <t xml:space="preserve">First record of one bird at Sibaliw, Tag-osip, Buruanga, Aklan, Panay (October 1999). See Curio, E., Hornbuckle, J., de Soye, Y., Aston, P. and Lastimoza, L.L. (2001). </t>
  </si>
  <si>
    <t>First record on Batan Island, Batanes (November 1994) by Timothy Fisher. See Jensen, A.E., Fisher, T. and Hutchinson, R. (2015) FORKTAIL 31: 24–36.</t>
  </si>
  <si>
    <t>First record of two individuals at Visal San Pablo, Candaba Marsh, Pampanga (April 2008) by Philip Round, Timothy Fisher and Armando Bajarias. See Round, P.D. and Fisher, T.H. (2009).</t>
  </si>
  <si>
    <t>New species, see Hosner et al (2013)</t>
  </si>
  <si>
    <t xml:space="preserve">First record: 05 September 2016, One at Sabang, Puerto Princesa, Palawan was photographed by Rommel Cruz </t>
  </si>
  <si>
    <t>First record of two birds on North Islet, Tubbataha Reef Palawan (October 1991) by Morten Heegård and Arne Jensen. See Heegaard, M. and Jensen, A.E. (1992).</t>
  </si>
  <si>
    <t>First record of one sub-adult bird at South Islet, Tubbataha Reefs, Palawan (May 2009) by Arne Jensen and Timothy Fisher. See Jensen, A.E., Fisher, T. and Hutchinson, R. (2015)  FORKTAIL 31: 24–36.</t>
  </si>
  <si>
    <t>First record of one adult bird at Iwahig Penal Colony, Puerto Princesa, Palawan (February 2007) by Romy Ocon. See Jensen, A.E., Fisher, T. and Hutchinson, R. (2015) FORKTAIL 31: 24–36.</t>
  </si>
  <si>
    <t>First record of one male on Mt. Cetaceo, Cagayan (February 2012) by Danilo Balete. See Jensen, A.E., Fisher, T. and Hutchinson, R. (2015) FORKTAIL 31: 24–36.</t>
  </si>
  <si>
    <t>Only subspecies aurea recorded in the Philippines</t>
  </si>
  <si>
    <t>First record of one male from Sabang, Puerto Princess, Palawan (November 2007) by Timothy Fisher. See Jensen, A.E., Fisher, T. and Hutchinson, R. (2015) FORKTAIL 31: 24–36.</t>
  </si>
  <si>
    <t>Known only from one specimen collected on Luzon and one collected on Palawan. See Dickinson et al (1991)</t>
  </si>
  <si>
    <t>First record of one bird from Puerto Princesa, Palawan (May 1983) by Tony Clarke and Ian Whitehouse. See Jensen, A.E., Fisher, T. and Hutchinson, R. (2015) FORKTAIL 31: 24–36.</t>
  </si>
  <si>
    <t>Introduced in the Philippines</t>
  </si>
  <si>
    <t xml:space="preserve">Subspecies macronyx and taivana recorded in the Philippines </t>
  </si>
  <si>
    <t>First record: 27 September 2016, One female on Itbayat, Batanes was photographed by Bim Quemado</t>
  </si>
  <si>
    <t>First record of one bird at Iwahig, Puerto Princesa, Palawan ((February 1996) by Timothy Fisher and Pete Morris. See Jensen, A.E., Fisher, T. and Hutchinson, R. (2015) FORKTAIL 31: 24–36.</t>
  </si>
  <si>
    <r>
      <t>WILD BIRD CLUB OF THE PHILIPPINES (WBCP) - Checklist of Birds of the Philippines 2019</t>
    </r>
    <r>
      <rPr>
        <sz val="10"/>
        <rFont val="Arial"/>
        <family val="2"/>
      </rPr>
      <t xml:space="preserve"> (edited by Arne Jensen, Desmond Allen, Robert Hutchinson, Christian Perez, Willem van de Ven and JanJaap Brinkman)</t>
    </r>
  </si>
  <si>
    <t>Scientific Name Kennedy</t>
  </si>
  <si>
    <t>Coturnix chinensis</t>
  </si>
  <si>
    <t>Polyplectron emphanum</t>
  </si>
  <si>
    <t>Pterodroma rostrata</t>
  </si>
  <si>
    <t>Butorides striatus</t>
  </si>
  <si>
    <t>Egretta alba</t>
  </si>
  <si>
    <t>Spizaetus cirrhatus</t>
  </si>
  <si>
    <t>Spizaetus philippensis</t>
  </si>
  <si>
    <t>Hieraaetus kienerii</t>
  </si>
  <si>
    <t>Ichthyophaga ichthyaetus</t>
  </si>
  <si>
    <t>Dryolimnas mirificus</t>
  </si>
  <si>
    <t>Amaurornis olivaceus</t>
  </si>
  <si>
    <t>Turnix sylvatica</t>
  </si>
  <si>
    <t>Turnix ocellata</t>
  </si>
  <si>
    <t>Phalaropus fulicaria</t>
  </si>
  <si>
    <t>Sterna bergii</t>
  </si>
  <si>
    <t>Sterna bernsteini</t>
  </si>
  <si>
    <t>Sterna albifrons</t>
  </si>
  <si>
    <t>Sterna aleutica</t>
  </si>
  <si>
    <t>Sterna anaethetus</t>
  </si>
  <si>
    <t>Sterna fuscata</t>
  </si>
  <si>
    <t>Chlidonias hybridus</t>
  </si>
  <si>
    <t>Gallicolumba criniger</t>
  </si>
  <si>
    <t>Phapitreron amethystina</t>
  </si>
  <si>
    <t>Ptilinopus melanospila</t>
  </si>
  <si>
    <t>Phaenicophaeus superciliosus</t>
  </si>
  <si>
    <t>Phaenicophaeus cumingi</t>
  </si>
  <si>
    <t>Eudynamys scolopacea</t>
  </si>
  <si>
    <t>Mimizuku gurneyi</t>
  </si>
  <si>
    <t>Eurostopodus macrotis</t>
  </si>
  <si>
    <t>Collocalia mearnsi</t>
  </si>
  <si>
    <t>Collocalia whiteheadi</t>
  </si>
  <si>
    <t>Collocalia salangana</t>
  </si>
  <si>
    <t>Collocalia maximus</t>
  </si>
  <si>
    <t>Halcyon capensis</t>
  </si>
  <si>
    <t>Halcyon winchelli</t>
  </si>
  <si>
    <t>Halcyon chloris</t>
  </si>
  <si>
    <t>Alcedo cyanopecta</t>
  </si>
  <si>
    <t>Alcedo argentata</t>
  </si>
  <si>
    <t>Pitta kochi</t>
  </si>
  <si>
    <t>Pitta erythrogaster</t>
  </si>
  <si>
    <t>Parus elegans</t>
  </si>
  <si>
    <t>Parus amabilis</t>
  </si>
  <si>
    <t>Hypsipetes palawanensis</t>
  </si>
  <si>
    <t>Orthotomus cucullatus</t>
  </si>
  <si>
    <t>Orthotomus heterolaemus</t>
  </si>
  <si>
    <t>Cettia seebohmi</t>
  </si>
  <si>
    <t>Cettia diphone</t>
  </si>
  <si>
    <t>Cettia vulcania</t>
  </si>
  <si>
    <t>Napothera rabori.</t>
  </si>
  <si>
    <t>Bradypterus caudatus</t>
  </si>
  <si>
    <t>Bradypterus seebohmi</t>
  </si>
  <si>
    <t>Macronous gularis</t>
  </si>
  <si>
    <t>Macronous striaticeps</t>
  </si>
  <si>
    <t>Stachyris whiteheadi</t>
  </si>
  <si>
    <t>Stachyris striatus</t>
  </si>
  <si>
    <t>Stachyris latistriatus</t>
  </si>
  <si>
    <t>Stachyris nigrorum</t>
  </si>
  <si>
    <t>Stachyris hypogrammicus</t>
  </si>
  <si>
    <t>Stachyris speciosa</t>
  </si>
  <si>
    <t>Stachyris plateni</t>
  </si>
  <si>
    <t>Stachyris dennistouni</t>
  </si>
  <si>
    <t>Stachyris nigrocapitatus</t>
  </si>
  <si>
    <t>Stachyris capitalis</t>
  </si>
  <si>
    <t>Irena cyanogaster</t>
  </si>
  <si>
    <t>Basilornis miranda</t>
  </si>
  <si>
    <t>Sturnus sericeus</t>
  </si>
  <si>
    <t>Sturnus cineraceus</t>
  </si>
  <si>
    <t>Sturnus philippensis</t>
  </si>
  <si>
    <t>Sturnus sinensis</t>
  </si>
  <si>
    <t>Zoothera interpres</t>
  </si>
  <si>
    <t>Zoothera cinerea</t>
  </si>
  <si>
    <t>Nectarinia sperata</t>
  </si>
  <si>
    <t>Nectarinia calcostetha</t>
  </si>
  <si>
    <t>Nectarinia jugularis</t>
  </si>
  <si>
    <t>Aethopyga primigenius</t>
  </si>
  <si>
    <t>Padda  oryzivora</t>
  </si>
  <si>
    <t>Serinus estherae</t>
  </si>
  <si>
    <t>Carduelis spinus</t>
  </si>
  <si>
    <t>(sub)Species</t>
  </si>
  <si>
    <t>subSpecies</t>
  </si>
  <si>
    <r>
      <t xml:space="preserve">As of 31 July 2019  </t>
    </r>
    <r>
      <rPr>
        <sz val="10"/>
        <rFont val="Arial"/>
        <family val="2"/>
      </rPr>
      <t>© Wild Bird Club of the Philippines. Citation: Jensen et al (2019): Checklist of Birds of the Philippines. Wild Bird Club of the Philippines. www.birdwatch.ph</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</si>
</sst>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42" x14ac:knownFonts="1">
    <font>
      <sz val="11"/>
      <color theme="1"/>
      <name val="Calibri"/>
      <family val="2"/>
      <scheme val="minor"/>
    </font>
    <font>
      <sz val="11"/>
      <color theme="1"/>
      <name val="Calibri"/>
      <family val="2"/>
      <scheme val="minor"/>
    </font>
    <font>
      <sz val="8"/>
      <color theme="1"/>
      <name val="Arial"/>
      <family val="2"/>
    </font>
    <font>
      <b/>
      <sz val="9"/>
      <color rgb="FF000000"/>
      <name val="Arial"/>
      <family val="2"/>
    </font>
    <font>
      <u/>
      <sz val="8"/>
      <color rgb="FF000000"/>
      <name val="Arial"/>
      <family val="2"/>
    </font>
    <font>
      <sz val="8"/>
      <color rgb="FF000000"/>
      <name val="Arial"/>
      <family val="2"/>
    </font>
    <font>
      <u/>
      <sz val="8"/>
      <color rgb="FF0000FF"/>
      <name val="Arial"/>
      <family val="2"/>
    </font>
    <font>
      <sz val="8"/>
      <color rgb="FF0000FF"/>
      <name val="Arial"/>
      <family val="2"/>
    </font>
    <font>
      <b/>
      <sz val="8"/>
      <color rgb="FF000000"/>
      <name val="Arial"/>
      <family val="2"/>
    </font>
    <font>
      <sz val="8"/>
      <color rgb="FFFF0000"/>
      <name val="Arial"/>
      <family val="2"/>
    </font>
    <font>
      <b/>
      <sz val="8"/>
      <color rgb="FF0000FF"/>
      <name val="Arial"/>
      <family val="2"/>
    </font>
    <font>
      <b/>
      <u/>
      <sz val="8"/>
      <color rgb="FF000000"/>
      <name val="Arial"/>
      <family val="2"/>
    </font>
    <font>
      <sz val="10"/>
      <name val="Arial"/>
      <family val="1"/>
      <charset val="1"/>
    </font>
    <font>
      <sz val="12"/>
      <color theme="1"/>
      <name val="Calibri"/>
      <family val="2"/>
      <scheme val="minor"/>
    </font>
    <font>
      <sz val="8"/>
      <name val="Arial"/>
      <family val="2"/>
    </font>
    <font>
      <sz val="10"/>
      <name val="Arial"/>
      <family val="2"/>
    </font>
    <font>
      <b/>
      <sz val="11"/>
      <color theme="1"/>
      <name val="Calibri"/>
      <family val="2"/>
      <scheme val="minor"/>
    </font>
    <font>
      <u/>
      <sz val="11"/>
      <color theme="10"/>
      <name val="Calibri"/>
      <family val="2"/>
      <scheme val="minor"/>
    </font>
    <font>
      <i/>
      <sz val="11"/>
      <color theme="1"/>
      <name val="Calibri"/>
      <family val="2"/>
      <scheme val="minor"/>
    </font>
    <font>
      <b/>
      <sz val="12"/>
      <name val="Arial"/>
      <family val="2"/>
    </font>
    <font>
      <b/>
      <sz val="10"/>
      <name val="Arial"/>
      <family val="2"/>
    </font>
    <font>
      <b/>
      <sz val="9"/>
      <name val="Arial"/>
      <family val="2"/>
    </font>
    <font>
      <b/>
      <sz val="9"/>
      <color indexed="8"/>
      <name val="Arial"/>
      <family val="2"/>
    </font>
    <font>
      <sz val="8"/>
      <color indexed="8"/>
      <name val="Arial"/>
      <family val="2"/>
    </font>
    <font>
      <i/>
      <sz val="8"/>
      <name val="Arial"/>
      <family val="2"/>
    </font>
    <font>
      <u/>
      <sz val="8"/>
      <name val="Arial"/>
      <family val="2"/>
    </font>
    <font>
      <b/>
      <sz val="8"/>
      <name val="Arial"/>
      <family val="2"/>
    </font>
    <font>
      <i/>
      <sz val="8"/>
      <color indexed="8"/>
      <name val="Arial"/>
      <family val="2"/>
    </font>
    <font>
      <sz val="8"/>
      <color indexed="12"/>
      <name val="Arial"/>
      <family val="2"/>
    </font>
    <font>
      <i/>
      <sz val="8"/>
      <color theme="1"/>
      <name val="Arial"/>
      <family val="2"/>
    </font>
    <font>
      <b/>
      <i/>
      <sz val="9"/>
      <color rgb="FF000000"/>
      <name val="Arial"/>
      <family val="2"/>
    </font>
    <font>
      <i/>
      <sz val="8"/>
      <color rgb="FF000000"/>
      <name val="Arial"/>
      <family val="2"/>
    </font>
    <font>
      <i/>
      <sz val="8"/>
      <color rgb="FF0000FF"/>
      <name val="Arial"/>
      <family val="2"/>
    </font>
    <font>
      <b/>
      <i/>
      <sz val="8"/>
      <color rgb="FF000000"/>
      <name val="Arial"/>
      <family val="2"/>
    </font>
    <font>
      <i/>
      <sz val="8"/>
      <color rgb="FFFF0000"/>
      <name val="Arial"/>
      <family val="2"/>
    </font>
    <font>
      <b/>
      <i/>
      <sz val="8"/>
      <color rgb="FF0000FF"/>
      <name val="Arial"/>
      <family val="2"/>
    </font>
    <font>
      <b/>
      <sz val="9"/>
      <color theme="1"/>
      <name val="Arial"/>
      <family val="2"/>
    </font>
    <font>
      <b/>
      <sz val="8"/>
      <color theme="1"/>
      <name val="Arial"/>
      <family val="2"/>
    </font>
    <font>
      <b/>
      <i/>
      <sz val="10"/>
      <color theme="1"/>
      <name val="Arial"/>
      <family val="2"/>
    </font>
    <font>
      <b/>
      <sz val="10"/>
      <color theme="1"/>
      <name val="Arial"/>
      <family val="2"/>
    </font>
    <font>
      <b/>
      <i/>
      <sz val="11"/>
      <color theme="1"/>
      <name val="Calibri"/>
      <family val="2"/>
      <scheme val="minor"/>
    </font>
    <font>
      <i/>
      <sz val="10"/>
      <name val="Arial"/>
      <family val="2"/>
    </font>
  </fonts>
  <fills count="16">
    <fill>
      <patternFill patternType="none"/>
    </fill>
    <fill>
      <patternFill patternType="gray125"/>
    </fill>
    <fill>
      <patternFill patternType="solid">
        <fgColor rgb="FFAAAAAA"/>
        <bgColor indexed="64"/>
      </patternFill>
    </fill>
    <fill>
      <patternFill patternType="solid">
        <fgColor theme="2"/>
        <bgColor indexed="64"/>
      </patternFill>
    </fill>
    <fill>
      <patternFill patternType="solid">
        <fgColor theme="0" tint="-0.14993743705557422"/>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0" tint="-0.34998626667073579"/>
        <bgColor indexed="64"/>
      </patternFill>
    </fill>
    <fill>
      <patternFill patternType="solid">
        <fgColor theme="0" tint="-0.499984740745262"/>
        <bgColor indexed="64"/>
      </patternFill>
    </fill>
    <fill>
      <gradientFill type="path" left="0.5" right="0.5" top="0.5" bottom="0.5">
        <stop position="0">
          <color theme="0" tint="-5.0965910824915313E-2"/>
        </stop>
        <stop position="1">
          <color theme="0"/>
        </stop>
      </gradientFill>
    </fill>
    <fill>
      <gradientFill type="path" left="0.5" right="0.5" top="0.5" bottom="0.5">
        <stop position="0">
          <color theme="0" tint="-0.1490218817712943"/>
        </stop>
        <stop position="1">
          <color theme="0"/>
        </stop>
      </gradientFill>
    </fill>
    <fill>
      <gradientFill type="path" left="0.5" right="0.5" top="0.5" bottom="0.5">
        <stop position="0">
          <color theme="0" tint="-0.25098422193060094"/>
        </stop>
        <stop position="1">
          <color theme="0"/>
        </stop>
      </gradientFill>
    </fill>
    <fill>
      <gradientFill type="path" left="0.5" right="0.5" top="0.5" bottom="0.5">
        <stop position="0">
          <color theme="0" tint="-0.34900967436750391"/>
        </stop>
        <stop position="1">
          <color theme="0"/>
        </stop>
      </gradientFill>
    </fill>
    <fill>
      <gradientFill type="path" left="0.5" right="0.5" top="0.5" bottom="0.5">
        <stop position="0">
          <color theme="0" tint="-0.49803155613879818"/>
        </stop>
        <stop position="1">
          <color theme="0"/>
        </stop>
      </gradientFill>
    </fill>
    <fill>
      <patternFill patternType="solid">
        <fgColor theme="0" tint="-0.249977111117893"/>
        <bgColor indexed="64"/>
      </patternFill>
    </fill>
  </fills>
  <borders count="12">
    <border>
      <left/>
      <right/>
      <top/>
      <bottom/>
      <diagonal/>
    </border>
    <border>
      <left/>
      <right/>
      <top/>
      <bottom style="medium">
        <color indexed="64"/>
      </bottom>
      <diagonal/>
    </border>
    <border>
      <left/>
      <right/>
      <top/>
      <bottom style="thin">
        <color indexed="64"/>
      </bottom>
      <diagonal/>
    </border>
    <border>
      <left/>
      <right/>
      <top style="thin">
        <color indexed="64"/>
      </top>
      <bottom style="medium">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right/>
      <top style="thin">
        <color auto="1"/>
      </top>
      <bottom/>
      <diagonal/>
    </border>
  </borders>
  <cellStyleXfs count="9">
    <xf numFmtId="0" fontId="0" fillId="0" borderId="0"/>
    <xf numFmtId="0" fontId="12" fillId="0" borderId="0"/>
    <xf numFmtId="0" fontId="1" fillId="0" borderId="0"/>
    <xf numFmtId="0" fontId="13" fillId="0" borderId="0"/>
    <xf numFmtId="0" fontId="14" fillId="0" borderId="0"/>
    <xf numFmtId="0" fontId="15" fillId="0" borderId="0"/>
    <xf numFmtId="0" fontId="17" fillId="0" borderId="0" applyNumberFormat="0" applyFill="0" applyBorder="0" applyAlignment="0" applyProtection="0"/>
    <xf numFmtId="0" fontId="13" fillId="0" borderId="0"/>
    <xf numFmtId="0" fontId="14" fillId="0" borderId="0"/>
  </cellStyleXfs>
  <cellXfs count="108">
    <xf numFmtId="0" fontId="0" fillId="0" borderId="0" xfId="0"/>
    <xf numFmtId="0" fontId="2" fillId="0" borderId="0" xfId="0" applyFont="1" applyAlignment="1">
      <alignment horizontal="center" vertical="top" wrapText="1"/>
    </xf>
    <xf numFmtId="0" fontId="2" fillId="0" borderId="0" xfId="0" applyFont="1" applyAlignment="1">
      <alignment vertical="top" wrapText="1"/>
    </xf>
    <xf numFmtId="164" fontId="2" fillId="0" borderId="0" xfId="0" applyNumberFormat="1" applyFont="1" applyFill="1" applyAlignment="1">
      <alignment vertical="top"/>
    </xf>
    <xf numFmtId="164" fontId="2" fillId="0" borderId="0" xfId="0" applyNumberFormat="1" applyFont="1" applyFill="1" applyAlignment="1">
      <alignment horizontal="center" vertical="top" wrapText="1"/>
    </xf>
    <xf numFmtId="0" fontId="16" fillId="0" borderId="1" xfId="0" applyFont="1" applyBorder="1"/>
    <xf numFmtId="0" fontId="0" fillId="0" borderId="1" xfId="0" applyBorder="1"/>
    <xf numFmtId="0" fontId="0" fillId="0" borderId="0" xfId="0" applyBorder="1"/>
    <xf numFmtId="0" fontId="18" fillId="0" borderId="0" xfId="0" applyFont="1"/>
    <xf numFmtId="0" fontId="0" fillId="0" borderId="2" xfId="0" applyBorder="1"/>
    <xf numFmtId="0" fontId="16" fillId="0" borderId="3" xfId="0" applyFont="1" applyBorder="1"/>
    <xf numFmtId="0" fontId="0" fillId="0" borderId="3" xfId="0" applyBorder="1"/>
    <xf numFmtId="0" fontId="16" fillId="0" borderId="0" xfId="0" applyFont="1" applyBorder="1"/>
    <xf numFmtId="0" fontId="18" fillId="0" borderId="0" xfId="0" applyFont="1" applyAlignment="1">
      <alignment horizontal="right"/>
    </xf>
    <xf numFmtId="0" fontId="0" fillId="0" borderId="0" xfId="0" applyAlignment="1">
      <alignment horizontal="left"/>
    </xf>
    <xf numFmtId="0" fontId="0" fillId="0" borderId="0" xfId="0" applyAlignment="1"/>
    <xf numFmtId="0" fontId="16" fillId="0" borderId="1" xfId="0" applyFont="1" applyFill="1" applyBorder="1" applyAlignment="1">
      <alignment horizontal="left"/>
    </xf>
    <xf numFmtId="164" fontId="2" fillId="0" borderId="0" xfId="0" applyNumberFormat="1" applyFont="1" applyAlignment="1">
      <alignment vertical="top" wrapText="1"/>
    </xf>
    <xf numFmtId="0" fontId="19" fillId="0" borderId="4" xfId="0" applyFont="1" applyFill="1" applyBorder="1" applyAlignment="1" applyProtection="1">
      <alignment horizontal="left" vertical="top"/>
      <protection locked="0"/>
    </xf>
    <xf numFmtId="15" fontId="20" fillId="0" borderId="4" xfId="0" applyNumberFormat="1" applyFont="1" applyFill="1" applyBorder="1" applyAlignment="1" applyProtection="1">
      <alignment horizontal="left" vertical="top"/>
      <protection locked="0"/>
    </xf>
    <xf numFmtId="0" fontId="0" fillId="0" borderId="0" xfId="0" applyAlignment="1">
      <alignment horizontal="center"/>
    </xf>
    <xf numFmtId="0" fontId="0" fillId="0" borderId="0" xfId="0" applyFont="1" applyAlignment="1">
      <alignment horizontal="left" vertical="top"/>
    </xf>
    <xf numFmtId="0" fontId="0" fillId="0" borderId="0" xfId="0" applyFont="1" applyAlignment="1">
      <alignment vertical="top"/>
    </xf>
    <xf numFmtId="0" fontId="0" fillId="4" borderId="11" xfId="0" applyFont="1" applyFill="1" applyBorder="1" applyAlignment="1">
      <alignment horizontal="left" vertical="top"/>
    </xf>
    <xf numFmtId="0" fontId="0" fillId="4" borderId="11" xfId="0" applyFont="1" applyFill="1" applyBorder="1" applyAlignment="1">
      <alignment vertical="top"/>
    </xf>
    <xf numFmtId="0" fontId="0" fillId="5" borderId="0" xfId="0" applyFont="1" applyFill="1" applyAlignment="1">
      <alignment horizontal="left" vertical="top"/>
    </xf>
    <xf numFmtId="0" fontId="0" fillId="5" borderId="0" xfId="0" applyFont="1" applyFill="1" applyAlignment="1">
      <alignment vertical="top"/>
    </xf>
    <xf numFmtId="0" fontId="29" fillId="0" borderId="0" xfId="0" applyFont="1" applyAlignment="1">
      <alignment vertical="top" wrapText="1"/>
    </xf>
    <xf numFmtId="164" fontId="17" fillId="10" borderId="0" xfId="6" applyNumberFormat="1" applyFill="1" applyAlignment="1">
      <alignment vertical="top"/>
    </xf>
    <xf numFmtId="164" fontId="17" fillId="11" borderId="0" xfId="6" applyNumberFormat="1" applyFill="1" applyAlignment="1">
      <alignment vertical="top"/>
    </xf>
    <xf numFmtId="164" fontId="17" fillId="12" borderId="0" xfId="6" applyNumberFormat="1" applyFill="1" applyAlignment="1">
      <alignment vertical="top"/>
    </xf>
    <xf numFmtId="164" fontId="17" fillId="13" borderId="0" xfId="6" applyNumberFormat="1" applyFill="1" applyAlignment="1">
      <alignment vertical="top"/>
    </xf>
    <xf numFmtId="164" fontId="17" fillId="14" borderId="0" xfId="6" applyNumberFormat="1" applyFill="1" applyAlignment="1">
      <alignment vertical="top"/>
    </xf>
    <xf numFmtId="164" fontId="2" fillId="10" borderId="0" xfId="0" applyNumberFormat="1" applyFont="1" applyFill="1" applyAlignment="1">
      <alignment vertical="top"/>
    </xf>
    <xf numFmtId="164" fontId="2" fillId="11" borderId="0" xfId="0" applyNumberFormat="1" applyFont="1" applyFill="1" applyAlignment="1">
      <alignment vertical="top"/>
    </xf>
    <xf numFmtId="164" fontId="2" fillId="12" borderId="0" xfId="0" applyNumberFormat="1" applyFont="1" applyFill="1" applyAlignment="1">
      <alignment vertical="top"/>
    </xf>
    <xf numFmtId="164" fontId="2" fillId="13" borderId="0" xfId="0" applyNumberFormat="1" applyFont="1" applyFill="1" applyAlignment="1">
      <alignment vertical="top"/>
    </xf>
    <xf numFmtId="164" fontId="2" fillId="14" borderId="0" xfId="0" applyNumberFormat="1" applyFont="1" applyFill="1" applyAlignment="1">
      <alignment vertical="top"/>
    </xf>
    <xf numFmtId="0" fontId="37" fillId="2" borderId="0" xfId="0" applyFont="1" applyFill="1" applyAlignment="1">
      <alignment horizontal="center" vertical="top" wrapText="1"/>
    </xf>
    <xf numFmtId="0" fontId="38" fillId="2" borderId="0" xfId="0" applyFont="1" applyFill="1" applyAlignment="1">
      <alignment vertical="top" wrapText="1"/>
    </xf>
    <xf numFmtId="0" fontId="39" fillId="2" borderId="0" xfId="0" applyFont="1" applyFill="1" applyAlignment="1">
      <alignment horizontal="center" vertical="top" wrapText="1"/>
    </xf>
    <xf numFmtId="0" fontId="39" fillId="2" borderId="0" xfId="0" applyFont="1" applyFill="1" applyAlignment="1">
      <alignment vertical="top" wrapText="1"/>
    </xf>
    <xf numFmtId="0" fontId="24" fillId="0" borderId="4" xfId="0" applyFont="1" applyFill="1" applyBorder="1" applyAlignment="1" applyProtection="1">
      <alignment vertical="top"/>
      <protection locked="0"/>
    </xf>
    <xf numFmtId="0" fontId="14" fillId="0" borderId="4" xfId="0" applyFont="1" applyFill="1" applyBorder="1" applyAlignment="1" applyProtection="1">
      <alignment vertical="top"/>
      <protection locked="0"/>
    </xf>
    <xf numFmtId="0" fontId="23" fillId="0" borderId="4" xfId="0" applyFont="1" applyFill="1" applyBorder="1" applyAlignment="1" applyProtection="1">
      <alignment vertical="top"/>
      <protection locked="0"/>
    </xf>
    <xf numFmtId="0" fontId="21" fillId="15" borderId="4" xfId="0" applyFont="1" applyFill="1" applyBorder="1" applyAlignment="1" applyProtection="1">
      <alignment vertical="top"/>
      <protection locked="0"/>
    </xf>
    <xf numFmtId="0" fontId="2" fillId="15" borderId="0" xfId="0" applyFont="1" applyFill="1" applyAlignment="1">
      <alignment vertical="top" wrapText="1"/>
    </xf>
    <xf numFmtId="0" fontId="22" fillId="15" borderId="4" xfId="0" applyFont="1" applyFill="1" applyBorder="1" applyAlignment="1" applyProtection="1">
      <alignment vertical="top"/>
      <protection locked="0"/>
    </xf>
    <xf numFmtId="0" fontId="20" fillId="15" borderId="4" xfId="0" applyFont="1" applyFill="1" applyBorder="1" applyAlignment="1" applyProtection="1">
      <alignment vertical="top"/>
      <protection locked="0"/>
    </xf>
    <xf numFmtId="0" fontId="14" fillId="3" borderId="5" xfId="0" applyFont="1" applyFill="1" applyBorder="1" applyAlignment="1" applyProtection="1">
      <alignment horizontal="left" vertical="top"/>
      <protection locked="0"/>
    </xf>
    <xf numFmtId="0" fontId="14" fillId="3" borderId="7" xfId="0" applyFont="1" applyFill="1" applyBorder="1" applyAlignment="1" applyProtection="1">
      <alignment horizontal="left" vertical="top"/>
      <protection locked="0"/>
    </xf>
    <xf numFmtId="0" fontId="14" fillId="3" borderId="9" xfId="0" applyFont="1" applyFill="1" applyBorder="1" applyAlignment="1" applyProtection="1">
      <alignment horizontal="left" vertical="top"/>
      <protection locked="0"/>
    </xf>
    <xf numFmtId="164" fontId="2" fillId="15" borderId="0" xfId="0" applyNumberFormat="1" applyFont="1" applyFill="1" applyAlignment="1">
      <alignment vertical="top"/>
    </xf>
    <xf numFmtId="164" fontId="2" fillId="15" borderId="0" xfId="0" applyNumberFormat="1" applyFont="1" applyFill="1" applyAlignment="1">
      <alignment horizontal="center" vertical="top" wrapText="1"/>
    </xf>
    <xf numFmtId="164" fontId="2" fillId="15" borderId="0" xfId="0" applyNumberFormat="1" applyFont="1" applyFill="1" applyAlignment="1">
      <alignment vertical="top" wrapText="1"/>
    </xf>
    <xf numFmtId="0" fontId="2" fillId="15" borderId="0" xfId="0" applyFont="1" applyFill="1" applyAlignment="1">
      <alignment horizontal="center" vertical="top" wrapText="1"/>
    </xf>
    <xf numFmtId="0" fontId="29" fillId="15" borderId="0" xfId="0" applyFont="1" applyFill="1" applyAlignment="1">
      <alignment vertical="top" wrapText="1"/>
    </xf>
    <xf numFmtId="0" fontId="2" fillId="0" borderId="0" xfId="0" applyFont="1" applyAlignment="1">
      <alignment vertical="top"/>
    </xf>
    <xf numFmtId="0" fontId="2" fillId="0" borderId="0" xfId="0" applyFont="1" applyAlignment="1">
      <alignment horizontal="left" vertical="top" wrapText="1"/>
    </xf>
    <xf numFmtId="0" fontId="29" fillId="0" borderId="0" xfId="0" applyFont="1" applyAlignment="1">
      <alignment horizontal="left" vertical="top" wrapText="1"/>
    </xf>
    <xf numFmtId="0" fontId="39" fillId="2" borderId="0" xfId="0" applyFont="1" applyFill="1" applyAlignment="1">
      <alignment horizontal="left" vertical="top" wrapText="1"/>
    </xf>
    <xf numFmtId="0" fontId="38" fillId="2" borderId="0" xfId="0" applyFont="1" applyFill="1" applyAlignment="1">
      <alignment horizontal="left" vertical="top" wrapText="1"/>
    </xf>
    <xf numFmtId="0" fontId="2" fillId="15" borderId="0" xfId="0" applyFont="1" applyFill="1" applyAlignment="1">
      <alignment horizontal="left" vertical="top" wrapText="1"/>
    </xf>
    <xf numFmtId="0" fontId="29" fillId="15" borderId="0" xfId="0" applyFont="1" applyFill="1" applyAlignment="1">
      <alignment horizontal="left" vertical="top" wrapText="1"/>
    </xf>
    <xf numFmtId="0" fontId="24" fillId="3" borderId="8" xfId="0" applyFont="1" applyFill="1" applyBorder="1" applyAlignment="1" applyProtection="1">
      <alignment horizontal="left" vertical="top" wrapText="1"/>
      <protection locked="0"/>
    </xf>
    <xf numFmtId="0" fontId="16" fillId="0" borderId="0" xfId="0" applyFont="1" applyAlignment="1">
      <alignment horizontal="left" wrapText="1"/>
    </xf>
    <xf numFmtId="0" fontId="16" fillId="0" borderId="0" xfId="0" applyFont="1" applyAlignment="1">
      <alignment horizontal="center" wrapText="1"/>
    </xf>
    <xf numFmtId="0" fontId="16" fillId="0" borderId="0" xfId="0" applyFont="1" applyAlignment="1">
      <alignment wrapText="1"/>
    </xf>
    <xf numFmtId="0" fontId="40" fillId="0" borderId="0" xfId="0" applyFont="1" applyAlignment="1">
      <alignment wrapText="1"/>
    </xf>
    <xf numFmtId="0" fontId="18" fillId="4" borderId="11" xfId="0" applyFont="1" applyFill="1" applyBorder="1" applyAlignment="1">
      <alignment vertical="top"/>
    </xf>
    <xf numFmtId="0" fontId="18" fillId="5" borderId="0" xfId="0" applyFont="1" applyFill="1" applyAlignment="1">
      <alignment vertical="top"/>
    </xf>
    <xf numFmtId="0" fontId="18" fillId="0" borderId="0" xfId="0" applyFont="1" applyAlignment="1">
      <alignment vertical="top"/>
    </xf>
    <xf numFmtId="0" fontId="41" fillId="3" borderId="6" xfId="0" applyFont="1" applyFill="1" applyBorder="1" applyAlignment="1" applyProtection="1">
      <alignment horizontal="left" vertical="top" wrapText="1"/>
      <protection locked="0"/>
    </xf>
    <xf numFmtId="0" fontId="41" fillId="3" borderId="8" xfId="0" applyFont="1" applyFill="1" applyBorder="1" applyAlignment="1" applyProtection="1">
      <alignment horizontal="left" vertical="top" wrapText="1"/>
      <protection locked="0"/>
    </xf>
    <xf numFmtId="0" fontId="24" fillId="3" borderId="10" xfId="0" applyFont="1" applyFill="1" applyBorder="1" applyAlignment="1" applyProtection="1">
      <alignment horizontal="left" vertical="top" wrapText="1"/>
      <protection locked="0"/>
    </xf>
    <xf numFmtId="0" fontId="0" fillId="4" borderId="11" xfId="0" applyFont="1" applyFill="1" applyBorder="1" applyAlignment="1">
      <alignment horizontal="center" vertical="top"/>
    </xf>
    <xf numFmtId="0" fontId="0" fillId="5" borderId="0" xfId="0" applyFont="1" applyFill="1" applyAlignment="1">
      <alignment horizontal="center" vertical="top"/>
    </xf>
    <xf numFmtId="0" fontId="0" fillId="0" borderId="0" xfId="0" applyFont="1" applyAlignment="1">
      <alignment horizontal="center" vertical="top"/>
    </xf>
    <xf numFmtId="0" fontId="26" fillId="0" borderId="4" xfId="0" applyFont="1" applyFill="1" applyBorder="1" applyAlignment="1" applyProtection="1">
      <alignment horizontal="left" vertical="top"/>
      <protection locked="0"/>
    </xf>
    <xf numFmtId="0" fontId="0" fillId="0" borderId="0" xfId="0" applyAlignment="1">
      <alignment wrapText="1"/>
    </xf>
    <xf numFmtId="0" fontId="0" fillId="0" borderId="0" xfId="0" applyFont="1"/>
    <xf numFmtId="0" fontId="0" fillId="4" borderId="11" xfId="0" applyFont="1" applyFill="1" applyBorder="1" applyAlignment="1">
      <alignment vertical="top" wrapText="1"/>
    </xf>
    <xf numFmtId="0" fontId="3" fillId="0" borderId="0" xfId="0" applyFont="1" applyAlignment="1">
      <alignment horizontal="left" vertical="top" wrapText="1"/>
    </xf>
    <xf numFmtId="0" fontId="4" fillId="0" borderId="0" xfId="0" applyFont="1" applyAlignment="1">
      <alignment horizontal="left" vertical="top" wrapText="1"/>
    </xf>
    <xf numFmtId="0" fontId="5" fillId="0" borderId="0" xfId="0" applyFont="1" applyAlignment="1">
      <alignment horizontal="left" vertical="top" wrapText="1"/>
    </xf>
    <xf numFmtId="0" fontId="6" fillId="0" borderId="0" xfId="0" applyFont="1" applyAlignment="1">
      <alignment horizontal="left" vertical="top" wrapText="1"/>
    </xf>
    <xf numFmtId="0" fontId="8" fillId="0" borderId="0" xfId="0" applyFont="1" applyAlignment="1">
      <alignment horizontal="left" vertical="top" wrapText="1"/>
    </xf>
    <xf numFmtId="0" fontId="7" fillId="0" borderId="0" xfId="0" applyFont="1" applyAlignment="1">
      <alignment horizontal="left" vertical="top" wrapText="1"/>
    </xf>
    <xf numFmtId="0" fontId="9" fillId="0" borderId="0" xfId="0" applyFont="1" applyAlignment="1">
      <alignment horizontal="left" vertical="top" wrapText="1"/>
    </xf>
    <xf numFmtId="0" fontId="10" fillId="0" borderId="0" xfId="0" applyFont="1" applyAlignment="1">
      <alignment horizontal="left" vertical="top" wrapText="1"/>
    </xf>
    <xf numFmtId="0" fontId="11" fillId="0" borderId="0" xfId="0" applyFont="1" applyAlignment="1">
      <alignment horizontal="left" vertical="top" wrapText="1"/>
    </xf>
    <xf numFmtId="0" fontId="30" fillId="0" borderId="0" xfId="0" applyFont="1" applyAlignment="1">
      <alignment horizontal="left" vertical="top" wrapText="1"/>
    </xf>
    <xf numFmtId="0" fontId="31" fillId="0" borderId="0" xfId="0" applyFont="1" applyAlignment="1">
      <alignment horizontal="left" vertical="top" wrapText="1"/>
    </xf>
    <xf numFmtId="0" fontId="32" fillId="0" borderId="0" xfId="0" applyFont="1" applyAlignment="1">
      <alignment horizontal="left" vertical="top" wrapText="1"/>
    </xf>
    <xf numFmtId="0" fontId="33" fillId="0" borderId="0" xfId="0" applyFont="1" applyAlignment="1">
      <alignment horizontal="left" vertical="top" wrapText="1"/>
    </xf>
    <xf numFmtId="0" fontId="34" fillId="0" borderId="0" xfId="0" applyFont="1" applyAlignment="1">
      <alignment horizontal="left" vertical="top" wrapText="1"/>
    </xf>
    <xf numFmtId="0" fontId="35" fillId="0" borderId="0" xfId="0" applyFont="1" applyAlignment="1">
      <alignment horizontal="left" vertical="top" wrapText="1"/>
    </xf>
    <xf numFmtId="0" fontId="0" fillId="0" borderId="2" xfId="0" applyFont="1" applyBorder="1"/>
    <xf numFmtId="0" fontId="0" fillId="0" borderId="2" xfId="0" applyFont="1" applyBorder="1" applyAlignment="1">
      <alignment horizontal="left"/>
    </xf>
    <xf numFmtId="0" fontId="0" fillId="0" borderId="0" xfId="0" applyFont="1" applyAlignment="1">
      <alignment horizontal="left"/>
    </xf>
    <xf numFmtId="0" fontId="18" fillId="0" borderId="2" xfId="0" applyFont="1" applyBorder="1" applyAlignment="1">
      <alignment horizontal="left"/>
    </xf>
    <xf numFmtId="0" fontId="18" fillId="0" borderId="0" xfId="0" applyFont="1" applyAlignment="1">
      <alignment horizontal="left"/>
    </xf>
    <xf numFmtId="0" fontId="18" fillId="0" borderId="0" xfId="0" applyFont="1" applyBorder="1" applyAlignment="1">
      <alignment horizontal="left"/>
    </xf>
    <xf numFmtId="0" fontId="36" fillId="5" borderId="0" xfId="0" applyNumberFormat="1" applyFont="1" applyFill="1" applyAlignment="1">
      <alignment textRotation="90"/>
    </xf>
    <xf numFmtId="0" fontId="36" fillId="6" borderId="0" xfId="0" applyNumberFormat="1" applyFont="1" applyFill="1" applyAlignment="1">
      <alignment textRotation="90"/>
    </xf>
    <xf numFmtId="0" fontId="36" fillId="7" borderId="0" xfId="0" applyNumberFormat="1" applyFont="1" applyFill="1" applyAlignment="1">
      <alignment textRotation="90"/>
    </xf>
    <xf numFmtId="0" fontId="36" fillId="8" borderId="0" xfId="0" applyNumberFormat="1" applyFont="1" applyFill="1" applyAlignment="1">
      <alignment horizontal="center" textRotation="90" wrapText="1"/>
    </xf>
    <xf numFmtId="0" fontId="36" fillId="9" borderId="0" xfId="0" applyNumberFormat="1" applyFont="1" applyFill="1" applyAlignment="1">
      <alignment textRotation="90" wrapText="1"/>
    </xf>
  </cellXfs>
  <cellStyles count="9">
    <cellStyle name="Excel Built-in Normal" xfId="1"/>
    <cellStyle name="Hyperlink" xfId="6" builtinId="8"/>
    <cellStyle name="Normal" xfId="0" builtinId="0"/>
    <cellStyle name="Normal 2" xfId="2"/>
    <cellStyle name="Normal 2 2" xfId="7"/>
    <cellStyle name="Normal 3" xfId="3"/>
    <cellStyle name="Normal 3 2" xfId="8"/>
    <cellStyle name="Normal 4" xfId="4"/>
    <cellStyle name="Normální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N948"/>
  <sheetViews>
    <sheetView tabSelected="1" zoomScaleNormal="100" workbookViewId="0">
      <pane xSplit="5" ySplit="4" topLeftCell="F5" activePane="bottomRight" state="frozen"/>
      <selection pane="topRight" activeCell="F1" sqref="F1"/>
      <selection pane="bottomLeft" activeCell="A5" sqref="A5"/>
      <selection pane="bottomRight" activeCell="G5" sqref="G5"/>
    </sheetView>
  </sheetViews>
  <sheetFormatPr defaultRowHeight="10.199999999999999" x14ac:dyDescent="0.3"/>
  <cols>
    <col min="1" max="3" width="3.33203125" style="3" customWidth="1"/>
    <col min="4" max="4" width="3.33203125" style="4" customWidth="1"/>
    <col min="5" max="5" width="3.33203125" style="17" customWidth="1"/>
    <col min="6" max="6" width="3.33203125" style="2" customWidth="1"/>
    <col min="7" max="7" width="13.77734375" style="27" customWidth="1"/>
    <col min="8" max="8" width="30.77734375" style="58" customWidth="1"/>
    <col min="9" max="9" width="30.77734375" style="59" customWidth="1"/>
    <col min="10" max="12" width="6.77734375" style="1" customWidth="1"/>
    <col min="13" max="13" width="30.77734375" style="2" customWidth="1"/>
    <col min="14" max="14" width="50.77734375" style="2" customWidth="1"/>
    <col min="15" max="16384" width="8.88671875" style="2"/>
  </cols>
  <sheetData>
    <row r="1" spans="1:14" ht="15.6" x14ac:dyDescent="0.3">
      <c r="A1" s="18" t="s">
        <v>11359</v>
      </c>
    </row>
    <row r="2" spans="1:14" ht="13.2" x14ac:dyDescent="0.3">
      <c r="A2" s="19" t="s">
        <v>11441</v>
      </c>
    </row>
    <row r="3" spans="1:14" x14ac:dyDescent="0.3">
      <c r="A3" s="78" t="s">
        <v>2148</v>
      </c>
    </row>
    <row r="4" spans="1:14" ht="36.6" x14ac:dyDescent="0.3">
      <c r="A4" s="103" t="s">
        <v>2037</v>
      </c>
      <c r="B4" s="104" t="s">
        <v>2038</v>
      </c>
      <c r="C4" s="105" t="s">
        <v>2078</v>
      </c>
      <c r="D4" s="106" t="s">
        <v>2039</v>
      </c>
      <c r="E4" s="107" t="s">
        <v>2040</v>
      </c>
      <c r="F4" s="38" t="s">
        <v>0</v>
      </c>
      <c r="G4" s="39" t="s">
        <v>1</v>
      </c>
      <c r="H4" s="60" t="s">
        <v>2</v>
      </c>
      <c r="I4" s="61" t="s">
        <v>3</v>
      </c>
      <c r="J4" s="40" t="s">
        <v>2042</v>
      </c>
      <c r="K4" s="40" t="s">
        <v>2040</v>
      </c>
      <c r="L4" s="40" t="s">
        <v>2041</v>
      </c>
      <c r="M4" s="41" t="s">
        <v>4</v>
      </c>
      <c r="N4" s="41" t="s">
        <v>5</v>
      </c>
    </row>
    <row r="6" spans="1:14" ht="12" x14ac:dyDescent="0.3">
      <c r="H6" s="82" t="s">
        <v>6</v>
      </c>
      <c r="I6" s="91" t="s">
        <v>7</v>
      </c>
    </row>
    <row r="7" spans="1:14" ht="30.6" x14ac:dyDescent="0.3">
      <c r="A7" s="28" t="str">
        <f>HYPERLINK("https://www.google.com/search?q=Dendrocygna guttata&amp;tbm=isch")</f>
        <v>https://www.google.com/search?q=Dendrocygna guttata&amp;tbm=isch</v>
      </c>
      <c r="B7" s="29" t="str">
        <f>HYPERLINK("https://www.xeno-canto.org/species/Dendrocygna-guttata")</f>
        <v>https://www.xeno-canto.org/species/Dendrocygna-guttata</v>
      </c>
      <c r="C7" s="30" t="str">
        <f>HYPERLINK("https://ebird.org/species/spwduc1")</f>
        <v>https://ebird.org/species/spwduc1</v>
      </c>
      <c r="D7" s="31" t="str">
        <f>HYPERLINK("https://www.hbw.com/species/Spotted-Whistling-duck-Dendrocygna-guttata")</f>
        <v>https://www.hbw.com/species/Spotted-Whistling-duck-Dendrocygna-guttata</v>
      </c>
      <c r="E7" s="32" t="str">
        <f>HYPERLINK("https://www.iucnredlist.org/search?query=Dendrocygna guttata&amp;searchType=species")</f>
        <v>https://www.iucnredlist.org/search?query=Dendrocygna guttata&amp;searchType=species</v>
      </c>
      <c r="F7" s="2">
        <v>1</v>
      </c>
      <c r="G7" s="27" t="s">
        <v>7</v>
      </c>
      <c r="H7" s="83" t="s">
        <v>8</v>
      </c>
      <c r="I7" s="92" t="s">
        <v>9</v>
      </c>
      <c r="J7" s="1" t="s">
        <v>10</v>
      </c>
      <c r="M7" s="2" t="s">
        <v>11</v>
      </c>
      <c r="N7" s="2" t="s">
        <v>12</v>
      </c>
    </row>
    <row r="8" spans="1:14" ht="14.4" x14ac:dyDescent="0.3">
      <c r="A8" s="28" t="str">
        <f>HYPERLINK("https://www.google.com/search?q=Dendrocygna arcuata&amp;tbm=isch")</f>
        <v>https://www.google.com/search?q=Dendrocygna arcuata&amp;tbm=isch</v>
      </c>
      <c r="B8" s="29" t="str">
        <f>HYPERLINK("https://www.xeno-canto.org/species/Dendrocygna-arcuata")</f>
        <v>https://www.xeno-canto.org/species/Dendrocygna-arcuata</v>
      </c>
      <c r="C8" s="30" t="str">
        <f>HYPERLINK("https://ebird.org/species/wawduc1")</f>
        <v>https://ebird.org/species/wawduc1</v>
      </c>
      <c r="D8" s="31" t="str">
        <f>HYPERLINK("https://www.hbw.com/species/Wandering-Whistling-duck-Dendrocygna-arcuata")</f>
        <v>https://www.hbw.com/species/Wandering-Whistling-duck-Dendrocygna-arcuata</v>
      </c>
      <c r="E8" s="32" t="str">
        <f>HYPERLINK("https://www.iucnredlist.org/search?query=Dendrocygna arcuata&amp;searchType=species")</f>
        <v>https://www.iucnredlist.org/search?query=Dendrocygna arcuata&amp;searchType=species</v>
      </c>
      <c r="F8" s="2">
        <v>2</v>
      </c>
      <c r="G8" s="27" t="s">
        <v>7</v>
      </c>
      <c r="H8" s="84" t="s">
        <v>13</v>
      </c>
      <c r="I8" s="92" t="s">
        <v>14</v>
      </c>
      <c r="J8" s="1" t="s">
        <v>15</v>
      </c>
      <c r="M8" s="2" t="s">
        <v>16</v>
      </c>
    </row>
    <row r="9" spans="1:14" ht="20.399999999999999" x14ac:dyDescent="0.3">
      <c r="A9" s="28" t="str">
        <f>HYPERLINK("https://www.google.com/search?q=Branta bernicla&amp;tbm=isch")</f>
        <v>https://www.google.com/search?q=Branta bernicla&amp;tbm=isch</v>
      </c>
      <c r="B9" s="29" t="str">
        <f>HYPERLINK("https://www.xeno-canto.org/species/Branta-bernicla")</f>
        <v>https://www.xeno-canto.org/species/Branta-bernicla</v>
      </c>
      <c r="C9" s="30" t="str">
        <f>HYPERLINK("https://ebird.org/species/brant")</f>
        <v>https://ebird.org/species/brant</v>
      </c>
      <c r="D9" s="31" t="str">
        <f>HYPERLINK("https://www.hbw.com/species/Brent-Goose-Branta-bernicla")</f>
        <v>https://www.hbw.com/species/Brent-Goose-Branta-bernicla</v>
      </c>
      <c r="E9" s="32" t="str">
        <f>HYPERLINK("https://www.iucnredlist.org/search?query=Branta bernicla&amp;searchType=species")</f>
        <v>https://www.iucnredlist.org/search?query=Branta bernicla&amp;searchType=species</v>
      </c>
      <c r="F9" s="2">
        <v>3</v>
      </c>
      <c r="G9" s="27" t="s">
        <v>7</v>
      </c>
      <c r="H9" s="85" t="s">
        <v>17</v>
      </c>
      <c r="I9" s="93" t="s">
        <v>18</v>
      </c>
      <c r="J9" s="1" t="s">
        <v>19</v>
      </c>
      <c r="M9" s="2" t="s">
        <v>20</v>
      </c>
      <c r="N9" s="2" t="s">
        <v>11292</v>
      </c>
    </row>
    <row r="10" spans="1:14" ht="20.399999999999999" x14ac:dyDescent="0.3">
      <c r="A10" s="28" t="str">
        <f>HYPERLINK("https://www.google.com/search?q=Anser fabalis&amp;tbm=isch")</f>
        <v>https://www.google.com/search?q=Anser fabalis&amp;tbm=isch</v>
      </c>
      <c r="B10" s="29" t="str">
        <f>HYPERLINK("https://www.xeno-canto.org/species/Anser-fabalis")</f>
        <v>https://www.xeno-canto.org/species/Anser-fabalis</v>
      </c>
      <c r="C10" s="30" t="str">
        <f>HYPERLINK("https://ebird.org/species/taibeg1")</f>
        <v>https://ebird.org/species/taibeg1</v>
      </c>
      <c r="D10" s="31" t="str">
        <f>HYPERLINK("https://www.hbw.com/species/Bean-Goose-Anser-fabalis")</f>
        <v>https://www.hbw.com/species/Bean-Goose-Anser-fabalis</v>
      </c>
      <c r="E10" s="32" t="str">
        <f>HYPERLINK("https://www.iucnredlist.org/search?query=Anser fabalis&amp;searchType=species")</f>
        <v>https://www.iucnredlist.org/search?query=Anser fabalis&amp;searchType=species</v>
      </c>
      <c r="F10" s="2">
        <v>4</v>
      </c>
      <c r="G10" s="27" t="s">
        <v>7</v>
      </c>
      <c r="H10" s="85" t="s">
        <v>21</v>
      </c>
      <c r="I10" s="93" t="s">
        <v>22</v>
      </c>
      <c r="J10" s="1" t="s">
        <v>19</v>
      </c>
      <c r="M10" s="2" t="s">
        <v>23</v>
      </c>
      <c r="N10" s="2" t="s">
        <v>11293</v>
      </c>
    </row>
    <row r="11" spans="1:14" ht="30.6" x14ac:dyDescent="0.3">
      <c r="A11" s="28" t="str">
        <f>HYPERLINK("https://www.google.com/search?q=Anser serrirostris&amp;tbm=isch")</f>
        <v>https://www.google.com/search?q=Anser serrirostris&amp;tbm=isch</v>
      </c>
      <c r="B11" s="29" t="str">
        <f>HYPERLINK("https://www.xeno-canto.org/species/Anser-serrirostris")</f>
        <v>https://www.xeno-canto.org/species/Anser-serrirostris</v>
      </c>
      <c r="C11" s="30" t="str">
        <f>HYPERLINK("https://ebird.org/species/tunbeg1")</f>
        <v>https://ebird.org/species/tunbeg1</v>
      </c>
      <c r="D11" s="31" t="str">
        <f>HYPERLINK("https://www.hbw.com/species/Tundra-Bean-Goose-Anser-serrirostris")</f>
        <v>https://www.hbw.com/species/Tundra-Bean-Goose-Anser-serrirostris</v>
      </c>
      <c r="E11" s="32" t="str">
        <f>HYPERLINK("https://www.iucnredlist.org/search?query=Anser serrirostris&amp;searchType=species")</f>
        <v>https://www.iucnredlist.org/search?query=Anser serrirostris&amp;searchType=species</v>
      </c>
      <c r="F11" s="2">
        <v>5</v>
      </c>
      <c r="G11" s="27" t="s">
        <v>7</v>
      </c>
      <c r="H11" s="85" t="s">
        <v>24</v>
      </c>
      <c r="I11" s="93" t="s">
        <v>25</v>
      </c>
      <c r="J11" s="1" t="s">
        <v>19</v>
      </c>
      <c r="M11" s="2" t="s">
        <v>23</v>
      </c>
      <c r="N11" s="2" t="s">
        <v>11294</v>
      </c>
    </row>
    <row r="12" spans="1:14" ht="30.6" x14ac:dyDescent="0.3">
      <c r="A12" s="28" t="str">
        <f>HYPERLINK("https://www.google.com/search?q=Anser albifrons&amp;tbm=isch")</f>
        <v>https://www.google.com/search?q=Anser albifrons&amp;tbm=isch</v>
      </c>
      <c r="B12" s="29" t="str">
        <f>HYPERLINK("https://www.xeno-canto.org/species/Anser-albifrons")</f>
        <v>https://www.xeno-canto.org/species/Anser-albifrons</v>
      </c>
      <c r="C12" s="30" t="str">
        <f>HYPERLINK("https://ebird.org/species/gwfgoo")</f>
        <v>https://ebird.org/species/gwfgoo</v>
      </c>
      <c r="D12" s="31" t="str">
        <f>HYPERLINK("https://www.hbw.com/species/Greater-White-fronted-Goose-Anser-albifrons")</f>
        <v>https://www.hbw.com/species/Greater-White-fronted-Goose-Anser-albifrons</v>
      </c>
      <c r="E12" s="32" t="str">
        <f>HYPERLINK("https://www.iucnredlist.org/search?query=Anser albifrons&amp;searchType=species")</f>
        <v>https://www.iucnredlist.org/search?query=Anser albifrons&amp;searchType=species</v>
      </c>
      <c r="F12" s="2">
        <v>6</v>
      </c>
      <c r="G12" s="27" t="s">
        <v>7</v>
      </c>
      <c r="H12" s="85" t="s">
        <v>26</v>
      </c>
      <c r="I12" s="93" t="s">
        <v>27</v>
      </c>
      <c r="J12" s="1" t="s">
        <v>19</v>
      </c>
      <c r="M12" s="2" t="s">
        <v>28</v>
      </c>
      <c r="N12" s="2" t="s">
        <v>11295</v>
      </c>
    </row>
    <row r="13" spans="1:14" ht="40.799999999999997" x14ac:dyDescent="0.3">
      <c r="A13" s="28" t="str">
        <f>HYPERLINK("https://www.google.com/search?q=Cygnus columbianus&amp;tbm=isch")</f>
        <v>https://www.google.com/search?q=Cygnus columbianus&amp;tbm=isch</v>
      </c>
      <c r="B13" s="29" t="str">
        <f>HYPERLINK("https://www.xeno-canto.org/species/Cygnus-columbianus")</f>
        <v>https://www.xeno-canto.org/species/Cygnus-columbianus</v>
      </c>
      <c r="C13" s="30" t="str">
        <f>HYPERLINK("https://ebird.org/species/tunswa")</f>
        <v>https://ebird.org/species/tunswa</v>
      </c>
      <c r="D13" s="31" t="str">
        <f>HYPERLINK("https://www.hbw.com/species/Tundra-Swan-Cygnus-columbianus")</f>
        <v>https://www.hbw.com/species/Tundra-Swan-Cygnus-columbianus</v>
      </c>
      <c r="E13" s="32" t="str">
        <f>HYPERLINK("https://www.iucnredlist.org/search?query=Cygnus columbianus&amp;searchType=species")</f>
        <v>https://www.iucnredlist.org/search?query=Cygnus columbianus&amp;searchType=species</v>
      </c>
      <c r="F13" s="2">
        <v>7</v>
      </c>
      <c r="G13" s="27" t="s">
        <v>7</v>
      </c>
      <c r="H13" s="85" t="s">
        <v>29</v>
      </c>
      <c r="I13" s="93" t="s">
        <v>30</v>
      </c>
      <c r="J13" s="1" t="s">
        <v>19</v>
      </c>
      <c r="M13" s="2" t="s">
        <v>31</v>
      </c>
      <c r="N13" s="2" t="s">
        <v>11296</v>
      </c>
    </row>
    <row r="14" spans="1:14" ht="14.4" x14ac:dyDescent="0.3">
      <c r="A14" s="28" t="str">
        <f>HYPERLINK("https://www.google.com/search?q=Tadorna tadorna&amp;tbm=isch")</f>
        <v>https://www.google.com/search?q=Tadorna tadorna&amp;tbm=isch</v>
      </c>
      <c r="B14" s="29" t="str">
        <f>HYPERLINK("https://www.xeno-canto.org/species/Tadorna-tadorna")</f>
        <v>https://www.xeno-canto.org/species/Tadorna-tadorna</v>
      </c>
      <c r="C14" s="30" t="str">
        <f>HYPERLINK("https://ebird.org/species/comshe")</f>
        <v>https://ebird.org/species/comshe</v>
      </c>
      <c r="D14" s="31" t="str">
        <f>HYPERLINK("https://www.hbw.com/species/Common-Shelduck-Tadorna-tadorna")</f>
        <v>https://www.hbw.com/species/Common-Shelduck-Tadorna-tadorna</v>
      </c>
      <c r="E14" s="32" t="str">
        <f>HYPERLINK("https://www.iucnredlist.org/search?query=Tadorna tadorna&amp;searchType=species")</f>
        <v>https://www.iucnredlist.org/search?query=Tadorna tadorna&amp;searchType=species</v>
      </c>
      <c r="F14" s="2">
        <v>8</v>
      </c>
      <c r="G14" s="27" t="s">
        <v>7</v>
      </c>
      <c r="H14" s="83" t="s">
        <v>32</v>
      </c>
      <c r="I14" s="92" t="s">
        <v>33</v>
      </c>
      <c r="J14" s="1" t="s">
        <v>19</v>
      </c>
      <c r="M14" s="2" t="s">
        <v>34</v>
      </c>
    </row>
    <row r="15" spans="1:14" ht="30.6" x14ac:dyDescent="0.3">
      <c r="A15" s="28" t="str">
        <f>HYPERLINK("https://www.google.com/search?q=Tadorna ferruginea&amp;tbm=isch")</f>
        <v>https://www.google.com/search?q=Tadorna ferruginea&amp;tbm=isch</v>
      </c>
      <c r="B15" s="29" t="str">
        <f>HYPERLINK("https://www.xeno-canto.org/species/Tadorna-ferruginea")</f>
        <v>https://www.xeno-canto.org/species/Tadorna-ferruginea</v>
      </c>
      <c r="C15" s="30" t="str">
        <f>HYPERLINK("https://ebird.org/species/rudshe")</f>
        <v>https://ebird.org/species/rudshe</v>
      </c>
      <c r="D15" s="31" t="str">
        <f>HYPERLINK("https://www.hbw.com/species/Ruddy-Shelduck-Tadorna-ferruginea")</f>
        <v>https://www.hbw.com/species/Ruddy-Shelduck-Tadorna-ferruginea</v>
      </c>
      <c r="E15" s="32" t="str">
        <f>HYPERLINK("https://www.iucnredlist.org/search?query=Tadorna ferruginea&amp;searchType=species")</f>
        <v>https://www.iucnredlist.org/search?query=Tadorna ferruginea&amp;searchType=species</v>
      </c>
      <c r="F15" s="2">
        <v>9</v>
      </c>
      <c r="G15" s="27" t="s">
        <v>7</v>
      </c>
      <c r="H15" s="83" t="s">
        <v>35</v>
      </c>
      <c r="I15" s="92" t="s">
        <v>36</v>
      </c>
      <c r="J15" s="1" t="s">
        <v>19</v>
      </c>
      <c r="M15" s="2" t="s">
        <v>37</v>
      </c>
      <c r="N15" s="2" t="s">
        <v>11297</v>
      </c>
    </row>
    <row r="16" spans="1:14" ht="40.799999999999997" x14ac:dyDescent="0.3">
      <c r="A16" s="28" t="str">
        <f>HYPERLINK("https://www.google.com/search?q=Aix galericulata&amp;tbm=isch")</f>
        <v>https://www.google.com/search?q=Aix galericulata&amp;tbm=isch</v>
      </c>
      <c r="B16" s="29" t="str">
        <f>HYPERLINK("https://www.xeno-canto.org/species/Aix-galericulata")</f>
        <v>https://www.xeno-canto.org/species/Aix-galericulata</v>
      </c>
      <c r="C16" s="30" t="str">
        <f>HYPERLINK("https://ebird.org/species/manduc")</f>
        <v>https://ebird.org/species/manduc</v>
      </c>
      <c r="D16" s="31" t="str">
        <f>HYPERLINK("https://www.hbw.com/species/Mandarin-Duck-Aix-galericulata")</f>
        <v>https://www.hbw.com/species/Mandarin-Duck-Aix-galericulata</v>
      </c>
      <c r="E16" s="32" t="str">
        <f>HYPERLINK("https://www.iucnredlist.org/search?query=Aix galericulata&amp;searchType=species")</f>
        <v>https://www.iucnredlist.org/search?query=Aix galericulata&amp;searchType=species</v>
      </c>
      <c r="F16" s="2">
        <v>10</v>
      </c>
      <c r="G16" s="27" t="s">
        <v>7</v>
      </c>
      <c r="H16" s="85" t="s">
        <v>38</v>
      </c>
      <c r="I16" s="93" t="s">
        <v>39</v>
      </c>
      <c r="J16" s="1" t="s">
        <v>19</v>
      </c>
      <c r="M16" s="2" t="s">
        <v>40</v>
      </c>
      <c r="N16" s="2" t="s">
        <v>11298</v>
      </c>
    </row>
    <row r="17" spans="1:14" ht="14.4" x14ac:dyDescent="0.3">
      <c r="A17" s="28" t="str">
        <f>HYPERLINK("https://www.google.com/search?q=Nettapus coromandelianus&amp;tbm=isch")</f>
        <v>https://www.google.com/search?q=Nettapus coromandelianus&amp;tbm=isch</v>
      </c>
      <c r="B17" s="29" t="str">
        <f>HYPERLINK("https://www.xeno-canto.org/species/Nettapus-coromandelianus")</f>
        <v>https://www.xeno-canto.org/species/Nettapus-coromandelianus</v>
      </c>
      <c r="C17" s="30" t="str">
        <f>HYPERLINK("https://ebird.org/species/copgoo1")</f>
        <v>https://ebird.org/species/copgoo1</v>
      </c>
      <c r="D17" s="31" t="str">
        <f>HYPERLINK("https://www.hbw.com/species/Cotton-Pygmy-goose-Nettapus-coromandelianus")</f>
        <v>https://www.hbw.com/species/Cotton-Pygmy-goose-Nettapus-coromandelianus</v>
      </c>
      <c r="E17" s="32" t="str">
        <f>HYPERLINK("https://www.iucnredlist.org/search?query=Nettapus coromandelianus&amp;searchType=species")</f>
        <v>https://www.iucnredlist.org/search?query=Nettapus coromandelianus&amp;searchType=species</v>
      </c>
      <c r="F17" s="2">
        <v>11</v>
      </c>
      <c r="G17" s="27" t="s">
        <v>7</v>
      </c>
      <c r="H17" s="83" t="s">
        <v>41</v>
      </c>
      <c r="I17" s="92" t="s">
        <v>42</v>
      </c>
      <c r="J17" s="1" t="s">
        <v>19</v>
      </c>
      <c r="M17" s="2" t="s">
        <v>43</v>
      </c>
      <c r="N17" s="2" t="s">
        <v>44</v>
      </c>
    </row>
    <row r="18" spans="1:14" ht="20.399999999999999" x14ac:dyDescent="0.3">
      <c r="A18" s="28" t="str">
        <f>HYPERLINK("https://www.google.com/search?q=Sibirionetta formosa&amp;tbm=isch")</f>
        <v>https://www.google.com/search?q=Sibirionetta formosa&amp;tbm=isch</v>
      </c>
      <c r="B18" s="29" t="str">
        <f>HYPERLINK("https://www.xeno-canto.org/species/Sibirionetta-formosa")</f>
        <v>https://www.xeno-canto.org/species/Sibirionetta-formosa</v>
      </c>
      <c r="C18" s="30" t="str">
        <f>HYPERLINK("https://ebird.org/species/baitea")</f>
        <v>https://ebird.org/species/baitea</v>
      </c>
      <c r="D18" s="31" t="str">
        <f>HYPERLINK("https://www.hbw.com/species/Baikal-Teal-Sibirionetta-formosa")</f>
        <v>https://www.hbw.com/species/Baikal-Teal-Sibirionetta-formosa</v>
      </c>
      <c r="E18" s="32" t="str">
        <f>HYPERLINK("https://www.iucnredlist.org/search?query=Sibirionetta formosa&amp;searchType=species")</f>
        <v>https://www.iucnredlist.org/search?query=Sibirionetta formosa&amp;searchType=species</v>
      </c>
      <c r="F18" s="2">
        <v>12</v>
      </c>
      <c r="G18" s="27" t="s">
        <v>7</v>
      </c>
      <c r="H18" s="85" t="s">
        <v>45</v>
      </c>
      <c r="I18" s="93" t="s">
        <v>46</v>
      </c>
      <c r="J18" s="1" t="s">
        <v>19</v>
      </c>
      <c r="M18" s="2" t="s">
        <v>47</v>
      </c>
      <c r="N18" s="2" t="s">
        <v>11299</v>
      </c>
    </row>
    <row r="19" spans="1:14" ht="14.4" x14ac:dyDescent="0.3">
      <c r="A19" s="28" t="str">
        <f>HYPERLINK("https://www.google.com/search?q=Spatula querquedula&amp;tbm=isch")</f>
        <v>https://www.google.com/search?q=Spatula querquedula&amp;tbm=isch</v>
      </c>
      <c r="B19" s="29" t="str">
        <f>HYPERLINK("https://www.xeno-canto.org/species/Spatula-querquedula")</f>
        <v>https://www.xeno-canto.org/species/Spatula-querquedula</v>
      </c>
      <c r="C19" s="30" t="str">
        <f>HYPERLINK("https://ebird.org/species/gargan")</f>
        <v>https://ebird.org/species/gargan</v>
      </c>
      <c r="D19" s="31" t="str">
        <f>HYPERLINK("https://www.hbw.com/species/Garganey-Spatula-querquedula")</f>
        <v>https://www.hbw.com/species/Garganey-Spatula-querquedula</v>
      </c>
      <c r="E19" s="32" t="str">
        <f>HYPERLINK("https://www.iucnredlist.org/search?query=Spatula querquedula&amp;searchType=species")</f>
        <v>https://www.iucnredlist.org/search?query=Spatula querquedula&amp;searchType=species</v>
      </c>
      <c r="F19" s="2">
        <v>13</v>
      </c>
      <c r="G19" s="27" t="s">
        <v>7</v>
      </c>
      <c r="H19" s="84" t="s">
        <v>48</v>
      </c>
      <c r="I19" s="92" t="s">
        <v>49</v>
      </c>
      <c r="J19" s="1" t="s">
        <v>50</v>
      </c>
      <c r="M19" s="2" t="s">
        <v>51</v>
      </c>
    </row>
    <row r="20" spans="1:14" ht="14.4" x14ac:dyDescent="0.3">
      <c r="A20" s="28" t="str">
        <f>HYPERLINK("https://www.google.com/search?q=Spatula clypeata&amp;tbm=isch")</f>
        <v>https://www.google.com/search?q=Spatula clypeata&amp;tbm=isch</v>
      </c>
      <c r="B20" s="29" t="str">
        <f>HYPERLINK("https://www.xeno-canto.org/species/Spatula-clypeata")</f>
        <v>https://www.xeno-canto.org/species/Spatula-clypeata</v>
      </c>
      <c r="C20" s="30" t="str">
        <f>HYPERLINK("https://ebird.org/species/norsho")</f>
        <v>https://ebird.org/species/norsho</v>
      </c>
      <c r="D20" s="31" t="str">
        <f>HYPERLINK("https://www.hbw.com/species/Northern-Shoveler-Spatula-clypeata")</f>
        <v>https://www.hbw.com/species/Northern-Shoveler-Spatula-clypeata</v>
      </c>
      <c r="E20" s="32" t="str">
        <f>HYPERLINK("https://www.iucnredlist.org/search?query=Spatula clypeata&amp;searchType=species")</f>
        <v>https://www.iucnredlist.org/search?query=Spatula clypeata&amp;searchType=species</v>
      </c>
      <c r="F20" s="2">
        <v>14</v>
      </c>
      <c r="G20" s="27" t="s">
        <v>7</v>
      </c>
      <c r="H20" s="84" t="s">
        <v>52</v>
      </c>
      <c r="I20" s="92" t="s">
        <v>53</v>
      </c>
      <c r="J20" s="1" t="s">
        <v>50</v>
      </c>
      <c r="M20" s="2" t="s">
        <v>20</v>
      </c>
    </row>
    <row r="21" spans="1:14" ht="14.4" x14ac:dyDescent="0.3">
      <c r="A21" s="28" t="str">
        <f>HYPERLINK("https://www.google.com/search?q=Mareca strepera&amp;tbm=isch")</f>
        <v>https://www.google.com/search?q=Mareca strepera&amp;tbm=isch</v>
      </c>
      <c r="B21" s="29" t="str">
        <f>HYPERLINK("https://www.xeno-canto.org/species/Mareca-strepera")</f>
        <v>https://www.xeno-canto.org/species/Mareca-strepera</v>
      </c>
      <c r="C21" s="30" t="str">
        <f>HYPERLINK("https://ebird.org/species/gadwal")</f>
        <v>https://ebird.org/species/gadwal</v>
      </c>
      <c r="D21" s="31" t="str">
        <f>HYPERLINK("https://www.hbw.com/species/Gadwall-Mareca-strepera")</f>
        <v>https://www.hbw.com/species/Gadwall-Mareca-strepera</v>
      </c>
      <c r="E21" s="32" t="str">
        <f>HYPERLINK("https://www.iucnredlist.org/search?query=Mareca strepera&amp;searchType=species")</f>
        <v>https://www.iucnredlist.org/search?query=Mareca strepera&amp;searchType=species</v>
      </c>
      <c r="F21" s="2">
        <v>15</v>
      </c>
      <c r="G21" s="27" t="s">
        <v>7</v>
      </c>
      <c r="H21" s="83" t="s">
        <v>54</v>
      </c>
      <c r="I21" s="92" t="s">
        <v>55</v>
      </c>
      <c r="J21" s="1" t="s">
        <v>19</v>
      </c>
      <c r="M21" s="2" t="s">
        <v>20</v>
      </c>
    </row>
    <row r="22" spans="1:14" ht="20.399999999999999" x14ac:dyDescent="0.3">
      <c r="A22" s="28" t="str">
        <f>HYPERLINK("https://www.google.com/search?q=Mareca falcata&amp;tbm=isch")</f>
        <v>https://www.google.com/search?q=Mareca falcata&amp;tbm=isch</v>
      </c>
      <c r="B22" s="29" t="str">
        <f>HYPERLINK("https://www.xeno-canto.org/species/Mareca-falcata")</f>
        <v>https://www.xeno-canto.org/species/Mareca-falcata</v>
      </c>
      <c r="C22" s="30" t="str">
        <f>HYPERLINK("https://ebird.org/species/falduc")</f>
        <v>https://ebird.org/species/falduc</v>
      </c>
      <c r="D22" s="31" t="str">
        <f>HYPERLINK("https://www.hbw.com/species/Falcated-Duck-Mareca-falcata")</f>
        <v>https://www.hbw.com/species/Falcated-Duck-Mareca-falcata</v>
      </c>
      <c r="E22" s="32" t="str">
        <f>HYPERLINK("https://www.iucnredlist.org/search?query=Mareca falcata&amp;searchType=species")</f>
        <v>https://www.iucnredlist.org/search?query=Mareca falcata&amp;searchType=species</v>
      </c>
      <c r="F22" s="2">
        <v>16</v>
      </c>
      <c r="G22" s="27" t="s">
        <v>7</v>
      </c>
      <c r="H22" s="85" t="s">
        <v>56</v>
      </c>
      <c r="I22" s="93" t="s">
        <v>57</v>
      </c>
      <c r="J22" s="1" t="s">
        <v>19</v>
      </c>
      <c r="K22" s="1" t="s">
        <v>58</v>
      </c>
      <c r="M22" s="2" t="s">
        <v>59</v>
      </c>
      <c r="N22" s="2" t="s">
        <v>11300</v>
      </c>
    </row>
    <row r="23" spans="1:14" ht="14.4" x14ac:dyDescent="0.3">
      <c r="A23" s="28" t="str">
        <f>HYPERLINK("https://www.google.com/search?q=Mareca penelope&amp;tbm=isch")</f>
        <v>https://www.google.com/search?q=Mareca penelope&amp;tbm=isch</v>
      </c>
      <c r="B23" s="29" t="str">
        <f>HYPERLINK("https://www.xeno-canto.org/species/Mareca-penelope")</f>
        <v>https://www.xeno-canto.org/species/Mareca-penelope</v>
      </c>
      <c r="C23" s="30" t="str">
        <f>HYPERLINK("https://ebird.org/species/eurwig")</f>
        <v>https://ebird.org/species/eurwig</v>
      </c>
      <c r="D23" s="31" t="str">
        <f>HYPERLINK("https://www.hbw.com/species/Eurasian-Wigeon-Mareca-penelope")</f>
        <v>https://www.hbw.com/species/Eurasian-Wigeon-Mareca-penelope</v>
      </c>
      <c r="E23" s="32" t="str">
        <f>HYPERLINK("https://www.iucnredlist.org/search?query=Mareca penelope&amp;searchType=species")</f>
        <v>https://www.iucnredlist.org/search?query=Mareca penelope&amp;searchType=species</v>
      </c>
      <c r="F23" s="2">
        <v>17</v>
      </c>
      <c r="G23" s="27" t="s">
        <v>7</v>
      </c>
      <c r="H23" s="84" t="s">
        <v>60</v>
      </c>
      <c r="I23" s="92" t="s">
        <v>61</v>
      </c>
      <c r="J23" s="1" t="s">
        <v>50</v>
      </c>
      <c r="M23" s="2" t="s">
        <v>62</v>
      </c>
    </row>
    <row r="24" spans="1:14" ht="14.4" x14ac:dyDescent="0.3">
      <c r="A24" s="28" t="str">
        <f>HYPERLINK("https://www.google.com/search?q=Anas luzonica&amp;tbm=isch")</f>
        <v>https://www.google.com/search?q=Anas luzonica&amp;tbm=isch</v>
      </c>
      <c r="B24" s="29" t="str">
        <f>HYPERLINK("https://www.xeno-canto.org/species/Anas-luzonica")</f>
        <v>https://www.xeno-canto.org/species/Anas-luzonica</v>
      </c>
      <c r="C24" s="30" t="str">
        <f>HYPERLINK("https://ebird.org/species/phiduc1")</f>
        <v>https://ebird.org/species/phiduc1</v>
      </c>
      <c r="D24" s="31" t="str">
        <f>HYPERLINK("https://www.hbw.com/species/Philippine-Duck-Anas-luzonica")</f>
        <v>https://www.hbw.com/species/Philippine-Duck-Anas-luzonica</v>
      </c>
      <c r="E24" s="32" t="str">
        <f>HYPERLINK("https://www.iucnredlist.org/search?query=Anas luzonica&amp;searchType=species")</f>
        <v>https://www.iucnredlist.org/search?query=Anas luzonica&amp;searchType=species</v>
      </c>
      <c r="F24" s="2">
        <v>18</v>
      </c>
      <c r="G24" s="27" t="s">
        <v>7</v>
      </c>
      <c r="H24" s="86" t="s">
        <v>63</v>
      </c>
      <c r="I24" s="94" t="s">
        <v>64</v>
      </c>
      <c r="J24" s="1" t="s">
        <v>65</v>
      </c>
      <c r="K24" s="1" t="s">
        <v>66</v>
      </c>
      <c r="L24" s="1" t="s">
        <v>67</v>
      </c>
      <c r="M24" s="2" t="s">
        <v>68</v>
      </c>
    </row>
    <row r="25" spans="1:14" ht="14.4" x14ac:dyDescent="0.3">
      <c r="A25" s="28" t="str">
        <f>HYPERLINK("https://www.google.com/search?q=Anas zonorhyncha&amp;tbm=isch")</f>
        <v>https://www.google.com/search?q=Anas zonorhyncha&amp;tbm=isch</v>
      </c>
      <c r="B25" s="29" t="str">
        <f>HYPERLINK("https://www.xeno-canto.org/species/Anas-zonorhyncha")</f>
        <v>https://www.xeno-canto.org/species/Anas-zonorhyncha</v>
      </c>
      <c r="C25" s="30" t="str">
        <f>HYPERLINK("https://ebird.org/species/spbduc")</f>
        <v>https://ebird.org/species/spbduc</v>
      </c>
      <c r="D25" s="31" t="str">
        <f>HYPERLINK("https://www.hbw.com/species/Chinese-Spot-billed-Duck-Anas-zonorhyncha")</f>
        <v>https://www.hbw.com/species/Chinese-Spot-billed-Duck-Anas-zonorhyncha</v>
      </c>
      <c r="E25" s="32" t="str">
        <f>HYPERLINK("https://www.iucnredlist.org/search?query=Anas zonorhyncha&amp;searchType=species")</f>
        <v>https://www.iucnredlist.org/search?query=Anas zonorhyncha&amp;searchType=species</v>
      </c>
      <c r="F25" s="2">
        <v>19</v>
      </c>
      <c r="G25" s="27" t="s">
        <v>7</v>
      </c>
      <c r="H25" s="83" t="s">
        <v>69</v>
      </c>
      <c r="I25" s="92" t="s">
        <v>70</v>
      </c>
      <c r="J25" s="1" t="s">
        <v>19</v>
      </c>
      <c r="M25" s="2" t="s">
        <v>71</v>
      </c>
    </row>
    <row r="26" spans="1:14" ht="14.4" x14ac:dyDescent="0.3">
      <c r="A26" s="28" t="str">
        <f>HYPERLINK("https://www.google.com/search?q=Anas platyrhynchos&amp;tbm=isch")</f>
        <v>https://www.google.com/search?q=Anas platyrhynchos&amp;tbm=isch</v>
      </c>
      <c r="B26" s="29" t="str">
        <f>HYPERLINK("https://www.xeno-canto.org/species/Anas-platyrhynchos")</f>
        <v>https://www.xeno-canto.org/species/Anas-platyrhynchos</v>
      </c>
      <c r="C26" s="30" t="str">
        <f>HYPERLINK("https://ebird.org/species/mallar3")</f>
        <v>https://ebird.org/species/mallar3</v>
      </c>
      <c r="D26" s="31" t="str">
        <f>HYPERLINK("https://www.hbw.com/species/Mallard-Anas-platyrhynchos")</f>
        <v>https://www.hbw.com/species/Mallard-Anas-platyrhynchos</v>
      </c>
      <c r="E26" s="32" t="str">
        <f>HYPERLINK("https://www.iucnredlist.org/search?query=Anas platyrhynchos&amp;searchType=species")</f>
        <v>https://www.iucnredlist.org/search?query=Anas platyrhynchos&amp;searchType=species</v>
      </c>
      <c r="F26" s="2">
        <v>20</v>
      </c>
      <c r="G26" s="27" t="s">
        <v>7</v>
      </c>
      <c r="H26" s="83" t="s">
        <v>72</v>
      </c>
      <c r="I26" s="92" t="s">
        <v>73</v>
      </c>
      <c r="J26" s="1" t="s">
        <v>19</v>
      </c>
      <c r="M26" s="2" t="s">
        <v>20</v>
      </c>
    </row>
    <row r="27" spans="1:14" ht="14.4" x14ac:dyDescent="0.3">
      <c r="A27" s="28" t="str">
        <f>HYPERLINK("https://www.google.com/search?q=Anas acuta&amp;tbm=isch")</f>
        <v>https://www.google.com/search?q=Anas acuta&amp;tbm=isch</v>
      </c>
      <c r="B27" s="29" t="str">
        <f>HYPERLINK("https://www.xeno-canto.org/species/Anas-acuta")</f>
        <v>https://www.xeno-canto.org/species/Anas-acuta</v>
      </c>
      <c r="C27" s="30" t="str">
        <f>HYPERLINK("https://ebird.org/species/norpin")</f>
        <v>https://ebird.org/species/norpin</v>
      </c>
      <c r="D27" s="31" t="str">
        <f>HYPERLINK("https://www.hbw.com/species/Northern-Pintail-Anas-acuta")</f>
        <v>https://www.hbw.com/species/Northern-Pintail-Anas-acuta</v>
      </c>
      <c r="E27" s="32" t="str">
        <f>HYPERLINK("https://www.iucnredlist.org/search?query=Anas acuta&amp;searchType=species")</f>
        <v>https://www.iucnredlist.org/search?query=Anas acuta&amp;searchType=species</v>
      </c>
      <c r="F27" s="2">
        <v>21</v>
      </c>
      <c r="G27" s="27" t="s">
        <v>7</v>
      </c>
      <c r="H27" s="84" t="s">
        <v>74</v>
      </c>
      <c r="I27" s="92" t="s">
        <v>75</v>
      </c>
      <c r="J27" s="1" t="s">
        <v>50</v>
      </c>
      <c r="M27" s="2" t="s">
        <v>76</v>
      </c>
    </row>
    <row r="28" spans="1:14" ht="20.399999999999999" x14ac:dyDescent="0.3">
      <c r="A28" s="28" t="str">
        <f>HYPERLINK("https://www.google.com/search?q=Anas crecca&amp;tbm=isch")</f>
        <v>https://www.google.com/search?q=Anas crecca&amp;tbm=isch</v>
      </c>
      <c r="B28" s="29" t="str">
        <f>HYPERLINK("https://www.xeno-canto.org/species/Anas-crecca")</f>
        <v>https://www.xeno-canto.org/species/Anas-crecca</v>
      </c>
      <c r="C28" s="30" t="str">
        <f>HYPERLINK("https://ebird.org/species/gnwtea")</f>
        <v>https://ebird.org/species/gnwtea</v>
      </c>
      <c r="D28" s="31" t="str">
        <f>HYPERLINK("https://www.hbw.com/species/Common-Teal-Anas-crecca")</f>
        <v>https://www.hbw.com/species/Common-Teal-Anas-crecca</v>
      </c>
      <c r="E28" s="32" t="str">
        <f>HYPERLINK("https://www.iucnredlist.org/search?query=Anas crecca&amp;searchType=species")</f>
        <v>https://www.iucnredlist.org/search?query=Anas crecca&amp;searchType=species</v>
      </c>
      <c r="F28" s="2">
        <v>22</v>
      </c>
      <c r="G28" s="27" t="s">
        <v>7</v>
      </c>
      <c r="H28" s="84" t="s">
        <v>77</v>
      </c>
      <c r="I28" s="92" t="s">
        <v>78</v>
      </c>
      <c r="J28" s="1" t="s">
        <v>50</v>
      </c>
      <c r="M28" s="2" t="s">
        <v>79</v>
      </c>
    </row>
    <row r="29" spans="1:14" ht="14.4" x14ac:dyDescent="0.3">
      <c r="A29" s="28" t="str">
        <f>HYPERLINK("https://www.google.com/search?q=Aythya ferina&amp;tbm=isch")</f>
        <v>https://www.google.com/search?q=Aythya ferina&amp;tbm=isch</v>
      </c>
      <c r="B29" s="29" t="str">
        <f>HYPERLINK("https://www.xeno-canto.org/species/Aythya-ferina")</f>
        <v>https://www.xeno-canto.org/species/Aythya-ferina</v>
      </c>
      <c r="C29" s="30" t="str">
        <f>HYPERLINK("https://ebird.org/species/compoc")</f>
        <v>https://ebird.org/species/compoc</v>
      </c>
      <c r="D29" s="31" t="str">
        <f>HYPERLINK("https://www.hbw.com/species/Common-Pochard-Aythya-ferina")</f>
        <v>https://www.hbw.com/species/Common-Pochard-Aythya-ferina</v>
      </c>
      <c r="E29" s="32" t="str">
        <f>HYPERLINK("https://www.iucnredlist.org/search?query=Aythya ferina&amp;searchType=species")</f>
        <v>https://www.iucnredlist.org/search?query=Aythya ferina&amp;searchType=species</v>
      </c>
      <c r="F29" s="2">
        <v>23</v>
      </c>
      <c r="G29" s="27" t="s">
        <v>7</v>
      </c>
      <c r="H29" s="84" t="s">
        <v>80</v>
      </c>
      <c r="I29" s="92" t="s">
        <v>81</v>
      </c>
      <c r="J29" s="1" t="s">
        <v>50</v>
      </c>
      <c r="K29" s="1" t="s">
        <v>66</v>
      </c>
      <c r="M29" s="2" t="s">
        <v>82</v>
      </c>
    </row>
    <row r="30" spans="1:14" ht="14.4" x14ac:dyDescent="0.3">
      <c r="A30" s="28" t="str">
        <f>HYPERLINK("https://www.google.com/search?q=Aythya baeri&amp;tbm=isch")</f>
        <v>https://www.google.com/search?q=Aythya baeri&amp;tbm=isch</v>
      </c>
      <c r="B30" s="29" t="str">
        <f>HYPERLINK("https://www.xeno-canto.org/species/Aythya-baeri")</f>
        <v>https://www.xeno-canto.org/species/Aythya-baeri</v>
      </c>
      <c r="C30" s="30" t="str">
        <f>HYPERLINK("https://ebird.org/species/baepoc1")</f>
        <v>https://ebird.org/species/baepoc1</v>
      </c>
      <c r="D30" s="31" t="str">
        <f>HYPERLINK("https://www.hbw.com/species/Baer's-Pochard-Aythya-baeri")</f>
        <v>https://www.hbw.com/species/Baer's-Pochard-Aythya-baeri</v>
      </c>
      <c r="E30" s="32" t="str">
        <f>HYPERLINK("https://www.iucnredlist.org/search?query=Aythya baeri&amp;searchType=species")</f>
        <v>https://www.iucnredlist.org/search?query=Aythya baeri&amp;searchType=species</v>
      </c>
      <c r="F30" s="2">
        <v>24</v>
      </c>
      <c r="G30" s="27" t="s">
        <v>7</v>
      </c>
      <c r="H30" s="83" t="s">
        <v>83</v>
      </c>
      <c r="I30" s="92" t="s">
        <v>84</v>
      </c>
      <c r="J30" s="1" t="s">
        <v>19</v>
      </c>
      <c r="K30" s="1" t="s">
        <v>85</v>
      </c>
      <c r="L30" s="1" t="s">
        <v>85</v>
      </c>
      <c r="M30" s="2" t="s">
        <v>86</v>
      </c>
    </row>
    <row r="31" spans="1:14" ht="20.399999999999999" x14ac:dyDescent="0.3">
      <c r="A31" s="28" t="str">
        <f>HYPERLINK("https://www.google.com/search?q=Aythya nyroca&amp;tbm=isch")</f>
        <v>https://www.google.com/search?q=Aythya nyroca&amp;tbm=isch</v>
      </c>
      <c r="B31" s="29" t="str">
        <f>HYPERLINK("https://www.xeno-canto.org/species/Aythya-nyroca")</f>
        <v>https://www.xeno-canto.org/species/Aythya-nyroca</v>
      </c>
      <c r="C31" s="30" t="str">
        <f>HYPERLINK("https://ebird.org/species/ferduc")</f>
        <v>https://ebird.org/species/ferduc</v>
      </c>
      <c r="D31" s="31" t="str">
        <f>HYPERLINK("https://www.hbw.com/species/Ferruginous-Duck-Aythya-nyroca")</f>
        <v>https://www.hbw.com/species/Ferruginous-Duck-Aythya-nyroca</v>
      </c>
      <c r="E31" s="32" t="str">
        <f>HYPERLINK("https://www.iucnredlist.org/search?query=Aythya nyroca&amp;searchType=species")</f>
        <v>https://www.iucnredlist.org/search?query=Aythya nyroca&amp;searchType=species</v>
      </c>
      <c r="F31" s="2">
        <v>25</v>
      </c>
      <c r="G31" s="27" t="s">
        <v>7</v>
      </c>
      <c r="H31" s="87" t="s">
        <v>87</v>
      </c>
      <c r="I31" s="93" t="s">
        <v>88</v>
      </c>
      <c r="J31" s="1" t="s">
        <v>19</v>
      </c>
      <c r="K31" s="1" t="s">
        <v>58</v>
      </c>
      <c r="M31" s="2" t="s">
        <v>89</v>
      </c>
      <c r="N31" s="2" t="s">
        <v>11301</v>
      </c>
    </row>
    <row r="32" spans="1:14" ht="14.4" x14ac:dyDescent="0.3">
      <c r="A32" s="28" t="str">
        <f>HYPERLINK("https://www.google.com/search?q=Aythya fuligula&amp;tbm=isch")</f>
        <v>https://www.google.com/search?q=Aythya fuligula&amp;tbm=isch</v>
      </c>
      <c r="B32" s="29" t="str">
        <f>HYPERLINK("https://www.xeno-canto.org/species/Aythya-fuligula")</f>
        <v>https://www.xeno-canto.org/species/Aythya-fuligula</v>
      </c>
      <c r="C32" s="30" t="str">
        <f>HYPERLINK("https://ebird.org/species/tufduc")</f>
        <v>https://ebird.org/species/tufduc</v>
      </c>
      <c r="D32" s="31" t="str">
        <f>HYPERLINK("https://www.hbw.com/species/Tufted-Duck-Aythya-fuligula")</f>
        <v>https://www.hbw.com/species/Tufted-Duck-Aythya-fuligula</v>
      </c>
      <c r="E32" s="32" t="str">
        <f>HYPERLINK("https://www.iucnredlist.org/search?query=Aythya fuligula&amp;searchType=species")</f>
        <v>https://www.iucnredlist.org/search?query=Aythya fuligula&amp;searchType=species</v>
      </c>
      <c r="F32" s="2">
        <v>26</v>
      </c>
      <c r="G32" s="27" t="s">
        <v>7</v>
      </c>
      <c r="H32" s="84" t="s">
        <v>90</v>
      </c>
      <c r="I32" s="92" t="s">
        <v>91</v>
      </c>
      <c r="J32" s="1" t="s">
        <v>50</v>
      </c>
      <c r="M32" s="2" t="s">
        <v>92</v>
      </c>
    </row>
    <row r="33" spans="1:14" ht="14.4" x14ac:dyDescent="0.3">
      <c r="A33" s="28" t="str">
        <f>HYPERLINK("https://www.google.com/search?q=Aythya marila&amp;tbm=isch")</f>
        <v>https://www.google.com/search?q=Aythya marila&amp;tbm=isch</v>
      </c>
      <c r="B33" s="29" t="str">
        <f>HYPERLINK("https://www.xeno-canto.org/species/Aythya-marila")</f>
        <v>https://www.xeno-canto.org/species/Aythya-marila</v>
      </c>
      <c r="C33" s="30" t="str">
        <f>HYPERLINK("https://ebird.org/species/gresca")</f>
        <v>https://ebird.org/species/gresca</v>
      </c>
      <c r="D33" s="31" t="str">
        <f>HYPERLINK("https://www.hbw.com/species/Greater-Scaup-Aythya-marila")</f>
        <v>https://www.hbw.com/species/Greater-Scaup-Aythya-marila</v>
      </c>
      <c r="E33" s="32" t="str">
        <f>HYPERLINK("https://www.iucnredlist.org/search?query=Aythya marila&amp;searchType=species")</f>
        <v>https://www.iucnredlist.org/search?query=Aythya marila&amp;searchType=species</v>
      </c>
      <c r="F33" s="2">
        <v>27</v>
      </c>
      <c r="G33" s="27" t="s">
        <v>7</v>
      </c>
      <c r="H33" s="83" t="s">
        <v>93</v>
      </c>
      <c r="I33" s="92" t="s">
        <v>94</v>
      </c>
      <c r="J33" s="1" t="s">
        <v>19</v>
      </c>
      <c r="M33" s="2" t="s">
        <v>20</v>
      </c>
    </row>
    <row r="34" spans="1:14" ht="20.399999999999999" x14ac:dyDescent="0.3">
      <c r="A34" s="28" t="str">
        <f>HYPERLINK("https://www.google.com/search?q=Mergus squamatus&amp;tbm=isch")</f>
        <v>https://www.google.com/search?q=Mergus squamatus&amp;tbm=isch</v>
      </c>
      <c r="B34" s="29" t="str">
        <f>HYPERLINK("https://www.xeno-canto.org/species/Mergus-squamatus")</f>
        <v>https://www.xeno-canto.org/species/Mergus-squamatus</v>
      </c>
      <c r="C34" s="30" t="str">
        <f>HYPERLINK("https://ebird.org/species/scsmer1")</f>
        <v>https://ebird.org/species/scsmer1</v>
      </c>
      <c r="D34" s="31" t="str">
        <f>HYPERLINK("https://www.hbw.com/species/Scaly-sided-Merganser-Mergus-squamatus")</f>
        <v>https://www.hbw.com/species/Scaly-sided-Merganser-Mergus-squamatus</v>
      </c>
      <c r="E34" s="32" t="str">
        <f>HYPERLINK("https://www.iucnredlist.org/search?query=Mergus squamatus&amp;searchType=species")</f>
        <v>https://www.iucnredlist.org/search?query=Mergus squamatus&amp;searchType=species</v>
      </c>
      <c r="F34" s="2">
        <v>28</v>
      </c>
      <c r="G34" s="27" t="s">
        <v>7</v>
      </c>
      <c r="H34" s="85" t="s">
        <v>95</v>
      </c>
      <c r="I34" s="93" t="s">
        <v>96</v>
      </c>
      <c r="J34" s="1" t="s">
        <v>19</v>
      </c>
      <c r="K34" s="1" t="s">
        <v>67</v>
      </c>
      <c r="M34" s="2" t="s">
        <v>97</v>
      </c>
      <c r="N34" s="2" t="s">
        <v>11302</v>
      </c>
    </row>
    <row r="35" spans="1:14" x14ac:dyDescent="0.3">
      <c r="A35" s="33"/>
      <c r="B35" s="34"/>
      <c r="C35" s="35"/>
      <c r="D35" s="36"/>
      <c r="E35" s="37"/>
    </row>
    <row r="36" spans="1:14" ht="12" x14ac:dyDescent="0.3">
      <c r="A36" s="33"/>
      <c r="B36" s="34"/>
      <c r="C36" s="35"/>
      <c r="D36" s="36"/>
      <c r="E36" s="37"/>
      <c r="H36" s="82" t="s">
        <v>98</v>
      </c>
      <c r="I36" s="91" t="s">
        <v>99</v>
      </c>
    </row>
    <row r="37" spans="1:14" ht="14.4" x14ac:dyDescent="0.3">
      <c r="A37" s="28" t="str">
        <f>HYPERLINK("https://www.google.com/search?q=Megapodius cumingii&amp;tbm=isch")</f>
        <v>https://www.google.com/search?q=Megapodius cumingii&amp;tbm=isch</v>
      </c>
      <c r="B37" s="29" t="str">
        <f>HYPERLINK("https://www.xeno-canto.org/species/Megapodius-cumingii")</f>
        <v>https://www.xeno-canto.org/species/Megapodius-cumingii</v>
      </c>
      <c r="C37" s="30" t="str">
        <f>HYPERLINK("https://ebird.org/species/tabscr1")</f>
        <v>https://ebird.org/species/tabscr1</v>
      </c>
      <c r="D37" s="31" t="str">
        <f>HYPERLINK("https://www.hbw.com/species/Philippine-Scrubfowl-Megapodius-cumingii")</f>
        <v>https://www.hbw.com/species/Philippine-Scrubfowl-Megapodius-cumingii</v>
      </c>
      <c r="E37" s="32" t="str">
        <f>HYPERLINK("https://www.iucnredlist.org/search?query=Megapodius cumingii&amp;searchType=species")</f>
        <v>https://www.iucnredlist.org/search?query=Megapodius cumingii&amp;searchType=species</v>
      </c>
      <c r="F37" s="2">
        <v>29</v>
      </c>
      <c r="G37" s="27" t="s">
        <v>99</v>
      </c>
      <c r="H37" s="84" t="s">
        <v>100</v>
      </c>
      <c r="I37" s="92" t="s">
        <v>101</v>
      </c>
      <c r="J37" s="1" t="s">
        <v>15</v>
      </c>
      <c r="L37" s="1" t="s">
        <v>66</v>
      </c>
      <c r="M37" s="2" t="s">
        <v>102</v>
      </c>
    </row>
    <row r="38" spans="1:14" x14ac:dyDescent="0.3">
      <c r="A38" s="33"/>
      <c r="B38" s="34"/>
      <c r="C38" s="35"/>
      <c r="D38" s="36"/>
      <c r="E38" s="37"/>
    </row>
    <row r="39" spans="1:14" ht="12" x14ac:dyDescent="0.3">
      <c r="A39" s="33"/>
      <c r="B39" s="34"/>
      <c r="C39" s="35"/>
      <c r="D39" s="36"/>
      <c r="E39" s="37"/>
      <c r="H39" s="82" t="s">
        <v>103</v>
      </c>
      <c r="I39" s="91" t="s">
        <v>104</v>
      </c>
    </row>
    <row r="40" spans="1:14" ht="20.399999999999999" x14ac:dyDescent="0.3">
      <c r="A40" s="28" t="str">
        <f>HYPERLINK("https://www.google.com/search?q=Francolinus pintadeanus&amp;tbm=isch")</f>
        <v>https://www.google.com/search?q=Francolinus pintadeanus&amp;tbm=isch</v>
      </c>
      <c r="B40" s="29" t="str">
        <f>HYPERLINK("https://www.xeno-canto.org/species/Francolinus-pintadeanus")</f>
        <v>https://www.xeno-canto.org/species/Francolinus-pintadeanus</v>
      </c>
      <c r="C40" s="30" t="str">
        <f>HYPERLINK("https://ebird.org/species/chifra1")</f>
        <v>https://ebird.org/species/chifra1</v>
      </c>
      <c r="D40" s="31" t="str">
        <f>HYPERLINK("https://www.hbw.com/species/Chinese-Francolin-Francolinus-pintadeanus")</f>
        <v>https://www.hbw.com/species/Chinese-Francolin-Francolinus-pintadeanus</v>
      </c>
      <c r="E40" s="32" t="str">
        <f>HYPERLINK("https://www.iucnredlist.org/search?query=Francolinus pintadeanus&amp;searchType=species")</f>
        <v>https://www.iucnredlist.org/search?query=Francolinus pintadeanus&amp;searchType=species</v>
      </c>
      <c r="F40" s="2">
        <v>30</v>
      </c>
      <c r="G40" s="27" t="s">
        <v>104</v>
      </c>
      <c r="H40" s="88" t="s">
        <v>105</v>
      </c>
      <c r="I40" s="95" t="s">
        <v>106</v>
      </c>
      <c r="J40" s="1" t="s">
        <v>107</v>
      </c>
      <c r="M40" s="2" t="s">
        <v>108</v>
      </c>
      <c r="N40" s="2" t="s">
        <v>109</v>
      </c>
    </row>
    <row r="41" spans="1:14" ht="20.399999999999999" x14ac:dyDescent="0.3">
      <c r="A41" s="28" t="str">
        <f>HYPERLINK("https://www.google.com/search?q=Perdix dauurica&amp;tbm=isch")</f>
        <v>https://www.google.com/search?q=Perdix dauurica&amp;tbm=isch</v>
      </c>
      <c r="B41" s="29" t="str">
        <f>HYPERLINK("https://www.xeno-canto.org/species/Perdix-dauurica")</f>
        <v>https://www.xeno-canto.org/species/Perdix-dauurica</v>
      </c>
      <c r="C41" s="30" t="str">
        <f>HYPERLINK("https://ebird.org/species/daupar1")</f>
        <v>https://ebird.org/species/daupar1</v>
      </c>
      <c r="D41" s="31" t="str">
        <f>HYPERLINK("https://www.hbw.com/species/Daurian-Partridge-Perdix-dauurica")</f>
        <v>https://www.hbw.com/species/Daurian-Partridge-Perdix-dauurica</v>
      </c>
      <c r="E41" s="32" t="str">
        <f>HYPERLINK("https://www.iucnredlist.org/search?query=Perdix dauurica&amp;searchType=species")</f>
        <v>https://www.iucnredlist.org/search?query=Perdix dauurica&amp;searchType=species</v>
      </c>
      <c r="F41" s="2">
        <v>31</v>
      </c>
      <c r="G41" s="27" t="s">
        <v>104</v>
      </c>
      <c r="H41" s="88" t="s">
        <v>110</v>
      </c>
      <c r="I41" s="95" t="s">
        <v>111</v>
      </c>
      <c r="J41" s="1" t="s">
        <v>107</v>
      </c>
      <c r="M41" s="2" t="s">
        <v>112</v>
      </c>
      <c r="N41" s="2" t="s">
        <v>113</v>
      </c>
    </row>
    <row r="42" spans="1:14" ht="20.399999999999999" x14ac:dyDescent="0.3">
      <c r="A42" s="28" t="str">
        <f>HYPERLINK("https://www.google.com/search?q=Coturnix japonica&amp;tbm=isch")</f>
        <v>https://www.google.com/search?q=Coturnix japonica&amp;tbm=isch</v>
      </c>
      <c r="B42" s="29" t="str">
        <f>HYPERLINK("https://www.xeno-canto.org/species/Coturnix-japonica")</f>
        <v>https://www.xeno-canto.org/species/Coturnix-japonica</v>
      </c>
      <c r="C42" s="30" t="str">
        <f>HYPERLINK("https://ebird.org/species/japqua")</f>
        <v>https://ebird.org/species/japqua</v>
      </c>
      <c r="D42" s="31" t="str">
        <f>HYPERLINK("https://www.hbw.com/species/Japanese-Quail-Coturnix-japonica")</f>
        <v>https://www.hbw.com/species/Japanese-Quail-Coturnix-japonica</v>
      </c>
      <c r="E42" s="32" t="str">
        <f>HYPERLINK("https://www.iucnredlist.org/search?query=Coturnix japonica&amp;searchType=species")</f>
        <v>https://www.iucnredlist.org/search?query=Coturnix japonica&amp;searchType=species</v>
      </c>
      <c r="F42" s="2">
        <v>32</v>
      </c>
      <c r="G42" s="27" t="s">
        <v>104</v>
      </c>
      <c r="H42" s="83" t="s">
        <v>114</v>
      </c>
      <c r="I42" s="92" t="s">
        <v>115</v>
      </c>
      <c r="J42" s="1" t="s">
        <v>19</v>
      </c>
      <c r="K42" s="1" t="s">
        <v>58</v>
      </c>
      <c r="M42" s="2" t="s">
        <v>116</v>
      </c>
    </row>
    <row r="43" spans="1:14" ht="14.4" x14ac:dyDescent="0.3">
      <c r="A43" s="28" t="str">
        <f>HYPERLINK("https://www.google.com/search?q=Excalfactoria chinensis&amp;tbm=isch")</f>
        <v>https://www.google.com/search?q=Excalfactoria chinensis&amp;tbm=isch</v>
      </c>
      <c r="B43" s="29" t="str">
        <f>HYPERLINK("https://www.xeno-canto.org/species/Excalfactoria-chinensis")</f>
        <v>https://www.xeno-canto.org/species/Excalfactoria-chinensis</v>
      </c>
      <c r="C43" s="30" t="str">
        <f>HYPERLINK("https://ebird.org/species/blbqua1")</f>
        <v>https://ebird.org/species/blbqua1</v>
      </c>
      <c r="D43" s="31" t="str">
        <f>HYPERLINK("https://www.hbw.com/species/Asian-Blue-Quail-Synoicus-chinensis")</f>
        <v>https://www.hbw.com/species/Asian-Blue-Quail-Synoicus-chinensis</v>
      </c>
      <c r="E43" s="32" t="str">
        <f>HYPERLINK("https://www.iucnredlist.org/search?query=Excalfactoria chinensis&amp;searchType=species")</f>
        <v>https://www.iucnredlist.org/search?query=Excalfactoria chinensis&amp;searchType=species</v>
      </c>
      <c r="F43" s="2">
        <v>33</v>
      </c>
      <c r="G43" s="27" t="s">
        <v>104</v>
      </c>
      <c r="H43" s="84" t="s">
        <v>117</v>
      </c>
      <c r="I43" s="92" t="s">
        <v>118</v>
      </c>
      <c r="J43" s="1" t="s">
        <v>15</v>
      </c>
      <c r="M43" s="2" t="s">
        <v>119</v>
      </c>
    </row>
    <row r="44" spans="1:14" ht="14.4" x14ac:dyDescent="0.3">
      <c r="A44" s="28" t="str">
        <f>HYPERLINK("https://www.google.com/search?q=Gallus gallus&amp;tbm=isch")</f>
        <v>https://www.google.com/search?q=Gallus gallus&amp;tbm=isch</v>
      </c>
      <c r="B44" s="29" t="str">
        <f>HYPERLINK("https://www.xeno-canto.org/species/Gallus-gallus")</f>
        <v>https://www.xeno-canto.org/species/Gallus-gallus</v>
      </c>
      <c r="C44" s="30" t="str">
        <f>HYPERLINK("https://ebird.org/species/redjun")</f>
        <v>https://ebird.org/species/redjun</v>
      </c>
      <c r="D44" s="31" t="str">
        <f>HYPERLINK("https://www.hbw.com/species/Red-Junglefowl-Gallus-gallus")</f>
        <v>https://www.hbw.com/species/Red-Junglefowl-Gallus-gallus</v>
      </c>
      <c r="E44" s="32" t="str">
        <f>HYPERLINK("https://www.iucnredlist.org/search?query=Gallus gallus&amp;searchType=species")</f>
        <v>https://www.iucnredlist.org/search?query=Gallus gallus&amp;searchType=species</v>
      </c>
      <c r="F44" s="2">
        <v>34</v>
      </c>
      <c r="G44" s="27" t="s">
        <v>104</v>
      </c>
      <c r="H44" s="84" t="s">
        <v>120</v>
      </c>
      <c r="I44" s="92" t="s">
        <v>121</v>
      </c>
      <c r="J44" s="1" t="s">
        <v>15</v>
      </c>
      <c r="M44" s="2" t="s">
        <v>122</v>
      </c>
      <c r="N44" s="2" t="s">
        <v>123</v>
      </c>
    </row>
    <row r="45" spans="1:14" ht="14.4" x14ac:dyDescent="0.3">
      <c r="A45" s="28" t="str">
        <f>HYPERLINK("https://www.google.com/search?q=Polyplectron napoleonis&amp;tbm=isch")</f>
        <v>https://www.google.com/search?q=Polyplectron napoleonis&amp;tbm=isch</v>
      </c>
      <c r="B45" s="29" t="str">
        <f>HYPERLINK("https://www.xeno-canto.org/species/Polyplectron-napoleonis")</f>
        <v>https://www.xeno-canto.org/species/Polyplectron-napoleonis</v>
      </c>
      <c r="C45" s="30" t="str">
        <f>HYPERLINK("https://ebird.org/species/palpep1")</f>
        <v>https://ebird.org/species/palpep1</v>
      </c>
      <c r="D45" s="31" t="str">
        <f>HYPERLINK("https://www.hbw.com/species/Palawan-Peacock-pheasant-Polyplectron-napoleonis")</f>
        <v>https://www.hbw.com/species/Palawan-Peacock-pheasant-Polyplectron-napoleonis</v>
      </c>
      <c r="E45" s="32" t="str">
        <f>HYPERLINK("https://www.iucnredlist.org/search?query=Polyplectron napoleonis&amp;searchType=species")</f>
        <v>https://www.iucnredlist.org/search?query=Polyplectron napoleonis&amp;searchType=species</v>
      </c>
      <c r="F45" s="2">
        <v>35</v>
      </c>
      <c r="G45" s="27" t="s">
        <v>104</v>
      </c>
      <c r="H45" s="86" t="s">
        <v>124</v>
      </c>
      <c r="I45" s="94" t="s">
        <v>125</v>
      </c>
      <c r="J45" s="1" t="s">
        <v>65</v>
      </c>
      <c r="K45" s="1" t="s">
        <v>66</v>
      </c>
      <c r="L45" s="1" t="s">
        <v>67</v>
      </c>
      <c r="M45" s="2" t="s">
        <v>68</v>
      </c>
    </row>
    <row r="46" spans="1:14" x14ac:dyDescent="0.3">
      <c r="A46" s="33"/>
      <c r="B46" s="34"/>
      <c r="C46" s="35"/>
      <c r="D46" s="36"/>
      <c r="E46" s="37"/>
    </row>
    <row r="47" spans="1:14" ht="12" x14ac:dyDescent="0.3">
      <c r="A47" s="33"/>
      <c r="B47" s="34"/>
      <c r="C47" s="35"/>
      <c r="D47" s="36"/>
      <c r="E47" s="37"/>
      <c r="H47" s="82" t="s">
        <v>126</v>
      </c>
      <c r="I47" s="91" t="s">
        <v>127</v>
      </c>
    </row>
    <row r="48" spans="1:14" ht="51" x14ac:dyDescent="0.3">
      <c r="A48" s="28" t="str">
        <f>HYPERLINK("https://www.google.com/search?q=Phoebastria immutabilis&amp;tbm=isch")</f>
        <v>https://www.google.com/search?q=Phoebastria immutabilis&amp;tbm=isch</v>
      </c>
      <c r="B48" s="29" t="str">
        <f>HYPERLINK("https://www.xeno-canto.org/species/Phoebastria-immutabilis")</f>
        <v>https://www.xeno-canto.org/species/Phoebastria-immutabilis</v>
      </c>
      <c r="C48" s="30" t="str">
        <f>HYPERLINK("https://ebird.org/species/layalb")</f>
        <v>https://ebird.org/species/layalb</v>
      </c>
      <c r="D48" s="31" t="str">
        <f>HYPERLINK("https://www.hbw.com/species/Laysan-Albatross-Phoebastria-immutabilis")</f>
        <v>https://www.hbw.com/species/Laysan-Albatross-Phoebastria-immutabilis</v>
      </c>
      <c r="E48" s="32" t="str">
        <f>HYPERLINK("https://www.iucnredlist.org/search?query=Phoebastria immutabilis&amp;searchType=species")</f>
        <v>https://www.iucnredlist.org/search?query=Phoebastria immutabilis&amp;searchType=species</v>
      </c>
      <c r="F48" s="2">
        <v>36</v>
      </c>
      <c r="G48" s="27" t="s">
        <v>127</v>
      </c>
      <c r="H48" s="85" t="s">
        <v>128</v>
      </c>
      <c r="I48" s="93" t="s">
        <v>129</v>
      </c>
      <c r="J48" s="1" t="s">
        <v>19</v>
      </c>
      <c r="K48" s="1" t="s">
        <v>58</v>
      </c>
      <c r="L48" s="1" t="s">
        <v>130</v>
      </c>
      <c r="M48" s="2" t="s">
        <v>131</v>
      </c>
      <c r="N48" s="2" t="s">
        <v>11303</v>
      </c>
    </row>
    <row r="49" spans="1:14" x14ac:dyDescent="0.3">
      <c r="A49" s="33"/>
      <c r="B49" s="34"/>
      <c r="C49" s="35"/>
      <c r="D49" s="36"/>
      <c r="E49" s="37"/>
    </row>
    <row r="50" spans="1:14" ht="12" x14ac:dyDescent="0.3">
      <c r="A50" s="33"/>
      <c r="B50" s="34"/>
      <c r="C50" s="35"/>
      <c r="D50" s="36"/>
      <c r="E50" s="37"/>
      <c r="H50" s="82" t="s">
        <v>132</v>
      </c>
      <c r="I50" s="91" t="s">
        <v>133</v>
      </c>
    </row>
    <row r="51" spans="1:14" ht="51" x14ac:dyDescent="0.3">
      <c r="A51" s="28" t="str">
        <f>HYPERLINK("https://www.google.com/search?q=Oceanodroma monorhis&amp;tbm=isch")</f>
        <v>https://www.google.com/search?q=Oceanodroma monorhis&amp;tbm=isch</v>
      </c>
      <c r="B51" s="29" t="str">
        <f>HYPERLINK("https://www.xeno-canto.org/species/Oceanodroma-monorhis")</f>
        <v>https://www.xeno-canto.org/species/Oceanodroma-monorhis</v>
      </c>
      <c r="C51" s="30" t="str">
        <f>HYPERLINK("https://ebird.org/species/swspet")</f>
        <v>https://ebird.org/species/swspet</v>
      </c>
      <c r="D51" s="31" t="str">
        <f>HYPERLINK("https://www.hbw.com/species/Swinhoe's-Storm-petrel-Hydrobates-monorhis")</f>
        <v>https://www.hbw.com/species/Swinhoe's-Storm-petrel-Hydrobates-monorhis</v>
      </c>
      <c r="E51" s="32" t="str">
        <f>HYPERLINK("https://www.iucnredlist.org/search?query=Oceanodroma monorhis&amp;searchType=species")</f>
        <v>https://www.iucnredlist.org/search?query=Oceanodroma monorhis&amp;searchType=species</v>
      </c>
      <c r="F51" s="2">
        <v>37</v>
      </c>
      <c r="G51" s="27" t="s">
        <v>133</v>
      </c>
      <c r="H51" s="85" t="s">
        <v>134</v>
      </c>
      <c r="I51" s="93" t="s">
        <v>135</v>
      </c>
      <c r="J51" s="1" t="s">
        <v>19</v>
      </c>
      <c r="K51" s="1" t="s">
        <v>58</v>
      </c>
      <c r="L51" s="1" t="s">
        <v>130</v>
      </c>
      <c r="M51" s="2" t="s">
        <v>136</v>
      </c>
      <c r="N51" s="2" t="s">
        <v>11304</v>
      </c>
    </row>
    <row r="52" spans="1:14" ht="30.6" x14ac:dyDescent="0.3">
      <c r="A52" s="28" t="str">
        <f>HYPERLINK("https://www.google.com/search?q=Oceanodroma leucorhoa&amp;tbm=isch")</f>
        <v>https://www.google.com/search?q=Oceanodroma leucorhoa&amp;tbm=isch</v>
      </c>
      <c r="B52" s="29" t="str">
        <f>HYPERLINK("https://www.xeno-canto.org/species/Oceanodroma-leucorhoa")</f>
        <v>https://www.xeno-canto.org/species/Oceanodroma-leucorhoa</v>
      </c>
      <c r="C52" s="30" t="str">
        <f>HYPERLINK("https://ebird.org/species/lcspet")</f>
        <v>https://ebird.org/species/lcspet</v>
      </c>
      <c r="D52" s="31" t="str">
        <f>HYPERLINK("https://www.hbw.com/species/Leach’s-Storm-petrel-Hydrobates-leucorhous")</f>
        <v>https://www.hbw.com/species/Leach’s-Storm-petrel-Hydrobates-leucorhous</v>
      </c>
      <c r="E52" s="32" t="str">
        <f>HYPERLINK("https://www.iucnredlist.org/search?query=Oceanodroma leucorhoa&amp;searchType=species")</f>
        <v>https://www.iucnredlist.org/search?query=Oceanodroma leucorhoa&amp;searchType=species</v>
      </c>
      <c r="F52" s="2">
        <v>38</v>
      </c>
      <c r="G52" s="27" t="s">
        <v>133</v>
      </c>
      <c r="H52" s="85" t="s">
        <v>137</v>
      </c>
      <c r="I52" s="93" t="s">
        <v>138</v>
      </c>
      <c r="J52" s="1" t="s">
        <v>19</v>
      </c>
      <c r="K52" s="1" t="s">
        <v>66</v>
      </c>
      <c r="M52" s="2" t="s">
        <v>139</v>
      </c>
      <c r="N52" s="2" t="s">
        <v>11305</v>
      </c>
    </row>
    <row r="53" spans="1:14" x14ac:dyDescent="0.3">
      <c r="A53" s="33"/>
      <c r="B53" s="34"/>
      <c r="C53" s="35"/>
      <c r="D53" s="36"/>
      <c r="E53" s="37"/>
    </row>
    <row r="54" spans="1:14" ht="12" x14ac:dyDescent="0.3">
      <c r="A54" s="33"/>
      <c r="B54" s="34"/>
      <c r="C54" s="35"/>
      <c r="D54" s="36"/>
      <c r="E54" s="37"/>
      <c r="H54" s="82" t="s">
        <v>140</v>
      </c>
      <c r="I54" s="91" t="s">
        <v>141</v>
      </c>
    </row>
    <row r="55" spans="1:14" ht="14.4" x14ac:dyDescent="0.3">
      <c r="A55" s="28" t="str">
        <f>HYPERLINK("https://www.google.com/search?q=Pterodroma neglecta&amp;tbm=isch")</f>
        <v>https://www.google.com/search?q=Pterodroma neglecta&amp;tbm=isch</v>
      </c>
      <c r="B55" s="29" t="str">
        <f>HYPERLINK("https://www.xeno-canto.org/species/Pterodroma-neglecta")</f>
        <v>https://www.xeno-canto.org/species/Pterodroma-neglecta</v>
      </c>
      <c r="C55" s="30" t="str">
        <f>HYPERLINK("https://ebird.org/species/kerpet")</f>
        <v>https://ebird.org/species/kerpet</v>
      </c>
      <c r="D55" s="31" t="str">
        <f>HYPERLINK("https://www.hbw.com/species/Kermadec-Petrel-Pterodroma-neglecta")</f>
        <v>https://www.hbw.com/species/Kermadec-Petrel-Pterodroma-neglecta</v>
      </c>
      <c r="E55" s="32" t="str">
        <f>HYPERLINK("https://www.iucnredlist.org/search?query=Pterodroma neglecta&amp;searchType=species")</f>
        <v>https://www.iucnredlist.org/search?query=Pterodroma neglecta&amp;searchType=species</v>
      </c>
      <c r="F55" s="2">
        <v>39</v>
      </c>
      <c r="G55" s="27" t="s">
        <v>141</v>
      </c>
      <c r="H55" s="83" t="s">
        <v>142</v>
      </c>
      <c r="I55" s="92" t="s">
        <v>143</v>
      </c>
      <c r="J55" s="1" t="s">
        <v>19</v>
      </c>
      <c r="M55" s="2" t="s">
        <v>144</v>
      </c>
      <c r="N55" s="2" t="s">
        <v>123</v>
      </c>
    </row>
    <row r="56" spans="1:14" ht="14.4" x14ac:dyDescent="0.3">
      <c r="A56" s="28" t="str">
        <f>HYPERLINK("https://www.google.com/search?q=Pterodroma sandwichensis&amp;tbm=isch")</f>
        <v>https://www.google.com/search?q=Pterodroma sandwichensis&amp;tbm=isch</v>
      </c>
      <c r="B56" s="29" t="str">
        <f>HYPERLINK("https://www.xeno-canto.org/species/Pterodroma-sandwichensis")</f>
        <v>https://www.xeno-canto.org/species/Pterodroma-sandwichensis</v>
      </c>
      <c r="C56" s="30" t="str">
        <f>HYPERLINK("https://ebird.org/species/hawpet1")</f>
        <v>https://ebird.org/species/hawpet1</v>
      </c>
      <c r="D56" s="31" t="str">
        <f>HYPERLINK("https://www.hbw.com/species/Hawaiian-Petrel-Pterodroma-sandwichensis")</f>
        <v>https://www.hbw.com/species/Hawaiian-Petrel-Pterodroma-sandwichensis</v>
      </c>
      <c r="E56" s="32" t="str">
        <f>HYPERLINK("https://www.iucnredlist.org/search?query=Pterodroma sandwichensis&amp;searchType=species")</f>
        <v>https://www.iucnredlist.org/search?query=Pterodroma sandwichensis&amp;searchType=species</v>
      </c>
      <c r="F56" s="2">
        <v>40</v>
      </c>
      <c r="G56" s="27" t="s">
        <v>141</v>
      </c>
      <c r="H56" s="83" t="s">
        <v>145</v>
      </c>
      <c r="I56" s="92" t="s">
        <v>146</v>
      </c>
      <c r="J56" s="1" t="s">
        <v>19</v>
      </c>
      <c r="K56" s="1" t="s">
        <v>67</v>
      </c>
      <c r="L56" s="1" t="s">
        <v>66</v>
      </c>
      <c r="M56" s="2" t="s">
        <v>147</v>
      </c>
    </row>
    <row r="57" spans="1:14" ht="14.4" x14ac:dyDescent="0.3">
      <c r="A57" s="28" t="str">
        <f>HYPERLINK("https://www.google.com/search?q=Pterodroma hypoleuca&amp;tbm=isch")</f>
        <v>https://www.google.com/search?q=Pterodroma hypoleuca&amp;tbm=isch</v>
      </c>
      <c r="B57" s="29" t="str">
        <f>HYPERLINK("https://www.xeno-canto.org/species/Pterodroma-hypoleuca")</f>
        <v>https://www.xeno-canto.org/species/Pterodroma-hypoleuca</v>
      </c>
      <c r="C57" s="30" t="str">
        <f>HYPERLINK("https://ebird.org/species/bonpet")</f>
        <v>https://ebird.org/species/bonpet</v>
      </c>
      <c r="D57" s="31" t="str">
        <f>HYPERLINK("https://www.hbw.com/species/Bonin-Petrel-Pterodroma-hypoleuca")</f>
        <v>https://www.hbw.com/species/Bonin-Petrel-Pterodroma-hypoleuca</v>
      </c>
      <c r="E57" s="32" t="str">
        <f>HYPERLINK("https://www.iucnredlist.org/search?query=Pterodroma hypoleuca&amp;searchType=species")</f>
        <v>https://www.iucnredlist.org/search?query=Pterodroma hypoleuca&amp;searchType=species</v>
      </c>
      <c r="F57" s="2">
        <v>41</v>
      </c>
      <c r="G57" s="27" t="s">
        <v>141</v>
      </c>
      <c r="H57" s="83" t="s">
        <v>148</v>
      </c>
      <c r="I57" s="92" t="s">
        <v>149</v>
      </c>
      <c r="J57" s="1" t="s">
        <v>19</v>
      </c>
      <c r="M57" s="2" t="s">
        <v>150</v>
      </c>
    </row>
    <row r="58" spans="1:14" ht="14.4" x14ac:dyDescent="0.3">
      <c r="A58" s="28" t="str">
        <f>HYPERLINK("https://www.google.com/search?q=Pseudobulweria rostrata&amp;tbm=isch")</f>
        <v>https://www.google.com/search?q=Pseudobulweria rostrata&amp;tbm=isch</v>
      </c>
      <c r="B58" s="29" t="str">
        <f>HYPERLINK("https://www.xeno-canto.org/species/Pseudobulweria-rostrata")</f>
        <v>https://www.xeno-canto.org/species/Pseudobulweria-rostrata</v>
      </c>
      <c r="C58" s="30" t="str">
        <f>HYPERLINK("https://ebird.org/species/tahpet1")</f>
        <v>https://ebird.org/species/tahpet1</v>
      </c>
      <c r="D58" s="31" t="str">
        <f>HYPERLINK("https://www.hbw.com/species/Tahiti-Petrel-Pseudobulweria-rostrata")</f>
        <v>https://www.hbw.com/species/Tahiti-Petrel-Pseudobulweria-rostrata</v>
      </c>
      <c r="E58" s="32" t="str">
        <f>HYPERLINK("https://www.iucnredlist.org/search?query=Pseudobulweria rostrata&amp;searchType=species")</f>
        <v>https://www.iucnredlist.org/search?query=Pseudobulweria rostrata&amp;searchType=species</v>
      </c>
      <c r="F58" s="2">
        <v>42</v>
      </c>
      <c r="G58" s="27" t="s">
        <v>141</v>
      </c>
      <c r="H58" s="83" t="s">
        <v>151</v>
      </c>
      <c r="I58" s="92" t="s">
        <v>152</v>
      </c>
      <c r="J58" s="1" t="s">
        <v>19</v>
      </c>
      <c r="K58" s="1" t="s">
        <v>58</v>
      </c>
      <c r="L58" s="1" t="s">
        <v>130</v>
      </c>
      <c r="M58" s="2" t="s">
        <v>153</v>
      </c>
    </row>
    <row r="59" spans="1:14" ht="14.4" x14ac:dyDescent="0.3">
      <c r="A59" s="28" t="str">
        <f>HYPERLINK("https://www.google.com/search?q=Calonectris leucomelas&amp;tbm=isch")</f>
        <v>https://www.google.com/search?q=Calonectris leucomelas&amp;tbm=isch</v>
      </c>
      <c r="B59" s="29" t="str">
        <f>HYPERLINK("https://www.xeno-canto.org/species/Calonectris-leucomelas")</f>
        <v>https://www.xeno-canto.org/species/Calonectris-leucomelas</v>
      </c>
      <c r="C59" s="30" t="str">
        <f>HYPERLINK("https://ebird.org/species/strshe")</f>
        <v>https://ebird.org/species/strshe</v>
      </c>
      <c r="D59" s="31" t="str">
        <f>HYPERLINK("https://www.hbw.com/species/Streaked-Shearwater-Calonectris-leucomelas")</f>
        <v>https://www.hbw.com/species/Streaked-Shearwater-Calonectris-leucomelas</v>
      </c>
      <c r="E59" s="32" t="str">
        <f>HYPERLINK("https://www.iucnredlist.org/search?query=Calonectris leucomelas&amp;searchType=species")</f>
        <v>https://www.iucnredlist.org/search?query=Calonectris leucomelas&amp;searchType=species</v>
      </c>
      <c r="F59" s="2">
        <v>43</v>
      </c>
      <c r="G59" s="27" t="s">
        <v>141</v>
      </c>
      <c r="H59" s="84" t="s">
        <v>154</v>
      </c>
      <c r="I59" s="92" t="s">
        <v>155</v>
      </c>
      <c r="J59" s="1" t="s">
        <v>50</v>
      </c>
      <c r="K59" s="1" t="s">
        <v>58</v>
      </c>
      <c r="M59" s="2" t="s">
        <v>156</v>
      </c>
    </row>
    <row r="60" spans="1:14" ht="14.4" x14ac:dyDescent="0.3">
      <c r="A60" s="28" t="str">
        <f>HYPERLINK("https://www.google.com/search?q=Ardenna pacifica&amp;tbm=isch")</f>
        <v>https://www.google.com/search?q=Ardenna pacifica&amp;tbm=isch</v>
      </c>
      <c r="B60" s="29" t="str">
        <f>HYPERLINK("https://www.xeno-canto.org/species/Ardenna-pacifica")</f>
        <v>https://www.xeno-canto.org/species/Ardenna-pacifica</v>
      </c>
      <c r="C60" s="30" t="str">
        <f>HYPERLINK("https://ebird.org/species/wetshe")</f>
        <v>https://ebird.org/species/wetshe</v>
      </c>
      <c r="D60" s="31" t="str">
        <f>HYPERLINK("https://www.hbw.com/species/Wedge-tailed-Shearwater-Ardenna-pacifica")</f>
        <v>https://www.hbw.com/species/Wedge-tailed-Shearwater-Ardenna-pacifica</v>
      </c>
      <c r="E60" s="32" t="str">
        <f>HYPERLINK("https://www.iucnredlist.org/search?query=Ardenna pacifica&amp;searchType=species")</f>
        <v>https://www.iucnredlist.org/search?query=Ardenna pacifica&amp;searchType=species</v>
      </c>
      <c r="F60" s="2">
        <v>44</v>
      </c>
      <c r="G60" s="27" t="s">
        <v>141</v>
      </c>
      <c r="H60" s="84" t="s">
        <v>157</v>
      </c>
      <c r="I60" s="92" t="s">
        <v>158</v>
      </c>
      <c r="J60" s="1" t="s">
        <v>50</v>
      </c>
      <c r="M60" s="2" t="s">
        <v>159</v>
      </c>
    </row>
    <row r="61" spans="1:14" ht="30.6" x14ac:dyDescent="0.3">
      <c r="A61" s="28" t="str">
        <f>HYPERLINK("https://www.google.com/search?q=Ardenna tenuirostris&amp;tbm=isch")</f>
        <v>https://www.google.com/search?q=Ardenna tenuirostris&amp;tbm=isch</v>
      </c>
      <c r="B61" s="29" t="str">
        <f>HYPERLINK("https://www.xeno-canto.org/species/Ardenna-tenuirostris")</f>
        <v>https://www.xeno-canto.org/species/Ardenna-tenuirostris</v>
      </c>
      <c r="C61" s="30" t="str">
        <f>HYPERLINK("https://ebird.org/species/shtshe")</f>
        <v>https://ebird.org/species/shtshe</v>
      </c>
      <c r="D61" s="31" t="str">
        <f>HYPERLINK("https://www.hbw.com/species/Short-tailed-Shearwater-Ardenna-tenuirostris")</f>
        <v>https://www.hbw.com/species/Short-tailed-Shearwater-Ardenna-tenuirostris</v>
      </c>
      <c r="E61" s="32" t="str">
        <f>HYPERLINK("https://www.iucnredlist.org/search?query=Ardenna tenuirostris&amp;searchType=species")</f>
        <v>https://www.iucnredlist.org/search?query=Ardenna tenuirostris&amp;searchType=species</v>
      </c>
      <c r="F61" s="2">
        <v>45</v>
      </c>
      <c r="G61" s="27" t="s">
        <v>141</v>
      </c>
      <c r="H61" s="85" t="s">
        <v>160</v>
      </c>
      <c r="I61" s="93" t="s">
        <v>161</v>
      </c>
      <c r="J61" s="1" t="s">
        <v>19</v>
      </c>
      <c r="M61" s="2" t="s">
        <v>162</v>
      </c>
      <c r="N61" s="2" t="s">
        <v>11306</v>
      </c>
    </row>
    <row r="62" spans="1:14" ht="14.4" x14ac:dyDescent="0.3">
      <c r="A62" s="28" t="str">
        <f>HYPERLINK("https://www.google.com/search?q=Bulweria bulwerii&amp;tbm=isch")</f>
        <v>https://www.google.com/search?q=Bulweria bulwerii&amp;tbm=isch</v>
      </c>
      <c r="B62" s="29" t="str">
        <f>HYPERLINK("https://www.xeno-canto.org/species/Bulweria-bulwerii")</f>
        <v>https://www.xeno-canto.org/species/Bulweria-bulwerii</v>
      </c>
      <c r="C62" s="30" t="str">
        <f>HYPERLINK("https://ebird.org/species/bulpet")</f>
        <v>https://ebird.org/species/bulpet</v>
      </c>
      <c r="D62" s="31" t="str">
        <f>HYPERLINK("https://www.hbw.com/species/Bulwer's-Petrel-Bulweria-bulwerii")</f>
        <v>https://www.hbw.com/species/Bulwer's-Petrel-Bulweria-bulwerii</v>
      </c>
      <c r="E62" s="32" t="str">
        <f>HYPERLINK("https://www.iucnredlist.org/search?query=Bulweria bulwerii&amp;searchType=species")</f>
        <v>https://www.iucnredlist.org/search?query=Bulweria bulwerii&amp;searchType=species</v>
      </c>
      <c r="F62" s="2">
        <v>46</v>
      </c>
      <c r="G62" s="27" t="s">
        <v>141</v>
      </c>
      <c r="H62" s="83" t="s">
        <v>163</v>
      </c>
      <c r="I62" s="92" t="s">
        <v>164</v>
      </c>
      <c r="J62" s="1" t="s">
        <v>19</v>
      </c>
      <c r="M62" s="2" t="s">
        <v>165</v>
      </c>
    </row>
    <row r="63" spans="1:14" x14ac:dyDescent="0.3">
      <c r="A63" s="33"/>
      <c r="B63" s="34"/>
      <c r="C63" s="35"/>
      <c r="D63" s="36"/>
      <c r="E63" s="37"/>
    </row>
    <row r="64" spans="1:14" ht="12" x14ac:dyDescent="0.3">
      <c r="A64" s="33"/>
      <c r="B64" s="34"/>
      <c r="C64" s="35"/>
      <c r="D64" s="36"/>
      <c r="E64" s="37"/>
      <c r="H64" s="82" t="s">
        <v>166</v>
      </c>
      <c r="I64" s="91" t="s">
        <v>167</v>
      </c>
    </row>
    <row r="65" spans="1:14" ht="14.4" x14ac:dyDescent="0.3">
      <c r="A65" s="28" t="str">
        <f>HYPERLINK("https://www.google.com/search?q=Tachybaptus ruficollis&amp;tbm=isch")</f>
        <v>https://www.google.com/search?q=Tachybaptus ruficollis&amp;tbm=isch</v>
      </c>
      <c r="B65" s="29" t="str">
        <f>HYPERLINK("https://www.xeno-canto.org/species/Tachybaptus-ruficollis")</f>
        <v>https://www.xeno-canto.org/species/Tachybaptus-ruficollis</v>
      </c>
      <c r="C65" s="30" t="str">
        <f>HYPERLINK("https://ebird.org/species/litgre1")</f>
        <v>https://ebird.org/species/litgre1</v>
      </c>
      <c r="D65" s="31" t="str">
        <f>HYPERLINK("https://www.hbw.com/species/Little-Grebe-Tachybaptus-ruficollis")</f>
        <v>https://www.hbw.com/species/Little-Grebe-Tachybaptus-ruficollis</v>
      </c>
      <c r="E65" s="32" t="str">
        <f>HYPERLINK("https://www.iucnredlist.org/search?query=Tachybaptus ruficollis&amp;searchType=species")</f>
        <v>https://www.iucnredlist.org/search?query=Tachybaptus ruficollis&amp;searchType=species</v>
      </c>
      <c r="F65" s="2">
        <v>47</v>
      </c>
      <c r="G65" s="27" t="s">
        <v>167</v>
      </c>
      <c r="H65" s="84" t="s">
        <v>168</v>
      </c>
      <c r="I65" s="92" t="s">
        <v>169</v>
      </c>
      <c r="J65" s="1" t="s">
        <v>15</v>
      </c>
      <c r="M65" s="2" t="s">
        <v>170</v>
      </c>
    </row>
    <row r="66" spans="1:14" ht="14.4" x14ac:dyDescent="0.3">
      <c r="A66" s="28" t="str">
        <f>HYPERLINK("https://www.google.com/search?q=Podiceps nigricollis&amp;tbm=isch")</f>
        <v>https://www.google.com/search?q=Podiceps nigricollis&amp;tbm=isch</v>
      </c>
      <c r="B66" s="29" t="str">
        <f>HYPERLINK("https://www.xeno-canto.org/species/Podiceps-nigricollis")</f>
        <v>https://www.xeno-canto.org/species/Podiceps-nigricollis</v>
      </c>
      <c r="C66" s="30" t="str">
        <f>HYPERLINK("https://ebird.org/species/eargre")</f>
        <v>https://ebird.org/species/eargre</v>
      </c>
      <c r="D66" s="31" t="str">
        <f>HYPERLINK("https://www.hbw.com/species/Black-necked-Grebe-Podiceps-nigricollis")</f>
        <v>https://www.hbw.com/species/Black-necked-Grebe-Podiceps-nigricollis</v>
      </c>
      <c r="E66" s="32" t="str">
        <f>HYPERLINK("https://www.iucnredlist.org/search?query=Podiceps nigricollis&amp;searchType=species")</f>
        <v>https://www.iucnredlist.org/search?query=Podiceps nigricollis&amp;searchType=species</v>
      </c>
      <c r="F66" s="2">
        <v>48</v>
      </c>
      <c r="G66" s="27" t="s">
        <v>167</v>
      </c>
      <c r="H66" s="83" t="s">
        <v>171</v>
      </c>
      <c r="I66" s="92" t="s">
        <v>172</v>
      </c>
      <c r="J66" s="1" t="s">
        <v>19</v>
      </c>
      <c r="M66" s="2" t="s">
        <v>173</v>
      </c>
    </row>
    <row r="67" spans="1:14" x14ac:dyDescent="0.3">
      <c r="A67" s="33"/>
      <c r="B67" s="34"/>
      <c r="C67" s="35"/>
      <c r="D67" s="36"/>
      <c r="E67" s="37"/>
    </row>
    <row r="68" spans="1:14" ht="12" x14ac:dyDescent="0.3">
      <c r="A68" s="33"/>
      <c r="B68" s="34"/>
      <c r="C68" s="35"/>
      <c r="D68" s="36"/>
      <c r="E68" s="37"/>
      <c r="H68" s="82" t="s">
        <v>174</v>
      </c>
      <c r="I68" s="91" t="s">
        <v>175</v>
      </c>
    </row>
    <row r="69" spans="1:14" ht="14.4" x14ac:dyDescent="0.3">
      <c r="A69" s="28" t="str">
        <f>HYPERLINK("https://www.google.com/search?q=Phaethon rubricauda&amp;tbm=isch")</f>
        <v>https://www.google.com/search?q=Phaethon rubricauda&amp;tbm=isch</v>
      </c>
      <c r="B69" s="29" t="str">
        <f>HYPERLINK("https://www.xeno-canto.org/species/Phaethon-rubricauda")</f>
        <v>https://www.xeno-canto.org/species/Phaethon-rubricauda</v>
      </c>
      <c r="C69" s="30" t="str">
        <f>HYPERLINK("https://ebird.org/species/rettro")</f>
        <v>https://ebird.org/species/rettro</v>
      </c>
      <c r="D69" s="31" t="str">
        <f>HYPERLINK("https://www.hbw.com/species/Red-tailed-Tropicbird-Phaethon-rubricauda")</f>
        <v>https://www.hbw.com/species/Red-tailed-Tropicbird-Phaethon-rubricauda</v>
      </c>
      <c r="E69" s="32" t="str">
        <f>HYPERLINK("https://www.iucnredlist.org/search?query=Phaethon rubricauda&amp;searchType=species")</f>
        <v>https://www.iucnredlist.org/search?query=Phaethon rubricauda&amp;searchType=species</v>
      </c>
      <c r="F69" s="2">
        <v>49</v>
      </c>
      <c r="G69" s="27" t="s">
        <v>175</v>
      </c>
      <c r="H69" s="83" t="s">
        <v>176</v>
      </c>
      <c r="I69" s="92" t="s">
        <v>177</v>
      </c>
      <c r="J69" s="1" t="s">
        <v>19</v>
      </c>
      <c r="M69" s="2" t="s">
        <v>178</v>
      </c>
    </row>
    <row r="70" spans="1:14" ht="14.4" x14ac:dyDescent="0.3">
      <c r="A70" s="28" t="str">
        <f>HYPERLINK("https://www.google.com/search?q=Phaethon lepturus&amp;tbm=isch")</f>
        <v>https://www.google.com/search?q=Phaethon lepturus&amp;tbm=isch</v>
      </c>
      <c r="B70" s="29" t="str">
        <f>HYPERLINK("https://www.xeno-canto.org/species/Phaethon-lepturus")</f>
        <v>https://www.xeno-canto.org/species/Phaethon-lepturus</v>
      </c>
      <c r="C70" s="30" t="str">
        <f>HYPERLINK("https://ebird.org/species/whttro")</f>
        <v>https://ebird.org/species/whttro</v>
      </c>
      <c r="D70" s="31" t="str">
        <f>HYPERLINK("https://www.hbw.com/species/White-tailed-Tropicbird-Phaethon-lepturus")</f>
        <v>https://www.hbw.com/species/White-tailed-Tropicbird-Phaethon-lepturus</v>
      </c>
      <c r="E70" s="32" t="str">
        <f>HYPERLINK("https://www.iucnredlist.org/search?query=Phaethon lepturus&amp;searchType=species")</f>
        <v>https://www.iucnredlist.org/search?query=Phaethon lepturus&amp;searchType=species</v>
      </c>
      <c r="F70" s="2">
        <v>50</v>
      </c>
      <c r="G70" s="27" t="s">
        <v>175</v>
      </c>
      <c r="H70" s="83" t="s">
        <v>179</v>
      </c>
      <c r="I70" s="92" t="s">
        <v>180</v>
      </c>
      <c r="J70" s="1" t="s">
        <v>19</v>
      </c>
      <c r="M70" s="2" t="s">
        <v>181</v>
      </c>
      <c r="N70" s="2" t="s">
        <v>123</v>
      </c>
    </row>
    <row r="71" spans="1:14" x14ac:dyDescent="0.3">
      <c r="A71" s="33"/>
      <c r="B71" s="34"/>
      <c r="C71" s="35"/>
      <c r="D71" s="36"/>
      <c r="E71" s="37"/>
    </row>
    <row r="72" spans="1:14" ht="12" x14ac:dyDescent="0.3">
      <c r="A72" s="33"/>
      <c r="B72" s="34"/>
      <c r="C72" s="35"/>
      <c r="D72" s="36"/>
      <c r="E72" s="37"/>
      <c r="H72" s="82" t="s">
        <v>182</v>
      </c>
      <c r="I72" s="91" t="s">
        <v>183</v>
      </c>
    </row>
    <row r="73" spans="1:14" ht="20.399999999999999" x14ac:dyDescent="0.3">
      <c r="A73" s="28" t="str">
        <f>HYPERLINK("https://www.google.com/search?q=Ciconia nigra&amp;tbm=isch")</f>
        <v>https://www.google.com/search?q=Ciconia nigra&amp;tbm=isch</v>
      </c>
      <c r="B73" s="29" t="str">
        <f>HYPERLINK("https://www.xeno-canto.org/species/Ciconia-nigra")</f>
        <v>https://www.xeno-canto.org/species/Ciconia-nigra</v>
      </c>
      <c r="C73" s="30" t="str">
        <f>HYPERLINK("https://ebird.org/species/blasto1")</f>
        <v>https://ebird.org/species/blasto1</v>
      </c>
      <c r="D73" s="31" t="str">
        <f>HYPERLINK("https://www.hbw.com/species/Black-Stork-Ciconia-nigra")</f>
        <v>https://www.hbw.com/species/Black-Stork-Ciconia-nigra</v>
      </c>
      <c r="E73" s="32" t="str">
        <f>HYPERLINK("https://www.iucnredlist.org/search?query=Ciconia nigra&amp;searchType=species")</f>
        <v>https://www.iucnredlist.org/search?query=Ciconia nigra&amp;searchType=species</v>
      </c>
      <c r="F73" s="2">
        <v>51</v>
      </c>
      <c r="G73" s="27" t="s">
        <v>183</v>
      </c>
      <c r="H73" s="85" t="s">
        <v>184</v>
      </c>
      <c r="I73" s="93" t="s">
        <v>185</v>
      </c>
      <c r="J73" s="1" t="s">
        <v>19</v>
      </c>
      <c r="M73" s="2" t="s">
        <v>186</v>
      </c>
      <c r="N73" s="2" t="s">
        <v>11307</v>
      </c>
    </row>
    <row r="74" spans="1:14" ht="14.4" x14ac:dyDescent="0.3">
      <c r="A74" s="28" t="str">
        <f>HYPERLINK("https://www.google.com/search?q=Ciconia episcopus&amp;tbm=isch")</f>
        <v>https://www.google.com/search?q=Ciconia episcopus&amp;tbm=isch</v>
      </c>
      <c r="B74" s="29" t="str">
        <f>HYPERLINK("https://www.xeno-canto.org/species/Ciconia-episcopus")</f>
        <v>https://www.xeno-canto.org/species/Ciconia-episcopus</v>
      </c>
      <c r="C74" s="30" t="str">
        <f>HYPERLINK("https://ebird.org/species/wonsto1")</f>
        <v>https://ebird.org/species/wonsto1</v>
      </c>
      <c r="D74" s="31" t="str">
        <f>HYPERLINK("https://www.hbw.com/species/Asian-Woollyneck-Ciconia-episcopus")</f>
        <v>https://www.hbw.com/species/Asian-Woollyneck-Ciconia-episcopus</v>
      </c>
      <c r="E74" s="32" t="str">
        <f>HYPERLINK("https://www.iucnredlist.org/search?query=Ciconia episcopus&amp;searchType=species")</f>
        <v>https://www.iucnredlist.org/search?query=Ciconia episcopus&amp;searchType=species</v>
      </c>
      <c r="F74" s="2">
        <v>52</v>
      </c>
      <c r="G74" s="27" t="s">
        <v>183</v>
      </c>
      <c r="H74" s="83" t="s">
        <v>187</v>
      </c>
      <c r="I74" s="92" t="s">
        <v>188</v>
      </c>
      <c r="J74" s="1" t="s">
        <v>15</v>
      </c>
      <c r="K74" s="1" t="s">
        <v>66</v>
      </c>
      <c r="L74" s="1" t="s">
        <v>130</v>
      </c>
      <c r="M74" s="2" t="s">
        <v>189</v>
      </c>
      <c r="N74" s="2" t="s">
        <v>190</v>
      </c>
    </row>
    <row r="75" spans="1:14" ht="20.399999999999999" x14ac:dyDescent="0.3">
      <c r="A75" s="28" t="str">
        <f>HYPERLINK("https://www.google.com/search?q=Ciconia boyciana&amp;tbm=isch")</f>
        <v>https://www.google.com/search?q=Ciconia boyciana&amp;tbm=isch</v>
      </c>
      <c r="B75" s="29" t="str">
        <f>HYPERLINK("https://www.xeno-canto.org/species/Ciconia-boyciana")</f>
        <v>https://www.xeno-canto.org/species/Ciconia-boyciana</v>
      </c>
      <c r="C75" s="30" t="str">
        <f>HYPERLINK("https://ebird.org/species/oristo1")</f>
        <v>https://ebird.org/species/oristo1</v>
      </c>
      <c r="D75" s="31" t="str">
        <f>HYPERLINK("https://www.hbw.com/species/Oriental-Stork-Ciconia-boyciana")</f>
        <v>https://www.hbw.com/species/Oriental-Stork-Ciconia-boyciana</v>
      </c>
      <c r="E75" s="32" t="str">
        <f>HYPERLINK("https://www.iucnredlist.org/search?query=Ciconia boyciana&amp;searchType=species")</f>
        <v>https://www.iucnredlist.org/search?query=Ciconia boyciana&amp;searchType=species</v>
      </c>
      <c r="F75" s="2">
        <v>53</v>
      </c>
      <c r="G75" s="27" t="s">
        <v>183</v>
      </c>
      <c r="H75" s="85" t="s">
        <v>191</v>
      </c>
      <c r="I75" s="93" t="s">
        <v>192</v>
      </c>
      <c r="J75" s="1" t="s">
        <v>19</v>
      </c>
      <c r="K75" s="1" t="s">
        <v>67</v>
      </c>
      <c r="L75" s="1" t="s">
        <v>67</v>
      </c>
      <c r="M75" s="2" t="s">
        <v>193</v>
      </c>
      <c r="N75" s="2" t="s">
        <v>11308</v>
      </c>
    </row>
    <row r="76" spans="1:14" x14ac:dyDescent="0.3">
      <c r="A76" s="33"/>
      <c r="B76" s="34"/>
      <c r="C76" s="35"/>
      <c r="D76" s="36"/>
      <c r="E76" s="37"/>
    </row>
    <row r="77" spans="1:14" ht="12" x14ac:dyDescent="0.3">
      <c r="A77" s="33"/>
      <c r="B77" s="34"/>
      <c r="C77" s="35"/>
      <c r="D77" s="36"/>
      <c r="E77" s="37"/>
      <c r="H77" s="82" t="s">
        <v>194</v>
      </c>
      <c r="I77" s="91" t="s">
        <v>195</v>
      </c>
    </row>
    <row r="78" spans="1:14" ht="14.4" x14ac:dyDescent="0.3">
      <c r="A78" s="28" t="str">
        <f>HYPERLINK("https://www.google.com/search?q=Threskiornis melanocephalus&amp;tbm=isch")</f>
        <v>https://www.google.com/search?q=Threskiornis melanocephalus&amp;tbm=isch</v>
      </c>
      <c r="B78" s="29" t="str">
        <f>HYPERLINK("https://www.xeno-canto.org/species/Threskiornis-melanocephalus")</f>
        <v>https://www.xeno-canto.org/species/Threskiornis-melanocephalus</v>
      </c>
      <c r="C78" s="30" t="str">
        <f>HYPERLINK("https://ebird.org/species/blhibi1")</f>
        <v>https://ebird.org/species/blhibi1</v>
      </c>
      <c r="D78" s="31" t="str">
        <f>HYPERLINK("https://www.hbw.com/species/Black-headed-Ibis-Threskiornis-melanocephalus")</f>
        <v>https://www.hbw.com/species/Black-headed-Ibis-Threskiornis-melanocephalus</v>
      </c>
      <c r="E78" s="32" t="str">
        <f>HYPERLINK("https://www.iucnredlist.org/search?query=Threskiornis melanocephalus&amp;searchType=species")</f>
        <v>https://www.iucnredlist.org/search?query=Threskiornis melanocephalus&amp;searchType=species</v>
      </c>
      <c r="F78" s="2">
        <v>54</v>
      </c>
      <c r="G78" s="27" t="s">
        <v>195</v>
      </c>
      <c r="H78" s="83" t="s">
        <v>196</v>
      </c>
      <c r="I78" s="92" t="s">
        <v>197</v>
      </c>
      <c r="J78" s="1" t="s">
        <v>19</v>
      </c>
      <c r="K78" s="1" t="s">
        <v>58</v>
      </c>
      <c r="L78" s="1" t="s">
        <v>130</v>
      </c>
      <c r="M78" s="2" t="s">
        <v>122</v>
      </c>
      <c r="N78" s="2" t="s">
        <v>198</v>
      </c>
    </row>
    <row r="79" spans="1:14" ht="40.799999999999997" x14ac:dyDescent="0.3">
      <c r="A79" s="28" t="str">
        <f>HYPERLINK("https://www.google.com/search?q=Plegadis falcinellus&amp;tbm=isch")</f>
        <v>https://www.google.com/search?q=Plegadis falcinellus&amp;tbm=isch</v>
      </c>
      <c r="B79" s="29" t="str">
        <f>HYPERLINK("https://www.xeno-canto.org/species/Plegadis-falcinellus")</f>
        <v>https://www.xeno-canto.org/species/Plegadis-falcinellus</v>
      </c>
      <c r="C79" s="30" t="str">
        <f>HYPERLINK("https://ebird.org/species/gloibi")</f>
        <v>https://ebird.org/species/gloibi</v>
      </c>
      <c r="D79" s="31" t="str">
        <f>HYPERLINK("https://www.hbw.com/species/Glossy-Ibis-Plegadis-falcinellus")</f>
        <v>https://www.hbw.com/species/Glossy-Ibis-Plegadis-falcinellus</v>
      </c>
      <c r="E79" s="32" t="str">
        <f>HYPERLINK("https://www.iucnredlist.org/search?query=Plegadis falcinellus&amp;searchType=species")</f>
        <v>https://www.iucnredlist.org/search?query=Plegadis falcinellus&amp;searchType=species</v>
      </c>
      <c r="F79" s="2">
        <v>55</v>
      </c>
      <c r="G79" s="27" t="s">
        <v>195</v>
      </c>
      <c r="H79" s="83" t="s">
        <v>199</v>
      </c>
      <c r="I79" s="92" t="s">
        <v>200</v>
      </c>
      <c r="J79" s="1" t="s">
        <v>15</v>
      </c>
      <c r="M79" s="2" t="s">
        <v>201</v>
      </c>
      <c r="N79" s="2" t="s">
        <v>202</v>
      </c>
    </row>
    <row r="80" spans="1:14" ht="30.6" x14ac:dyDescent="0.3">
      <c r="A80" s="28" t="str">
        <f>HYPERLINK("https://www.google.com/search?q=Platalea leucorodia&amp;tbm=isch")</f>
        <v>https://www.google.com/search?q=Platalea leucorodia&amp;tbm=isch</v>
      </c>
      <c r="B80" s="29" t="str">
        <f>HYPERLINK("https://www.xeno-canto.org/species/Platalea-leucorodia")</f>
        <v>https://www.xeno-canto.org/species/Platalea-leucorodia</v>
      </c>
      <c r="C80" s="30" t="str">
        <f>HYPERLINK("https://ebird.org/species/eurspo1")</f>
        <v>https://ebird.org/species/eurspo1</v>
      </c>
      <c r="D80" s="31" t="str">
        <f>HYPERLINK("https://www.hbw.com/species/Eurasian-Spoonbill-Platalea-leucorodia")</f>
        <v>https://www.hbw.com/species/Eurasian-Spoonbill-Platalea-leucorodia</v>
      </c>
      <c r="E80" s="32" t="str">
        <f>HYPERLINK("https://www.iucnredlist.org/search?query=Platalea leucorodia&amp;searchType=species")</f>
        <v>https://www.iucnredlist.org/search?query=Platalea leucorodia&amp;searchType=species</v>
      </c>
      <c r="F80" s="2">
        <v>56</v>
      </c>
      <c r="G80" s="27" t="s">
        <v>195</v>
      </c>
      <c r="H80" s="85" t="s">
        <v>203</v>
      </c>
      <c r="I80" s="93" t="s">
        <v>204</v>
      </c>
      <c r="J80" s="1" t="s">
        <v>19</v>
      </c>
      <c r="M80" s="2" t="s">
        <v>205</v>
      </c>
      <c r="N80" s="2" t="s">
        <v>11309</v>
      </c>
    </row>
    <row r="81" spans="1:14" ht="14.4" x14ac:dyDescent="0.3">
      <c r="A81" s="28" t="str">
        <f>HYPERLINK("https://www.google.com/search?q=Platalea minor&amp;tbm=isch")</f>
        <v>https://www.google.com/search?q=Platalea minor&amp;tbm=isch</v>
      </c>
      <c r="B81" s="29" t="str">
        <f>HYPERLINK("https://www.xeno-canto.org/species/Platalea-minor")</f>
        <v>https://www.xeno-canto.org/species/Platalea-minor</v>
      </c>
      <c r="C81" s="30" t="str">
        <f>HYPERLINK("https://ebird.org/species/blfspo1")</f>
        <v>https://ebird.org/species/blfspo1</v>
      </c>
      <c r="D81" s="31" t="str">
        <f>HYPERLINK("https://www.hbw.com/species/Black-faced-Spoonbill-Platalea-minor")</f>
        <v>https://www.hbw.com/species/Black-faced-Spoonbill-Platalea-minor</v>
      </c>
      <c r="E81" s="32" t="str">
        <f>HYPERLINK("https://www.iucnredlist.org/search?query=Platalea minor&amp;searchType=species")</f>
        <v>https://www.iucnredlist.org/search?query=Platalea minor&amp;searchType=species</v>
      </c>
      <c r="F81" s="2">
        <v>57</v>
      </c>
      <c r="G81" s="27" t="s">
        <v>195</v>
      </c>
      <c r="H81" s="83" t="s">
        <v>206</v>
      </c>
      <c r="I81" s="92" t="s">
        <v>207</v>
      </c>
      <c r="J81" s="1" t="s">
        <v>19</v>
      </c>
      <c r="K81" s="1" t="s">
        <v>67</v>
      </c>
      <c r="L81" s="1" t="s">
        <v>67</v>
      </c>
      <c r="M81" s="2" t="s">
        <v>208</v>
      </c>
    </row>
    <row r="82" spans="1:14" x14ac:dyDescent="0.3">
      <c r="A82" s="33"/>
      <c r="B82" s="34"/>
      <c r="C82" s="35"/>
      <c r="D82" s="36"/>
      <c r="E82" s="37"/>
    </row>
    <row r="83" spans="1:14" ht="12" x14ac:dyDescent="0.3">
      <c r="A83" s="33"/>
      <c r="B83" s="34"/>
      <c r="C83" s="35"/>
      <c r="D83" s="36"/>
      <c r="E83" s="37"/>
      <c r="H83" s="82" t="s">
        <v>209</v>
      </c>
      <c r="I83" s="91" t="s">
        <v>210</v>
      </c>
    </row>
    <row r="84" spans="1:14" ht="14.4" x14ac:dyDescent="0.3">
      <c r="A84" s="28" t="str">
        <f>HYPERLINK("https://www.google.com/search?q=Botaurus stellaris&amp;tbm=isch")</f>
        <v>https://www.google.com/search?q=Botaurus stellaris&amp;tbm=isch</v>
      </c>
      <c r="B84" s="29" t="str">
        <f>HYPERLINK("https://www.xeno-canto.org/species/Botaurus-stellaris")</f>
        <v>https://www.xeno-canto.org/species/Botaurus-stellaris</v>
      </c>
      <c r="C84" s="30" t="str">
        <f>HYPERLINK("https://ebird.org/species/grebit1")</f>
        <v>https://ebird.org/species/grebit1</v>
      </c>
      <c r="D84" s="31" t="str">
        <f>HYPERLINK("https://www.hbw.com/species/Eurasian-Bittern-Botaurus-stellaris")</f>
        <v>https://www.hbw.com/species/Eurasian-Bittern-Botaurus-stellaris</v>
      </c>
      <c r="E84" s="32" t="str">
        <f>HYPERLINK("https://www.iucnredlist.org/search?query=Botaurus stellaris&amp;searchType=species")</f>
        <v>https://www.iucnredlist.org/search?query=Botaurus stellaris&amp;searchType=species</v>
      </c>
      <c r="F84" s="2">
        <v>58</v>
      </c>
      <c r="G84" s="27" t="s">
        <v>210</v>
      </c>
      <c r="H84" s="83" t="s">
        <v>211</v>
      </c>
      <c r="I84" s="92" t="s">
        <v>212</v>
      </c>
      <c r="J84" s="1" t="s">
        <v>19</v>
      </c>
      <c r="M84" s="2" t="s">
        <v>92</v>
      </c>
    </row>
    <row r="85" spans="1:14" ht="14.4" x14ac:dyDescent="0.3">
      <c r="A85" s="28" t="str">
        <f>HYPERLINK("https://www.google.com/search?q=Ixobrychus sinensis&amp;tbm=isch")</f>
        <v>https://www.google.com/search?q=Ixobrychus sinensis&amp;tbm=isch</v>
      </c>
      <c r="B85" s="29" t="str">
        <f>HYPERLINK("https://www.xeno-canto.org/species/Ixobrychus-sinensis")</f>
        <v>https://www.xeno-canto.org/species/Ixobrychus-sinensis</v>
      </c>
      <c r="C85" s="30" t="str">
        <f>HYPERLINK("https://ebird.org/species/yelbit")</f>
        <v>https://ebird.org/species/yelbit</v>
      </c>
      <c r="D85" s="31" t="str">
        <f>HYPERLINK("https://www.hbw.com/species/Yellow-Bittern-Ixobrychus-sinensis")</f>
        <v>https://www.hbw.com/species/Yellow-Bittern-Ixobrychus-sinensis</v>
      </c>
      <c r="E85" s="32" t="str">
        <f>HYPERLINK("https://www.iucnredlist.org/search?query=Ixobrychus sinensis&amp;searchType=species")</f>
        <v>https://www.iucnredlist.org/search?query=Ixobrychus sinensis&amp;searchType=species</v>
      </c>
      <c r="F85" s="2">
        <v>59</v>
      </c>
      <c r="G85" s="27" t="s">
        <v>210</v>
      </c>
      <c r="H85" s="84" t="s">
        <v>213</v>
      </c>
      <c r="I85" s="92" t="s">
        <v>214</v>
      </c>
      <c r="J85" s="1" t="s">
        <v>15</v>
      </c>
      <c r="M85" s="2" t="s">
        <v>215</v>
      </c>
    </row>
    <row r="86" spans="1:14" ht="14.4" x14ac:dyDescent="0.3">
      <c r="A86" s="28" t="str">
        <f>HYPERLINK("https://www.google.com/search?q=Ixobrychus eurhythmus&amp;tbm=isch")</f>
        <v>https://www.google.com/search?q=Ixobrychus eurhythmus&amp;tbm=isch</v>
      </c>
      <c r="B86" s="29" t="str">
        <f>HYPERLINK("https://www.xeno-canto.org/species/Ixobrychus-eurhythmus")</f>
        <v>https://www.xeno-canto.org/species/Ixobrychus-eurhythmus</v>
      </c>
      <c r="C86" s="30" t="str">
        <f>HYPERLINK("https://ebird.org/species/schbit1")</f>
        <v>https://ebird.org/species/schbit1</v>
      </c>
      <c r="D86" s="31" t="str">
        <f>HYPERLINK("https://www.hbw.com/species/Schrenck's-Bittern-Ixobrychus-eurhythmus")</f>
        <v>https://www.hbw.com/species/Schrenck's-Bittern-Ixobrychus-eurhythmus</v>
      </c>
      <c r="E86" s="32" t="str">
        <f>HYPERLINK("https://www.iucnredlist.org/search?query=Ixobrychus eurhythmus&amp;searchType=species")</f>
        <v>https://www.iucnredlist.org/search?query=Ixobrychus eurhythmus&amp;searchType=species</v>
      </c>
      <c r="F86" s="2">
        <v>60</v>
      </c>
      <c r="G86" s="27" t="s">
        <v>210</v>
      </c>
      <c r="H86" s="83" t="s">
        <v>216</v>
      </c>
      <c r="I86" s="92" t="s">
        <v>217</v>
      </c>
      <c r="J86" s="1" t="s">
        <v>50</v>
      </c>
      <c r="M86" s="2" t="s">
        <v>40</v>
      </c>
    </row>
    <row r="87" spans="1:14" ht="14.4" x14ac:dyDescent="0.3">
      <c r="A87" s="28" t="str">
        <f>HYPERLINK("https://www.google.com/search?q=Ixobrychus cinnamomeus&amp;tbm=isch")</f>
        <v>https://www.google.com/search?q=Ixobrychus cinnamomeus&amp;tbm=isch</v>
      </c>
      <c r="B87" s="29" t="str">
        <f>HYPERLINK("https://www.xeno-canto.org/species/Ixobrychus-cinnamomeus")</f>
        <v>https://www.xeno-canto.org/species/Ixobrychus-cinnamomeus</v>
      </c>
      <c r="C87" s="30" t="str">
        <f>HYPERLINK("https://ebird.org/species/cinbit1")</f>
        <v>https://ebird.org/species/cinbit1</v>
      </c>
      <c r="D87" s="31" t="str">
        <f>HYPERLINK("https://www.hbw.com/species/Cinnamon-Bittern-Ixobrychus-cinnamomeus")</f>
        <v>https://www.hbw.com/species/Cinnamon-Bittern-Ixobrychus-cinnamomeus</v>
      </c>
      <c r="E87" s="32" t="str">
        <f>HYPERLINK("https://www.iucnredlist.org/search?query=Ixobrychus cinnamomeus&amp;searchType=species")</f>
        <v>https://www.iucnredlist.org/search?query=Ixobrychus cinnamomeus&amp;searchType=species</v>
      </c>
      <c r="F87" s="2">
        <v>61</v>
      </c>
      <c r="G87" s="27" t="s">
        <v>210</v>
      </c>
      <c r="H87" s="84" t="s">
        <v>218</v>
      </c>
      <c r="I87" s="92" t="s">
        <v>219</v>
      </c>
      <c r="J87" s="1" t="s">
        <v>15</v>
      </c>
      <c r="M87" s="2" t="s">
        <v>215</v>
      </c>
    </row>
    <row r="88" spans="1:14" ht="14.4" x14ac:dyDescent="0.3">
      <c r="A88" s="28" t="str">
        <f>HYPERLINK("https://www.google.com/search?q=Dupetor flavicollis&amp;tbm=isch")</f>
        <v>https://www.google.com/search?q=Dupetor flavicollis&amp;tbm=isch</v>
      </c>
      <c r="B88" s="29" t="str">
        <f>HYPERLINK("https://www.xeno-canto.org/species/Dupetor-flavicollis")</f>
        <v>https://www.xeno-canto.org/species/Dupetor-flavicollis</v>
      </c>
      <c r="C88" s="30" t="str">
        <f>HYPERLINK("https://ebird.org/species/blabit1")</f>
        <v>https://ebird.org/species/blabit1</v>
      </c>
      <c r="D88" s="31" t="str">
        <f>HYPERLINK("https://www.hbw.com/species/Black-Bittern-Ixobrychus-flavicollis")</f>
        <v>https://www.hbw.com/species/Black-Bittern-Ixobrychus-flavicollis</v>
      </c>
      <c r="E88" s="32" t="str">
        <f>HYPERLINK("https://www.iucnredlist.org/search?query=Dupetor flavicollis&amp;searchType=species")</f>
        <v>https://www.iucnredlist.org/search?query=Dupetor flavicollis&amp;searchType=species</v>
      </c>
      <c r="F88" s="2">
        <v>62</v>
      </c>
      <c r="G88" s="27" t="s">
        <v>210</v>
      </c>
      <c r="H88" s="84" t="s">
        <v>220</v>
      </c>
      <c r="I88" s="92" t="s">
        <v>221</v>
      </c>
      <c r="J88" s="1" t="s">
        <v>15</v>
      </c>
      <c r="M88" s="2" t="s">
        <v>119</v>
      </c>
      <c r="N88" s="2" t="s">
        <v>123</v>
      </c>
    </row>
    <row r="89" spans="1:14" ht="14.4" x14ac:dyDescent="0.3">
      <c r="A89" s="28" t="str">
        <f>HYPERLINK("https://www.google.com/search?q=Gorsachius goisagi&amp;tbm=isch")</f>
        <v>https://www.google.com/search?q=Gorsachius goisagi&amp;tbm=isch</v>
      </c>
      <c r="B89" s="29" t="str">
        <f>HYPERLINK("https://www.xeno-canto.org/species/Gorsachius-goisagi")</f>
        <v>https://www.xeno-canto.org/species/Gorsachius-goisagi</v>
      </c>
      <c r="C89" s="30" t="str">
        <f>HYPERLINK("https://ebird.org/species/janher1")</f>
        <v>https://ebird.org/species/janher1</v>
      </c>
      <c r="D89" s="31" t="str">
        <f>HYPERLINK("https://www.hbw.com/species/Japanese-Night-heron-Gorsachius-goisagi")</f>
        <v>https://www.hbw.com/species/Japanese-Night-heron-Gorsachius-goisagi</v>
      </c>
      <c r="E89" s="32" t="str">
        <f>HYPERLINK("https://www.iucnredlist.org/search?query=Gorsachius goisagi&amp;searchType=species")</f>
        <v>https://www.iucnredlist.org/search?query=Gorsachius goisagi&amp;searchType=species</v>
      </c>
      <c r="F89" s="2">
        <v>63</v>
      </c>
      <c r="G89" s="27" t="s">
        <v>210</v>
      </c>
      <c r="H89" s="83" t="s">
        <v>222</v>
      </c>
      <c r="I89" s="92" t="s">
        <v>223</v>
      </c>
      <c r="J89" s="1" t="s">
        <v>50</v>
      </c>
      <c r="K89" s="1" t="s">
        <v>67</v>
      </c>
      <c r="L89" s="1" t="s">
        <v>67</v>
      </c>
      <c r="M89" s="2" t="s">
        <v>224</v>
      </c>
    </row>
    <row r="90" spans="1:14" ht="14.4" x14ac:dyDescent="0.3">
      <c r="A90" s="28" t="str">
        <f>HYPERLINK("https://www.google.com/search?q=Gorsachius melanolophus&amp;tbm=isch")</f>
        <v>https://www.google.com/search?q=Gorsachius melanolophus&amp;tbm=isch</v>
      </c>
      <c r="B90" s="29" t="str">
        <f>HYPERLINK("https://www.xeno-canto.org/species/Gorsachius-melanolophus")</f>
        <v>https://www.xeno-canto.org/species/Gorsachius-melanolophus</v>
      </c>
      <c r="C90" s="30" t="str">
        <f>HYPERLINK("https://ebird.org/species/manher1")</f>
        <v>https://ebird.org/species/manher1</v>
      </c>
      <c r="D90" s="31" t="str">
        <f>HYPERLINK("https://www.hbw.com/species/Malay-Night-heron-Gorsachius-melanolophus")</f>
        <v>https://www.hbw.com/species/Malay-Night-heron-Gorsachius-melanolophus</v>
      </c>
      <c r="E90" s="32" t="str">
        <f>HYPERLINK("https://www.iucnredlist.org/search?query=Gorsachius melanolophus&amp;searchType=species")</f>
        <v>https://www.iucnredlist.org/search?query=Gorsachius melanolophus&amp;searchType=species</v>
      </c>
      <c r="F90" s="2">
        <v>64</v>
      </c>
      <c r="G90" s="27" t="s">
        <v>210</v>
      </c>
      <c r="H90" s="84" t="s">
        <v>225</v>
      </c>
      <c r="I90" s="92" t="s">
        <v>226</v>
      </c>
      <c r="J90" s="1" t="s">
        <v>15</v>
      </c>
      <c r="M90" s="2" t="s">
        <v>43</v>
      </c>
    </row>
    <row r="91" spans="1:14" ht="40.799999999999997" x14ac:dyDescent="0.3">
      <c r="A91" s="28" t="str">
        <f>HYPERLINK("https://www.google.com/search?q=Nycticorax nycticorax&amp;tbm=isch")</f>
        <v>https://www.google.com/search?q=Nycticorax nycticorax&amp;tbm=isch</v>
      </c>
      <c r="B91" s="29" t="str">
        <f>HYPERLINK("https://www.xeno-canto.org/species/Nycticorax-nycticorax")</f>
        <v>https://www.xeno-canto.org/species/Nycticorax-nycticorax</v>
      </c>
      <c r="C91" s="30" t="str">
        <f>HYPERLINK("https://ebird.org/species/bcnher")</f>
        <v>https://ebird.org/species/bcnher</v>
      </c>
      <c r="D91" s="31" t="str">
        <f>HYPERLINK("https://www.hbw.com/species/Black-crowned-Night-heron-Nycticorax-nycticorax")</f>
        <v>https://www.hbw.com/species/Black-crowned-Night-heron-Nycticorax-nycticorax</v>
      </c>
      <c r="E91" s="32" t="str">
        <f>HYPERLINK("https://www.iucnredlist.org/search?query=Nycticorax nycticorax&amp;searchType=species")</f>
        <v>https://www.iucnredlist.org/search?query=Nycticorax nycticorax&amp;searchType=species</v>
      </c>
      <c r="F91" s="2">
        <v>65</v>
      </c>
      <c r="G91" s="27" t="s">
        <v>210</v>
      </c>
      <c r="H91" s="84" t="s">
        <v>227</v>
      </c>
      <c r="I91" s="92" t="s">
        <v>228</v>
      </c>
      <c r="J91" s="1" t="s">
        <v>15</v>
      </c>
      <c r="M91" s="2" t="s">
        <v>229</v>
      </c>
      <c r="N91" s="2" t="s">
        <v>230</v>
      </c>
    </row>
    <row r="92" spans="1:14" ht="14.4" x14ac:dyDescent="0.3">
      <c r="A92" s="28" t="str">
        <f>HYPERLINK("https://www.google.com/search?q=Nycticorax caledonicus&amp;tbm=isch")</f>
        <v>https://www.google.com/search?q=Nycticorax caledonicus&amp;tbm=isch</v>
      </c>
      <c r="B92" s="29" t="str">
        <f>HYPERLINK("https://www.xeno-canto.org/species/Nycticorax-caledonicus")</f>
        <v>https://www.xeno-canto.org/species/Nycticorax-caledonicus</v>
      </c>
      <c r="C92" s="30" t="str">
        <f>HYPERLINK("https://ebird.org/species/runher1")</f>
        <v>https://ebird.org/species/runher1</v>
      </c>
      <c r="D92" s="31" t="str">
        <f>HYPERLINK("https://www.hbw.com/species/Rufous-Night-heron-Nycticorax-caledonicus")</f>
        <v>https://www.hbw.com/species/Rufous-Night-heron-Nycticorax-caledonicus</v>
      </c>
      <c r="E92" s="32" t="str">
        <f>HYPERLINK("https://www.iucnredlist.org/search?query=Nycticorax caledonicus&amp;searchType=species")</f>
        <v>https://www.iucnredlist.org/search?query=Nycticorax caledonicus&amp;searchType=species</v>
      </c>
      <c r="F92" s="2">
        <v>66</v>
      </c>
      <c r="G92" s="27" t="s">
        <v>210</v>
      </c>
      <c r="H92" s="84" t="s">
        <v>2240</v>
      </c>
      <c r="I92" s="92" t="s">
        <v>232</v>
      </c>
      <c r="J92" s="1" t="s">
        <v>15</v>
      </c>
      <c r="M92" s="2" t="s">
        <v>233</v>
      </c>
    </row>
    <row r="93" spans="1:14" ht="14.4" x14ac:dyDescent="0.3">
      <c r="A93" s="28" t="str">
        <f>HYPERLINK("https://www.google.com/search?q=Butorides striata&amp;tbm=isch")</f>
        <v>https://www.google.com/search?q=Butorides striata&amp;tbm=isch</v>
      </c>
      <c r="B93" s="29" t="str">
        <f>HYPERLINK("https://www.xeno-canto.org/species/Butorides-striata")</f>
        <v>https://www.xeno-canto.org/species/Butorides-striata</v>
      </c>
      <c r="C93" s="30" t="str">
        <f>HYPERLINK("https://ebird.org/species/strher")</f>
        <v>https://ebird.org/species/strher</v>
      </c>
      <c r="D93" s="31" t="str">
        <f>HYPERLINK("https://www.hbw.com/species/Green-backed-Heron-Butorides-striata")</f>
        <v>https://www.hbw.com/species/Green-backed-Heron-Butorides-striata</v>
      </c>
      <c r="E93" s="32" t="str">
        <f>HYPERLINK("https://www.iucnredlist.org/search?query=Butorides striata&amp;searchType=species")</f>
        <v>https://www.iucnredlist.org/search?query=Butorides striata&amp;searchType=species</v>
      </c>
      <c r="F93" s="2">
        <v>67</v>
      </c>
      <c r="G93" s="27" t="s">
        <v>210</v>
      </c>
      <c r="H93" s="84" t="s">
        <v>234</v>
      </c>
      <c r="I93" s="92" t="s">
        <v>235</v>
      </c>
      <c r="J93" s="1" t="s">
        <v>236</v>
      </c>
      <c r="M93" s="2" t="s">
        <v>237</v>
      </c>
    </row>
    <row r="94" spans="1:14" ht="14.4" x14ac:dyDescent="0.3">
      <c r="A94" s="28" t="str">
        <f>HYPERLINK("https://www.google.com/search?q=Ardeola bacchus&amp;tbm=isch")</f>
        <v>https://www.google.com/search?q=Ardeola bacchus&amp;tbm=isch</v>
      </c>
      <c r="B94" s="29" t="str">
        <f>HYPERLINK("https://www.xeno-canto.org/species/Ardeola-bacchus")</f>
        <v>https://www.xeno-canto.org/species/Ardeola-bacchus</v>
      </c>
      <c r="C94" s="30" t="str">
        <f>HYPERLINK("https://ebird.org/species/chpher1")</f>
        <v>https://ebird.org/species/chpher1</v>
      </c>
      <c r="D94" s="31" t="str">
        <f>HYPERLINK("https://www.hbw.com/species/Chinese-Pond-heron-Ardeola-bacchus")</f>
        <v>https://www.hbw.com/species/Chinese-Pond-heron-Ardeola-bacchus</v>
      </c>
      <c r="E94" s="32" t="str">
        <f>HYPERLINK("https://www.iucnredlist.org/search?query=Ardeola bacchus&amp;searchType=species")</f>
        <v>https://www.iucnredlist.org/search?query=Ardeola bacchus&amp;searchType=species</v>
      </c>
      <c r="F94" s="2">
        <v>68</v>
      </c>
      <c r="G94" s="27" t="s">
        <v>210</v>
      </c>
      <c r="H94" s="83" t="s">
        <v>238</v>
      </c>
      <c r="I94" s="92" t="s">
        <v>239</v>
      </c>
      <c r="J94" s="1" t="s">
        <v>50</v>
      </c>
      <c r="M94" s="2" t="s">
        <v>240</v>
      </c>
    </row>
    <row r="95" spans="1:14" ht="14.4" x14ac:dyDescent="0.3">
      <c r="A95" s="28" t="str">
        <f>HYPERLINK("https://www.google.com/search?q=Ardeola speciosa&amp;tbm=isch")</f>
        <v>https://www.google.com/search?q=Ardeola speciosa&amp;tbm=isch</v>
      </c>
      <c r="B95" s="29" t="str">
        <f>HYPERLINK("https://www.xeno-canto.org/species/Ardeola-speciosa")</f>
        <v>https://www.xeno-canto.org/species/Ardeola-speciosa</v>
      </c>
      <c r="C95" s="30" t="str">
        <f>HYPERLINK("https://ebird.org/species/japher1")</f>
        <v>https://ebird.org/species/japher1</v>
      </c>
      <c r="D95" s="31" t="str">
        <f>HYPERLINK("https://www.hbw.com/species/Javan-Pond-heron-Ardeola-speciosa")</f>
        <v>https://www.hbw.com/species/Javan-Pond-heron-Ardeola-speciosa</v>
      </c>
      <c r="E95" s="32" t="str">
        <f>HYPERLINK("https://www.iucnredlist.org/search?query=Ardeola speciosa&amp;searchType=species")</f>
        <v>https://www.iucnredlist.org/search?query=Ardeola speciosa&amp;searchType=species</v>
      </c>
      <c r="F95" s="2">
        <v>69</v>
      </c>
      <c r="G95" s="27" t="s">
        <v>210</v>
      </c>
      <c r="H95" s="84" t="s">
        <v>241</v>
      </c>
      <c r="I95" s="92" t="s">
        <v>242</v>
      </c>
      <c r="J95" s="1" t="s">
        <v>15</v>
      </c>
      <c r="M95" s="2" t="s">
        <v>243</v>
      </c>
    </row>
    <row r="96" spans="1:14" ht="14.4" x14ac:dyDescent="0.3">
      <c r="A96" s="28" t="str">
        <f>HYPERLINK("https://www.google.com/search?q=Bubulcus coromandus&amp;tbm=isch")</f>
        <v>https://www.google.com/search?q=Bubulcus coromandus&amp;tbm=isch</v>
      </c>
      <c r="B96" s="29" t="str">
        <f>HYPERLINK("https://www.xeno-canto.org/species/Bubulcus-coromandus")</f>
        <v>https://www.xeno-canto.org/species/Bubulcus-coromandus</v>
      </c>
      <c r="C96" s="30" t="str">
        <f>HYPERLINK("https://ebird.org/species/")</f>
        <v>https://ebird.org/species/</v>
      </c>
      <c r="D96" s="31" t="str">
        <f>HYPERLINK("https://www.hbw.com/species/Cattle-Egret-Bubulcus-ibis")</f>
        <v>https://www.hbw.com/species/Cattle-Egret-Bubulcus-ibis</v>
      </c>
      <c r="E96" s="32" t="str">
        <f>HYPERLINK("https://www.iucnredlist.org/search?query=Bubulcus coromandus&amp;searchType=species")</f>
        <v>https://www.iucnredlist.org/search?query=Bubulcus coromandus&amp;searchType=species</v>
      </c>
      <c r="F96" s="2">
        <v>70</v>
      </c>
      <c r="G96" s="27" t="s">
        <v>210</v>
      </c>
      <c r="H96" s="84" t="s">
        <v>244</v>
      </c>
      <c r="I96" s="92" t="s">
        <v>245</v>
      </c>
      <c r="J96" s="1" t="s">
        <v>236</v>
      </c>
      <c r="M96" s="2" t="s">
        <v>246</v>
      </c>
    </row>
    <row r="97" spans="1:14" ht="14.4" x14ac:dyDescent="0.3">
      <c r="A97" s="28" t="str">
        <f>HYPERLINK("https://www.google.com/search?q=Ardea cinerea&amp;tbm=isch")</f>
        <v>https://www.google.com/search?q=Ardea cinerea&amp;tbm=isch</v>
      </c>
      <c r="B97" s="29" t="str">
        <f>HYPERLINK("https://www.xeno-canto.org/species/Ardea-cinerea")</f>
        <v>https://www.xeno-canto.org/species/Ardea-cinerea</v>
      </c>
      <c r="C97" s="30" t="str">
        <f>HYPERLINK("https://ebird.org/species/graher1")</f>
        <v>https://ebird.org/species/graher1</v>
      </c>
      <c r="D97" s="31" t="str">
        <f>HYPERLINK("https://www.hbw.com/species/Grey-Heron-Ardea-cinerea")</f>
        <v>https://www.hbw.com/species/Grey-Heron-Ardea-cinerea</v>
      </c>
      <c r="E97" s="32" t="str">
        <f>HYPERLINK("https://www.iucnredlist.org/search?query=Ardea cinerea&amp;searchType=species")</f>
        <v>https://www.iucnredlist.org/search?query=Ardea cinerea&amp;searchType=species</v>
      </c>
      <c r="F97" s="2">
        <v>71</v>
      </c>
      <c r="G97" s="27" t="s">
        <v>210</v>
      </c>
      <c r="H97" s="84" t="s">
        <v>247</v>
      </c>
      <c r="I97" s="92" t="s">
        <v>248</v>
      </c>
      <c r="J97" s="1" t="s">
        <v>50</v>
      </c>
      <c r="M97" s="2" t="s">
        <v>170</v>
      </c>
    </row>
    <row r="98" spans="1:14" ht="14.4" x14ac:dyDescent="0.3">
      <c r="A98" s="28" t="str">
        <f>HYPERLINK("https://www.google.com/search?q=Ardea sumatrana&amp;tbm=isch")</f>
        <v>https://www.google.com/search?q=Ardea sumatrana&amp;tbm=isch</v>
      </c>
      <c r="B98" s="29" t="str">
        <f>HYPERLINK("https://www.xeno-canto.org/species/Ardea-sumatrana")</f>
        <v>https://www.xeno-canto.org/species/Ardea-sumatrana</v>
      </c>
      <c r="C98" s="30" t="str">
        <f>HYPERLINK("https://ebird.org/species/grbher2")</f>
        <v>https://ebird.org/species/grbher2</v>
      </c>
      <c r="D98" s="31" t="str">
        <f>HYPERLINK("https://www.hbw.com/species/Great-billed-Heron-Ardea-sumatrana")</f>
        <v>https://www.hbw.com/species/Great-billed-Heron-Ardea-sumatrana</v>
      </c>
      <c r="E98" s="32" t="str">
        <f>HYPERLINK("https://www.iucnredlist.org/search?query=Ardea sumatrana&amp;searchType=species")</f>
        <v>https://www.iucnredlist.org/search?query=Ardea sumatrana&amp;searchType=species</v>
      </c>
      <c r="F98" s="2">
        <v>72</v>
      </c>
      <c r="G98" s="27" t="s">
        <v>210</v>
      </c>
      <c r="H98" s="84" t="s">
        <v>249</v>
      </c>
      <c r="I98" s="92" t="s">
        <v>250</v>
      </c>
      <c r="J98" s="1" t="s">
        <v>15</v>
      </c>
      <c r="M98" s="2" t="s">
        <v>251</v>
      </c>
    </row>
    <row r="99" spans="1:14" ht="14.4" x14ac:dyDescent="0.3">
      <c r="A99" s="28" t="str">
        <f>HYPERLINK("https://www.google.com/search?q=Ardea purpurea&amp;tbm=isch")</f>
        <v>https://www.google.com/search?q=Ardea purpurea&amp;tbm=isch</v>
      </c>
      <c r="B99" s="29" t="str">
        <f>HYPERLINK("https://www.xeno-canto.org/species/Ardea-purpurea")</f>
        <v>https://www.xeno-canto.org/species/Ardea-purpurea</v>
      </c>
      <c r="C99" s="30" t="str">
        <f>HYPERLINK("https://ebird.org/species/purher1")</f>
        <v>https://ebird.org/species/purher1</v>
      </c>
      <c r="D99" s="31" t="str">
        <f>HYPERLINK("https://www.hbw.com/species/Purple-Heron-Ardea-purpurea")</f>
        <v>https://www.hbw.com/species/Purple-Heron-Ardea-purpurea</v>
      </c>
      <c r="E99" s="32" t="str">
        <f>HYPERLINK("https://www.iucnredlist.org/search?query=Ardea purpurea&amp;searchType=species")</f>
        <v>https://www.iucnredlist.org/search?query=Ardea purpurea&amp;searchType=species</v>
      </c>
      <c r="F99" s="2">
        <v>73</v>
      </c>
      <c r="G99" s="27" t="s">
        <v>210</v>
      </c>
      <c r="H99" s="84" t="s">
        <v>252</v>
      </c>
      <c r="I99" s="92" t="s">
        <v>253</v>
      </c>
      <c r="J99" s="1" t="s">
        <v>15</v>
      </c>
      <c r="M99" s="2" t="s">
        <v>254</v>
      </c>
    </row>
    <row r="100" spans="1:14" ht="20.399999999999999" x14ac:dyDescent="0.3">
      <c r="A100" s="28" t="str">
        <f>HYPERLINK("https://www.google.com/search?q=Ardea alba&amp;tbm=isch")</f>
        <v>https://www.google.com/search?q=Ardea alba&amp;tbm=isch</v>
      </c>
      <c r="B100" s="29" t="str">
        <f>HYPERLINK("https://www.xeno-canto.org/species/Ardea-alba")</f>
        <v>https://www.xeno-canto.org/species/Ardea-alba</v>
      </c>
      <c r="C100" s="30" t="str">
        <f>HYPERLINK("https://ebird.org/species/greegr")</f>
        <v>https://ebird.org/species/greegr</v>
      </c>
      <c r="D100" s="31" t="str">
        <f>HYPERLINK("https://www.hbw.com/species/Great-White-Egret-Ardea-alba")</f>
        <v>https://www.hbw.com/species/Great-White-Egret-Ardea-alba</v>
      </c>
      <c r="E100" s="32" t="str">
        <f>HYPERLINK("https://www.iucnredlist.org/search?query=Ardea alba&amp;searchType=species")</f>
        <v>https://www.iucnredlist.org/search?query=Ardea alba&amp;searchType=species</v>
      </c>
      <c r="F100" s="2">
        <v>74</v>
      </c>
      <c r="G100" s="27" t="s">
        <v>210</v>
      </c>
      <c r="H100" s="84" t="s">
        <v>255</v>
      </c>
      <c r="I100" s="92" t="s">
        <v>256</v>
      </c>
      <c r="J100" s="1" t="s">
        <v>236</v>
      </c>
      <c r="M100" s="2" t="s">
        <v>257</v>
      </c>
      <c r="N100" s="2" t="s">
        <v>11310</v>
      </c>
    </row>
    <row r="101" spans="1:14" ht="14.4" x14ac:dyDescent="0.3">
      <c r="A101" s="28" t="str">
        <f>HYPERLINK("https://www.google.com/search?q=Ardea intermedia&amp;tbm=isch")</f>
        <v>https://www.google.com/search?q=Ardea intermedia&amp;tbm=isch</v>
      </c>
      <c r="B101" s="29" t="str">
        <f>HYPERLINK("https://www.xeno-canto.org/species/Ardea-intermedia")</f>
        <v>https://www.xeno-canto.org/species/Ardea-intermedia</v>
      </c>
      <c r="C101" s="30" t="str">
        <f>HYPERLINK("https://ebird.org/species/integr")</f>
        <v>https://ebird.org/species/integr</v>
      </c>
      <c r="D101" s="31" t="str">
        <f>HYPERLINK("https://www.hbw.com/species/Intermediate-Egret-Ardea-intermedia")</f>
        <v>https://www.hbw.com/species/Intermediate-Egret-Ardea-intermedia</v>
      </c>
      <c r="E101" s="32" t="str">
        <f>HYPERLINK("https://www.iucnredlist.org/search?query=Ardea intermedia&amp;searchType=species")</f>
        <v>https://www.iucnredlist.org/search?query=Ardea intermedia&amp;searchType=species</v>
      </c>
      <c r="F101" s="2">
        <v>75</v>
      </c>
      <c r="G101" s="27" t="s">
        <v>210</v>
      </c>
      <c r="H101" s="84" t="s">
        <v>258</v>
      </c>
      <c r="I101" s="92" t="s">
        <v>259</v>
      </c>
      <c r="J101" s="1" t="s">
        <v>236</v>
      </c>
      <c r="M101" s="2" t="s">
        <v>260</v>
      </c>
    </row>
    <row r="102" spans="1:14" ht="30.6" x14ac:dyDescent="0.3">
      <c r="A102" s="28" t="str">
        <f>HYPERLINK("https://www.google.com/search?q=Egretta garzetta&amp;tbm=isch")</f>
        <v>https://www.google.com/search?q=Egretta garzetta&amp;tbm=isch</v>
      </c>
      <c r="B102" s="29" t="str">
        <f>HYPERLINK("https://www.xeno-canto.org/species/Egretta-garzetta")</f>
        <v>https://www.xeno-canto.org/species/Egretta-garzetta</v>
      </c>
      <c r="C102" s="30" t="str">
        <f>HYPERLINK("https://ebird.org/species/litegr")</f>
        <v>https://ebird.org/species/litegr</v>
      </c>
      <c r="D102" s="31" t="str">
        <f>HYPERLINK("https://www.hbw.com/species/Little-Egret-Egretta-garzetta")</f>
        <v>https://www.hbw.com/species/Little-Egret-Egretta-garzetta</v>
      </c>
      <c r="E102" s="32" t="str">
        <f>HYPERLINK("https://www.iucnredlist.org/search?query=Egretta garzetta&amp;searchType=species")</f>
        <v>https://www.iucnredlist.org/search?query=Egretta garzetta&amp;searchType=species</v>
      </c>
      <c r="F102" s="2">
        <v>76</v>
      </c>
      <c r="G102" s="27" t="s">
        <v>210</v>
      </c>
      <c r="H102" s="84" t="s">
        <v>261</v>
      </c>
      <c r="I102" s="92" t="s">
        <v>262</v>
      </c>
      <c r="J102" s="1" t="s">
        <v>236</v>
      </c>
      <c r="M102" s="2" t="s">
        <v>263</v>
      </c>
      <c r="N102" s="2" t="s">
        <v>264</v>
      </c>
    </row>
    <row r="103" spans="1:14" ht="14.4" x14ac:dyDescent="0.3">
      <c r="A103" s="28" t="str">
        <f>HYPERLINK("https://www.google.com/search?q=Egretta sacra&amp;tbm=isch")</f>
        <v>https://www.google.com/search?q=Egretta sacra&amp;tbm=isch</v>
      </c>
      <c r="B103" s="29" t="str">
        <f>HYPERLINK("https://www.xeno-canto.org/species/Egretta-sacra")</f>
        <v>https://www.xeno-canto.org/species/Egretta-sacra</v>
      </c>
      <c r="C103" s="30" t="str">
        <f>HYPERLINK("https://ebird.org/species/pacreh1")</f>
        <v>https://ebird.org/species/pacreh1</v>
      </c>
      <c r="D103" s="31" t="str">
        <f>HYPERLINK("https://www.hbw.com/species/Pacific-Reef-egret-Egretta-sacra")</f>
        <v>https://www.hbw.com/species/Pacific-Reef-egret-Egretta-sacra</v>
      </c>
      <c r="E103" s="32" t="str">
        <f>HYPERLINK("https://www.iucnredlist.org/search?query=Egretta sacra&amp;searchType=species")</f>
        <v>https://www.iucnredlist.org/search?query=Egretta sacra&amp;searchType=species</v>
      </c>
      <c r="F103" s="2">
        <v>77</v>
      </c>
      <c r="G103" s="27" t="s">
        <v>210</v>
      </c>
      <c r="H103" s="84" t="s">
        <v>265</v>
      </c>
      <c r="I103" s="92" t="s">
        <v>266</v>
      </c>
      <c r="J103" s="1" t="s">
        <v>15</v>
      </c>
      <c r="M103" s="2" t="s">
        <v>267</v>
      </c>
    </row>
    <row r="104" spans="1:14" ht="14.4" x14ac:dyDescent="0.3">
      <c r="A104" s="28" t="str">
        <f>HYPERLINK("https://www.google.com/search?q=Egretta eulophotes&amp;tbm=isch")</f>
        <v>https://www.google.com/search?q=Egretta eulophotes&amp;tbm=isch</v>
      </c>
      <c r="B104" s="29" t="str">
        <f>HYPERLINK("https://www.xeno-canto.org/species/Egretta-eulophotes")</f>
        <v>https://www.xeno-canto.org/species/Egretta-eulophotes</v>
      </c>
      <c r="C104" s="30" t="str">
        <f>HYPERLINK("https://ebird.org/species/chiegr")</f>
        <v>https://ebird.org/species/chiegr</v>
      </c>
      <c r="D104" s="31" t="str">
        <f>HYPERLINK("https://www.hbw.com/species/Chinese-Egret-Egretta-eulophotes")</f>
        <v>https://www.hbw.com/species/Chinese-Egret-Egretta-eulophotes</v>
      </c>
      <c r="E104" s="32" t="str">
        <f>HYPERLINK("https://www.iucnredlist.org/search?query=Egretta eulophotes&amp;searchType=species")</f>
        <v>https://www.iucnredlist.org/search?query=Egretta eulophotes&amp;searchType=species</v>
      </c>
      <c r="F104" s="2">
        <v>78</v>
      </c>
      <c r="G104" s="27" t="s">
        <v>210</v>
      </c>
      <c r="H104" s="84" t="s">
        <v>268</v>
      </c>
      <c r="I104" s="92" t="s">
        <v>269</v>
      </c>
      <c r="J104" s="1" t="s">
        <v>50</v>
      </c>
      <c r="K104" s="1" t="s">
        <v>66</v>
      </c>
      <c r="L104" s="1" t="s">
        <v>66</v>
      </c>
      <c r="M104" s="2" t="s">
        <v>270</v>
      </c>
    </row>
    <row r="105" spans="1:14" x14ac:dyDescent="0.3">
      <c r="A105" s="33"/>
      <c r="B105" s="34"/>
      <c r="C105" s="35"/>
      <c r="D105" s="36"/>
      <c r="E105" s="37"/>
    </row>
    <row r="106" spans="1:14" ht="12" x14ac:dyDescent="0.3">
      <c r="A106" s="33"/>
      <c r="B106" s="34"/>
      <c r="C106" s="35"/>
      <c r="D106" s="36"/>
      <c r="E106" s="37"/>
      <c r="H106" s="82" t="s">
        <v>271</v>
      </c>
      <c r="I106" s="91" t="s">
        <v>272</v>
      </c>
    </row>
    <row r="107" spans="1:14" ht="40.799999999999997" x14ac:dyDescent="0.3">
      <c r="A107" s="28" t="str">
        <f>HYPERLINK("https://www.google.com/search?q=Pelecanus philippensis&amp;tbm=isch")</f>
        <v>https://www.google.com/search?q=Pelecanus philippensis&amp;tbm=isch</v>
      </c>
      <c r="B107" s="29" t="str">
        <f>HYPERLINK("https://www.xeno-canto.org/species/Pelecanus-philippensis")</f>
        <v>https://www.xeno-canto.org/species/Pelecanus-philippensis</v>
      </c>
      <c r="C107" s="30" t="str">
        <f>HYPERLINK("https://ebird.org/species/spbpel1")</f>
        <v>https://ebird.org/species/spbpel1</v>
      </c>
      <c r="D107" s="31" t="str">
        <f>HYPERLINK("https://www.hbw.com/species/Spot-billed-Pelican-Pelecanus-philippensis")</f>
        <v>https://www.hbw.com/species/Spot-billed-Pelican-Pelecanus-philippensis</v>
      </c>
      <c r="E107" s="32" t="str">
        <f>HYPERLINK("https://www.iucnredlist.org/search?query=Pelecanus philippensis&amp;searchType=species")</f>
        <v>https://www.iucnredlist.org/search?query=Pelecanus philippensis&amp;searchType=species</v>
      </c>
      <c r="F107" s="2">
        <v>79</v>
      </c>
      <c r="G107" s="27" t="s">
        <v>272</v>
      </c>
      <c r="H107" s="83" t="s">
        <v>273</v>
      </c>
      <c r="I107" s="92" t="s">
        <v>274</v>
      </c>
      <c r="J107" s="1" t="s">
        <v>275</v>
      </c>
      <c r="K107" s="1" t="s">
        <v>58</v>
      </c>
      <c r="L107" s="1" t="s">
        <v>130</v>
      </c>
      <c r="M107" s="2" t="s">
        <v>276</v>
      </c>
      <c r="N107" s="2" t="s">
        <v>277</v>
      </c>
    </row>
    <row r="108" spans="1:14" ht="20.399999999999999" x14ac:dyDescent="0.3">
      <c r="A108" s="28" t="str">
        <f>HYPERLINK("https://www.google.com/search?q=Pelecanus crispus&amp;tbm=isch")</f>
        <v>https://www.google.com/search?q=Pelecanus crispus&amp;tbm=isch</v>
      </c>
      <c r="B108" s="29" t="str">
        <f>HYPERLINK("https://www.xeno-canto.org/species/Pelecanus-crispus")</f>
        <v>https://www.xeno-canto.org/species/Pelecanus-crispus</v>
      </c>
      <c r="C108" s="30" t="str">
        <f>HYPERLINK("https://ebird.org/species/dalpel1")</f>
        <v>https://ebird.org/species/dalpel1</v>
      </c>
      <c r="D108" s="31" t="str">
        <f>HYPERLINK("https://www.hbw.com/species/Dalmatian-Pelican-Pelecanus-crispus")</f>
        <v>https://www.hbw.com/species/Dalmatian-Pelican-Pelecanus-crispus</v>
      </c>
      <c r="E108" s="32" t="str">
        <f>HYPERLINK("https://www.iucnredlist.org/search?query=Pelecanus crispus&amp;searchType=species")</f>
        <v>https://www.iucnredlist.org/search?query=Pelecanus crispus&amp;searchType=species</v>
      </c>
      <c r="F108" s="2">
        <v>80</v>
      </c>
      <c r="G108" s="27" t="s">
        <v>272</v>
      </c>
      <c r="H108" s="85" t="s">
        <v>278</v>
      </c>
      <c r="I108" s="93" t="s">
        <v>279</v>
      </c>
      <c r="J108" s="1" t="s">
        <v>19</v>
      </c>
      <c r="K108" s="1" t="s">
        <v>58</v>
      </c>
      <c r="L108" s="1" t="s">
        <v>66</v>
      </c>
      <c r="M108" s="2" t="s">
        <v>280</v>
      </c>
      <c r="N108" s="2" t="s">
        <v>11311</v>
      </c>
    </row>
    <row r="109" spans="1:14" ht="30.6" x14ac:dyDescent="0.3">
      <c r="A109" s="28" t="str">
        <f>HYPERLINK("https://www.google.com/search?q=Pelecanus conspicillatus&amp;tbm=isch")</f>
        <v>https://www.google.com/search?q=Pelecanus conspicillatus&amp;tbm=isch</v>
      </c>
      <c r="B109" s="29" t="str">
        <f>HYPERLINK("https://www.xeno-canto.org/species/Pelecanus-conspicillatus")</f>
        <v>https://www.xeno-canto.org/species/Pelecanus-conspicillatus</v>
      </c>
      <c r="C109" s="30" t="str">
        <f>HYPERLINK("https://ebird.org/species/auspel1")</f>
        <v>https://ebird.org/species/auspel1</v>
      </c>
      <c r="D109" s="31" t="str">
        <f>HYPERLINK("https://www.hbw.com/species/Australian-Pelican-Pelecanus-conspicillatus")</f>
        <v>https://www.hbw.com/species/Australian-Pelican-Pelecanus-conspicillatus</v>
      </c>
      <c r="E109" s="32" t="str">
        <f>HYPERLINK("https://www.iucnredlist.org/search?query=Pelecanus conspicillatus&amp;searchType=species")</f>
        <v>https://www.iucnredlist.org/search?query=Pelecanus conspicillatus&amp;searchType=species</v>
      </c>
      <c r="F109" s="2">
        <v>81</v>
      </c>
      <c r="G109" s="27" t="s">
        <v>272</v>
      </c>
      <c r="H109" s="85" t="s">
        <v>281</v>
      </c>
      <c r="I109" s="93" t="s">
        <v>282</v>
      </c>
      <c r="J109" s="1" t="s">
        <v>19</v>
      </c>
      <c r="M109" s="2" t="s">
        <v>233</v>
      </c>
      <c r="N109" s="2" t="s">
        <v>11312</v>
      </c>
    </row>
    <row r="110" spans="1:14" x14ac:dyDescent="0.3">
      <c r="A110" s="33"/>
      <c r="B110" s="34"/>
      <c r="C110" s="35"/>
      <c r="D110" s="36"/>
      <c r="E110" s="37"/>
    </row>
    <row r="111" spans="1:14" ht="12" x14ac:dyDescent="0.3">
      <c r="A111" s="33"/>
      <c r="B111" s="34"/>
      <c r="C111" s="35"/>
      <c r="D111" s="36"/>
      <c r="E111" s="37"/>
      <c r="H111" s="82" t="s">
        <v>283</v>
      </c>
      <c r="I111" s="91" t="s">
        <v>284</v>
      </c>
    </row>
    <row r="112" spans="1:14" ht="20.399999999999999" x14ac:dyDescent="0.3">
      <c r="A112" s="28" t="str">
        <f>HYPERLINK("https://www.google.com/search?q=Fregata andrewsi&amp;tbm=isch")</f>
        <v>https://www.google.com/search?q=Fregata andrewsi&amp;tbm=isch</v>
      </c>
      <c r="B112" s="29" t="str">
        <f>HYPERLINK("https://www.xeno-canto.org/species/Fregata-andrewsi")</f>
        <v>https://www.xeno-canto.org/species/Fregata-andrewsi</v>
      </c>
      <c r="C112" s="30" t="str">
        <f>HYPERLINK("https://ebird.org/species/chifri1")</f>
        <v>https://ebird.org/species/chifri1</v>
      </c>
      <c r="D112" s="31" t="str">
        <f>HYPERLINK("https://www.hbw.com/species/Christmas-Frigatebird-Fregata-andrewsi")</f>
        <v>https://www.hbw.com/species/Christmas-Frigatebird-Fregata-andrewsi</v>
      </c>
      <c r="E112" s="32" t="str">
        <f>HYPERLINK("https://www.iucnredlist.org/search?query=Fregata andrewsi&amp;searchType=species")</f>
        <v>https://www.iucnredlist.org/search?query=Fregata andrewsi&amp;searchType=species</v>
      </c>
      <c r="F112" s="2">
        <v>82</v>
      </c>
      <c r="G112" s="27" t="s">
        <v>284</v>
      </c>
      <c r="H112" s="85" t="s">
        <v>2264</v>
      </c>
      <c r="I112" s="93" t="s">
        <v>286</v>
      </c>
      <c r="J112" s="1" t="s">
        <v>50</v>
      </c>
      <c r="K112" s="1" t="s">
        <v>85</v>
      </c>
      <c r="L112" s="1" t="s">
        <v>85</v>
      </c>
      <c r="M112" s="2" t="s">
        <v>287</v>
      </c>
      <c r="N112" s="2" t="s">
        <v>11313</v>
      </c>
    </row>
    <row r="113" spans="1:14" ht="20.399999999999999" x14ac:dyDescent="0.3">
      <c r="A113" s="28" t="str">
        <f>HYPERLINK("https://www.google.com/search?q=Fregata minor&amp;tbm=isch")</f>
        <v>https://www.google.com/search?q=Fregata minor&amp;tbm=isch</v>
      </c>
      <c r="B113" s="29" t="str">
        <f>HYPERLINK("https://www.xeno-canto.org/species/Fregata-minor")</f>
        <v>https://www.xeno-canto.org/species/Fregata-minor</v>
      </c>
      <c r="C113" s="30" t="str">
        <f>HYPERLINK("https://ebird.org/species/grefri")</f>
        <v>https://ebird.org/species/grefri</v>
      </c>
      <c r="D113" s="31" t="str">
        <f>HYPERLINK("https://www.hbw.com/species/Great-Frigatebird-Fregata-minor")</f>
        <v>https://www.hbw.com/species/Great-Frigatebird-Fregata-minor</v>
      </c>
      <c r="E113" s="32" t="str">
        <f>HYPERLINK("https://www.iucnredlist.org/search?query=Fregata minor&amp;searchType=species")</f>
        <v>https://www.iucnredlist.org/search?query=Fregata minor&amp;searchType=species</v>
      </c>
      <c r="F113" s="2">
        <v>83</v>
      </c>
      <c r="G113" s="27" t="s">
        <v>284</v>
      </c>
      <c r="H113" s="84" t="s">
        <v>288</v>
      </c>
      <c r="I113" s="92" t="s">
        <v>289</v>
      </c>
      <c r="J113" s="1" t="s">
        <v>50</v>
      </c>
      <c r="M113" s="2" t="s">
        <v>181</v>
      </c>
      <c r="N113" s="2" t="s">
        <v>290</v>
      </c>
    </row>
    <row r="114" spans="1:14" ht="14.4" x14ac:dyDescent="0.3">
      <c r="A114" s="28" t="str">
        <f>HYPERLINK("https://www.google.com/search?q=Fregata ariel&amp;tbm=isch")</f>
        <v>https://www.google.com/search?q=Fregata ariel&amp;tbm=isch</v>
      </c>
      <c r="B114" s="29" t="str">
        <f>HYPERLINK("https://www.xeno-canto.org/species/Fregata-ariel")</f>
        <v>https://www.xeno-canto.org/species/Fregata-ariel</v>
      </c>
      <c r="C114" s="30" t="str">
        <f>HYPERLINK("https://ebird.org/species/lesfri")</f>
        <v>https://ebird.org/species/lesfri</v>
      </c>
      <c r="D114" s="31" t="str">
        <f>HYPERLINK("https://www.hbw.com/species/Lesser-Frigatebird-Fregata-ariel")</f>
        <v>https://www.hbw.com/species/Lesser-Frigatebird-Fregata-ariel</v>
      </c>
      <c r="E114" s="32" t="str">
        <f>HYPERLINK("https://www.iucnredlist.org/search?query=Fregata ariel&amp;searchType=species")</f>
        <v>https://www.iucnredlist.org/search?query=Fregata ariel&amp;searchType=species</v>
      </c>
      <c r="F114" s="2">
        <v>84</v>
      </c>
      <c r="G114" s="27" t="s">
        <v>284</v>
      </c>
      <c r="H114" s="84" t="s">
        <v>291</v>
      </c>
      <c r="I114" s="92" t="s">
        <v>292</v>
      </c>
      <c r="J114" s="1" t="s">
        <v>50</v>
      </c>
      <c r="M114" s="2" t="s">
        <v>181</v>
      </c>
    </row>
    <row r="115" spans="1:14" x14ac:dyDescent="0.3">
      <c r="A115" s="33"/>
      <c r="B115" s="34"/>
      <c r="C115" s="35"/>
      <c r="D115" s="36"/>
      <c r="E115" s="37"/>
    </row>
    <row r="116" spans="1:14" ht="12" x14ac:dyDescent="0.3">
      <c r="A116" s="33"/>
      <c r="B116" s="34"/>
      <c r="C116" s="35"/>
      <c r="D116" s="36"/>
      <c r="E116" s="37"/>
      <c r="H116" s="82" t="s">
        <v>293</v>
      </c>
      <c r="I116" s="91" t="s">
        <v>294</v>
      </c>
    </row>
    <row r="117" spans="1:14" ht="71.400000000000006" x14ac:dyDescent="0.3">
      <c r="A117" s="28" t="str">
        <f>HYPERLINK("https://www.google.com/search?q=Sula dactylatra&amp;tbm=isch")</f>
        <v>https://www.google.com/search?q=Sula dactylatra&amp;tbm=isch</v>
      </c>
      <c r="B117" s="29" t="str">
        <f>HYPERLINK("https://www.xeno-canto.org/species/Sula-dactylatra")</f>
        <v>https://www.xeno-canto.org/species/Sula-dactylatra</v>
      </c>
      <c r="C117" s="30" t="str">
        <f>HYPERLINK("https://ebird.org/species/masboo")</f>
        <v>https://ebird.org/species/masboo</v>
      </c>
      <c r="D117" s="31" t="str">
        <f>HYPERLINK("https://www.hbw.com/species/Masked-Booby-Sula-dactylatra")</f>
        <v>https://www.hbw.com/species/Masked-Booby-Sula-dactylatra</v>
      </c>
      <c r="E117" s="32" t="str">
        <f>HYPERLINK("https://www.iucnredlist.org/search?query=Sula dactylatra&amp;searchType=species")</f>
        <v>https://www.iucnredlist.org/search?query=Sula dactylatra&amp;searchType=species</v>
      </c>
      <c r="F117" s="2">
        <v>85</v>
      </c>
      <c r="G117" s="27" t="s">
        <v>294</v>
      </c>
      <c r="H117" s="83" t="s">
        <v>295</v>
      </c>
      <c r="I117" s="92" t="s">
        <v>296</v>
      </c>
      <c r="J117" s="1" t="s">
        <v>275</v>
      </c>
      <c r="L117" s="1" t="s">
        <v>85</v>
      </c>
      <c r="M117" s="2" t="s">
        <v>181</v>
      </c>
      <c r="N117" s="2" t="s">
        <v>297</v>
      </c>
    </row>
    <row r="118" spans="1:14" ht="14.4" x14ac:dyDescent="0.3">
      <c r="A118" s="28" t="str">
        <f>HYPERLINK("https://www.google.com/search?q=Sula sula&amp;tbm=isch")</f>
        <v>https://www.google.com/search?q=Sula sula&amp;tbm=isch</v>
      </c>
      <c r="B118" s="29" t="str">
        <f>HYPERLINK("https://www.xeno-canto.org/species/Sula-sula")</f>
        <v>https://www.xeno-canto.org/species/Sula-sula</v>
      </c>
      <c r="C118" s="30" t="str">
        <f>HYPERLINK("https://ebird.org/species/refboo")</f>
        <v>https://ebird.org/species/refboo</v>
      </c>
      <c r="D118" s="31" t="str">
        <f>HYPERLINK("https://www.hbw.com/species/Red-footed-Booby-Sula-sula")</f>
        <v>https://www.hbw.com/species/Red-footed-Booby-Sula-sula</v>
      </c>
      <c r="E118" s="32" t="str">
        <f>HYPERLINK("https://www.iucnredlist.org/search?query=Sula sula&amp;searchType=species")</f>
        <v>https://www.iucnredlist.org/search?query=Sula sula&amp;searchType=species</v>
      </c>
      <c r="F118" s="2">
        <v>86</v>
      </c>
      <c r="G118" s="27" t="s">
        <v>294</v>
      </c>
      <c r="H118" s="84" t="s">
        <v>298</v>
      </c>
      <c r="I118" s="92" t="s">
        <v>299</v>
      </c>
      <c r="J118" s="1" t="s">
        <v>15</v>
      </c>
      <c r="M118" s="2" t="s">
        <v>181</v>
      </c>
    </row>
    <row r="119" spans="1:14" ht="14.4" x14ac:dyDescent="0.3">
      <c r="A119" s="28" t="str">
        <f>HYPERLINK("https://www.google.com/search?q=Sula leucogaster&amp;tbm=isch")</f>
        <v>https://www.google.com/search?q=Sula leucogaster&amp;tbm=isch</v>
      </c>
      <c r="B119" s="29" t="str">
        <f>HYPERLINK("https://www.xeno-canto.org/species/Sula-leucogaster")</f>
        <v>https://www.xeno-canto.org/species/Sula-leucogaster</v>
      </c>
      <c r="C119" s="30" t="str">
        <f>HYPERLINK("https://ebird.org/species/brnboo")</f>
        <v>https://ebird.org/species/brnboo</v>
      </c>
      <c r="D119" s="31" t="str">
        <f>HYPERLINK("https://www.hbw.com/species/Brown-Booby-Sula-leucogaster")</f>
        <v>https://www.hbw.com/species/Brown-Booby-Sula-leucogaster</v>
      </c>
      <c r="E119" s="32" t="str">
        <f>HYPERLINK("https://www.iucnredlist.org/search?query=Sula leucogaster&amp;searchType=species")</f>
        <v>https://www.iucnredlist.org/search?query=Sula leucogaster&amp;searchType=species</v>
      </c>
      <c r="F119" s="2">
        <v>87</v>
      </c>
      <c r="G119" s="27" t="s">
        <v>294</v>
      </c>
      <c r="H119" s="84" t="s">
        <v>300</v>
      </c>
      <c r="I119" s="92" t="s">
        <v>301</v>
      </c>
      <c r="J119" s="1" t="s">
        <v>236</v>
      </c>
      <c r="L119" s="1" t="s">
        <v>67</v>
      </c>
      <c r="M119" s="2" t="s">
        <v>181</v>
      </c>
    </row>
    <row r="120" spans="1:14" x14ac:dyDescent="0.3">
      <c r="A120" s="33"/>
      <c r="B120" s="34"/>
      <c r="C120" s="35"/>
      <c r="D120" s="36"/>
      <c r="E120" s="37"/>
    </row>
    <row r="121" spans="1:14" ht="12" x14ac:dyDescent="0.3">
      <c r="A121" s="33"/>
      <c r="B121" s="34"/>
      <c r="C121" s="35"/>
      <c r="D121" s="36"/>
      <c r="E121" s="37"/>
      <c r="H121" s="82" t="s">
        <v>302</v>
      </c>
      <c r="I121" s="91" t="s">
        <v>303</v>
      </c>
    </row>
    <row r="122" spans="1:14" ht="14.4" x14ac:dyDescent="0.3">
      <c r="A122" s="28" t="str">
        <f>HYPERLINK("https://www.google.com/search?q=Phalacrocorax carbo&amp;tbm=isch")</f>
        <v>https://www.google.com/search?q=Phalacrocorax carbo&amp;tbm=isch</v>
      </c>
      <c r="B122" s="29" t="str">
        <f>HYPERLINK("https://www.xeno-canto.org/species/Phalacrocorax-carbo")</f>
        <v>https://www.xeno-canto.org/species/Phalacrocorax-carbo</v>
      </c>
      <c r="C122" s="30" t="str">
        <f>HYPERLINK("https://ebird.org/species/grecor")</f>
        <v>https://ebird.org/species/grecor</v>
      </c>
      <c r="D122" s="31" t="str">
        <f>HYPERLINK("https://www.hbw.com/species/Great-Cormorant-Phalacrocorax-carbo")</f>
        <v>https://www.hbw.com/species/Great-Cormorant-Phalacrocorax-carbo</v>
      </c>
      <c r="E122" s="32" t="str">
        <f>HYPERLINK("https://www.iucnredlist.org/search?query=Phalacrocorax carbo&amp;searchType=species")</f>
        <v>https://www.iucnredlist.org/search?query=Phalacrocorax carbo&amp;searchType=species</v>
      </c>
      <c r="F122" s="2">
        <v>88</v>
      </c>
      <c r="G122" s="27" t="s">
        <v>303</v>
      </c>
      <c r="H122" s="84" t="s">
        <v>304</v>
      </c>
      <c r="I122" s="92" t="s">
        <v>305</v>
      </c>
      <c r="J122" s="1" t="s">
        <v>50</v>
      </c>
      <c r="M122" s="2" t="s">
        <v>306</v>
      </c>
    </row>
    <row r="123" spans="1:14" x14ac:dyDescent="0.3">
      <c r="A123" s="33"/>
      <c r="B123" s="34"/>
      <c r="C123" s="35"/>
      <c r="D123" s="36"/>
      <c r="E123" s="37"/>
    </row>
    <row r="124" spans="1:14" ht="12" x14ac:dyDescent="0.3">
      <c r="A124" s="33"/>
      <c r="B124" s="34"/>
      <c r="C124" s="35"/>
      <c r="D124" s="36"/>
      <c r="E124" s="37"/>
      <c r="H124" s="82" t="s">
        <v>307</v>
      </c>
      <c r="I124" s="91" t="s">
        <v>308</v>
      </c>
    </row>
    <row r="125" spans="1:14" ht="20.399999999999999" x14ac:dyDescent="0.3">
      <c r="A125" s="28" t="str">
        <f>HYPERLINK("https://www.google.com/search?q=Anhinga melanogaster&amp;tbm=isch")</f>
        <v>https://www.google.com/search?q=Anhinga melanogaster&amp;tbm=isch</v>
      </c>
      <c r="B125" s="29" t="str">
        <f>HYPERLINK("https://www.xeno-canto.org/species/Anhinga-melanogaster")</f>
        <v>https://www.xeno-canto.org/species/Anhinga-melanogaster</v>
      </c>
      <c r="C125" s="30" t="str">
        <f>HYPERLINK("https://ebird.org/species/darter2")</f>
        <v>https://ebird.org/species/darter2</v>
      </c>
      <c r="D125" s="31" t="str">
        <f>HYPERLINK("https://www.hbw.com/species/Oriental-Darter-Anhinga-melanogaster")</f>
        <v>https://www.hbw.com/species/Oriental-Darter-Anhinga-melanogaster</v>
      </c>
      <c r="E125" s="32" t="str">
        <f>HYPERLINK("https://www.iucnredlist.org/search?query=Anhinga melanogaster&amp;searchType=species")</f>
        <v>https://www.iucnredlist.org/search?query=Anhinga melanogaster&amp;searchType=species</v>
      </c>
      <c r="F125" s="2">
        <v>89</v>
      </c>
      <c r="G125" s="27" t="s">
        <v>308</v>
      </c>
      <c r="H125" s="83" t="s">
        <v>309</v>
      </c>
      <c r="I125" s="92" t="s">
        <v>310</v>
      </c>
      <c r="J125" s="1" t="s">
        <v>15</v>
      </c>
      <c r="K125" s="1" t="s">
        <v>58</v>
      </c>
      <c r="L125" s="1" t="s">
        <v>66</v>
      </c>
      <c r="M125" s="2" t="s">
        <v>311</v>
      </c>
      <c r="N125" s="2" t="s">
        <v>312</v>
      </c>
    </row>
    <row r="126" spans="1:14" x14ac:dyDescent="0.3">
      <c r="A126" s="33"/>
      <c r="B126" s="34"/>
      <c r="C126" s="35"/>
      <c r="D126" s="36"/>
      <c r="E126" s="37"/>
    </row>
    <row r="127" spans="1:14" ht="12" x14ac:dyDescent="0.3">
      <c r="A127" s="33"/>
      <c r="B127" s="34"/>
      <c r="C127" s="35"/>
      <c r="D127" s="36"/>
      <c r="E127" s="37"/>
      <c r="H127" s="82" t="s">
        <v>313</v>
      </c>
      <c r="I127" s="91" t="s">
        <v>314</v>
      </c>
    </row>
    <row r="128" spans="1:14" ht="30.6" x14ac:dyDescent="0.3">
      <c r="A128" s="28" t="str">
        <f>HYPERLINK("https://www.google.com/search?q=Pandion haliaetus&amp;tbm=isch")</f>
        <v>https://www.google.com/search?q=Pandion haliaetus&amp;tbm=isch</v>
      </c>
      <c r="B128" s="29" t="str">
        <f>HYPERLINK("https://www.xeno-canto.org/species/Pandion-haliaetus")</f>
        <v>https://www.xeno-canto.org/species/Pandion-haliaetus</v>
      </c>
      <c r="C128" s="30" t="str">
        <f>HYPERLINK("https://ebird.org/species/osprey")</f>
        <v>https://ebird.org/species/osprey</v>
      </c>
      <c r="D128" s="31" t="str">
        <f>HYPERLINK("https://www.hbw.com/species/Osprey-Pandion-haliaetus")</f>
        <v>https://www.hbw.com/species/Osprey-Pandion-haliaetus</v>
      </c>
      <c r="E128" s="32" t="str">
        <f>HYPERLINK("https://www.iucnredlist.org/search?query=Pandion haliaetus&amp;searchType=species")</f>
        <v>https://www.iucnredlist.org/search?query=Pandion haliaetus&amp;searchType=species</v>
      </c>
      <c r="F128" s="2">
        <v>90</v>
      </c>
      <c r="G128" s="27" t="s">
        <v>314</v>
      </c>
      <c r="H128" s="84" t="s">
        <v>315</v>
      </c>
      <c r="I128" s="92" t="s">
        <v>316</v>
      </c>
      <c r="J128" s="1" t="s">
        <v>317</v>
      </c>
      <c r="M128" s="2" t="s">
        <v>318</v>
      </c>
      <c r="N128" s="2" t="s">
        <v>319</v>
      </c>
    </row>
    <row r="129" spans="1:14" x14ac:dyDescent="0.3">
      <c r="A129" s="33"/>
      <c r="B129" s="34"/>
      <c r="C129" s="35"/>
      <c r="D129" s="36"/>
      <c r="E129" s="37"/>
    </row>
    <row r="130" spans="1:14" ht="12" x14ac:dyDescent="0.3">
      <c r="A130" s="33"/>
      <c r="B130" s="34"/>
      <c r="C130" s="35"/>
      <c r="D130" s="36"/>
      <c r="E130" s="37"/>
      <c r="H130" s="82" t="s">
        <v>320</v>
      </c>
      <c r="I130" s="91" t="s">
        <v>321</v>
      </c>
    </row>
    <row r="131" spans="1:14" ht="14.4" x14ac:dyDescent="0.3">
      <c r="A131" s="28" t="str">
        <f>HYPERLINK("https://www.google.com/search?q=Elanus caeruleus&amp;tbm=isch")</f>
        <v>https://www.google.com/search?q=Elanus caeruleus&amp;tbm=isch</v>
      </c>
      <c r="B131" s="29" t="str">
        <f>HYPERLINK("https://www.xeno-canto.org/species/Elanus-caeruleus")</f>
        <v>https://www.xeno-canto.org/species/Elanus-caeruleus</v>
      </c>
      <c r="C131" s="30" t="str">
        <f>HYPERLINK("https://ebird.org/species/bkskit1")</f>
        <v>https://ebird.org/species/bkskit1</v>
      </c>
      <c r="D131" s="31" t="str">
        <f>HYPERLINK("https://www.hbw.com/species/Black-winged-Kite-Elanus-caeruleus")</f>
        <v>https://www.hbw.com/species/Black-winged-Kite-Elanus-caeruleus</v>
      </c>
      <c r="E131" s="32" t="str">
        <f>HYPERLINK("https://www.iucnredlist.org/search?query=Elanus caeruleus&amp;searchType=species")</f>
        <v>https://www.iucnredlist.org/search?query=Elanus caeruleus&amp;searchType=species</v>
      </c>
      <c r="F131" s="2">
        <v>91</v>
      </c>
      <c r="G131" s="27" t="s">
        <v>321</v>
      </c>
      <c r="H131" s="84" t="s">
        <v>322</v>
      </c>
      <c r="I131" s="92" t="s">
        <v>323</v>
      </c>
      <c r="J131" s="1" t="s">
        <v>15</v>
      </c>
      <c r="M131" s="2" t="s">
        <v>189</v>
      </c>
    </row>
    <row r="132" spans="1:14" ht="14.4" x14ac:dyDescent="0.3">
      <c r="A132" s="28" t="str">
        <f>HYPERLINK("https://www.google.com/search?q=Pernis ptilorhynchus&amp;tbm=isch")</f>
        <v>https://www.google.com/search?q=Pernis ptilorhynchus&amp;tbm=isch</v>
      </c>
      <c r="B132" s="29" t="str">
        <f>HYPERLINK("https://www.xeno-canto.org/species/Pernis-ptilorhynchus")</f>
        <v>https://www.xeno-canto.org/species/Pernis-ptilorhynchus</v>
      </c>
      <c r="C132" s="30" t="str">
        <f>HYPERLINK("https://ebird.org/species/orihob2")</f>
        <v>https://ebird.org/species/orihob2</v>
      </c>
      <c r="D132" s="31" t="str">
        <f>HYPERLINK("https://www.hbw.com/species/Oriental-Honey-buzzard-Pernis-ptilorhynchus")</f>
        <v>https://www.hbw.com/species/Oriental-Honey-buzzard-Pernis-ptilorhynchus</v>
      </c>
      <c r="E132" s="32" t="str">
        <f>HYPERLINK("https://www.iucnredlist.org/search?query=Pernis ptilorhynchus&amp;searchType=species")</f>
        <v>https://www.iucnredlist.org/search?query=Pernis ptilorhynchus&amp;searchType=species</v>
      </c>
      <c r="F132" s="2">
        <v>92</v>
      </c>
      <c r="G132" s="27" t="s">
        <v>321</v>
      </c>
      <c r="H132" s="84" t="s">
        <v>324</v>
      </c>
      <c r="I132" s="92" t="s">
        <v>325</v>
      </c>
      <c r="J132" s="1" t="s">
        <v>236</v>
      </c>
      <c r="M132" s="2" t="s">
        <v>326</v>
      </c>
    </row>
    <row r="133" spans="1:14" ht="14.4" x14ac:dyDescent="0.3">
      <c r="A133" s="28" t="str">
        <f>HYPERLINK("https://www.google.com/search?q=Pernis steerei&amp;tbm=isch")</f>
        <v>https://www.google.com/search?q=Pernis steerei&amp;tbm=isch</v>
      </c>
      <c r="B133" s="29" t="str">
        <f>HYPERLINK("https://www.xeno-canto.org/species/Pernis-steerei")</f>
        <v>https://www.xeno-canto.org/species/Pernis-steerei</v>
      </c>
      <c r="C133" s="30" t="str">
        <f>HYPERLINK("https://ebird.org/species/")</f>
        <v>https://ebird.org/species/</v>
      </c>
      <c r="D133" s="31" t="str">
        <f>HYPERLINK("https://www.hbw.com/species/Philippine-Honey-buzzard-Pernis-steerei")</f>
        <v>https://www.hbw.com/species/Philippine-Honey-buzzard-Pernis-steerei</v>
      </c>
      <c r="E133" s="32" t="str">
        <f>HYPERLINK("https://www.iucnredlist.org/search?query=Pernis steerei&amp;searchType=species")</f>
        <v>https://www.iucnredlist.org/search?query=Pernis steerei&amp;searchType=species</v>
      </c>
      <c r="F133" s="2">
        <v>93</v>
      </c>
      <c r="G133" s="27" t="s">
        <v>321</v>
      </c>
      <c r="H133" s="86" t="s">
        <v>327</v>
      </c>
      <c r="I133" s="94" t="s">
        <v>328</v>
      </c>
      <c r="J133" s="1" t="s">
        <v>65</v>
      </c>
      <c r="M133" s="2" t="s">
        <v>68</v>
      </c>
    </row>
    <row r="134" spans="1:14" ht="14.4" x14ac:dyDescent="0.3">
      <c r="A134" s="28" t="str">
        <f>HYPERLINK("https://www.google.com/search?q=Aviceda jerdoni&amp;tbm=isch")</f>
        <v>https://www.google.com/search?q=Aviceda jerdoni&amp;tbm=isch</v>
      </c>
      <c r="B134" s="29" t="str">
        <f>HYPERLINK("https://www.xeno-canto.org/species/Aviceda-jerdoni")</f>
        <v>https://www.xeno-canto.org/species/Aviceda-jerdoni</v>
      </c>
      <c r="C134" s="30" t="str">
        <f>HYPERLINK("https://ebird.org/species/jerbaz1")</f>
        <v>https://ebird.org/species/jerbaz1</v>
      </c>
      <c r="D134" s="31" t="str">
        <f>HYPERLINK("https://www.hbw.com/species/Jerdon's-Baza-Aviceda-jerdoni")</f>
        <v>https://www.hbw.com/species/Jerdon's-Baza-Aviceda-jerdoni</v>
      </c>
      <c r="E134" s="32" t="str">
        <f>HYPERLINK("https://www.iucnredlist.org/search?query=Aviceda jerdoni&amp;searchType=species")</f>
        <v>https://www.iucnredlist.org/search?query=Aviceda jerdoni&amp;searchType=species</v>
      </c>
      <c r="F134" s="2">
        <v>94</v>
      </c>
      <c r="G134" s="27" t="s">
        <v>321</v>
      </c>
      <c r="H134" s="83" t="s">
        <v>329</v>
      </c>
      <c r="I134" s="92" t="s">
        <v>330</v>
      </c>
      <c r="J134" s="1" t="s">
        <v>331</v>
      </c>
      <c r="M134" s="2" t="s">
        <v>43</v>
      </c>
    </row>
    <row r="135" spans="1:14" ht="30.6" x14ac:dyDescent="0.3">
      <c r="A135" s="28" t="str">
        <f>HYPERLINK("https://www.google.com/search?q=Aegypius monachus&amp;tbm=isch")</f>
        <v>https://www.google.com/search?q=Aegypius monachus&amp;tbm=isch</v>
      </c>
      <c r="B135" s="29" t="str">
        <f>HYPERLINK("https://www.xeno-canto.org/species/Aegypius-monachus")</f>
        <v>https://www.xeno-canto.org/species/Aegypius-monachus</v>
      </c>
      <c r="C135" s="30" t="str">
        <f>HYPERLINK("https://ebird.org/species/cinvul1")</f>
        <v>https://ebird.org/species/cinvul1</v>
      </c>
      <c r="D135" s="31" t="str">
        <f>HYPERLINK("https://www.hbw.com/species/Cinereous-Vulture-Aegypius-monachus")</f>
        <v>https://www.hbw.com/species/Cinereous-Vulture-Aegypius-monachus</v>
      </c>
      <c r="E135" s="32" t="str">
        <f>HYPERLINK("https://www.iucnredlist.org/search?query=Aegypius monachus&amp;searchType=species")</f>
        <v>https://www.iucnredlist.org/search?query=Aegypius monachus&amp;searchType=species</v>
      </c>
      <c r="F135" s="2">
        <v>95</v>
      </c>
      <c r="G135" s="27" t="s">
        <v>321</v>
      </c>
      <c r="H135" s="85" t="s">
        <v>332</v>
      </c>
      <c r="I135" s="93" t="s">
        <v>333</v>
      </c>
      <c r="J135" s="1" t="s">
        <v>19</v>
      </c>
      <c r="K135" s="1" t="s">
        <v>58</v>
      </c>
      <c r="L135" s="1" t="s">
        <v>130</v>
      </c>
      <c r="M135" s="2" t="s">
        <v>334</v>
      </c>
      <c r="N135" s="2" t="s">
        <v>11314</v>
      </c>
    </row>
    <row r="136" spans="1:14" ht="14.4" x14ac:dyDescent="0.3">
      <c r="A136" s="28" t="str">
        <f>HYPERLINK("https://www.google.com/search?q=Spilornis cheela&amp;tbm=isch")</f>
        <v>https://www.google.com/search?q=Spilornis cheela&amp;tbm=isch</v>
      </c>
      <c r="B136" s="29" t="str">
        <f>HYPERLINK("https://www.xeno-canto.org/species/Spilornis-cheela")</f>
        <v>https://www.xeno-canto.org/species/Spilornis-cheela</v>
      </c>
      <c r="C136" s="30" t="str">
        <f>HYPERLINK("https://ebird.org/species/crseag1")</f>
        <v>https://ebird.org/species/crseag1</v>
      </c>
      <c r="D136" s="31" t="str">
        <f>HYPERLINK("https://www.hbw.com/species/Crested-Serpent-eagle-Spilornis-cheela")</f>
        <v>https://www.hbw.com/species/Crested-Serpent-eagle-Spilornis-cheela</v>
      </c>
      <c r="E136" s="32" t="str">
        <f>HYPERLINK("https://www.iucnredlist.org/search?query=Spilornis cheela&amp;searchType=species")</f>
        <v>https://www.iucnredlist.org/search?query=Spilornis cheela&amp;searchType=species</v>
      </c>
      <c r="F136" s="2">
        <v>96</v>
      </c>
      <c r="G136" s="27" t="s">
        <v>321</v>
      </c>
      <c r="H136" s="84" t="s">
        <v>335</v>
      </c>
      <c r="I136" s="92" t="s">
        <v>336</v>
      </c>
      <c r="J136" s="1" t="s">
        <v>15</v>
      </c>
      <c r="M136" s="2" t="s">
        <v>43</v>
      </c>
    </row>
    <row r="137" spans="1:14" ht="14.4" x14ac:dyDescent="0.3">
      <c r="A137" s="28" t="str">
        <f>HYPERLINK("https://www.google.com/search?q=Spilornis holospilus&amp;tbm=isch")</f>
        <v>https://www.google.com/search?q=Spilornis holospilus&amp;tbm=isch</v>
      </c>
      <c r="B137" s="29" t="str">
        <f>HYPERLINK("https://www.xeno-canto.org/species/Spilornis-holospilus")</f>
        <v>https://www.xeno-canto.org/species/Spilornis-holospilus</v>
      </c>
      <c r="C137" s="30" t="str">
        <f>HYPERLINK("https://ebird.org/species/phseag1")</f>
        <v>https://ebird.org/species/phseag1</v>
      </c>
      <c r="D137" s="31" t="str">
        <f>HYPERLINK("https://www.hbw.com/species/Philippine-Serpent-eagle-Spilornis-holospilus")</f>
        <v>https://www.hbw.com/species/Philippine-Serpent-eagle-Spilornis-holospilus</v>
      </c>
      <c r="E137" s="32" t="str">
        <f>HYPERLINK("https://www.iucnredlist.org/search?query=Spilornis holospilus&amp;searchType=species")</f>
        <v>https://www.iucnredlist.org/search?query=Spilornis holospilus&amp;searchType=species</v>
      </c>
      <c r="F137" s="2">
        <v>97</v>
      </c>
      <c r="G137" s="27" t="s">
        <v>321</v>
      </c>
      <c r="H137" s="86" t="s">
        <v>337</v>
      </c>
      <c r="I137" s="94" t="s">
        <v>338</v>
      </c>
      <c r="J137" s="1" t="s">
        <v>65</v>
      </c>
      <c r="M137" s="2" t="s">
        <v>68</v>
      </c>
    </row>
    <row r="138" spans="1:14" ht="14.4" x14ac:dyDescent="0.3">
      <c r="A138" s="28" t="str">
        <f>HYPERLINK("https://www.google.com/search?q=Pithecophaga jefferyi&amp;tbm=isch")</f>
        <v>https://www.google.com/search?q=Pithecophaga jefferyi&amp;tbm=isch</v>
      </c>
      <c r="B138" s="29" t="str">
        <f>HYPERLINK("https://www.xeno-canto.org/species/Pithecophaga-jefferyi")</f>
        <v>https://www.xeno-canto.org/species/Pithecophaga-jefferyi</v>
      </c>
      <c r="C138" s="30" t="str">
        <f>HYPERLINK("https://ebird.org/species/grpeag1")</f>
        <v>https://ebird.org/species/grpeag1</v>
      </c>
      <c r="D138" s="31" t="str">
        <f>HYPERLINK("https://www.hbw.com/species/Philippine-Eagle-Pithecophaga-jefferyi")</f>
        <v>https://www.hbw.com/species/Philippine-Eagle-Pithecophaga-jefferyi</v>
      </c>
      <c r="E138" s="32" t="str">
        <f>HYPERLINK("https://www.iucnredlist.org/search?query=Pithecophaga jefferyi&amp;searchType=species")</f>
        <v>https://www.iucnredlist.org/search?query=Pithecophaga jefferyi&amp;searchType=species</v>
      </c>
      <c r="F138" s="2">
        <v>98</v>
      </c>
      <c r="G138" s="27" t="s">
        <v>321</v>
      </c>
      <c r="H138" s="86" t="s">
        <v>339</v>
      </c>
      <c r="I138" s="94" t="s">
        <v>340</v>
      </c>
      <c r="J138" s="1" t="s">
        <v>65</v>
      </c>
      <c r="K138" s="1" t="s">
        <v>85</v>
      </c>
      <c r="L138" s="1" t="s">
        <v>85</v>
      </c>
      <c r="M138" s="2" t="s">
        <v>68</v>
      </c>
    </row>
    <row r="139" spans="1:14" ht="20.399999999999999" x14ac:dyDescent="0.3">
      <c r="A139" s="28" t="str">
        <f>HYPERLINK("https://www.google.com/search?q=Nisaetus cirrhatus&amp;tbm=isch")</f>
        <v>https://www.google.com/search?q=Nisaetus cirrhatus&amp;tbm=isch</v>
      </c>
      <c r="B139" s="29" t="str">
        <f>HYPERLINK("https://www.xeno-canto.org/species/Nisaetus-cirrhatus")</f>
        <v>https://www.xeno-canto.org/species/Nisaetus-cirrhatus</v>
      </c>
      <c r="C139" s="30" t="str">
        <f>HYPERLINK("https://ebird.org/species/crehae1")</f>
        <v>https://ebird.org/species/crehae1</v>
      </c>
      <c r="D139" s="31" t="str">
        <f>HYPERLINK("https://www.hbw.com/species/Changeable-Hawk-eagle-Nisaetus-cirrhatus")</f>
        <v>https://www.hbw.com/species/Changeable-Hawk-eagle-Nisaetus-cirrhatus</v>
      </c>
      <c r="E139" s="32" t="str">
        <f>HYPERLINK("https://www.iucnredlist.org/search?query=Nisaetus cirrhatus&amp;searchType=species")</f>
        <v>https://www.iucnredlist.org/search?query=Nisaetus cirrhatus&amp;searchType=species</v>
      </c>
      <c r="F139" s="2">
        <v>99</v>
      </c>
      <c r="G139" s="27" t="s">
        <v>321</v>
      </c>
      <c r="H139" s="84" t="s">
        <v>341</v>
      </c>
      <c r="I139" s="92" t="s">
        <v>342</v>
      </c>
      <c r="J139" s="1" t="s">
        <v>15</v>
      </c>
      <c r="M139" s="2" t="s">
        <v>343</v>
      </c>
    </row>
    <row r="140" spans="1:14" ht="14.4" x14ac:dyDescent="0.3">
      <c r="A140" s="28" t="str">
        <f>HYPERLINK("https://www.google.com/search?q=Nisaetus philippensis&amp;tbm=isch")</f>
        <v>https://www.google.com/search?q=Nisaetus philippensis&amp;tbm=isch</v>
      </c>
      <c r="B140" s="29" t="str">
        <f>HYPERLINK("https://www.xeno-canto.org/species/Nisaetus-philippensis")</f>
        <v>https://www.xeno-canto.org/species/Nisaetus-philippensis</v>
      </c>
      <c r="C140" s="30" t="str">
        <f>HYPERLINK("https://ebird.org/species/phihae1")</f>
        <v>https://ebird.org/species/phihae1</v>
      </c>
      <c r="D140" s="31" t="str">
        <f>HYPERLINK("https://www.hbw.com/species/North-Philippine-Hawk-eagle-Nisaetus-philippensis")</f>
        <v>https://www.hbw.com/species/North-Philippine-Hawk-eagle-Nisaetus-philippensis</v>
      </c>
      <c r="E140" s="32" t="str">
        <f>HYPERLINK("https://www.iucnredlist.org/search?query=Nisaetus philippensis&amp;searchType=species")</f>
        <v>https://www.iucnredlist.org/search?query=Nisaetus philippensis&amp;searchType=species</v>
      </c>
      <c r="F140" s="2">
        <v>100</v>
      </c>
      <c r="G140" s="27" t="s">
        <v>321</v>
      </c>
      <c r="H140" s="86" t="s">
        <v>344</v>
      </c>
      <c r="I140" s="94" t="s">
        <v>345</v>
      </c>
      <c r="J140" s="1" t="s">
        <v>65</v>
      </c>
      <c r="K140" s="1" t="s">
        <v>67</v>
      </c>
      <c r="L140" s="1" t="s">
        <v>66</v>
      </c>
      <c r="M140" s="2" t="s">
        <v>346</v>
      </c>
    </row>
    <row r="141" spans="1:14" ht="14.4" x14ac:dyDescent="0.3">
      <c r="A141" s="28" t="str">
        <f>HYPERLINK("https://www.google.com/search?q=Nisaetus pinskeri&amp;tbm=isch")</f>
        <v>https://www.google.com/search?q=Nisaetus pinskeri&amp;tbm=isch</v>
      </c>
      <c r="B141" s="29" t="str">
        <f>HYPERLINK("https://www.xeno-canto.org/species/Nisaetus-pinskeri")</f>
        <v>https://www.xeno-canto.org/species/Nisaetus-pinskeri</v>
      </c>
      <c r="C141" s="30" t="str">
        <f>HYPERLINK("https://ebird.org/species/pinhae1")</f>
        <v>https://ebird.org/species/pinhae1</v>
      </c>
      <c r="D141" s="31" t="str">
        <f>HYPERLINK("https://www.hbw.com/species/South-Philippine-Hawk-eagle-Nisaetus-pinskeri")</f>
        <v>https://www.hbw.com/species/South-Philippine-Hawk-eagle-Nisaetus-pinskeri</v>
      </c>
      <c r="E141" s="32" t="str">
        <f>HYPERLINK("https://www.iucnredlist.org/search?query=Nisaetus pinskeri&amp;searchType=species")</f>
        <v>https://www.iucnredlist.org/search?query=Nisaetus pinskeri&amp;searchType=species</v>
      </c>
      <c r="F141" s="2">
        <v>101</v>
      </c>
      <c r="G141" s="27" t="s">
        <v>321</v>
      </c>
      <c r="H141" s="86" t="s">
        <v>347</v>
      </c>
      <c r="I141" s="94" t="s">
        <v>348</v>
      </c>
      <c r="J141" s="1" t="s">
        <v>65</v>
      </c>
      <c r="K141" s="1" t="s">
        <v>67</v>
      </c>
      <c r="L141" s="1" t="s">
        <v>67</v>
      </c>
      <c r="M141" s="2" t="s">
        <v>349</v>
      </c>
    </row>
    <row r="142" spans="1:14" ht="14.4" x14ac:dyDescent="0.3">
      <c r="A142" s="28" t="str">
        <f>HYPERLINK("https://www.google.com/search?q=Lophotriorchis kienerii&amp;tbm=isch")</f>
        <v>https://www.google.com/search?q=Lophotriorchis kienerii&amp;tbm=isch</v>
      </c>
      <c r="B142" s="29" t="str">
        <f>HYPERLINK("https://www.xeno-canto.org/species/Lophotriorchis-kienerii")</f>
        <v>https://www.xeno-canto.org/species/Lophotriorchis-kienerii</v>
      </c>
      <c r="C142" s="30" t="str">
        <f>HYPERLINK("https://ebird.org/species/rubeag2")</f>
        <v>https://ebird.org/species/rubeag2</v>
      </c>
      <c r="D142" s="31" t="str">
        <f>HYPERLINK("https://www.hbw.com/species/Rufous-bellied-Eagle-Lophotriorchis-kienerii")</f>
        <v>https://www.hbw.com/species/Rufous-bellied-Eagle-Lophotriorchis-kienerii</v>
      </c>
      <c r="E142" s="32" t="str">
        <f>HYPERLINK("https://www.iucnredlist.org/search?query=Lophotriorchis kienerii&amp;searchType=species")</f>
        <v>https://www.iucnredlist.org/search?query=Lophotriorchis kienerii&amp;searchType=species</v>
      </c>
      <c r="F142" s="2">
        <v>102</v>
      </c>
      <c r="G142" s="27" t="s">
        <v>321</v>
      </c>
      <c r="H142" s="84" t="s">
        <v>350</v>
      </c>
      <c r="I142" s="92" t="s">
        <v>351</v>
      </c>
      <c r="J142" s="1" t="s">
        <v>15</v>
      </c>
      <c r="K142" s="1" t="s">
        <v>58</v>
      </c>
      <c r="M142" s="2" t="s">
        <v>352</v>
      </c>
    </row>
    <row r="143" spans="1:14" ht="14.4" x14ac:dyDescent="0.3">
      <c r="A143" s="28" t="str">
        <f>HYPERLINK("https://www.google.com/search?q=Accipiter trivirgatus&amp;tbm=isch")</f>
        <v>https://www.google.com/search?q=Accipiter trivirgatus&amp;tbm=isch</v>
      </c>
      <c r="B143" s="29" t="str">
        <f>HYPERLINK("https://www.xeno-canto.org/species/Accipiter-trivirgatus")</f>
        <v>https://www.xeno-canto.org/species/Accipiter-trivirgatus</v>
      </c>
      <c r="C143" s="30" t="str">
        <f>HYPERLINK("https://ebird.org/species/cregos1")</f>
        <v>https://ebird.org/species/cregos1</v>
      </c>
      <c r="D143" s="31" t="str">
        <f>HYPERLINK("https://www.hbw.com/species/Crested-Goshawk-Accipiter-trivirgatus")</f>
        <v>https://www.hbw.com/species/Crested-Goshawk-Accipiter-trivirgatus</v>
      </c>
      <c r="E143" s="32" t="str">
        <f>HYPERLINK("https://www.iucnredlist.org/search?query=Accipiter trivirgatus&amp;searchType=species")</f>
        <v>https://www.iucnredlist.org/search?query=Accipiter trivirgatus&amp;searchType=species</v>
      </c>
      <c r="F143" s="2">
        <v>103</v>
      </c>
      <c r="G143" s="27" t="s">
        <v>321</v>
      </c>
      <c r="H143" s="84" t="s">
        <v>353</v>
      </c>
      <c r="I143" s="92" t="s">
        <v>354</v>
      </c>
      <c r="J143" s="1" t="s">
        <v>15</v>
      </c>
      <c r="M143" s="2" t="s">
        <v>43</v>
      </c>
    </row>
    <row r="144" spans="1:14" ht="14.4" x14ac:dyDescent="0.3">
      <c r="A144" s="28" t="str">
        <f>HYPERLINK("https://www.google.com/search?q=Accipiter soloensis&amp;tbm=isch")</f>
        <v>https://www.google.com/search?q=Accipiter soloensis&amp;tbm=isch</v>
      </c>
      <c r="B144" s="29" t="str">
        <f>HYPERLINK("https://www.xeno-canto.org/species/Accipiter-soloensis")</f>
        <v>https://www.xeno-canto.org/species/Accipiter-soloensis</v>
      </c>
      <c r="C144" s="30" t="str">
        <f>HYPERLINK("https://ebird.org/species/grfhaw1")</f>
        <v>https://ebird.org/species/grfhaw1</v>
      </c>
      <c r="D144" s="31" t="str">
        <f>HYPERLINK("https://www.hbw.com/species/Chinese-Sparrowhawk-Accipiter-soloensis")</f>
        <v>https://www.hbw.com/species/Chinese-Sparrowhawk-Accipiter-soloensis</v>
      </c>
      <c r="E144" s="32" t="str">
        <f>HYPERLINK("https://www.iucnredlist.org/search?query=Accipiter soloensis&amp;searchType=species")</f>
        <v>https://www.iucnredlist.org/search?query=Accipiter soloensis&amp;searchType=species</v>
      </c>
      <c r="F144" s="2">
        <v>104</v>
      </c>
      <c r="G144" s="27" t="s">
        <v>321</v>
      </c>
      <c r="H144" s="84" t="s">
        <v>355</v>
      </c>
      <c r="I144" s="92" t="s">
        <v>356</v>
      </c>
      <c r="J144" s="1" t="s">
        <v>50</v>
      </c>
      <c r="M144" s="2" t="s">
        <v>357</v>
      </c>
    </row>
    <row r="145" spans="1:14" ht="14.4" x14ac:dyDescent="0.3">
      <c r="A145" s="28" t="str">
        <f>HYPERLINK("https://www.google.com/search?q=Accipiter gularis&amp;tbm=isch")</f>
        <v>https://www.google.com/search?q=Accipiter gularis&amp;tbm=isch</v>
      </c>
      <c r="B145" s="29" t="str">
        <f>HYPERLINK("https://www.xeno-canto.org/species/Accipiter-gularis")</f>
        <v>https://www.xeno-canto.org/species/Accipiter-gularis</v>
      </c>
      <c r="C145" s="30" t="str">
        <f>HYPERLINK("https://ebird.org/species/japspa1")</f>
        <v>https://ebird.org/species/japspa1</v>
      </c>
      <c r="D145" s="31" t="str">
        <f>HYPERLINK("https://www.hbw.com/species/Japanese-Sparrowhawk-Accipiter-gularis")</f>
        <v>https://www.hbw.com/species/Japanese-Sparrowhawk-Accipiter-gularis</v>
      </c>
      <c r="E145" s="32" t="str">
        <f>HYPERLINK("https://www.iucnredlist.org/search?query=Accipiter gularis&amp;searchType=species")</f>
        <v>https://www.iucnredlist.org/search?query=Accipiter gularis&amp;searchType=species</v>
      </c>
      <c r="F145" s="2">
        <v>105</v>
      </c>
      <c r="G145" s="27" t="s">
        <v>321</v>
      </c>
      <c r="H145" s="84" t="s">
        <v>358</v>
      </c>
      <c r="I145" s="92" t="s">
        <v>359</v>
      </c>
      <c r="J145" s="1" t="s">
        <v>50</v>
      </c>
      <c r="M145" s="2" t="s">
        <v>360</v>
      </c>
    </row>
    <row r="146" spans="1:14" ht="14.4" x14ac:dyDescent="0.3">
      <c r="A146" s="28" t="str">
        <f>HYPERLINK("https://www.google.com/search?q=Accipiter virgatus&amp;tbm=isch")</f>
        <v>https://www.google.com/search?q=Accipiter virgatus&amp;tbm=isch</v>
      </c>
      <c r="B146" s="29" t="str">
        <f>HYPERLINK("https://www.xeno-canto.org/species/Accipiter-virgatus")</f>
        <v>https://www.xeno-canto.org/species/Accipiter-virgatus</v>
      </c>
      <c r="C146" s="30" t="str">
        <f>HYPERLINK("https://ebird.org/species/besra1")</f>
        <v>https://ebird.org/species/besra1</v>
      </c>
      <c r="D146" s="31" t="str">
        <f>HYPERLINK("https://www.hbw.com/species/Besra-Accipiter-virgatus")</f>
        <v>https://www.hbw.com/species/Besra-Accipiter-virgatus</v>
      </c>
      <c r="E146" s="32" t="str">
        <f>HYPERLINK("https://www.iucnredlist.org/search?query=Accipiter virgatus&amp;searchType=species")</f>
        <v>https://www.iucnredlist.org/search?query=Accipiter virgatus&amp;searchType=species</v>
      </c>
      <c r="F146" s="2">
        <v>106</v>
      </c>
      <c r="G146" s="27" t="s">
        <v>321</v>
      </c>
      <c r="H146" s="84" t="s">
        <v>361</v>
      </c>
      <c r="I146" s="92" t="s">
        <v>362</v>
      </c>
      <c r="J146" s="1" t="s">
        <v>15</v>
      </c>
      <c r="M146" s="2" t="s">
        <v>43</v>
      </c>
    </row>
    <row r="147" spans="1:14" ht="30.6" x14ac:dyDescent="0.3">
      <c r="A147" s="28" t="str">
        <f>HYPERLINK("https://www.google.com/search?q=Accipiter nisus&amp;tbm=isch")</f>
        <v>https://www.google.com/search?q=Accipiter nisus&amp;tbm=isch</v>
      </c>
      <c r="B147" s="29" t="str">
        <f>HYPERLINK("https://www.xeno-canto.org/species/Accipiter-nisus")</f>
        <v>https://www.xeno-canto.org/species/Accipiter-nisus</v>
      </c>
      <c r="C147" s="30" t="str">
        <f>HYPERLINK("https://ebird.org/species/eurspa1")</f>
        <v>https://ebird.org/species/eurspa1</v>
      </c>
      <c r="D147" s="31" t="str">
        <f>HYPERLINK("https://www.hbw.com/species/Eurasian-Sparrowhawk-Accipiter-nisus")</f>
        <v>https://www.hbw.com/species/Eurasian-Sparrowhawk-Accipiter-nisus</v>
      </c>
      <c r="E147" s="32" t="str">
        <f>HYPERLINK("https://www.iucnredlist.org/search?query=Accipiter nisus&amp;searchType=species")</f>
        <v>https://www.iucnredlist.org/search?query=Accipiter nisus&amp;searchType=species</v>
      </c>
      <c r="F147" s="2">
        <v>107</v>
      </c>
      <c r="G147" s="27" t="s">
        <v>321</v>
      </c>
      <c r="H147" s="85" t="s">
        <v>363</v>
      </c>
      <c r="I147" s="93" t="s">
        <v>364</v>
      </c>
      <c r="J147" s="1" t="s">
        <v>19</v>
      </c>
      <c r="M147" s="2" t="s">
        <v>92</v>
      </c>
      <c r="N147" s="2" t="s">
        <v>11315</v>
      </c>
    </row>
    <row r="148" spans="1:14" ht="14.4" x14ac:dyDescent="0.3">
      <c r="A148" s="28" t="str">
        <f>HYPERLINK("https://www.google.com/search?q=Circus spilonotus&amp;tbm=isch")</f>
        <v>https://www.google.com/search?q=Circus spilonotus&amp;tbm=isch</v>
      </c>
      <c r="B148" s="29" t="str">
        <f>HYPERLINK("https://www.xeno-canto.org/species/Circus-spilonotus")</f>
        <v>https://www.xeno-canto.org/species/Circus-spilonotus</v>
      </c>
      <c r="C148" s="30" t="str">
        <f>HYPERLINK("https://ebird.org/species/eamhar1")</f>
        <v>https://ebird.org/species/eamhar1</v>
      </c>
      <c r="D148" s="31" t="str">
        <f>HYPERLINK("https://www.hbw.com/species/Eastern-Marsh-harrier-Circus-spilonotus")</f>
        <v>https://www.hbw.com/species/Eastern-Marsh-harrier-Circus-spilonotus</v>
      </c>
      <c r="E148" s="32" t="str">
        <f>HYPERLINK("https://www.iucnredlist.org/search?query=Circus spilonotus&amp;searchType=species")</f>
        <v>https://www.iucnredlist.org/search?query=Circus spilonotus&amp;searchType=species</v>
      </c>
      <c r="F148" s="2">
        <v>108</v>
      </c>
      <c r="G148" s="27" t="s">
        <v>321</v>
      </c>
      <c r="H148" s="84" t="s">
        <v>365</v>
      </c>
      <c r="I148" s="92" t="s">
        <v>366</v>
      </c>
      <c r="J148" s="1" t="s">
        <v>50</v>
      </c>
      <c r="M148" s="2" t="s">
        <v>367</v>
      </c>
    </row>
    <row r="149" spans="1:14" ht="14.4" x14ac:dyDescent="0.3">
      <c r="A149" s="28" t="str">
        <f>HYPERLINK("https://www.google.com/search?q=Circus melanoleucos&amp;tbm=isch")</f>
        <v>https://www.google.com/search?q=Circus melanoleucos&amp;tbm=isch</v>
      </c>
      <c r="B149" s="29" t="str">
        <f>HYPERLINK("https://www.xeno-canto.org/species/Circus-melanoleucos")</f>
        <v>https://www.xeno-canto.org/species/Circus-melanoleucos</v>
      </c>
      <c r="C149" s="30" t="str">
        <f>HYPERLINK("https://ebird.org/species/piehar1")</f>
        <v>https://ebird.org/species/piehar1</v>
      </c>
      <c r="D149" s="31" t="str">
        <f>HYPERLINK("https://www.hbw.com/species/Pied-Harrier-Circus-melanoleucos")</f>
        <v>https://www.hbw.com/species/Pied-Harrier-Circus-melanoleucos</v>
      </c>
      <c r="E149" s="32" t="str">
        <f>HYPERLINK("https://www.iucnredlist.org/search?query=Circus melanoleucos&amp;searchType=species")</f>
        <v>https://www.iucnredlist.org/search?query=Circus melanoleucos&amp;searchType=species</v>
      </c>
      <c r="F149" s="2">
        <v>109</v>
      </c>
      <c r="G149" s="27" t="s">
        <v>321</v>
      </c>
      <c r="H149" s="84" t="s">
        <v>368</v>
      </c>
      <c r="I149" s="92" t="s">
        <v>369</v>
      </c>
      <c r="J149" s="1" t="s">
        <v>236</v>
      </c>
      <c r="M149" s="2" t="s">
        <v>370</v>
      </c>
    </row>
    <row r="150" spans="1:14" ht="14.4" x14ac:dyDescent="0.3">
      <c r="A150" s="28" t="str">
        <f>HYPERLINK("https://www.google.com/search?q=Milvus migrans&amp;tbm=isch")</f>
        <v>https://www.google.com/search?q=Milvus migrans&amp;tbm=isch</v>
      </c>
      <c r="B150" s="29" t="str">
        <f>HYPERLINK("https://www.xeno-canto.org/species/Milvus-migrans")</f>
        <v>https://www.xeno-canto.org/species/Milvus-migrans</v>
      </c>
      <c r="C150" s="30" t="str">
        <f>HYPERLINK("https://ebird.org/species/blakit1")</f>
        <v>https://ebird.org/species/blakit1</v>
      </c>
      <c r="D150" s="31" t="str">
        <f>HYPERLINK("https://www.hbw.com/species/Black-Kite-Milvus-migrans")</f>
        <v>https://www.hbw.com/species/Black-Kite-Milvus-migrans</v>
      </c>
      <c r="E150" s="32" t="str">
        <f>HYPERLINK("https://www.iucnredlist.org/search?query=Milvus migrans&amp;searchType=species")</f>
        <v>https://www.iucnredlist.org/search?query=Milvus migrans&amp;searchType=species</v>
      </c>
      <c r="F150" s="2">
        <v>110</v>
      </c>
      <c r="G150" s="27" t="s">
        <v>321</v>
      </c>
      <c r="H150" s="83" t="s">
        <v>371</v>
      </c>
      <c r="I150" s="92" t="s">
        <v>372</v>
      </c>
      <c r="J150" s="1" t="s">
        <v>19</v>
      </c>
      <c r="M150" s="2" t="s">
        <v>263</v>
      </c>
    </row>
    <row r="151" spans="1:14" ht="14.4" x14ac:dyDescent="0.3">
      <c r="A151" s="28" t="str">
        <f>HYPERLINK("https://www.google.com/search?q=Haliastur indus&amp;tbm=isch")</f>
        <v>https://www.google.com/search?q=Haliastur indus&amp;tbm=isch</v>
      </c>
      <c r="B151" s="29" t="str">
        <f>HYPERLINK("https://www.xeno-canto.org/species/Haliastur-indus")</f>
        <v>https://www.xeno-canto.org/species/Haliastur-indus</v>
      </c>
      <c r="C151" s="30" t="str">
        <f>HYPERLINK("https://ebird.org/species/brakit1")</f>
        <v>https://ebird.org/species/brakit1</v>
      </c>
      <c r="D151" s="31" t="str">
        <f>HYPERLINK("https://www.hbw.com/species/Brahminy-Kite-Haliastur-indus")</f>
        <v>https://www.hbw.com/species/Brahminy-Kite-Haliastur-indus</v>
      </c>
      <c r="E151" s="32" t="str">
        <f>HYPERLINK("https://www.iucnredlist.org/search?query=Haliastur indus&amp;searchType=species")</f>
        <v>https://www.iucnredlist.org/search?query=Haliastur indus&amp;searchType=species</v>
      </c>
      <c r="F151" s="2">
        <v>111</v>
      </c>
      <c r="G151" s="27" t="s">
        <v>321</v>
      </c>
      <c r="H151" s="84" t="s">
        <v>373</v>
      </c>
      <c r="I151" s="92" t="s">
        <v>374</v>
      </c>
      <c r="J151" s="1" t="s">
        <v>15</v>
      </c>
      <c r="M151" s="2" t="s">
        <v>375</v>
      </c>
    </row>
    <row r="152" spans="1:14" ht="14.4" x14ac:dyDescent="0.3">
      <c r="A152" s="28" t="str">
        <f>HYPERLINK("https://www.google.com/search?q=Haliaeetus leucogaster&amp;tbm=isch")</f>
        <v>https://www.google.com/search?q=Haliaeetus leucogaster&amp;tbm=isch</v>
      </c>
      <c r="B152" s="29" t="str">
        <f>HYPERLINK("https://www.xeno-canto.org/species/Haliaeetus-leucogaster")</f>
        <v>https://www.xeno-canto.org/species/Haliaeetus-leucogaster</v>
      </c>
      <c r="C152" s="30" t="str">
        <f>HYPERLINK("https://ebird.org/species/wbseag1")</f>
        <v>https://ebird.org/species/wbseag1</v>
      </c>
      <c r="D152" s="31" t="str">
        <f>HYPERLINK("https://www.hbw.com/species/White-bellied-Sea-eagle-Haliaeetus-leucogaster")</f>
        <v>https://www.hbw.com/species/White-bellied-Sea-eagle-Haliaeetus-leucogaster</v>
      </c>
      <c r="E152" s="32" t="str">
        <f>HYPERLINK("https://www.iucnredlist.org/search?query=Haliaeetus leucogaster&amp;searchType=species")</f>
        <v>https://www.iucnredlist.org/search?query=Haliaeetus leucogaster&amp;searchType=species</v>
      </c>
      <c r="F152" s="2">
        <v>112</v>
      </c>
      <c r="G152" s="27" t="s">
        <v>321</v>
      </c>
      <c r="H152" s="84" t="s">
        <v>376</v>
      </c>
      <c r="I152" s="92" t="s">
        <v>377</v>
      </c>
      <c r="J152" s="1" t="s">
        <v>15</v>
      </c>
      <c r="M152" s="2" t="s">
        <v>378</v>
      </c>
    </row>
    <row r="153" spans="1:14" ht="14.4" x14ac:dyDescent="0.3">
      <c r="A153" s="28" t="str">
        <f>HYPERLINK("https://www.google.com/search?q=Haliaeetus ichthyaetus&amp;tbm=isch")</f>
        <v>https://www.google.com/search?q=Haliaeetus ichthyaetus&amp;tbm=isch</v>
      </c>
      <c r="B153" s="29" t="str">
        <f>HYPERLINK("https://www.xeno-canto.org/species/Haliaeetus-ichthyaetus")</f>
        <v>https://www.xeno-canto.org/species/Haliaeetus-ichthyaetus</v>
      </c>
      <c r="C153" s="30" t="str">
        <f>HYPERLINK("https://ebird.org/species/gyhfie1")</f>
        <v>https://ebird.org/species/gyhfie1</v>
      </c>
      <c r="D153" s="31" t="str">
        <f>HYPERLINK("https://www.hbw.com/species/Grey-headed-Fish-eagle-Icthyophaga-ichthyaetus")</f>
        <v>https://www.hbw.com/species/Grey-headed-Fish-eagle-Icthyophaga-ichthyaetus</v>
      </c>
      <c r="E153" s="32" t="str">
        <f>HYPERLINK("https://www.iucnredlist.org/search?query=Haliaeetus ichthyaetus&amp;searchType=species")</f>
        <v>https://www.iucnredlist.org/search?query=Haliaeetus ichthyaetus&amp;searchType=species</v>
      </c>
      <c r="F153" s="2">
        <v>113</v>
      </c>
      <c r="G153" s="27" t="s">
        <v>321</v>
      </c>
      <c r="H153" s="84" t="s">
        <v>379</v>
      </c>
      <c r="I153" s="92" t="s">
        <v>380</v>
      </c>
      <c r="J153" s="1" t="s">
        <v>15</v>
      </c>
      <c r="K153" s="1" t="s">
        <v>58</v>
      </c>
      <c r="L153" s="1" t="s">
        <v>66</v>
      </c>
      <c r="M153" s="2" t="s">
        <v>43</v>
      </c>
    </row>
    <row r="154" spans="1:14" ht="14.4" x14ac:dyDescent="0.3">
      <c r="A154" s="28" t="str">
        <f>HYPERLINK("https://www.google.com/search?q=Butastur indicus&amp;tbm=isch")</f>
        <v>https://www.google.com/search?q=Butastur indicus&amp;tbm=isch</v>
      </c>
      <c r="B154" s="29" t="str">
        <f>HYPERLINK("https://www.xeno-canto.org/species/Butastur-indicus")</f>
        <v>https://www.xeno-canto.org/species/Butastur-indicus</v>
      </c>
      <c r="C154" s="30" t="str">
        <f>HYPERLINK("https://ebird.org/species/gyfbuz1")</f>
        <v>https://ebird.org/species/gyfbuz1</v>
      </c>
      <c r="D154" s="31" t="str">
        <f>HYPERLINK("https://www.hbw.com/species/Grey-faced-Buzzard-Butastur-indicus")</f>
        <v>https://www.hbw.com/species/Grey-faced-Buzzard-Butastur-indicus</v>
      </c>
      <c r="E154" s="32" t="str">
        <f>HYPERLINK("https://www.iucnredlist.org/search?query=Butastur indicus&amp;searchType=species")</f>
        <v>https://www.iucnredlist.org/search?query=Butastur indicus&amp;searchType=species</v>
      </c>
      <c r="F154" s="2">
        <v>114</v>
      </c>
      <c r="G154" s="27" t="s">
        <v>321</v>
      </c>
      <c r="H154" s="84" t="s">
        <v>381</v>
      </c>
      <c r="I154" s="92" t="s">
        <v>382</v>
      </c>
      <c r="J154" s="1" t="s">
        <v>50</v>
      </c>
      <c r="M154" s="2" t="s">
        <v>383</v>
      </c>
      <c r="N154" s="2" t="s">
        <v>123</v>
      </c>
    </row>
    <row r="155" spans="1:14" ht="40.799999999999997" x14ac:dyDescent="0.3">
      <c r="A155" s="28" t="str">
        <f>HYPERLINK("https://www.google.com/search?q=Buteo japonicus&amp;tbm=isch")</f>
        <v>https://www.google.com/search?q=Buteo japonicus&amp;tbm=isch</v>
      </c>
      <c r="B155" s="29" t="str">
        <f>HYPERLINK("https://www.xeno-canto.org/species/Buteo-japonicus")</f>
        <v>https://www.xeno-canto.org/species/Buteo-japonicus</v>
      </c>
      <c r="C155" s="30" t="str">
        <f>HYPERLINK("https://ebird.org/species/combuz6")</f>
        <v>https://ebird.org/species/combuz6</v>
      </c>
      <c r="D155" s="31" t="str">
        <f>HYPERLINK("https://www.hbw.com/species/Japanese-Buzzard-Buteo-japonicus")</f>
        <v>https://www.hbw.com/species/Japanese-Buzzard-Buteo-japonicus</v>
      </c>
      <c r="E155" s="32" t="str">
        <f>HYPERLINK("https://www.iucnredlist.org/search?query=Buteo japonicus&amp;searchType=species")</f>
        <v>https://www.iucnredlist.org/search?query=Buteo japonicus&amp;searchType=species</v>
      </c>
      <c r="F155" s="2">
        <v>115</v>
      </c>
      <c r="G155" s="27" t="s">
        <v>321</v>
      </c>
      <c r="H155" s="84" t="s">
        <v>384</v>
      </c>
      <c r="I155" s="92" t="s">
        <v>385</v>
      </c>
      <c r="J155" s="1" t="s">
        <v>331</v>
      </c>
      <c r="M155" s="2" t="s">
        <v>386</v>
      </c>
      <c r="N155" s="2" t="s">
        <v>11316</v>
      </c>
    </row>
    <row r="156" spans="1:14" x14ac:dyDescent="0.3">
      <c r="A156" s="33"/>
      <c r="B156" s="34"/>
      <c r="C156" s="35"/>
      <c r="D156" s="36"/>
      <c r="E156" s="37"/>
    </row>
    <row r="157" spans="1:14" ht="12" x14ac:dyDescent="0.3">
      <c r="A157" s="33"/>
      <c r="B157" s="34"/>
      <c r="C157" s="35"/>
      <c r="D157" s="36"/>
      <c r="E157" s="37"/>
      <c r="H157" s="82" t="s">
        <v>387</v>
      </c>
      <c r="I157" s="91" t="s">
        <v>388</v>
      </c>
    </row>
    <row r="158" spans="1:14" ht="20.399999999999999" x14ac:dyDescent="0.3">
      <c r="A158" s="28" t="str">
        <f>HYPERLINK("https://www.google.com/search?q=Rallina fasciata&amp;tbm=isch")</f>
        <v>https://www.google.com/search?q=Rallina fasciata&amp;tbm=isch</v>
      </c>
      <c r="B158" s="29" t="str">
        <f>HYPERLINK("https://www.xeno-canto.org/species/Rallina-fasciata")</f>
        <v>https://www.xeno-canto.org/species/Rallina-fasciata</v>
      </c>
      <c r="C158" s="30" t="str">
        <f>HYPERLINK("https://ebird.org/species/relcra1")</f>
        <v>https://ebird.org/species/relcra1</v>
      </c>
      <c r="D158" s="31" t="str">
        <f>HYPERLINK("https://www.hbw.com/species/Red-legged-Crake-Rallina-fasciata")</f>
        <v>https://www.hbw.com/species/Red-legged-Crake-Rallina-fasciata</v>
      </c>
      <c r="E158" s="32" t="str">
        <f>HYPERLINK("https://www.iucnredlist.org/search?query=Rallina fasciata&amp;searchType=species")</f>
        <v>https://www.iucnredlist.org/search?query=Rallina fasciata&amp;searchType=species</v>
      </c>
      <c r="F158" s="2">
        <v>116</v>
      </c>
      <c r="G158" s="27" t="s">
        <v>388</v>
      </c>
      <c r="H158" s="84" t="s">
        <v>389</v>
      </c>
      <c r="I158" s="92" t="s">
        <v>390</v>
      </c>
      <c r="J158" s="1" t="s">
        <v>10</v>
      </c>
      <c r="M158" s="2" t="s">
        <v>391</v>
      </c>
    </row>
    <row r="159" spans="1:14" ht="14.4" x14ac:dyDescent="0.3">
      <c r="A159" s="28" t="str">
        <f>HYPERLINK("https://www.google.com/search?q=Rallina eurizonoides&amp;tbm=isch")</f>
        <v>https://www.google.com/search?q=Rallina eurizonoides&amp;tbm=isch</v>
      </c>
      <c r="B159" s="29" t="str">
        <f>HYPERLINK("https://www.xeno-canto.org/species/Rallina-eurizonoides")</f>
        <v>https://www.xeno-canto.org/species/Rallina-eurizonoides</v>
      </c>
      <c r="C159" s="30" t="str">
        <f>HYPERLINK("https://ebird.org/species/sllcra1")</f>
        <v>https://ebird.org/species/sllcra1</v>
      </c>
      <c r="D159" s="31" t="str">
        <f>HYPERLINK("https://www.hbw.com/species/Slaty-legged-Crake-Rallina-eurizonoides")</f>
        <v>https://www.hbw.com/species/Slaty-legged-Crake-Rallina-eurizonoides</v>
      </c>
      <c r="E159" s="32" t="str">
        <f>HYPERLINK("https://www.iucnredlist.org/search?query=Rallina eurizonoides&amp;searchType=species")</f>
        <v>https://www.iucnredlist.org/search?query=Rallina eurizonoides&amp;searchType=species</v>
      </c>
      <c r="F159" s="2">
        <v>117</v>
      </c>
      <c r="G159" s="27" t="s">
        <v>388</v>
      </c>
      <c r="H159" s="84" t="s">
        <v>392</v>
      </c>
      <c r="I159" s="92" t="s">
        <v>393</v>
      </c>
      <c r="J159" s="1" t="s">
        <v>15</v>
      </c>
      <c r="M159" s="2" t="s">
        <v>43</v>
      </c>
    </row>
    <row r="160" spans="1:14" ht="30.6" x14ac:dyDescent="0.3">
      <c r="A160" s="28" t="str">
        <f>HYPERLINK("https://www.google.com/search?q=Gallirallus calayanensis&amp;tbm=isch")</f>
        <v>https://www.google.com/search?q=Gallirallus calayanensis&amp;tbm=isch</v>
      </c>
      <c r="B160" s="29" t="str">
        <f>HYPERLINK("https://www.xeno-canto.org/species/Gallirallus-calayanensis")</f>
        <v>https://www.xeno-canto.org/species/Gallirallus-calayanensis</v>
      </c>
      <c r="C160" s="30" t="str">
        <f>HYPERLINK("https://ebird.org/species/calrai1")</f>
        <v>https://ebird.org/species/calrai1</v>
      </c>
      <c r="D160" s="31" t="str">
        <f>HYPERLINK("https://www.hbw.com/species/Calayan-Rail-Gallirallus-calayanensis")</f>
        <v>https://www.hbw.com/species/Calayan-Rail-Gallirallus-calayanensis</v>
      </c>
      <c r="E160" s="32" t="str">
        <f>HYPERLINK("https://www.iucnredlist.org/search?query=Gallirallus calayanensis&amp;searchType=species")</f>
        <v>https://www.iucnredlist.org/search?query=Gallirallus calayanensis&amp;searchType=species</v>
      </c>
      <c r="F160" s="2">
        <v>118</v>
      </c>
      <c r="G160" s="27" t="s">
        <v>388</v>
      </c>
      <c r="H160" s="89" t="s">
        <v>394</v>
      </c>
      <c r="I160" s="96" t="s">
        <v>395</v>
      </c>
      <c r="J160" s="1" t="s">
        <v>65</v>
      </c>
      <c r="K160" s="1" t="s">
        <v>66</v>
      </c>
      <c r="L160" s="1" t="s">
        <v>67</v>
      </c>
      <c r="M160" s="2" t="s">
        <v>68</v>
      </c>
      <c r="N160" s="2" t="s">
        <v>11317</v>
      </c>
    </row>
    <row r="161" spans="1:14" ht="20.399999999999999" x14ac:dyDescent="0.3">
      <c r="A161" s="28" t="str">
        <f>HYPERLINK("https://www.google.com/search?q=Gallirallus torquatus&amp;tbm=isch")</f>
        <v>https://www.google.com/search?q=Gallirallus torquatus&amp;tbm=isch</v>
      </c>
      <c r="B161" s="29" t="str">
        <f>HYPERLINK("https://www.xeno-canto.org/species/Gallirallus-torquatus")</f>
        <v>https://www.xeno-canto.org/species/Gallirallus-torquatus</v>
      </c>
      <c r="C161" s="30" t="str">
        <f>HYPERLINK("https://ebird.org/species/barrai1")</f>
        <v>https://ebird.org/species/barrai1</v>
      </c>
      <c r="D161" s="31" t="str">
        <f>HYPERLINK("https://www.hbw.com/species/Barred-Rail-Hypotaenidia-torquata")</f>
        <v>https://www.hbw.com/species/Barred-Rail-Hypotaenidia-torquata</v>
      </c>
      <c r="E161" s="32" t="str">
        <f>HYPERLINK("https://www.iucnredlist.org/search?query=Gallirallus torquatus&amp;searchType=species")</f>
        <v>https://www.iucnredlist.org/search?query=Gallirallus torquatus&amp;searchType=species</v>
      </c>
      <c r="F161" s="2">
        <v>119</v>
      </c>
      <c r="G161" s="27" t="s">
        <v>388</v>
      </c>
      <c r="H161" s="84" t="s">
        <v>396</v>
      </c>
      <c r="I161" s="92" t="s">
        <v>397</v>
      </c>
      <c r="J161" s="1" t="s">
        <v>15</v>
      </c>
      <c r="M161" s="2" t="s">
        <v>398</v>
      </c>
    </row>
    <row r="162" spans="1:14" ht="14.4" x14ac:dyDescent="0.3">
      <c r="A162" s="28" t="str">
        <f>HYPERLINK("https://www.google.com/search?q=Gallirallus philippensis&amp;tbm=isch")</f>
        <v>https://www.google.com/search?q=Gallirallus philippensis&amp;tbm=isch</v>
      </c>
      <c r="B162" s="29" t="str">
        <f>HYPERLINK("https://www.xeno-canto.org/species/Gallirallus-philippensis")</f>
        <v>https://www.xeno-canto.org/species/Gallirallus-philippensis</v>
      </c>
      <c r="C162" s="30" t="str">
        <f>HYPERLINK("https://ebird.org/species/bubrai1")</f>
        <v>https://ebird.org/species/bubrai1</v>
      </c>
      <c r="D162" s="31" t="str">
        <f>HYPERLINK("https://www.hbw.com/species/Buff-banded-Rail-Hypotaenidia-philippensis")</f>
        <v>https://www.hbw.com/species/Buff-banded-Rail-Hypotaenidia-philippensis</v>
      </c>
      <c r="E162" s="32" t="str">
        <f>HYPERLINK("https://www.iucnredlist.org/search?query=Gallirallus philippensis&amp;searchType=species")</f>
        <v>https://www.iucnredlist.org/search?query=Gallirallus philippensis&amp;searchType=species</v>
      </c>
      <c r="F162" s="2">
        <v>120</v>
      </c>
      <c r="G162" s="27" t="s">
        <v>388</v>
      </c>
      <c r="H162" s="84" t="s">
        <v>399</v>
      </c>
      <c r="I162" s="92" t="s">
        <v>400</v>
      </c>
      <c r="J162" s="1" t="s">
        <v>15</v>
      </c>
      <c r="M162" s="2" t="s">
        <v>401</v>
      </c>
    </row>
    <row r="163" spans="1:14" ht="14.4" x14ac:dyDescent="0.3">
      <c r="A163" s="28" t="str">
        <f>HYPERLINK("https://www.google.com/search?q=Gallirallus striatus&amp;tbm=isch")</f>
        <v>https://www.google.com/search?q=Gallirallus striatus&amp;tbm=isch</v>
      </c>
      <c r="B163" s="29" t="str">
        <f>HYPERLINK("https://www.xeno-canto.org/species/Gallirallus-striatus")</f>
        <v>https://www.xeno-canto.org/species/Gallirallus-striatus</v>
      </c>
      <c r="C163" s="30" t="str">
        <f>HYPERLINK("https://ebird.org/species/slbrai1")</f>
        <v>https://ebird.org/species/slbrai1</v>
      </c>
      <c r="D163" s="31" t="str">
        <f>HYPERLINK("https://www.hbw.com/species/Slaty-breasted-Rail-Lewinia-striata")</f>
        <v>https://www.hbw.com/species/Slaty-breasted-Rail-Lewinia-striata</v>
      </c>
      <c r="E163" s="32" t="str">
        <f>HYPERLINK("https://www.iucnredlist.org/search?query=Gallirallus striatus&amp;searchType=species")</f>
        <v>https://www.iucnredlist.org/search?query=Gallirallus striatus&amp;searchType=species</v>
      </c>
      <c r="F163" s="2">
        <v>121</v>
      </c>
      <c r="G163" s="27" t="s">
        <v>388</v>
      </c>
      <c r="H163" s="84" t="s">
        <v>402</v>
      </c>
      <c r="I163" s="92" t="s">
        <v>403</v>
      </c>
      <c r="J163" s="1" t="s">
        <v>15</v>
      </c>
      <c r="M163" s="2" t="s">
        <v>43</v>
      </c>
    </row>
    <row r="164" spans="1:14" ht="14.4" x14ac:dyDescent="0.3">
      <c r="A164" s="28" t="str">
        <f>HYPERLINK("https://www.google.com/search?q=Lewinia mirifica&amp;tbm=isch")</f>
        <v>https://www.google.com/search?q=Lewinia mirifica&amp;tbm=isch</v>
      </c>
      <c r="B164" s="29" t="str">
        <f>HYPERLINK("https://www.xeno-canto.org/species/Lewinia-mirifica")</f>
        <v>https://www.xeno-canto.org/species/Lewinia-mirifica</v>
      </c>
      <c r="C164" s="30" t="str">
        <f>HYPERLINK("https://ebird.org/species/luzrai1")</f>
        <v>https://ebird.org/species/luzrai1</v>
      </c>
      <c r="D164" s="31" t="str">
        <f>HYPERLINK("https://www.hbw.com/species/Brown-banded-Rail-Lewinia-mirifica")</f>
        <v>https://www.hbw.com/species/Brown-banded-Rail-Lewinia-mirifica</v>
      </c>
      <c r="E164" s="32" t="str">
        <f>HYPERLINK("https://www.iucnredlist.org/search?query=Lewinia mirifica&amp;searchType=species")</f>
        <v>https://www.iucnredlist.org/search?query=Lewinia mirifica&amp;searchType=species</v>
      </c>
      <c r="F164" s="2">
        <v>122</v>
      </c>
      <c r="G164" s="27" t="s">
        <v>388</v>
      </c>
      <c r="H164" s="90" t="s">
        <v>404</v>
      </c>
      <c r="I164" s="94" t="s">
        <v>405</v>
      </c>
      <c r="J164" s="1" t="s">
        <v>65</v>
      </c>
      <c r="K164" s="1" t="s">
        <v>406</v>
      </c>
      <c r="L164" s="1" t="s">
        <v>67</v>
      </c>
      <c r="M164" s="2" t="s">
        <v>68</v>
      </c>
    </row>
    <row r="165" spans="1:14" ht="14.4" x14ac:dyDescent="0.3">
      <c r="A165" s="28" t="str">
        <f>HYPERLINK("https://www.google.com/search?q=Amaurornis olivacea&amp;tbm=isch")</f>
        <v>https://www.google.com/search?q=Amaurornis olivacea&amp;tbm=isch</v>
      </c>
      <c r="B165" s="29" t="str">
        <f>HYPERLINK("https://www.xeno-canto.org/species/Amaurornis-olivacea")</f>
        <v>https://www.xeno-canto.org/species/Amaurornis-olivacea</v>
      </c>
      <c r="C165" s="30" t="str">
        <f>HYPERLINK("https://ebird.org/species/plabuh1")</f>
        <v>https://ebird.org/species/plabuh1</v>
      </c>
      <c r="D165" s="31" t="str">
        <f>HYPERLINK("https://www.hbw.com/species/Philippine-Bush-hen-Amaurornis-olivacea")</f>
        <v>https://www.hbw.com/species/Philippine-Bush-hen-Amaurornis-olivacea</v>
      </c>
      <c r="E165" s="32" t="str">
        <f>HYPERLINK("https://www.iucnredlist.org/search?query=Amaurornis olivacea&amp;searchType=species")</f>
        <v>https://www.iucnredlist.org/search?query=Amaurornis olivacea&amp;searchType=species</v>
      </c>
      <c r="F165" s="2">
        <v>123</v>
      </c>
      <c r="G165" s="27" t="s">
        <v>388</v>
      </c>
      <c r="H165" s="86" t="s">
        <v>407</v>
      </c>
      <c r="I165" s="94" t="s">
        <v>408</v>
      </c>
      <c r="J165" s="1" t="s">
        <v>65</v>
      </c>
      <c r="M165" s="2" t="s">
        <v>68</v>
      </c>
    </row>
    <row r="166" spans="1:14" ht="14.4" x14ac:dyDescent="0.3">
      <c r="A166" s="28" t="str">
        <f>HYPERLINK("https://www.google.com/search?q=Amaurornis phoenicurus&amp;tbm=isch")</f>
        <v>https://www.google.com/search?q=Amaurornis phoenicurus&amp;tbm=isch</v>
      </c>
      <c r="B166" s="29" t="str">
        <f>HYPERLINK("https://www.xeno-canto.org/species/Amaurornis-phoenicurus")</f>
        <v>https://www.xeno-canto.org/species/Amaurornis-phoenicurus</v>
      </c>
      <c r="C166" s="30" t="str">
        <f>HYPERLINK("https://ebird.org/species/whbwat1")</f>
        <v>https://ebird.org/species/whbwat1</v>
      </c>
      <c r="D166" s="31" t="str">
        <f>HYPERLINK("https://www.hbw.com/species/White-breasted-Waterhen-Amaurornis-phoenicurus")</f>
        <v>https://www.hbw.com/species/White-breasted-Waterhen-Amaurornis-phoenicurus</v>
      </c>
      <c r="E166" s="32" t="str">
        <f>HYPERLINK("https://www.iucnredlist.org/search?query=Amaurornis phoenicurus&amp;searchType=species")</f>
        <v>https://www.iucnredlist.org/search?query=Amaurornis phoenicurus&amp;searchType=species</v>
      </c>
      <c r="F166" s="2">
        <v>124</v>
      </c>
      <c r="G166" s="27" t="s">
        <v>388</v>
      </c>
      <c r="H166" s="84" t="s">
        <v>409</v>
      </c>
      <c r="I166" s="92" t="s">
        <v>410</v>
      </c>
      <c r="J166" s="1" t="s">
        <v>15</v>
      </c>
      <c r="M166" s="2" t="s">
        <v>43</v>
      </c>
    </row>
    <row r="167" spans="1:14" ht="14.4" x14ac:dyDescent="0.3">
      <c r="A167" s="28" t="str">
        <f>HYPERLINK("https://www.google.com/search?q=Porzana pusilla&amp;tbm=isch")</f>
        <v>https://www.google.com/search?q=Porzana pusilla&amp;tbm=isch</v>
      </c>
      <c r="B167" s="29" t="str">
        <f>HYPERLINK("https://www.xeno-canto.org/species/Porzana-pusilla")</f>
        <v>https://www.xeno-canto.org/species/Porzana-pusilla</v>
      </c>
      <c r="C167" s="30" t="str">
        <f>HYPERLINK("https://ebird.org/species/baicra1")</f>
        <v>https://ebird.org/species/baicra1</v>
      </c>
      <c r="D167" s="31" t="str">
        <f>HYPERLINK("https://www.hbw.com/species/Baillon's-Crake-Zapornia-pusilla")</f>
        <v>https://www.hbw.com/species/Baillon's-Crake-Zapornia-pusilla</v>
      </c>
      <c r="E167" s="32" t="str">
        <f>HYPERLINK("https://www.iucnredlist.org/search?query=Porzana pusilla&amp;searchType=species")</f>
        <v>https://www.iucnredlist.org/search?query=Porzana pusilla&amp;searchType=species</v>
      </c>
      <c r="F167" s="2">
        <v>125</v>
      </c>
      <c r="G167" s="27" t="s">
        <v>388</v>
      </c>
      <c r="H167" s="84" t="s">
        <v>411</v>
      </c>
      <c r="I167" s="92" t="s">
        <v>412</v>
      </c>
      <c r="J167" s="1" t="s">
        <v>50</v>
      </c>
      <c r="M167" s="2" t="s">
        <v>263</v>
      </c>
    </row>
    <row r="168" spans="1:14" ht="14.4" x14ac:dyDescent="0.3">
      <c r="A168" s="28" t="str">
        <f>HYPERLINK("https://www.google.com/search?q=Porzana fusca&amp;tbm=isch")</f>
        <v>https://www.google.com/search?q=Porzana fusca&amp;tbm=isch</v>
      </c>
      <c r="B168" s="29" t="str">
        <f>HYPERLINK("https://www.xeno-canto.org/species/Porzana-fusca")</f>
        <v>https://www.xeno-canto.org/species/Porzana-fusca</v>
      </c>
      <c r="C168" s="30" t="str">
        <f>HYPERLINK("https://ebird.org/species/rubcra1")</f>
        <v>https://ebird.org/species/rubcra1</v>
      </c>
      <c r="D168" s="31" t="str">
        <f>HYPERLINK("https://www.hbw.com/species/Ruddy-breasted-Crake-Zapornia-fusca")</f>
        <v>https://www.hbw.com/species/Ruddy-breasted-Crake-Zapornia-fusca</v>
      </c>
      <c r="E168" s="32" t="str">
        <f>HYPERLINK("https://www.iucnredlist.org/search?query=Porzana fusca&amp;searchType=species")</f>
        <v>https://www.iucnredlist.org/search?query=Porzana fusca&amp;searchType=species</v>
      </c>
      <c r="F168" s="2">
        <v>126</v>
      </c>
      <c r="G168" s="27" t="s">
        <v>388</v>
      </c>
      <c r="H168" s="84" t="s">
        <v>413</v>
      </c>
      <c r="I168" s="92" t="s">
        <v>414</v>
      </c>
      <c r="J168" s="1" t="s">
        <v>15</v>
      </c>
      <c r="M168" s="2" t="s">
        <v>215</v>
      </c>
    </row>
    <row r="169" spans="1:14" ht="20.399999999999999" x14ac:dyDescent="0.3">
      <c r="A169" s="28" t="str">
        <f>HYPERLINK("https://www.google.com/search?q=Porzana tabuensis&amp;tbm=isch")</f>
        <v>https://www.google.com/search?q=Porzana tabuensis&amp;tbm=isch</v>
      </c>
      <c r="B169" s="29" t="str">
        <f>HYPERLINK("https://www.xeno-canto.org/species/Porzana-tabuensis")</f>
        <v>https://www.xeno-canto.org/species/Porzana-tabuensis</v>
      </c>
      <c r="C169" s="30" t="str">
        <f>HYPERLINK("https://ebird.org/species/spocra2")</f>
        <v>https://ebird.org/species/spocra2</v>
      </c>
      <c r="D169" s="31" t="str">
        <f>HYPERLINK("https://www.hbw.com/species/Spotless-Crake-Zapornia-tabuensis")</f>
        <v>https://www.hbw.com/species/Spotless-Crake-Zapornia-tabuensis</v>
      </c>
      <c r="E169" s="32" t="str">
        <f>HYPERLINK("https://www.iucnredlist.org/search?query=Porzana tabuensis&amp;searchType=species")</f>
        <v>https://www.iucnredlist.org/search?query=Porzana tabuensis&amp;searchType=species</v>
      </c>
      <c r="F169" s="2">
        <v>127</v>
      </c>
      <c r="G169" s="27" t="s">
        <v>388</v>
      </c>
      <c r="H169" s="83" t="s">
        <v>415</v>
      </c>
      <c r="I169" s="92" t="s">
        <v>416</v>
      </c>
      <c r="J169" s="1" t="s">
        <v>15</v>
      </c>
      <c r="M169" s="2" t="s">
        <v>417</v>
      </c>
    </row>
    <row r="170" spans="1:14" ht="20.399999999999999" x14ac:dyDescent="0.3">
      <c r="A170" s="28" t="str">
        <f>HYPERLINK("https://www.google.com/search?q=Porzana cinerea&amp;tbm=isch")</f>
        <v>https://www.google.com/search?q=Porzana cinerea&amp;tbm=isch</v>
      </c>
      <c r="B170" s="29" t="str">
        <f>HYPERLINK("https://www.xeno-canto.org/species/Porzana-cinerea")</f>
        <v>https://www.xeno-canto.org/species/Porzana-cinerea</v>
      </c>
      <c r="C170" s="30" t="str">
        <f>HYPERLINK("https://ebird.org/species/whbcra1")</f>
        <v>https://ebird.org/species/whbcra1</v>
      </c>
      <c r="D170" s="31" t="str">
        <f>HYPERLINK("https://www.hbw.com/species/White-browed-Crake-Amaurornis-cinerea")</f>
        <v>https://www.hbw.com/species/White-browed-Crake-Amaurornis-cinerea</v>
      </c>
      <c r="E170" s="32" t="str">
        <f>HYPERLINK("https://www.iucnredlist.org/search?query=Porzana cinerea&amp;searchType=species")</f>
        <v>https://www.iucnredlist.org/search?query=Porzana cinerea&amp;searchType=species</v>
      </c>
      <c r="F170" s="2">
        <v>128</v>
      </c>
      <c r="G170" s="27" t="s">
        <v>388</v>
      </c>
      <c r="H170" s="84" t="s">
        <v>418</v>
      </c>
      <c r="I170" s="92" t="s">
        <v>419</v>
      </c>
      <c r="J170" s="1" t="s">
        <v>15</v>
      </c>
      <c r="M170" s="2" t="s">
        <v>420</v>
      </c>
    </row>
    <row r="171" spans="1:14" ht="14.4" x14ac:dyDescent="0.3">
      <c r="A171" s="28" t="str">
        <f>HYPERLINK("https://www.google.com/search?q=Gallicrex cinerea&amp;tbm=isch")</f>
        <v>https://www.google.com/search?q=Gallicrex cinerea&amp;tbm=isch</v>
      </c>
      <c r="B171" s="29" t="str">
        <f>HYPERLINK("https://www.xeno-canto.org/species/Gallicrex-cinerea")</f>
        <v>https://www.xeno-canto.org/species/Gallicrex-cinerea</v>
      </c>
      <c r="C171" s="30" t="str">
        <f>HYPERLINK("https://ebird.org/species/waterc1")</f>
        <v>https://ebird.org/species/waterc1</v>
      </c>
      <c r="D171" s="31" t="str">
        <f>HYPERLINK("https://www.hbw.com/species/Watercock-Gallicrex-cinerea")</f>
        <v>https://www.hbw.com/species/Watercock-Gallicrex-cinerea</v>
      </c>
      <c r="E171" s="32" t="str">
        <f>HYPERLINK("https://www.iucnredlist.org/search?query=Gallicrex cinerea&amp;searchType=species")</f>
        <v>https://www.iucnredlist.org/search?query=Gallicrex cinerea&amp;searchType=species</v>
      </c>
      <c r="F171" s="2">
        <v>129</v>
      </c>
      <c r="G171" s="27" t="s">
        <v>388</v>
      </c>
      <c r="H171" s="84" t="s">
        <v>421</v>
      </c>
      <c r="I171" s="92" t="s">
        <v>422</v>
      </c>
      <c r="J171" s="1" t="s">
        <v>15</v>
      </c>
      <c r="M171" s="2" t="s">
        <v>43</v>
      </c>
    </row>
    <row r="172" spans="1:14" ht="30.6" x14ac:dyDescent="0.3">
      <c r="A172" s="28" t="str">
        <f>HYPERLINK("https://www.google.com/search?q=Porphyrio pulverulentus&amp;tbm=isch")</f>
        <v>https://www.google.com/search?q=Porphyrio pulverulentus&amp;tbm=isch</v>
      </c>
      <c r="B172" s="29" t="str">
        <f>HYPERLINK("https://www.xeno-canto.org/species/Porphyrio-pulverulentus")</f>
        <v>https://www.xeno-canto.org/species/Porphyrio-pulverulentus</v>
      </c>
      <c r="C172" s="30" t="str">
        <f>HYPERLINK("https://ebird.org/species/purswa5")</f>
        <v>https://ebird.org/species/purswa5</v>
      </c>
      <c r="D172" s="31" t="str">
        <f>HYPERLINK("https://www.hbw.com/species/Purple-Swamphen-Porphyrio-porphyrio")</f>
        <v>https://www.hbw.com/species/Purple-Swamphen-Porphyrio-porphyrio</v>
      </c>
      <c r="E172" s="32" t="str">
        <f>HYPERLINK("https://www.iucnredlist.org/search?query=Porphyrio pulverulentus&amp;searchType=species")</f>
        <v>https://www.iucnredlist.org/search?query=Porphyrio pulverulentus&amp;searchType=species</v>
      </c>
      <c r="F172" s="2">
        <v>130</v>
      </c>
      <c r="G172" s="27" t="s">
        <v>388</v>
      </c>
      <c r="H172" s="86" t="s">
        <v>423</v>
      </c>
      <c r="I172" s="94" t="s">
        <v>424</v>
      </c>
      <c r="J172" s="1" t="s">
        <v>65</v>
      </c>
      <c r="M172" s="2" t="s">
        <v>425</v>
      </c>
      <c r="N172" s="2" t="s">
        <v>11318</v>
      </c>
    </row>
    <row r="173" spans="1:14" ht="14.4" x14ac:dyDescent="0.3">
      <c r="A173" s="28" t="str">
        <f>HYPERLINK("https://www.google.com/search?q=Gallinula chloropus&amp;tbm=isch")</f>
        <v>https://www.google.com/search?q=Gallinula chloropus&amp;tbm=isch</v>
      </c>
      <c r="B173" s="29" t="str">
        <f>HYPERLINK("https://www.xeno-canto.org/species/Gallinula-chloropus")</f>
        <v>https://www.xeno-canto.org/species/Gallinula-chloropus</v>
      </c>
      <c r="C173" s="30" t="str">
        <f>HYPERLINK("https://ebird.org/species/commoo3")</f>
        <v>https://ebird.org/species/commoo3</v>
      </c>
      <c r="D173" s="31" t="str">
        <f>HYPERLINK("https://www.hbw.com/species/Common-Moorhen-Gallinula-chloropus")</f>
        <v>https://www.hbw.com/species/Common-Moorhen-Gallinula-chloropus</v>
      </c>
      <c r="E173" s="32" t="str">
        <f>HYPERLINK("https://www.iucnredlist.org/search?query=Gallinula chloropus&amp;searchType=species")</f>
        <v>https://www.iucnredlist.org/search?query=Gallinula chloropus&amp;searchType=species</v>
      </c>
      <c r="F173" s="2">
        <v>131</v>
      </c>
      <c r="G173" s="27" t="s">
        <v>388</v>
      </c>
      <c r="H173" s="84" t="s">
        <v>426</v>
      </c>
      <c r="I173" s="92" t="s">
        <v>427</v>
      </c>
      <c r="J173" s="1" t="s">
        <v>236</v>
      </c>
      <c r="M173" s="2" t="s">
        <v>428</v>
      </c>
    </row>
    <row r="174" spans="1:14" ht="14.4" x14ac:dyDescent="0.3">
      <c r="A174" s="28" t="str">
        <f>HYPERLINK("https://www.google.com/search?q=Fulica atra&amp;tbm=isch")</f>
        <v>https://www.google.com/search?q=Fulica atra&amp;tbm=isch</v>
      </c>
      <c r="B174" s="29" t="str">
        <f>HYPERLINK("https://www.xeno-canto.org/species/Fulica-atra")</f>
        <v>https://www.xeno-canto.org/species/Fulica-atra</v>
      </c>
      <c r="C174" s="30" t="str">
        <f>HYPERLINK("https://ebird.org/species/eurcoo")</f>
        <v>https://ebird.org/species/eurcoo</v>
      </c>
      <c r="D174" s="31" t="str">
        <f>HYPERLINK("https://www.hbw.com/species/Common-Coot-Fulica-atra")</f>
        <v>https://www.hbw.com/species/Common-Coot-Fulica-atra</v>
      </c>
      <c r="E174" s="32" t="str">
        <f>HYPERLINK("https://www.iucnredlist.org/search?query=Fulica atra&amp;searchType=species")</f>
        <v>https://www.iucnredlist.org/search?query=Fulica atra&amp;searchType=species</v>
      </c>
      <c r="F174" s="2">
        <v>132</v>
      </c>
      <c r="G174" s="27" t="s">
        <v>388</v>
      </c>
      <c r="H174" s="84" t="s">
        <v>429</v>
      </c>
      <c r="I174" s="92" t="s">
        <v>430</v>
      </c>
      <c r="J174" s="1" t="s">
        <v>50</v>
      </c>
      <c r="M174" s="2" t="s">
        <v>431</v>
      </c>
    </row>
    <row r="175" spans="1:14" x14ac:dyDescent="0.3">
      <c r="A175" s="33"/>
      <c r="B175" s="34"/>
      <c r="C175" s="35"/>
      <c r="D175" s="36"/>
      <c r="E175" s="37"/>
    </row>
    <row r="176" spans="1:14" ht="12" x14ac:dyDescent="0.3">
      <c r="A176" s="33"/>
      <c r="B176" s="34"/>
      <c r="C176" s="35"/>
      <c r="D176" s="36"/>
      <c r="E176" s="37"/>
      <c r="H176" s="82" t="s">
        <v>432</v>
      </c>
      <c r="I176" s="91" t="s">
        <v>433</v>
      </c>
    </row>
    <row r="177" spans="1:14" ht="14.4" x14ac:dyDescent="0.3">
      <c r="A177" s="28" t="str">
        <f>HYPERLINK("https://www.google.com/search?q=Antigone antigone&amp;tbm=isch")</f>
        <v>https://www.google.com/search?q=Antigone antigone&amp;tbm=isch</v>
      </c>
      <c r="B177" s="29" t="str">
        <f>HYPERLINK("https://www.xeno-canto.org/species/Antigone-antigone")</f>
        <v>https://www.xeno-canto.org/species/Antigone-antigone</v>
      </c>
      <c r="C177" s="30" t="str">
        <f>HYPERLINK("https://ebird.org/species/sarcra1")</f>
        <v>https://ebird.org/species/sarcra1</v>
      </c>
      <c r="D177" s="31" t="str">
        <f>HYPERLINK("https://www.hbw.com/species/Sarus-Crane-Antigone-antigone")</f>
        <v>https://www.hbw.com/species/Sarus-Crane-Antigone-antigone</v>
      </c>
      <c r="E177" s="32" t="str">
        <f>HYPERLINK("https://www.iucnredlist.org/search?query=Antigone antigone&amp;searchType=species")</f>
        <v>https://www.iucnredlist.org/search?query=Antigone antigone&amp;searchType=species</v>
      </c>
      <c r="F177" s="2">
        <v>133</v>
      </c>
      <c r="G177" s="27" t="s">
        <v>433</v>
      </c>
      <c r="H177" s="83" t="s">
        <v>434</v>
      </c>
      <c r="I177" s="92" t="s">
        <v>435</v>
      </c>
      <c r="J177" s="1" t="s">
        <v>275</v>
      </c>
      <c r="K177" s="1" t="s">
        <v>66</v>
      </c>
      <c r="L177" s="1" t="s">
        <v>85</v>
      </c>
      <c r="M177" s="2" t="s">
        <v>436</v>
      </c>
      <c r="N177" s="2" t="s">
        <v>437</v>
      </c>
    </row>
    <row r="178" spans="1:14" ht="40.799999999999997" x14ac:dyDescent="0.3">
      <c r="A178" s="28" t="str">
        <f>HYPERLINK("https://www.google.com/search?q=Grus virgo&amp;tbm=isch")</f>
        <v>https://www.google.com/search?q=Grus virgo&amp;tbm=isch</v>
      </c>
      <c r="B178" s="29" t="str">
        <f>HYPERLINK("https://www.xeno-canto.org/species/Grus-virgo")</f>
        <v>https://www.xeno-canto.org/species/Grus-virgo</v>
      </c>
      <c r="C178" s="30" t="str">
        <f>HYPERLINK("https://ebird.org/species/demcra1")</f>
        <v>https://ebird.org/species/demcra1</v>
      </c>
      <c r="D178" s="31" t="str">
        <f>HYPERLINK("https://www.hbw.com/species/Demoiselle-Crane-Anthropoides-virgo")</f>
        <v>https://www.hbw.com/species/Demoiselle-Crane-Anthropoides-virgo</v>
      </c>
      <c r="E178" s="32" t="str">
        <f>HYPERLINK("https://www.iucnredlist.org/search?query=Grus virgo&amp;searchType=species")</f>
        <v>https://www.iucnredlist.org/search?query=Grus virgo&amp;searchType=species</v>
      </c>
      <c r="F178" s="2">
        <v>134</v>
      </c>
      <c r="G178" s="27" t="s">
        <v>433</v>
      </c>
      <c r="H178" s="85" t="s">
        <v>438</v>
      </c>
      <c r="I178" s="93" t="s">
        <v>439</v>
      </c>
      <c r="J178" s="1" t="s">
        <v>19</v>
      </c>
      <c r="M178" s="2" t="s">
        <v>440</v>
      </c>
      <c r="N178" s="2" t="s">
        <v>11319</v>
      </c>
    </row>
    <row r="179" spans="1:14" x14ac:dyDescent="0.3">
      <c r="A179" s="33"/>
      <c r="B179" s="34"/>
      <c r="C179" s="35"/>
      <c r="D179" s="36"/>
      <c r="E179" s="37"/>
    </row>
    <row r="180" spans="1:14" ht="12" x14ac:dyDescent="0.3">
      <c r="A180" s="33"/>
      <c r="B180" s="34"/>
      <c r="C180" s="35"/>
      <c r="D180" s="36"/>
      <c r="E180" s="37"/>
      <c r="H180" s="82" t="s">
        <v>441</v>
      </c>
      <c r="I180" s="91" t="s">
        <v>442</v>
      </c>
    </row>
    <row r="181" spans="1:14" ht="14.4" x14ac:dyDescent="0.3">
      <c r="A181" s="28" t="str">
        <f>HYPERLINK("https://www.google.com/search?q=Turnix sylvaticus&amp;tbm=isch")</f>
        <v>https://www.google.com/search?q=Turnix sylvaticus&amp;tbm=isch</v>
      </c>
      <c r="B181" s="29" t="str">
        <f>HYPERLINK("https://www.xeno-canto.org/species/Turnix-sylvaticus")</f>
        <v>https://www.xeno-canto.org/species/Turnix-sylvaticus</v>
      </c>
      <c r="C181" s="30" t="str">
        <f>HYPERLINK("https://ebird.org/species/smabut2")</f>
        <v>https://ebird.org/species/smabut2</v>
      </c>
      <c r="D181" s="31" t="str">
        <f>HYPERLINK("https://www.hbw.com/species/Common-Buttonquail-Turnix-sylvaticus")</f>
        <v>https://www.hbw.com/species/Common-Buttonquail-Turnix-sylvaticus</v>
      </c>
      <c r="E181" s="32" t="str">
        <f>HYPERLINK("https://www.iucnredlist.org/search?query=Turnix sylvaticus&amp;searchType=species")</f>
        <v>https://www.iucnredlist.org/search?query=Turnix sylvaticus&amp;searchType=species</v>
      </c>
      <c r="F181" s="2">
        <v>135</v>
      </c>
      <c r="G181" s="27" t="s">
        <v>442</v>
      </c>
      <c r="H181" s="83" t="s">
        <v>443</v>
      </c>
      <c r="I181" s="92" t="s">
        <v>444</v>
      </c>
      <c r="J181" s="1" t="s">
        <v>15</v>
      </c>
      <c r="M181" s="2" t="s">
        <v>189</v>
      </c>
    </row>
    <row r="182" spans="1:14" ht="14.4" x14ac:dyDescent="0.3">
      <c r="A182" s="28" t="str">
        <f>HYPERLINK("https://www.google.com/search?q=Turnix ocellatus&amp;tbm=isch")</f>
        <v>https://www.google.com/search?q=Turnix ocellatus&amp;tbm=isch</v>
      </c>
      <c r="B182" s="29" t="str">
        <f>HYPERLINK("https://www.xeno-canto.org/species/Turnix-ocellatus")</f>
        <v>https://www.xeno-canto.org/species/Turnix-ocellatus</v>
      </c>
      <c r="C182" s="30" t="str">
        <f>HYPERLINK("https://ebird.org/species/spobut2")</f>
        <v>https://ebird.org/species/spobut2</v>
      </c>
      <c r="D182" s="31" t="str">
        <f>HYPERLINK("https://www.hbw.com/species/Spotted-Buttonquail-Turnix-ocellatus")</f>
        <v>https://www.hbw.com/species/Spotted-Buttonquail-Turnix-ocellatus</v>
      </c>
      <c r="E182" s="32" t="str">
        <f>HYPERLINK("https://www.iucnredlist.org/search?query=Turnix ocellatus&amp;searchType=species")</f>
        <v>https://www.iucnredlist.org/search?query=Turnix ocellatus&amp;searchType=species</v>
      </c>
      <c r="F182" s="2">
        <v>136</v>
      </c>
      <c r="G182" s="27" t="s">
        <v>442</v>
      </c>
      <c r="H182" s="86" t="s">
        <v>445</v>
      </c>
      <c r="I182" s="94" t="s">
        <v>446</v>
      </c>
      <c r="J182" s="1" t="s">
        <v>65</v>
      </c>
      <c r="M182" s="2" t="s">
        <v>68</v>
      </c>
    </row>
    <row r="183" spans="1:14" ht="14.4" x14ac:dyDescent="0.3">
      <c r="A183" s="28" t="str">
        <f>HYPERLINK("https://www.google.com/search?q=Turnix suscitator&amp;tbm=isch")</f>
        <v>https://www.google.com/search?q=Turnix suscitator&amp;tbm=isch</v>
      </c>
      <c r="B183" s="29" t="str">
        <f>HYPERLINK("https://www.xeno-canto.org/species/Turnix-suscitator")</f>
        <v>https://www.xeno-canto.org/species/Turnix-suscitator</v>
      </c>
      <c r="C183" s="30" t="str">
        <f>HYPERLINK("https://ebird.org/species/barbut1")</f>
        <v>https://ebird.org/species/barbut1</v>
      </c>
      <c r="D183" s="31" t="str">
        <f>HYPERLINK("https://www.hbw.com/species/Barred-Buttonquail-Turnix-suscitator")</f>
        <v>https://www.hbw.com/species/Barred-Buttonquail-Turnix-suscitator</v>
      </c>
      <c r="E183" s="32" t="str">
        <f>HYPERLINK("https://www.iucnredlist.org/search?query=Turnix suscitator&amp;searchType=species")</f>
        <v>https://www.iucnredlist.org/search?query=Turnix suscitator&amp;searchType=species</v>
      </c>
      <c r="F183" s="2">
        <v>137</v>
      </c>
      <c r="G183" s="27" t="s">
        <v>442</v>
      </c>
      <c r="H183" s="84" t="s">
        <v>447</v>
      </c>
      <c r="I183" s="92" t="s">
        <v>448</v>
      </c>
      <c r="J183" s="1" t="s">
        <v>15</v>
      </c>
      <c r="M183" s="2" t="s">
        <v>43</v>
      </c>
    </row>
    <row r="184" spans="1:14" ht="14.4" x14ac:dyDescent="0.3">
      <c r="A184" s="28" t="str">
        <f>HYPERLINK("https://www.google.com/search?q=Turnix worcesteri&amp;tbm=isch")</f>
        <v>https://www.google.com/search?q=Turnix worcesteri&amp;tbm=isch</v>
      </c>
      <c r="B184" s="29" t="str">
        <f>HYPERLINK("https://www.xeno-canto.org/species/Turnix-worcesteri")</f>
        <v>https://www.xeno-canto.org/species/Turnix-worcesteri</v>
      </c>
      <c r="C184" s="30" t="str">
        <f>HYPERLINK("https://ebird.org/species/luzbut1")</f>
        <v>https://ebird.org/species/luzbut1</v>
      </c>
      <c r="D184" s="31" t="str">
        <f>HYPERLINK("https://www.hbw.com/species/Luzon-Buttonquail-Turnix-worcesteri")</f>
        <v>https://www.hbw.com/species/Luzon-Buttonquail-Turnix-worcesteri</v>
      </c>
      <c r="E184" s="32" t="str">
        <f>HYPERLINK("https://www.iucnredlist.org/search?query=Turnix worcesteri&amp;searchType=species")</f>
        <v>https://www.iucnredlist.org/search?query=Turnix worcesteri&amp;searchType=species</v>
      </c>
      <c r="F184" s="2">
        <v>138</v>
      </c>
      <c r="G184" s="27" t="s">
        <v>442</v>
      </c>
      <c r="H184" s="90" t="s">
        <v>449</v>
      </c>
      <c r="I184" s="94" t="s">
        <v>450</v>
      </c>
      <c r="J184" s="1" t="s">
        <v>65</v>
      </c>
      <c r="K184" s="1" t="s">
        <v>406</v>
      </c>
      <c r="L184" s="1" t="s">
        <v>67</v>
      </c>
      <c r="M184" s="2" t="s">
        <v>68</v>
      </c>
    </row>
    <row r="185" spans="1:14" x14ac:dyDescent="0.3">
      <c r="A185" s="33"/>
      <c r="B185" s="34"/>
      <c r="C185" s="35"/>
      <c r="D185" s="36"/>
      <c r="E185" s="37"/>
    </row>
    <row r="186" spans="1:14" ht="12" x14ac:dyDescent="0.3">
      <c r="A186" s="33"/>
      <c r="B186" s="34"/>
      <c r="C186" s="35"/>
      <c r="D186" s="36"/>
      <c r="E186" s="37"/>
      <c r="H186" s="82" t="s">
        <v>451</v>
      </c>
      <c r="I186" s="91" t="s">
        <v>452</v>
      </c>
    </row>
    <row r="187" spans="1:14" ht="30.6" x14ac:dyDescent="0.3">
      <c r="A187" s="28" t="str">
        <f>HYPERLINK("https://www.google.com/search?q=Esacus magnirostris&amp;tbm=isch")</f>
        <v>https://www.google.com/search?q=Esacus magnirostris&amp;tbm=isch</v>
      </c>
      <c r="B187" s="29" t="str">
        <f>HYPERLINK("https://www.xeno-canto.org/species/Esacus-magnirostris")</f>
        <v>https://www.xeno-canto.org/species/Esacus-magnirostris</v>
      </c>
      <c r="C187" s="30" t="str">
        <f>HYPERLINK("https://ebird.org/species/beathk1")</f>
        <v>https://ebird.org/species/beathk1</v>
      </c>
      <c r="D187" s="31" t="str">
        <f>HYPERLINK("https://www.hbw.com/species/Beach-Thick-knee-Esacus-magnirostris")</f>
        <v>https://www.hbw.com/species/Beach-Thick-knee-Esacus-magnirostris</v>
      </c>
      <c r="E187" s="32" t="str">
        <f>HYPERLINK("https://www.iucnredlist.org/search?query=Esacus magnirostris&amp;searchType=species")</f>
        <v>https://www.iucnredlist.org/search?query=Esacus magnirostris&amp;searchType=species</v>
      </c>
      <c r="F187" s="2">
        <v>139</v>
      </c>
      <c r="G187" s="27" t="s">
        <v>452</v>
      </c>
      <c r="H187" s="83" t="s">
        <v>453</v>
      </c>
      <c r="I187" s="92" t="s">
        <v>454</v>
      </c>
      <c r="J187" s="1" t="s">
        <v>15</v>
      </c>
      <c r="K187" s="1" t="s">
        <v>58</v>
      </c>
      <c r="L187" s="1" t="s">
        <v>67</v>
      </c>
      <c r="M187" s="2" t="s">
        <v>420</v>
      </c>
      <c r="N187" s="2" t="s">
        <v>455</v>
      </c>
    </row>
    <row r="188" spans="1:14" x14ac:dyDescent="0.3">
      <c r="A188" s="33"/>
      <c r="B188" s="34"/>
      <c r="C188" s="35"/>
      <c r="D188" s="36"/>
      <c r="E188" s="37"/>
    </row>
    <row r="189" spans="1:14" ht="12" x14ac:dyDescent="0.3">
      <c r="A189" s="33"/>
      <c r="B189" s="34"/>
      <c r="C189" s="35"/>
      <c r="D189" s="36"/>
      <c r="E189" s="37"/>
      <c r="H189" s="82" t="s">
        <v>456</v>
      </c>
      <c r="I189" s="91" t="s">
        <v>457</v>
      </c>
    </row>
    <row r="190" spans="1:14" ht="14.4" x14ac:dyDescent="0.3">
      <c r="A190" s="28" t="str">
        <f>HYPERLINK("https://www.google.com/search?q=Haematopus ostralegus&amp;tbm=isch")</f>
        <v>https://www.google.com/search?q=Haematopus ostralegus&amp;tbm=isch</v>
      </c>
      <c r="B190" s="29" t="str">
        <f>HYPERLINK("https://www.xeno-canto.org/species/Haematopus-ostralegus")</f>
        <v>https://www.xeno-canto.org/species/Haematopus-ostralegus</v>
      </c>
      <c r="C190" s="30" t="str">
        <f>HYPERLINK("https://ebird.org/species/euroys1")</f>
        <v>https://ebird.org/species/euroys1</v>
      </c>
      <c r="D190" s="31" t="str">
        <f>HYPERLINK("https://www.hbw.com/species/Eurasian-Oystercatcher-Haematopus-ostralegus")</f>
        <v>https://www.hbw.com/species/Eurasian-Oystercatcher-Haematopus-ostralegus</v>
      </c>
      <c r="E190" s="32" t="str">
        <f>HYPERLINK("https://www.iucnredlist.org/search?query=Haematopus ostralegus&amp;searchType=species")</f>
        <v>https://www.iucnredlist.org/search?query=Haematopus ostralegus&amp;searchType=species</v>
      </c>
      <c r="F190" s="2">
        <v>140</v>
      </c>
      <c r="G190" s="27" t="s">
        <v>457</v>
      </c>
      <c r="H190" s="83" t="s">
        <v>458</v>
      </c>
      <c r="I190" s="92" t="s">
        <v>459</v>
      </c>
      <c r="J190" s="1" t="s">
        <v>19</v>
      </c>
      <c r="K190" s="1" t="s">
        <v>58</v>
      </c>
      <c r="M190" s="2" t="s">
        <v>460</v>
      </c>
      <c r="N190" s="2" t="s">
        <v>123</v>
      </c>
    </row>
    <row r="191" spans="1:14" x14ac:dyDescent="0.3">
      <c r="A191" s="33"/>
      <c r="B191" s="34"/>
      <c r="C191" s="35"/>
      <c r="D191" s="36"/>
      <c r="E191" s="37"/>
    </row>
    <row r="192" spans="1:14" ht="12" x14ac:dyDescent="0.3">
      <c r="A192" s="33"/>
      <c r="B192" s="34"/>
      <c r="C192" s="35"/>
      <c r="D192" s="36"/>
      <c r="E192" s="37"/>
      <c r="H192" s="82" t="s">
        <v>461</v>
      </c>
      <c r="I192" s="91" t="s">
        <v>462</v>
      </c>
    </row>
    <row r="193" spans="1:14" ht="14.4" x14ac:dyDescent="0.3">
      <c r="A193" s="28" t="str">
        <f>HYPERLINK("https://www.google.com/search?q=Himantopus himantopus&amp;tbm=isch")</f>
        <v>https://www.google.com/search?q=Himantopus himantopus&amp;tbm=isch</v>
      </c>
      <c r="B193" s="29" t="str">
        <f>HYPERLINK("https://www.xeno-canto.org/species/Himantopus-himantopus")</f>
        <v>https://www.xeno-canto.org/species/Himantopus-himantopus</v>
      </c>
      <c r="C193" s="30" t="str">
        <f>HYPERLINK("https://ebird.org/species/bkwsti")</f>
        <v>https://ebird.org/species/bkwsti</v>
      </c>
      <c r="D193" s="31" t="str">
        <f>HYPERLINK("https://www.hbw.com/species/Black-winged-Stilt-Himantopus-himantopus")</f>
        <v>https://www.hbw.com/species/Black-winged-Stilt-Himantopus-himantopus</v>
      </c>
      <c r="E193" s="32" t="str">
        <f>HYPERLINK("https://www.iucnredlist.org/search?query=Himantopus himantopus&amp;searchType=species")</f>
        <v>https://www.iucnredlist.org/search?query=Himantopus himantopus&amp;searchType=species</v>
      </c>
      <c r="F193" s="2">
        <v>141</v>
      </c>
      <c r="G193" s="27" t="s">
        <v>462</v>
      </c>
      <c r="H193" s="84" t="s">
        <v>463</v>
      </c>
      <c r="I193" s="92" t="s">
        <v>464</v>
      </c>
      <c r="J193" s="1" t="s">
        <v>317</v>
      </c>
      <c r="M193" s="2" t="s">
        <v>170</v>
      </c>
      <c r="N193" s="2" t="s">
        <v>123</v>
      </c>
    </row>
    <row r="194" spans="1:14" ht="14.4" x14ac:dyDescent="0.3">
      <c r="A194" s="28" t="str">
        <f>HYPERLINK("https://www.google.com/search?q=Himantopus leucocephalus&amp;tbm=isch")</f>
        <v>https://www.google.com/search?q=Himantopus leucocephalus&amp;tbm=isch</v>
      </c>
      <c r="B194" s="29" t="str">
        <f>HYPERLINK("https://www.xeno-canto.org/species/Himantopus-leucocephalus")</f>
        <v>https://www.xeno-canto.org/species/Himantopus-leucocephalus</v>
      </c>
      <c r="C194" s="30" t="str">
        <f>HYPERLINK("https://ebird.org/species/piesti1")</f>
        <v>https://ebird.org/species/piesti1</v>
      </c>
      <c r="D194" s="31" t="str">
        <f>HYPERLINK("https://www.hbw.com/species/Pied-Stilt-Himantopus-leucocephalus")</f>
        <v>https://www.hbw.com/species/Pied-Stilt-Himantopus-leucocephalus</v>
      </c>
      <c r="E194" s="32" t="str">
        <f>HYPERLINK("https://www.iucnredlist.org/search?query=Himantopus leucocephalus&amp;searchType=species")</f>
        <v>https://www.iucnredlist.org/search?query=Himantopus leucocephalus&amp;searchType=species</v>
      </c>
      <c r="F194" s="2">
        <v>142</v>
      </c>
      <c r="G194" s="27" t="s">
        <v>462</v>
      </c>
      <c r="H194" s="83" t="s">
        <v>465</v>
      </c>
      <c r="I194" s="92" t="s">
        <v>466</v>
      </c>
      <c r="J194" s="1" t="s">
        <v>236</v>
      </c>
      <c r="M194" s="2" t="s">
        <v>233</v>
      </c>
      <c r="N194" s="2" t="s">
        <v>11320</v>
      </c>
    </row>
    <row r="195" spans="1:14" ht="14.4" x14ac:dyDescent="0.3">
      <c r="A195" s="28" t="str">
        <f>HYPERLINK("https://www.google.com/search?q=Recurvirostra avosetta&amp;tbm=isch")</f>
        <v>https://www.google.com/search?q=Recurvirostra avosetta&amp;tbm=isch</v>
      </c>
      <c r="B195" s="29" t="str">
        <f>HYPERLINK("https://www.xeno-canto.org/species/Recurvirostra-avosetta")</f>
        <v>https://www.xeno-canto.org/species/Recurvirostra-avosetta</v>
      </c>
      <c r="C195" s="30" t="str">
        <f>HYPERLINK("https://ebird.org/species/pieavo1")</f>
        <v>https://ebird.org/species/pieavo1</v>
      </c>
      <c r="D195" s="31" t="str">
        <f>HYPERLINK("https://www.hbw.com/species/Pied-Avocet-Recurvirostra-avosetta")</f>
        <v>https://www.hbw.com/species/Pied-Avocet-Recurvirostra-avosetta</v>
      </c>
      <c r="E195" s="32" t="str">
        <f>HYPERLINK("https://www.iucnredlist.org/search?query=Recurvirostra avosetta&amp;searchType=species")</f>
        <v>https://www.iucnredlist.org/search?query=Recurvirostra avosetta&amp;searchType=species</v>
      </c>
      <c r="F195" s="2">
        <v>143</v>
      </c>
      <c r="G195" s="27" t="s">
        <v>462</v>
      </c>
      <c r="H195" s="83" t="s">
        <v>467</v>
      </c>
      <c r="I195" s="92" t="s">
        <v>468</v>
      </c>
      <c r="J195" s="1" t="s">
        <v>19</v>
      </c>
      <c r="M195" s="2" t="s">
        <v>469</v>
      </c>
    </row>
    <row r="196" spans="1:14" x14ac:dyDescent="0.3">
      <c r="A196" s="33"/>
      <c r="B196" s="34"/>
      <c r="C196" s="35"/>
      <c r="D196" s="36"/>
      <c r="E196" s="37"/>
    </row>
    <row r="197" spans="1:14" ht="12" x14ac:dyDescent="0.3">
      <c r="A197" s="33"/>
      <c r="B197" s="34"/>
      <c r="C197" s="35"/>
      <c r="D197" s="36"/>
      <c r="E197" s="37"/>
      <c r="H197" s="82" t="s">
        <v>470</v>
      </c>
      <c r="I197" s="91" t="s">
        <v>471</v>
      </c>
    </row>
    <row r="198" spans="1:14" ht="30.6" x14ac:dyDescent="0.3">
      <c r="A198" s="28" t="str">
        <f>HYPERLINK("https://www.google.com/search?q=Vanellus vanellus&amp;tbm=isch")</f>
        <v>https://www.google.com/search?q=Vanellus vanellus&amp;tbm=isch</v>
      </c>
      <c r="B198" s="29" t="str">
        <f>HYPERLINK("https://www.xeno-canto.org/species/Vanellus-vanellus")</f>
        <v>https://www.xeno-canto.org/species/Vanellus-vanellus</v>
      </c>
      <c r="C198" s="30" t="str">
        <f>HYPERLINK("https://ebird.org/species/norlap")</f>
        <v>https://ebird.org/species/norlap</v>
      </c>
      <c r="D198" s="31" t="str">
        <f>HYPERLINK("https://www.hbw.com/species/Northern-Lapwing-Vanellus-vanellus")</f>
        <v>https://www.hbw.com/species/Northern-Lapwing-Vanellus-vanellus</v>
      </c>
      <c r="E198" s="32" t="str">
        <f>HYPERLINK("https://www.iucnredlist.org/search?query=Vanellus vanellus&amp;searchType=species")</f>
        <v>https://www.iucnredlist.org/search?query=Vanellus vanellus&amp;searchType=species</v>
      </c>
      <c r="F198" s="2">
        <v>144</v>
      </c>
      <c r="G198" s="27" t="s">
        <v>471</v>
      </c>
      <c r="H198" s="85" t="s">
        <v>472</v>
      </c>
      <c r="I198" s="93" t="s">
        <v>473</v>
      </c>
      <c r="J198" s="1" t="s">
        <v>19</v>
      </c>
      <c r="K198" s="1" t="s">
        <v>58</v>
      </c>
      <c r="M198" s="2" t="s">
        <v>92</v>
      </c>
      <c r="N198" s="2" t="s">
        <v>11321</v>
      </c>
    </row>
    <row r="199" spans="1:14" ht="14.4" x14ac:dyDescent="0.3">
      <c r="A199" s="28" t="str">
        <f>HYPERLINK("https://www.google.com/search?q=Vanellus cinereus&amp;tbm=isch")</f>
        <v>https://www.google.com/search?q=Vanellus cinereus&amp;tbm=isch</v>
      </c>
      <c r="B199" s="29" t="str">
        <f>HYPERLINK("https://www.xeno-canto.org/species/Vanellus-cinereus")</f>
        <v>https://www.xeno-canto.org/species/Vanellus-cinereus</v>
      </c>
      <c r="C199" s="30" t="str">
        <f>HYPERLINK("https://ebird.org/species/gyhlap1")</f>
        <v>https://ebird.org/species/gyhlap1</v>
      </c>
      <c r="D199" s="31" t="str">
        <f>HYPERLINK("https://www.hbw.com/species/Grey-headed-Lapwing-Vanellus-cinereus")</f>
        <v>https://www.hbw.com/species/Grey-headed-Lapwing-Vanellus-cinereus</v>
      </c>
      <c r="E199" s="32" t="str">
        <f>HYPERLINK("https://www.iucnredlist.org/search?query=Vanellus cinereus&amp;searchType=species")</f>
        <v>https://www.iucnredlist.org/search?query=Vanellus cinereus&amp;searchType=species</v>
      </c>
      <c r="F199" s="2">
        <v>145</v>
      </c>
      <c r="G199" s="27" t="s">
        <v>471</v>
      </c>
      <c r="H199" s="83" t="s">
        <v>474</v>
      </c>
      <c r="I199" s="92" t="s">
        <v>475</v>
      </c>
      <c r="J199" s="1" t="s">
        <v>19</v>
      </c>
      <c r="M199" s="2" t="s">
        <v>476</v>
      </c>
    </row>
    <row r="200" spans="1:14" ht="14.4" x14ac:dyDescent="0.3">
      <c r="A200" s="28" t="str">
        <f>HYPERLINK("https://www.google.com/search?q=Pluvialis fulva&amp;tbm=isch")</f>
        <v>https://www.google.com/search?q=Pluvialis fulva&amp;tbm=isch</v>
      </c>
      <c r="B200" s="29" t="str">
        <f>HYPERLINK("https://www.xeno-canto.org/species/Pluvialis-fulva")</f>
        <v>https://www.xeno-canto.org/species/Pluvialis-fulva</v>
      </c>
      <c r="C200" s="30" t="str">
        <f>HYPERLINK("https://ebird.org/species/pagplo")</f>
        <v>https://ebird.org/species/pagplo</v>
      </c>
      <c r="D200" s="31" t="str">
        <f>HYPERLINK("https://www.hbw.com/species/Pacific-Golden-Plover-Pluvialis-fulva")</f>
        <v>https://www.hbw.com/species/Pacific-Golden-Plover-Pluvialis-fulva</v>
      </c>
      <c r="E200" s="32" t="str">
        <f>HYPERLINK("https://www.iucnredlist.org/search?query=Pluvialis fulva&amp;searchType=species")</f>
        <v>https://www.iucnredlist.org/search?query=Pluvialis fulva&amp;searchType=species</v>
      </c>
      <c r="F200" s="2">
        <v>146</v>
      </c>
      <c r="G200" s="27" t="s">
        <v>471</v>
      </c>
      <c r="H200" s="84" t="s">
        <v>477</v>
      </c>
      <c r="I200" s="92" t="s">
        <v>478</v>
      </c>
      <c r="J200" s="1" t="s">
        <v>50</v>
      </c>
      <c r="M200" s="2" t="s">
        <v>479</v>
      </c>
    </row>
    <row r="201" spans="1:14" ht="14.4" x14ac:dyDescent="0.3">
      <c r="A201" s="28" t="str">
        <f>HYPERLINK("https://www.google.com/search?q=Pluvialis squatarola&amp;tbm=isch")</f>
        <v>https://www.google.com/search?q=Pluvialis squatarola&amp;tbm=isch</v>
      </c>
      <c r="B201" s="29" t="str">
        <f>HYPERLINK("https://www.xeno-canto.org/species/Pluvialis-squatarola")</f>
        <v>https://www.xeno-canto.org/species/Pluvialis-squatarola</v>
      </c>
      <c r="C201" s="30" t="str">
        <f>HYPERLINK("https://ebird.org/species/bkbplo")</f>
        <v>https://ebird.org/species/bkbplo</v>
      </c>
      <c r="D201" s="31" t="str">
        <f>HYPERLINK("https://www.hbw.com/species/Grey-Plover-Pluvialis-squatarola")</f>
        <v>https://www.hbw.com/species/Grey-Plover-Pluvialis-squatarola</v>
      </c>
      <c r="E201" s="32" t="str">
        <f>HYPERLINK("https://www.iucnredlist.org/search?query=Pluvialis squatarola&amp;searchType=species")</f>
        <v>https://www.iucnredlist.org/search?query=Pluvialis squatarola&amp;searchType=species</v>
      </c>
      <c r="F201" s="2">
        <v>147</v>
      </c>
      <c r="G201" s="27" t="s">
        <v>471</v>
      </c>
      <c r="H201" s="84" t="s">
        <v>480</v>
      </c>
      <c r="I201" s="92" t="s">
        <v>481</v>
      </c>
      <c r="J201" s="1" t="s">
        <v>50</v>
      </c>
      <c r="M201" s="2" t="s">
        <v>482</v>
      </c>
    </row>
    <row r="202" spans="1:14" ht="14.4" x14ac:dyDescent="0.3">
      <c r="A202" s="28" t="str">
        <f>HYPERLINK("https://www.google.com/search?q=Charadrius hiaticula&amp;tbm=isch")</f>
        <v>https://www.google.com/search?q=Charadrius hiaticula&amp;tbm=isch</v>
      </c>
      <c r="B202" s="29" t="str">
        <f>HYPERLINK("https://www.xeno-canto.org/species/Charadrius-hiaticula")</f>
        <v>https://www.xeno-canto.org/species/Charadrius-hiaticula</v>
      </c>
      <c r="C202" s="30" t="str">
        <f>HYPERLINK("https://ebird.org/species/corplo")</f>
        <v>https://ebird.org/species/corplo</v>
      </c>
      <c r="D202" s="31" t="str">
        <f>HYPERLINK("https://www.hbw.com/species/Common-Ringed-Plover-Charadrius-hiaticula")</f>
        <v>https://www.hbw.com/species/Common-Ringed-Plover-Charadrius-hiaticula</v>
      </c>
      <c r="E202" s="32" t="str">
        <f>HYPERLINK("https://www.iucnredlist.org/search?query=Charadrius hiaticula&amp;searchType=species")</f>
        <v>https://www.iucnredlist.org/search?query=Charadrius hiaticula&amp;searchType=species</v>
      </c>
      <c r="F202" s="2">
        <v>148</v>
      </c>
      <c r="G202" s="27" t="s">
        <v>471</v>
      </c>
      <c r="H202" s="83" t="s">
        <v>483</v>
      </c>
      <c r="I202" s="92" t="s">
        <v>484</v>
      </c>
      <c r="J202" s="1" t="s">
        <v>19</v>
      </c>
      <c r="M202" s="2" t="s">
        <v>485</v>
      </c>
    </row>
    <row r="203" spans="1:14" ht="14.4" x14ac:dyDescent="0.3">
      <c r="A203" s="28" t="str">
        <f>HYPERLINK("https://www.google.com/search?q=Charadrius dubius&amp;tbm=isch")</f>
        <v>https://www.google.com/search?q=Charadrius dubius&amp;tbm=isch</v>
      </c>
      <c r="B203" s="29" t="str">
        <f>HYPERLINK("https://www.xeno-canto.org/species/Charadrius-dubius")</f>
        <v>https://www.xeno-canto.org/species/Charadrius-dubius</v>
      </c>
      <c r="C203" s="30" t="str">
        <f>HYPERLINK("https://ebird.org/species/lirplo")</f>
        <v>https://ebird.org/species/lirplo</v>
      </c>
      <c r="D203" s="31" t="str">
        <f>HYPERLINK("https://www.hbw.com/species/Little-Ringed-Plover-Charadrius-dubius")</f>
        <v>https://www.hbw.com/species/Little-Ringed-Plover-Charadrius-dubius</v>
      </c>
      <c r="E203" s="32" t="str">
        <f>HYPERLINK("https://www.iucnredlist.org/search?query=Charadrius dubius&amp;searchType=species")</f>
        <v>https://www.iucnredlist.org/search?query=Charadrius dubius&amp;searchType=species</v>
      </c>
      <c r="F203" s="2">
        <v>149</v>
      </c>
      <c r="G203" s="27" t="s">
        <v>471</v>
      </c>
      <c r="H203" s="84" t="s">
        <v>486</v>
      </c>
      <c r="I203" s="92" t="s">
        <v>487</v>
      </c>
      <c r="J203" s="1" t="s">
        <v>236</v>
      </c>
      <c r="M203" s="2" t="s">
        <v>488</v>
      </c>
    </row>
    <row r="204" spans="1:14" ht="14.4" x14ac:dyDescent="0.3">
      <c r="A204" s="28" t="str">
        <f>HYPERLINK("https://www.google.com/search?q=Charadrius alexandrinus&amp;tbm=isch")</f>
        <v>https://www.google.com/search?q=Charadrius alexandrinus&amp;tbm=isch</v>
      </c>
      <c r="B204" s="29" t="str">
        <f>HYPERLINK("https://www.xeno-canto.org/species/Charadrius-alexandrinus")</f>
        <v>https://www.xeno-canto.org/species/Charadrius-alexandrinus</v>
      </c>
      <c r="C204" s="30" t="str">
        <f>HYPERLINK("https://ebird.org/species/kenplo1")</f>
        <v>https://ebird.org/species/kenplo1</v>
      </c>
      <c r="D204" s="31" t="str">
        <f>HYPERLINK("https://www.hbw.com/species/Kentish-Plover-Charadrius-alexandrinus")</f>
        <v>https://www.hbw.com/species/Kentish-Plover-Charadrius-alexandrinus</v>
      </c>
      <c r="E204" s="32" t="str">
        <f>HYPERLINK("https://www.iucnredlist.org/search?query=Charadrius alexandrinus&amp;searchType=species")</f>
        <v>https://www.iucnredlist.org/search?query=Charadrius alexandrinus&amp;searchType=species</v>
      </c>
      <c r="F204" s="2">
        <v>150</v>
      </c>
      <c r="G204" s="27" t="s">
        <v>471</v>
      </c>
      <c r="H204" s="84" t="s">
        <v>489</v>
      </c>
      <c r="I204" s="92" t="s">
        <v>490</v>
      </c>
      <c r="J204" s="1" t="s">
        <v>50</v>
      </c>
      <c r="M204" s="2" t="s">
        <v>170</v>
      </c>
    </row>
    <row r="205" spans="1:14" ht="20.399999999999999" x14ac:dyDescent="0.3">
      <c r="A205" s="28" t="str">
        <f>HYPERLINK("https://www.google.com/search?q=Charadrius peronii&amp;tbm=isch")</f>
        <v>https://www.google.com/search?q=Charadrius peronii&amp;tbm=isch</v>
      </c>
      <c r="B205" s="29" t="str">
        <f>HYPERLINK("https://www.xeno-canto.org/species/Charadrius-peronii")</f>
        <v>https://www.xeno-canto.org/species/Charadrius-peronii</v>
      </c>
      <c r="C205" s="30" t="str">
        <f>HYPERLINK("https://ebird.org/species/malplo1")</f>
        <v>https://ebird.org/species/malplo1</v>
      </c>
      <c r="D205" s="31" t="str">
        <f>HYPERLINK("https://www.hbw.com/species/Malay-Plover-Charadrius-peronii")</f>
        <v>https://www.hbw.com/species/Malay-Plover-Charadrius-peronii</v>
      </c>
      <c r="E205" s="32" t="str">
        <f>HYPERLINK("https://www.iucnredlist.org/search?query=Charadrius peronii&amp;searchType=species")</f>
        <v>https://www.iucnredlist.org/search?query=Charadrius peronii&amp;searchType=species</v>
      </c>
      <c r="F205" s="2">
        <v>151</v>
      </c>
      <c r="G205" s="27" t="s">
        <v>471</v>
      </c>
      <c r="H205" s="84" t="s">
        <v>491</v>
      </c>
      <c r="I205" s="92" t="s">
        <v>492</v>
      </c>
      <c r="J205" s="1" t="s">
        <v>15</v>
      </c>
      <c r="K205" s="1" t="s">
        <v>58</v>
      </c>
      <c r="L205" s="1" t="s">
        <v>66</v>
      </c>
      <c r="M205" s="2" t="s">
        <v>493</v>
      </c>
    </row>
    <row r="206" spans="1:14" ht="14.4" x14ac:dyDescent="0.3">
      <c r="A206" s="28" t="str">
        <f>HYPERLINK("https://www.google.com/search?q=Charadrius mongolus&amp;tbm=isch")</f>
        <v>https://www.google.com/search?q=Charadrius mongolus&amp;tbm=isch</v>
      </c>
      <c r="B206" s="29" t="str">
        <f>HYPERLINK("https://www.xeno-canto.org/species/Charadrius-mongolus")</f>
        <v>https://www.xeno-canto.org/species/Charadrius-mongolus</v>
      </c>
      <c r="C206" s="30" t="str">
        <f>HYPERLINK("https://ebird.org/species/lesplo")</f>
        <v>https://ebird.org/species/lesplo</v>
      </c>
      <c r="D206" s="31" t="str">
        <f>HYPERLINK("https://www.hbw.com/species/Lesser-Sandplover-Charadrius-mongolus")</f>
        <v>https://www.hbw.com/species/Lesser-Sandplover-Charadrius-mongolus</v>
      </c>
      <c r="E206" s="32" t="str">
        <f>HYPERLINK("https://www.iucnredlist.org/search?query=Charadrius mongolus&amp;searchType=species")</f>
        <v>https://www.iucnredlist.org/search?query=Charadrius mongolus&amp;searchType=species</v>
      </c>
      <c r="F206" s="2">
        <v>152</v>
      </c>
      <c r="G206" s="27" t="s">
        <v>471</v>
      </c>
      <c r="H206" s="84" t="s">
        <v>494</v>
      </c>
      <c r="I206" s="92" t="s">
        <v>495</v>
      </c>
      <c r="J206" s="1" t="s">
        <v>50</v>
      </c>
      <c r="M206" s="2" t="s">
        <v>360</v>
      </c>
    </row>
    <row r="207" spans="1:14" ht="14.4" x14ac:dyDescent="0.3">
      <c r="A207" s="28" t="str">
        <f>HYPERLINK("https://www.google.com/search?q=Charadrius leschenaultii&amp;tbm=isch")</f>
        <v>https://www.google.com/search?q=Charadrius leschenaultii&amp;tbm=isch</v>
      </c>
      <c r="B207" s="29" t="str">
        <f>HYPERLINK("https://www.xeno-canto.org/species/Charadrius-leschenaultii")</f>
        <v>https://www.xeno-canto.org/species/Charadrius-leschenaultii</v>
      </c>
      <c r="C207" s="30" t="str">
        <f>HYPERLINK("https://ebird.org/species/grsplo")</f>
        <v>https://ebird.org/species/grsplo</v>
      </c>
      <c r="D207" s="31" t="str">
        <f>HYPERLINK("https://www.hbw.com/species/Greater-Sandplover-Charadrius-leschenaultii")</f>
        <v>https://www.hbw.com/species/Greater-Sandplover-Charadrius-leschenaultii</v>
      </c>
      <c r="E207" s="32" t="str">
        <f>HYPERLINK("https://www.iucnredlist.org/search?query=Charadrius leschenaultii&amp;searchType=species")</f>
        <v>https://www.iucnredlist.org/search?query=Charadrius leschenaultii&amp;searchType=species</v>
      </c>
      <c r="F207" s="2">
        <v>153</v>
      </c>
      <c r="G207" s="27" t="s">
        <v>471</v>
      </c>
      <c r="H207" s="84" t="s">
        <v>496</v>
      </c>
      <c r="I207" s="92" t="s">
        <v>497</v>
      </c>
      <c r="J207" s="1" t="s">
        <v>50</v>
      </c>
      <c r="M207" s="2" t="s">
        <v>498</v>
      </c>
      <c r="N207" s="2" t="s">
        <v>123</v>
      </c>
    </row>
    <row r="208" spans="1:14" ht="14.4" x14ac:dyDescent="0.3">
      <c r="A208" s="28" t="str">
        <f>HYPERLINK("https://www.google.com/search?q=Charadrius veredus&amp;tbm=isch")</f>
        <v>https://www.google.com/search?q=Charadrius veredus&amp;tbm=isch</v>
      </c>
      <c r="B208" s="29" t="str">
        <f>HYPERLINK("https://www.xeno-canto.org/species/Charadrius-veredus")</f>
        <v>https://www.xeno-canto.org/species/Charadrius-veredus</v>
      </c>
      <c r="C208" s="30" t="str">
        <f>HYPERLINK("https://ebird.org/species/oriplo1")</f>
        <v>https://ebird.org/species/oriplo1</v>
      </c>
      <c r="D208" s="31" t="str">
        <f>HYPERLINK("https://www.hbw.com/species/Oriental-Plover-Charadrius-veredus")</f>
        <v>https://www.hbw.com/species/Oriental-Plover-Charadrius-veredus</v>
      </c>
      <c r="E208" s="32" t="str">
        <f>HYPERLINK("https://www.iucnredlist.org/search?query=Charadrius veredus&amp;searchType=species")</f>
        <v>https://www.iucnredlist.org/search?query=Charadrius veredus&amp;searchType=species</v>
      </c>
      <c r="F208" s="2">
        <v>154</v>
      </c>
      <c r="G208" s="27" t="s">
        <v>471</v>
      </c>
      <c r="H208" s="83" t="s">
        <v>499</v>
      </c>
      <c r="I208" s="92" t="s">
        <v>500</v>
      </c>
      <c r="J208" s="1" t="s">
        <v>19</v>
      </c>
      <c r="M208" s="2" t="s">
        <v>501</v>
      </c>
    </row>
    <row r="209" spans="1:14" x14ac:dyDescent="0.3">
      <c r="A209" s="33"/>
      <c r="B209" s="34"/>
      <c r="C209" s="35"/>
      <c r="D209" s="36"/>
      <c r="E209" s="37"/>
    </row>
    <row r="210" spans="1:14" ht="12" x14ac:dyDescent="0.3">
      <c r="A210" s="33"/>
      <c r="B210" s="34"/>
      <c r="C210" s="35"/>
      <c r="D210" s="36"/>
      <c r="E210" s="37"/>
      <c r="H210" s="82" t="s">
        <v>502</v>
      </c>
      <c r="I210" s="91" t="s">
        <v>503</v>
      </c>
    </row>
    <row r="211" spans="1:14" ht="14.4" x14ac:dyDescent="0.3">
      <c r="A211" s="28" t="str">
        <f>HYPERLINK("https://www.google.com/search?q=Rostratula benghalensis&amp;tbm=isch")</f>
        <v>https://www.google.com/search?q=Rostratula benghalensis&amp;tbm=isch</v>
      </c>
      <c r="B211" s="29" t="str">
        <f>HYPERLINK("https://www.xeno-canto.org/species/Rostratula-benghalensis")</f>
        <v>https://www.xeno-canto.org/species/Rostratula-benghalensis</v>
      </c>
      <c r="C211" s="30" t="str">
        <f>HYPERLINK("https://ebird.org/species/grpsni1")</f>
        <v>https://ebird.org/species/grpsni1</v>
      </c>
      <c r="D211" s="31" t="str">
        <f>HYPERLINK("https://www.hbw.com/species/Greater-Painted-snipe-Rostratula-benghalensis")</f>
        <v>https://www.hbw.com/species/Greater-Painted-snipe-Rostratula-benghalensis</v>
      </c>
      <c r="E211" s="32" t="str">
        <f>HYPERLINK("https://www.iucnredlist.org/search?query=Rostratula benghalensis&amp;searchType=species")</f>
        <v>https://www.iucnredlist.org/search?query=Rostratula benghalensis&amp;searchType=species</v>
      </c>
      <c r="F211" s="2">
        <v>155</v>
      </c>
      <c r="G211" s="27" t="s">
        <v>503</v>
      </c>
      <c r="H211" s="84" t="s">
        <v>504</v>
      </c>
      <c r="I211" s="92" t="s">
        <v>505</v>
      </c>
      <c r="J211" s="1" t="s">
        <v>15</v>
      </c>
      <c r="M211" s="2" t="s">
        <v>189</v>
      </c>
    </row>
    <row r="212" spans="1:14" x14ac:dyDescent="0.3">
      <c r="A212" s="33"/>
      <c r="B212" s="34"/>
      <c r="C212" s="35"/>
      <c r="D212" s="36"/>
      <c r="E212" s="37"/>
    </row>
    <row r="213" spans="1:14" ht="12" x14ac:dyDescent="0.3">
      <c r="A213" s="33"/>
      <c r="B213" s="34"/>
      <c r="C213" s="35"/>
      <c r="D213" s="36"/>
      <c r="E213" s="37"/>
      <c r="H213" s="82" t="s">
        <v>506</v>
      </c>
      <c r="I213" s="91" t="s">
        <v>507</v>
      </c>
    </row>
    <row r="214" spans="1:14" ht="81.599999999999994" x14ac:dyDescent="0.3">
      <c r="A214" s="28" t="str">
        <f>HYPERLINK("https://www.google.com/search?q=Irediparra gallinacea&amp;tbm=isch")</f>
        <v>https://www.google.com/search?q=Irediparra gallinacea&amp;tbm=isch</v>
      </c>
      <c r="B214" s="29" t="str">
        <f>HYPERLINK("https://www.xeno-canto.org/species/Irediparra-gallinacea")</f>
        <v>https://www.xeno-canto.org/species/Irediparra-gallinacea</v>
      </c>
      <c r="C214" s="30" t="str">
        <f>HYPERLINK("https://ebird.org/species/cocjac1")</f>
        <v>https://ebird.org/species/cocjac1</v>
      </c>
      <c r="D214" s="31" t="str">
        <f>HYPERLINK("https://www.hbw.com/species/Comb-crested-Jacana-Irediparra-gallinacea")</f>
        <v>https://www.hbw.com/species/Comb-crested-Jacana-Irediparra-gallinacea</v>
      </c>
      <c r="E214" s="32" t="str">
        <f>HYPERLINK("https://www.iucnredlist.org/search?query=Irediparra gallinacea&amp;searchType=species")</f>
        <v>https://www.iucnredlist.org/search?query=Irediparra gallinacea&amp;searchType=species</v>
      </c>
      <c r="F214" s="2">
        <v>156</v>
      </c>
      <c r="G214" s="27" t="s">
        <v>507</v>
      </c>
      <c r="H214" s="83" t="s">
        <v>508</v>
      </c>
      <c r="I214" s="92" t="s">
        <v>509</v>
      </c>
      <c r="J214" s="1" t="s">
        <v>15</v>
      </c>
      <c r="M214" s="2" t="s">
        <v>510</v>
      </c>
      <c r="N214" s="2" t="s">
        <v>11322</v>
      </c>
    </row>
    <row r="215" spans="1:14" ht="14.4" x14ac:dyDescent="0.3">
      <c r="A215" s="28" t="str">
        <f>HYPERLINK("https://www.google.com/search?q=Hydrophasianus chirurgus&amp;tbm=isch")</f>
        <v>https://www.google.com/search?q=Hydrophasianus chirurgus&amp;tbm=isch</v>
      </c>
      <c r="B215" s="29" t="str">
        <f>HYPERLINK("https://www.xeno-canto.org/species/Hydrophasianus-chirurgus")</f>
        <v>https://www.xeno-canto.org/species/Hydrophasianus-chirurgus</v>
      </c>
      <c r="C215" s="30" t="str">
        <f>HYPERLINK("https://ebird.org/species/phtjac1")</f>
        <v>https://ebird.org/species/phtjac1</v>
      </c>
      <c r="D215" s="31" t="str">
        <f>HYPERLINK("https://www.hbw.com/species/Pheasant-tailed-Jacana-Hydrophasianus-chirurgus")</f>
        <v>https://www.hbw.com/species/Pheasant-tailed-Jacana-Hydrophasianus-chirurgus</v>
      </c>
      <c r="E215" s="32" t="str">
        <f>HYPERLINK("https://www.iucnredlist.org/search?query=Hydrophasianus chirurgus&amp;searchType=species")</f>
        <v>https://www.iucnredlist.org/search?query=Hydrophasianus chirurgus&amp;searchType=species</v>
      </c>
      <c r="F215" s="2">
        <v>157</v>
      </c>
      <c r="G215" s="27" t="s">
        <v>507</v>
      </c>
      <c r="H215" s="84" t="s">
        <v>511</v>
      </c>
      <c r="I215" s="92" t="s">
        <v>512</v>
      </c>
      <c r="J215" s="1" t="s">
        <v>15</v>
      </c>
      <c r="M215" s="2" t="s">
        <v>43</v>
      </c>
    </row>
    <row r="216" spans="1:14" x14ac:dyDescent="0.3">
      <c r="A216" s="33"/>
      <c r="B216" s="34"/>
      <c r="C216" s="35"/>
      <c r="D216" s="36"/>
      <c r="E216" s="37"/>
    </row>
    <row r="217" spans="1:14" ht="12" x14ac:dyDescent="0.3">
      <c r="A217" s="33"/>
      <c r="B217" s="34"/>
      <c r="C217" s="35"/>
      <c r="D217" s="36"/>
      <c r="E217" s="37"/>
      <c r="H217" s="82" t="s">
        <v>513</v>
      </c>
      <c r="I217" s="91" t="s">
        <v>514</v>
      </c>
    </row>
    <row r="218" spans="1:14" ht="14.4" x14ac:dyDescent="0.3">
      <c r="A218" s="28" t="str">
        <f>HYPERLINK("https://www.google.com/search?q=Numenius tahitiensis&amp;tbm=isch")</f>
        <v>https://www.google.com/search?q=Numenius tahitiensis&amp;tbm=isch</v>
      </c>
      <c r="B218" s="29" t="str">
        <f>HYPERLINK("https://www.xeno-canto.org/species/Numenius-tahitiensis")</f>
        <v>https://www.xeno-canto.org/species/Numenius-tahitiensis</v>
      </c>
      <c r="C218" s="30" t="str">
        <f>HYPERLINK("https://ebird.org/species/brtcur")</f>
        <v>https://ebird.org/species/brtcur</v>
      </c>
      <c r="D218" s="31" t="str">
        <f>HYPERLINK("https://www.hbw.com/species/Bristle-thighed-Curlew-Numenius-tahitiensis")</f>
        <v>https://www.hbw.com/species/Bristle-thighed-Curlew-Numenius-tahitiensis</v>
      </c>
      <c r="E218" s="32" t="str">
        <f>HYPERLINK("https://www.iucnredlist.org/search?query=Numenius tahitiensis&amp;searchType=species")</f>
        <v>https://www.iucnredlist.org/search?query=Numenius tahitiensis&amp;searchType=species</v>
      </c>
      <c r="F218" s="2">
        <v>158</v>
      </c>
      <c r="G218" s="27" t="s">
        <v>514</v>
      </c>
      <c r="H218" s="83" t="s">
        <v>515</v>
      </c>
      <c r="I218" s="92" t="s">
        <v>516</v>
      </c>
      <c r="J218" s="1" t="s">
        <v>19</v>
      </c>
      <c r="K218" s="1" t="s">
        <v>66</v>
      </c>
      <c r="L218" s="1" t="s">
        <v>66</v>
      </c>
      <c r="M218" s="2" t="s">
        <v>517</v>
      </c>
    </row>
    <row r="219" spans="1:14" ht="14.4" x14ac:dyDescent="0.3">
      <c r="A219" s="28" t="str">
        <f>HYPERLINK("https://www.google.com/search?q=Numenius phaeopus&amp;tbm=isch")</f>
        <v>https://www.google.com/search?q=Numenius phaeopus&amp;tbm=isch</v>
      </c>
      <c r="B219" s="29" t="str">
        <f>HYPERLINK("https://www.xeno-canto.org/species/Numenius-phaeopus")</f>
        <v>https://www.xeno-canto.org/species/Numenius-phaeopus</v>
      </c>
      <c r="C219" s="30" t="str">
        <f>HYPERLINK("https://ebird.org/species/whimbr")</f>
        <v>https://ebird.org/species/whimbr</v>
      </c>
      <c r="D219" s="31" t="str">
        <f>HYPERLINK("https://www.hbw.com/species/Whimbrel-Numenius-phaeopus")</f>
        <v>https://www.hbw.com/species/Whimbrel-Numenius-phaeopus</v>
      </c>
      <c r="E219" s="32" t="str">
        <f>HYPERLINK("https://www.iucnredlist.org/search?query=Numenius phaeopus&amp;searchType=species")</f>
        <v>https://www.iucnredlist.org/search?query=Numenius phaeopus&amp;searchType=species</v>
      </c>
      <c r="F219" s="2">
        <v>159</v>
      </c>
      <c r="G219" s="27" t="s">
        <v>514</v>
      </c>
      <c r="H219" s="84" t="s">
        <v>518</v>
      </c>
      <c r="I219" s="92" t="s">
        <v>519</v>
      </c>
      <c r="J219" s="1" t="s">
        <v>50</v>
      </c>
      <c r="M219" s="2" t="s">
        <v>482</v>
      </c>
    </row>
    <row r="220" spans="1:14" ht="14.4" x14ac:dyDescent="0.3">
      <c r="A220" s="28" t="str">
        <f>HYPERLINK("https://www.google.com/search?q=Numenius minutus&amp;tbm=isch")</f>
        <v>https://www.google.com/search?q=Numenius minutus&amp;tbm=isch</v>
      </c>
      <c r="B220" s="29" t="str">
        <f>HYPERLINK("https://www.xeno-canto.org/species/Numenius-minutus")</f>
        <v>https://www.xeno-canto.org/species/Numenius-minutus</v>
      </c>
      <c r="C220" s="30" t="str">
        <f>HYPERLINK("https://ebird.org/species/litcur")</f>
        <v>https://ebird.org/species/litcur</v>
      </c>
      <c r="D220" s="31" t="str">
        <f>HYPERLINK("https://www.hbw.com/species/Little-Curlew-Numenius-minutus")</f>
        <v>https://www.hbw.com/species/Little-Curlew-Numenius-minutus</v>
      </c>
      <c r="E220" s="32" t="str">
        <f>HYPERLINK("https://www.iucnredlist.org/search?query=Numenius minutus&amp;searchType=species")</f>
        <v>https://www.iucnredlist.org/search?query=Numenius minutus&amp;searchType=species</v>
      </c>
      <c r="F220" s="2">
        <v>160</v>
      </c>
      <c r="G220" s="27" t="s">
        <v>514</v>
      </c>
      <c r="H220" s="83" t="s">
        <v>520</v>
      </c>
      <c r="I220" s="92" t="s">
        <v>521</v>
      </c>
      <c r="J220" s="1" t="s">
        <v>50</v>
      </c>
      <c r="M220" s="2" t="s">
        <v>522</v>
      </c>
    </row>
    <row r="221" spans="1:14" ht="14.4" x14ac:dyDescent="0.3">
      <c r="A221" s="28" t="str">
        <f>HYPERLINK("https://www.google.com/search?q=Numenius madagascariensis&amp;tbm=isch")</f>
        <v>https://www.google.com/search?q=Numenius madagascariensis&amp;tbm=isch</v>
      </c>
      <c r="B221" s="29" t="str">
        <f>HYPERLINK("https://www.xeno-canto.org/species/Numenius-madagascariensis")</f>
        <v>https://www.xeno-canto.org/species/Numenius-madagascariensis</v>
      </c>
      <c r="C221" s="30" t="str">
        <f>HYPERLINK("https://ebird.org/species/faecur")</f>
        <v>https://ebird.org/species/faecur</v>
      </c>
      <c r="D221" s="31" t="str">
        <f>HYPERLINK("https://www.hbw.com/species/Far-Eastern-Curlew-Numenius-madagascariensis")</f>
        <v>https://www.hbw.com/species/Far-Eastern-Curlew-Numenius-madagascariensis</v>
      </c>
      <c r="E221" s="32" t="str">
        <f>HYPERLINK("https://www.iucnredlist.org/search?query=Numenius madagascariensis&amp;searchType=species")</f>
        <v>https://www.iucnredlist.org/search?query=Numenius madagascariensis&amp;searchType=species</v>
      </c>
      <c r="F221" s="2">
        <v>161</v>
      </c>
      <c r="G221" s="27" t="s">
        <v>514</v>
      </c>
      <c r="H221" s="84" t="s">
        <v>523</v>
      </c>
      <c r="I221" s="92" t="s">
        <v>524</v>
      </c>
      <c r="J221" s="1" t="s">
        <v>50</v>
      </c>
      <c r="K221" s="1" t="s">
        <v>67</v>
      </c>
      <c r="L221" s="1" t="s">
        <v>67</v>
      </c>
      <c r="M221" s="2" t="s">
        <v>525</v>
      </c>
    </row>
    <row r="222" spans="1:14" ht="14.4" x14ac:dyDescent="0.3">
      <c r="A222" s="28" t="str">
        <f>HYPERLINK("https://www.google.com/search?q=Numenius arquata&amp;tbm=isch")</f>
        <v>https://www.google.com/search?q=Numenius arquata&amp;tbm=isch</v>
      </c>
      <c r="B222" s="29" t="str">
        <f>HYPERLINK("https://www.xeno-canto.org/species/Numenius-arquata")</f>
        <v>https://www.xeno-canto.org/species/Numenius-arquata</v>
      </c>
      <c r="C222" s="30" t="str">
        <f>HYPERLINK("https://ebird.org/species/eurcur")</f>
        <v>https://ebird.org/species/eurcur</v>
      </c>
      <c r="D222" s="31" t="str">
        <f>HYPERLINK("https://www.hbw.com/species/Eurasian-Curlew-Numenius-arquata")</f>
        <v>https://www.hbw.com/species/Eurasian-Curlew-Numenius-arquata</v>
      </c>
      <c r="E222" s="32" t="str">
        <f>HYPERLINK("https://www.iucnredlist.org/search?query=Numenius arquata&amp;searchType=species")</f>
        <v>https://www.iucnredlist.org/search?query=Numenius arquata&amp;searchType=species</v>
      </c>
      <c r="F222" s="2">
        <v>162</v>
      </c>
      <c r="G222" s="27" t="s">
        <v>514</v>
      </c>
      <c r="H222" s="84" t="s">
        <v>526</v>
      </c>
      <c r="I222" s="92" t="s">
        <v>527</v>
      </c>
      <c r="J222" s="1" t="s">
        <v>50</v>
      </c>
      <c r="K222" s="1" t="s">
        <v>58</v>
      </c>
      <c r="L222" s="1" t="s">
        <v>130</v>
      </c>
      <c r="M222" s="2" t="s">
        <v>528</v>
      </c>
    </row>
    <row r="223" spans="1:14" ht="14.4" x14ac:dyDescent="0.3">
      <c r="A223" s="28" t="str">
        <f>HYPERLINK("https://www.google.com/search?q=Limosa lapponica&amp;tbm=isch")</f>
        <v>https://www.google.com/search?q=Limosa lapponica&amp;tbm=isch</v>
      </c>
      <c r="B223" s="29" t="str">
        <f>HYPERLINK("https://www.xeno-canto.org/species/Limosa-lapponica")</f>
        <v>https://www.xeno-canto.org/species/Limosa-lapponica</v>
      </c>
      <c r="C223" s="30" t="str">
        <f>HYPERLINK("https://ebird.org/species/batgod")</f>
        <v>https://ebird.org/species/batgod</v>
      </c>
      <c r="D223" s="31" t="str">
        <f>HYPERLINK("https://www.hbw.com/species/Bar-tailed-Godwit-Limosa-lapponica")</f>
        <v>https://www.hbw.com/species/Bar-tailed-Godwit-Limosa-lapponica</v>
      </c>
      <c r="E223" s="32" t="str">
        <f>HYPERLINK("https://www.iucnredlist.org/search?query=Limosa lapponica&amp;searchType=species")</f>
        <v>https://www.iucnredlist.org/search?query=Limosa lapponica&amp;searchType=species</v>
      </c>
      <c r="F223" s="2">
        <v>163</v>
      </c>
      <c r="G223" s="27" t="s">
        <v>514</v>
      </c>
      <c r="H223" s="84" t="s">
        <v>529</v>
      </c>
      <c r="I223" s="92" t="s">
        <v>530</v>
      </c>
      <c r="J223" s="1" t="s">
        <v>50</v>
      </c>
      <c r="K223" s="1" t="s">
        <v>58</v>
      </c>
      <c r="M223" s="2" t="s">
        <v>531</v>
      </c>
      <c r="N223" s="2" t="s">
        <v>123</v>
      </c>
    </row>
    <row r="224" spans="1:14" ht="14.4" x14ac:dyDescent="0.3">
      <c r="A224" s="28" t="str">
        <f>HYPERLINK("https://www.google.com/search?q=Limosa limosa&amp;tbm=isch")</f>
        <v>https://www.google.com/search?q=Limosa limosa&amp;tbm=isch</v>
      </c>
      <c r="B224" s="29" t="str">
        <f>HYPERLINK("https://www.xeno-canto.org/species/Limosa-limosa")</f>
        <v>https://www.xeno-canto.org/species/Limosa-limosa</v>
      </c>
      <c r="C224" s="30" t="str">
        <f>HYPERLINK("https://ebird.org/species/bktgod")</f>
        <v>https://ebird.org/species/bktgod</v>
      </c>
      <c r="D224" s="31" t="str">
        <f>HYPERLINK("https://www.hbw.com/species/Black-tailed-Godwit-Limosa-limosa")</f>
        <v>https://www.hbw.com/species/Black-tailed-Godwit-Limosa-limosa</v>
      </c>
      <c r="E224" s="32" t="str">
        <f>HYPERLINK("https://www.iucnredlist.org/search?query=Limosa limosa&amp;searchType=species")</f>
        <v>https://www.iucnredlist.org/search?query=Limosa limosa&amp;searchType=species</v>
      </c>
      <c r="F224" s="2">
        <v>164</v>
      </c>
      <c r="G224" s="27" t="s">
        <v>514</v>
      </c>
      <c r="H224" s="84" t="s">
        <v>532</v>
      </c>
      <c r="I224" s="92" t="s">
        <v>533</v>
      </c>
      <c r="J224" s="1" t="s">
        <v>50</v>
      </c>
      <c r="K224" s="1" t="s">
        <v>58</v>
      </c>
      <c r="L224" s="1" t="s">
        <v>66</v>
      </c>
      <c r="M224" s="2" t="s">
        <v>92</v>
      </c>
    </row>
    <row r="225" spans="1:14" ht="14.4" x14ac:dyDescent="0.3">
      <c r="A225" s="28" t="str">
        <f>HYPERLINK("https://www.google.com/search?q=Arenaria interpres&amp;tbm=isch")</f>
        <v>https://www.google.com/search?q=Arenaria interpres&amp;tbm=isch</v>
      </c>
      <c r="B225" s="29" t="str">
        <f>HYPERLINK("https://www.xeno-canto.org/species/Arenaria-interpres")</f>
        <v>https://www.xeno-canto.org/species/Arenaria-interpres</v>
      </c>
      <c r="C225" s="30" t="str">
        <f>HYPERLINK("https://ebird.org/species/rudtur")</f>
        <v>https://ebird.org/species/rudtur</v>
      </c>
      <c r="D225" s="31" t="str">
        <f>HYPERLINK("https://www.hbw.com/species/Ruddy-Turnstone-Arenaria-interpres")</f>
        <v>https://www.hbw.com/species/Ruddy-Turnstone-Arenaria-interpres</v>
      </c>
      <c r="E225" s="32" t="str">
        <f>HYPERLINK("https://www.iucnredlist.org/search?query=Arenaria interpres&amp;searchType=species")</f>
        <v>https://www.iucnredlist.org/search?query=Arenaria interpres&amp;searchType=species</v>
      </c>
      <c r="F225" s="2">
        <v>165</v>
      </c>
      <c r="G225" s="27" t="s">
        <v>514</v>
      </c>
      <c r="H225" s="84" t="s">
        <v>534</v>
      </c>
      <c r="I225" s="92" t="s">
        <v>535</v>
      </c>
      <c r="J225" s="1" t="s">
        <v>50</v>
      </c>
      <c r="M225" s="2" t="s">
        <v>482</v>
      </c>
    </row>
    <row r="226" spans="1:14" ht="14.4" x14ac:dyDescent="0.3">
      <c r="A226" s="28" t="str">
        <f>HYPERLINK("https://www.google.com/search?q=Calidris tenuirostris&amp;tbm=isch")</f>
        <v>https://www.google.com/search?q=Calidris tenuirostris&amp;tbm=isch</v>
      </c>
      <c r="B226" s="29" t="str">
        <f>HYPERLINK("https://www.xeno-canto.org/species/Calidris-tenuirostris")</f>
        <v>https://www.xeno-canto.org/species/Calidris-tenuirostris</v>
      </c>
      <c r="C226" s="30" t="str">
        <f>HYPERLINK("https://ebird.org/species/grekno")</f>
        <v>https://ebird.org/species/grekno</v>
      </c>
      <c r="D226" s="31" t="str">
        <f>HYPERLINK("https://www.hbw.com/species/Great-Knot-Calidris-tenuirostris")</f>
        <v>https://www.hbw.com/species/Great-Knot-Calidris-tenuirostris</v>
      </c>
      <c r="E226" s="32" t="str">
        <f>HYPERLINK("https://www.iucnredlist.org/search?query=Calidris tenuirostris&amp;searchType=species")</f>
        <v>https://www.iucnredlist.org/search?query=Calidris tenuirostris&amp;searchType=species</v>
      </c>
      <c r="F226" s="2">
        <v>166</v>
      </c>
      <c r="G226" s="27" t="s">
        <v>514</v>
      </c>
      <c r="H226" s="84" t="s">
        <v>536</v>
      </c>
      <c r="I226" s="92" t="s">
        <v>537</v>
      </c>
      <c r="J226" s="1" t="s">
        <v>50</v>
      </c>
      <c r="K226" s="1" t="s">
        <v>67</v>
      </c>
      <c r="L226" s="1" t="s">
        <v>67</v>
      </c>
      <c r="M226" s="2" t="s">
        <v>538</v>
      </c>
    </row>
    <row r="227" spans="1:14" ht="14.4" x14ac:dyDescent="0.3">
      <c r="A227" s="28" t="str">
        <f>HYPERLINK("https://www.google.com/search?q=Calidris canutus&amp;tbm=isch")</f>
        <v>https://www.google.com/search?q=Calidris canutus&amp;tbm=isch</v>
      </c>
      <c r="B227" s="29" t="str">
        <f>HYPERLINK("https://www.xeno-canto.org/species/Calidris-canutus")</f>
        <v>https://www.xeno-canto.org/species/Calidris-canutus</v>
      </c>
      <c r="C227" s="30" t="str">
        <f>HYPERLINK("https://ebird.org/species/redkno")</f>
        <v>https://ebird.org/species/redkno</v>
      </c>
      <c r="D227" s="31" t="str">
        <f>HYPERLINK("https://www.hbw.com/species/Red-Knot-Calidris-canutus")</f>
        <v>https://www.hbw.com/species/Red-Knot-Calidris-canutus</v>
      </c>
      <c r="E227" s="32" t="str">
        <f>HYPERLINK("https://www.iucnredlist.org/search?query=Calidris canutus&amp;searchType=species")</f>
        <v>https://www.iucnredlist.org/search?query=Calidris canutus&amp;searchType=species</v>
      </c>
      <c r="F227" s="2">
        <v>167</v>
      </c>
      <c r="G227" s="27" t="s">
        <v>514</v>
      </c>
      <c r="H227" s="84" t="s">
        <v>539</v>
      </c>
      <c r="I227" s="92" t="s">
        <v>540</v>
      </c>
      <c r="J227" s="1" t="s">
        <v>50</v>
      </c>
      <c r="K227" s="1" t="s">
        <v>58</v>
      </c>
      <c r="M227" s="2" t="s">
        <v>482</v>
      </c>
    </row>
    <row r="228" spans="1:14" ht="14.4" x14ac:dyDescent="0.3">
      <c r="A228" s="28" t="str">
        <f>HYPERLINK("https://www.google.com/search?q=Calidris pugnax&amp;tbm=isch")</f>
        <v>https://www.google.com/search?q=Calidris pugnax&amp;tbm=isch</v>
      </c>
      <c r="B228" s="29" t="str">
        <f>HYPERLINK("https://www.xeno-canto.org/species/Calidris-pugnax")</f>
        <v>https://www.xeno-canto.org/species/Calidris-pugnax</v>
      </c>
      <c r="C228" s="30" t="str">
        <f>HYPERLINK("https://ebird.org/species/ruff")</f>
        <v>https://ebird.org/species/ruff</v>
      </c>
      <c r="D228" s="31" t="str">
        <f>HYPERLINK("https://www.hbw.com/species/Ruff-Calidris-pugnax")</f>
        <v>https://www.hbw.com/species/Ruff-Calidris-pugnax</v>
      </c>
      <c r="E228" s="32" t="str">
        <f>HYPERLINK("https://www.iucnredlist.org/search?query=Calidris pugnax&amp;searchType=species")</f>
        <v>https://www.iucnredlist.org/search?query=Calidris pugnax&amp;searchType=species</v>
      </c>
      <c r="F228" s="2">
        <v>168</v>
      </c>
      <c r="G228" s="27" t="s">
        <v>514</v>
      </c>
      <c r="H228" s="84" t="s">
        <v>541</v>
      </c>
      <c r="I228" s="92" t="s">
        <v>542</v>
      </c>
      <c r="J228" s="1" t="s">
        <v>50</v>
      </c>
      <c r="M228" s="2" t="s">
        <v>543</v>
      </c>
    </row>
    <row r="229" spans="1:14" ht="14.4" x14ac:dyDescent="0.3">
      <c r="A229" s="28" t="str">
        <f>HYPERLINK("https://www.google.com/search?q=Calidris falcinellus&amp;tbm=isch")</f>
        <v>https://www.google.com/search?q=Calidris falcinellus&amp;tbm=isch</v>
      </c>
      <c r="B229" s="29" t="str">
        <f>HYPERLINK("https://www.xeno-canto.org/species/Calidris-falcinellus")</f>
        <v>https://www.xeno-canto.org/species/Calidris-falcinellus</v>
      </c>
      <c r="C229" s="30" t="str">
        <f>HYPERLINK("https://ebird.org/species/brbsan")</f>
        <v>https://ebird.org/species/brbsan</v>
      </c>
      <c r="D229" s="31" t="str">
        <f>HYPERLINK("https://www.hbw.com/species/Broad-billed-Sandpiper-Calidris-falcinellus")</f>
        <v>https://www.hbw.com/species/Broad-billed-Sandpiper-Calidris-falcinellus</v>
      </c>
      <c r="E229" s="32" t="str">
        <f>HYPERLINK("https://www.iucnredlist.org/search?query=Calidris falcinellus&amp;searchType=species")</f>
        <v>https://www.iucnredlist.org/search?query=Calidris falcinellus&amp;searchType=species</v>
      </c>
      <c r="F229" s="2">
        <v>169</v>
      </c>
      <c r="G229" s="27" t="s">
        <v>514</v>
      </c>
      <c r="H229" s="84" t="s">
        <v>544</v>
      </c>
      <c r="I229" s="92" t="s">
        <v>545</v>
      </c>
      <c r="J229" s="1" t="s">
        <v>50</v>
      </c>
      <c r="M229" s="2" t="s">
        <v>23</v>
      </c>
    </row>
    <row r="230" spans="1:14" ht="14.4" x14ac:dyDescent="0.3">
      <c r="A230" s="28" t="str">
        <f>HYPERLINK("https://www.google.com/search?q=Calidris acuminata&amp;tbm=isch")</f>
        <v>https://www.google.com/search?q=Calidris acuminata&amp;tbm=isch</v>
      </c>
      <c r="B230" s="29" t="str">
        <f>HYPERLINK("https://www.xeno-canto.org/species/Calidris-acuminata")</f>
        <v>https://www.xeno-canto.org/species/Calidris-acuminata</v>
      </c>
      <c r="C230" s="30" t="str">
        <f>HYPERLINK("https://ebird.org/species/shtsan")</f>
        <v>https://ebird.org/species/shtsan</v>
      </c>
      <c r="D230" s="31" t="str">
        <f>HYPERLINK("https://www.hbw.com/species/Sharp-tailed-Sandpiper-Calidris-acuminata")</f>
        <v>https://www.hbw.com/species/Sharp-tailed-Sandpiper-Calidris-acuminata</v>
      </c>
      <c r="E230" s="32" t="str">
        <f>HYPERLINK("https://www.iucnredlist.org/search?query=Calidris acuminata&amp;searchType=species")</f>
        <v>https://www.iucnredlist.org/search?query=Calidris acuminata&amp;searchType=species</v>
      </c>
      <c r="F230" s="2">
        <v>170</v>
      </c>
      <c r="G230" s="27" t="s">
        <v>514</v>
      </c>
      <c r="H230" s="84" t="s">
        <v>546</v>
      </c>
      <c r="I230" s="92" t="s">
        <v>547</v>
      </c>
      <c r="J230" s="1" t="s">
        <v>50</v>
      </c>
      <c r="M230" s="2" t="s">
        <v>548</v>
      </c>
    </row>
    <row r="231" spans="1:14" ht="14.4" x14ac:dyDescent="0.3">
      <c r="A231" s="28" t="str">
        <f>HYPERLINK("https://www.google.com/search?q=Calidris ferruginea&amp;tbm=isch")</f>
        <v>https://www.google.com/search?q=Calidris ferruginea&amp;tbm=isch</v>
      </c>
      <c r="B231" s="29" t="str">
        <f>HYPERLINK("https://www.xeno-canto.org/species/Calidris-ferruginea")</f>
        <v>https://www.xeno-canto.org/species/Calidris-ferruginea</v>
      </c>
      <c r="C231" s="30" t="str">
        <f>HYPERLINK("https://ebird.org/species/cursan")</f>
        <v>https://ebird.org/species/cursan</v>
      </c>
      <c r="D231" s="31" t="str">
        <f>HYPERLINK("https://www.hbw.com/species/Curlew-Sandpiper-Calidris-ferruginea")</f>
        <v>https://www.hbw.com/species/Curlew-Sandpiper-Calidris-ferruginea</v>
      </c>
      <c r="E231" s="32" t="str">
        <f>HYPERLINK("https://www.iucnredlist.org/search?query=Calidris ferruginea&amp;searchType=species")</f>
        <v>https://www.iucnredlist.org/search?query=Calidris ferruginea&amp;searchType=species</v>
      </c>
      <c r="F231" s="2">
        <v>171</v>
      </c>
      <c r="G231" s="27" t="s">
        <v>514</v>
      </c>
      <c r="H231" s="84" t="s">
        <v>549</v>
      </c>
      <c r="I231" s="92" t="s">
        <v>550</v>
      </c>
      <c r="J231" s="1" t="s">
        <v>50</v>
      </c>
      <c r="K231" s="1" t="s">
        <v>58</v>
      </c>
      <c r="M231" s="2" t="s">
        <v>551</v>
      </c>
    </row>
    <row r="232" spans="1:14" ht="14.4" x14ac:dyDescent="0.3">
      <c r="A232" s="28" t="str">
        <f>HYPERLINK("https://www.google.com/search?q=Calidris temminckii&amp;tbm=isch")</f>
        <v>https://www.google.com/search?q=Calidris temminckii&amp;tbm=isch</v>
      </c>
      <c r="B232" s="29" t="str">
        <f>HYPERLINK("https://www.xeno-canto.org/species/Calidris-temminckii")</f>
        <v>https://www.xeno-canto.org/species/Calidris-temminckii</v>
      </c>
      <c r="C232" s="30" t="str">
        <f>HYPERLINK("https://ebird.org/species/temsti")</f>
        <v>https://ebird.org/species/temsti</v>
      </c>
      <c r="D232" s="31" t="str">
        <f>HYPERLINK("https://www.hbw.com/species/Temminck's-Stint-Calidris-temminckii")</f>
        <v>https://www.hbw.com/species/Temminck's-Stint-Calidris-temminckii</v>
      </c>
      <c r="E232" s="32" t="str">
        <f>HYPERLINK("https://www.iucnredlist.org/search?query=Calidris temminckii&amp;searchType=species")</f>
        <v>https://www.iucnredlist.org/search?query=Calidris temminckii&amp;searchType=species</v>
      </c>
      <c r="F232" s="2">
        <v>172</v>
      </c>
      <c r="G232" s="27" t="s">
        <v>514</v>
      </c>
      <c r="H232" s="83" t="s">
        <v>552</v>
      </c>
      <c r="I232" s="92" t="s">
        <v>553</v>
      </c>
      <c r="J232" s="1" t="s">
        <v>19</v>
      </c>
      <c r="M232" s="2" t="s">
        <v>554</v>
      </c>
    </row>
    <row r="233" spans="1:14" ht="14.4" x14ac:dyDescent="0.3">
      <c r="A233" s="28" t="str">
        <f>HYPERLINK("https://www.google.com/search?q=Calidris subminuta&amp;tbm=isch")</f>
        <v>https://www.google.com/search?q=Calidris subminuta&amp;tbm=isch</v>
      </c>
      <c r="B233" s="29" t="str">
        <f>HYPERLINK("https://www.xeno-canto.org/species/Calidris-subminuta")</f>
        <v>https://www.xeno-canto.org/species/Calidris-subminuta</v>
      </c>
      <c r="C233" s="30" t="str">
        <f>HYPERLINK("https://ebird.org/species/lotsti")</f>
        <v>https://ebird.org/species/lotsti</v>
      </c>
      <c r="D233" s="31" t="str">
        <f>HYPERLINK("https://www.hbw.com/species/Long-toed-Stint-Calidris-subminuta")</f>
        <v>https://www.hbw.com/species/Long-toed-Stint-Calidris-subminuta</v>
      </c>
      <c r="E233" s="32" t="str">
        <f>HYPERLINK("https://www.iucnredlist.org/search?query=Calidris subminuta&amp;searchType=species")</f>
        <v>https://www.iucnredlist.org/search?query=Calidris subminuta&amp;searchType=species</v>
      </c>
      <c r="F233" s="2">
        <v>173</v>
      </c>
      <c r="G233" s="27" t="s">
        <v>514</v>
      </c>
      <c r="H233" s="84" t="s">
        <v>555</v>
      </c>
      <c r="I233" s="92" t="s">
        <v>556</v>
      </c>
      <c r="J233" s="1" t="s">
        <v>50</v>
      </c>
      <c r="M233" s="2" t="s">
        <v>557</v>
      </c>
    </row>
    <row r="234" spans="1:14" ht="14.4" x14ac:dyDescent="0.3">
      <c r="A234" s="28" t="str">
        <f>HYPERLINK("https://www.google.com/search?q=Calidris ruficollis&amp;tbm=isch")</f>
        <v>https://www.google.com/search?q=Calidris ruficollis&amp;tbm=isch</v>
      </c>
      <c r="B234" s="29" t="str">
        <f>HYPERLINK("https://www.xeno-canto.org/species/Calidris-ruficollis")</f>
        <v>https://www.xeno-canto.org/species/Calidris-ruficollis</v>
      </c>
      <c r="C234" s="30" t="str">
        <f>HYPERLINK("https://ebird.org/species/rensti")</f>
        <v>https://ebird.org/species/rensti</v>
      </c>
      <c r="D234" s="31" t="str">
        <f>HYPERLINK("https://www.hbw.com/species/Red-necked-Stint-Calidris-ruficollis")</f>
        <v>https://www.hbw.com/species/Red-necked-Stint-Calidris-ruficollis</v>
      </c>
      <c r="E234" s="32" t="str">
        <f>HYPERLINK("https://www.iucnredlist.org/search?query=Calidris ruficollis&amp;searchType=species")</f>
        <v>https://www.iucnredlist.org/search?query=Calidris ruficollis&amp;searchType=species</v>
      </c>
      <c r="F234" s="2">
        <v>174</v>
      </c>
      <c r="G234" s="27" t="s">
        <v>514</v>
      </c>
      <c r="H234" s="84" t="s">
        <v>558</v>
      </c>
      <c r="I234" s="92" t="s">
        <v>559</v>
      </c>
      <c r="J234" s="1" t="s">
        <v>50</v>
      </c>
      <c r="K234" s="1" t="s">
        <v>58</v>
      </c>
      <c r="M234" s="2" t="s">
        <v>560</v>
      </c>
    </row>
    <row r="235" spans="1:14" ht="14.4" x14ac:dyDescent="0.3">
      <c r="A235" s="28" t="str">
        <f>HYPERLINK("https://www.google.com/search?q=Calidris alba&amp;tbm=isch")</f>
        <v>https://www.google.com/search?q=Calidris alba&amp;tbm=isch</v>
      </c>
      <c r="B235" s="29" t="str">
        <f>HYPERLINK("https://www.xeno-canto.org/species/Calidris-alba")</f>
        <v>https://www.xeno-canto.org/species/Calidris-alba</v>
      </c>
      <c r="C235" s="30" t="str">
        <f>HYPERLINK("https://ebird.org/species/sander")</f>
        <v>https://ebird.org/species/sander</v>
      </c>
      <c r="D235" s="31" t="str">
        <f>HYPERLINK("https://www.hbw.com/species/Sanderling-Calidris-alba")</f>
        <v>https://www.hbw.com/species/Sanderling-Calidris-alba</v>
      </c>
      <c r="E235" s="32" t="str">
        <f>HYPERLINK("https://www.iucnredlist.org/search?query=Calidris alba&amp;searchType=species")</f>
        <v>https://www.iucnredlist.org/search?query=Calidris alba&amp;searchType=species</v>
      </c>
      <c r="F235" s="2">
        <v>175</v>
      </c>
      <c r="G235" s="27" t="s">
        <v>514</v>
      </c>
      <c r="H235" s="84" t="s">
        <v>561</v>
      </c>
      <c r="I235" s="92" t="s">
        <v>562</v>
      </c>
      <c r="J235" s="1" t="s">
        <v>50</v>
      </c>
      <c r="M235" s="2" t="s">
        <v>482</v>
      </c>
    </row>
    <row r="236" spans="1:14" ht="14.4" x14ac:dyDescent="0.3">
      <c r="A236" s="28" t="str">
        <f>HYPERLINK("https://www.google.com/search?q=Calidris alpina&amp;tbm=isch")</f>
        <v>https://www.google.com/search?q=Calidris alpina&amp;tbm=isch</v>
      </c>
      <c r="B236" s="29" t="str">
        <f>HYPERLINK("https://www.xeno-canto.org/species/Calidris-alpina")</f>
        <v>https://www.xeno-canto.org/species/Calidris-alpina</v>
      </c>
      <c r="C236" s="30" t="str">
        <f>HYPERLINK("https://ebird.org/species/dunlin")</f>
        <v>https://ebird.org/species/dunlin</v>
      </c>
      <c r="D236" s="31" t="str">
        <f>HYPERLINK("https://www.hbw.com/species/Dunlin-Calidris-alpina")</f>
        <v>https://www.hbw.com/species/Dunlin-Calidris-alpina</v>
      </c>
      <c r="E236" s="32" t="str">
        <f>HYPERLINK("https://www.iucnredlist.org/search?query=Calidris alpina&amp;searchType=species")</f>
        <v>https://www.iucnredlist.org/search?query=Calidris alpina&amp;searchType=species</v>
      </c>
      <c r="F236" s="2">
        <v>176</v>
      </c>
      <c r="G236" s="27" t="s">
        <v>514</v>
      </c>
      <c r="H236" s="83" t="s">
        <v>563</v>
      </c>
      <c r="I236" s="92" t="s">
        <v>564</v>
      </c>
      <c r="J236" s="1" t="s">
        <v>19</v>
      </c>
      <c r="M236" s="2" t="s">
        <v>482</v>
      </c>
    </row>
    <row r="237" spans="1:14" ht="14.4" x14ac:dyDescent="0.3">
      <c r="A237" s="28" t="str">
        <f>HYPERLINK("https://www.google.com/search?q=Calidris minuta&amp;tbm=isch")</f>
        <v>https://www.google.com/search?q=Calidris minuta&amp;tbm=isch</v>
      </c>
      <c r="B237" s="29" t="str">
        <f>HYPERLINK("https://www.xeno-canto.org/species/Calidris-minuta")</f>
        <v>https://www.xeno-canto.org/species/Calidris-minuta</v>
      </c>
      <c r="C237" s="30" t="str">
        <f>HYPERLINK("https://ebird.org/species/litsti")</f>
        <v>https://ebird.org/species/litsti</v>
      </c>
      <c r="D237" s="31" t="str">
        <f>HYPERLINK("https://www.hbw.com/species/Little-Stint-Calidris-minuta")</f>
        <v>https://www.hbw.com/species/Little-Stint-Calidris-minuta</v>
      </c>
      <c r="E237" s="32" t="str">
        <f>HYPERLINK("https://www.iucnredlist.org/search?query=Calidris minuta&amp;searchType=species")</f>
        <v>https://www.iucnredlist.org/search?query=Calidris minuta&amp;searchType=species</v>
      </c>
      <c r="F237" s="2">
        <v>177</v>
      </c>
      <c r="G237" s="27" t="s">
        <v>514</v>
      </c>
      <c r="H237" s="83" t="s">
        <v>565</v>
      </c>
      <c r="I237" s="92" t="s">
        <v>566</v>
      </c>
      <c r="J237" s="1" t="s">
        <v>19</v>
      </c>
      <c r="M237" s="2" t="s">
        <v>554</v>
      </c>
    </row>
    <row r="238" spans="1:14" ht="30.6" x14ac:dyDescent="0.3">
      <c r="A238" s="28" t="str">
        <f>HYPERLINK("https://www.google.com/search?q=Calidris melanotos&amp;tbm=isch")</f>
        <v>https://www.google.com/search?q=Calidris melanotos&amp;tbm=isch</v>
      </c>
      <c r="B238" s="29" t="str">
        <f>HYPERLINK("https://www.xeno-canto.org/species/Calidris-melanotos")</f>
        <v>https://www.xeno-canto.org/species/Calidris-melanotos</v>
      </c>
      <c r="C238" s="30" t="str">
        <f>HYPERLINK("https://ebird.org/species/pecsan")</f>
        <v>https://ebird.org/species/pecsan</v>
      </c>
      <c r="D238" s="31" t="str">
        <f>HYPERLINK("https://www.hbw.com/species/Pectoral-Sandpiper-Calidris-melanotos")</f>
        <v>https://www.hbw.com/species/Pectoral-Sandpiper-Calidris-melanotos</v>
      </c>
      <c r="E238" s="32" t="str">
        <f>HYPERLINK("https://www.iucnredlist.org/search?query=Calidris melanotos&amp;searchType=species")</f>
        <v>https://www.iucnredlist.org/search?query=Calidris melanotos&amp;searchType=species</v>
      </c>
      <c r="F238" s="2">
        <v>178</v>
      </c>
      <c r="G238" s="27" t="s">
        <v>514</v>
      </c>
      <c r="H238" s="85" t="s">
        <v>567</v>
      </c>
      <c r="I238" s="93" t="s">
        <v>568</v>
      </c>
      <c r="J238" s="1" t="s">
        <v>19</v>
      </c>
      <c r="M238" s="2" t="s">
        <v>569</v>
      </c>
      <c r="N238" s="2" t="s">
        <v>570</v>
      </c>
    </row>
    <row r="239" spans="1:14" ht="20.399999999999999" x14ac:dyDescent="0.3">
      <c r="A239" s="28" t="str">
        <f>HYPERLINK("https://www.google.com/search?q=Limnodromus semipalmatus&amp;tbm=isch")</f>
        <v>https://www.google.com/search?q=Limnodromus semipalmatus&amp;tbm=isch</v>
      </c>
      <c r="B239" s="29" t="str">
        <f>HYPERLINK("https://www.xeno-canto.org/species/Limnodromus-semipalmatus")</f>
        <v>https://www.xeno-canto.org/species/Limnodromus-semipalmatus</v>
      </c>
      <c r="C239" s="30" t="str">
        <f>HYPERLINK("https://ebird.org/species/asidow1")</f>
        <v>https://ebird.org/species/asidow1</v>
      </c>
      <c r="D239" s="31" t="str">
        <f>HYPERLINK("https://www.hbw.com/species/Asian-Dowitcher-Limnodromus-semipalmatus")</f>
        <v>https://www.hbw.com/species/Asian-Dowitcher-Limnodromus-semipalmatus</v>
      </c>
      <c r="E239" s="32" t="str">
        <f>HYPERLINK("https://www.iucnredlist.org/search?query=Limnodromus semipalmatus&amp;searchType=species")</f>
        <v>https://www.iucnredlist.org/search?query=Limnodromus semipalmatus&amp;searchType=species</v>
      </c>
      <c r="F239" s="2">
        <v>179</v>
      </c>
      <c r="G239" s="27" t="s">
        <v>514</v>
      </c>
      <c r="H239" s="84" t="s">
        <v>571</v>
      </c>
      <c r="I239" s="92" t="s">
        <v>572</v>
      </c>
      <c r="J239" s="1" t="s">
        <v>50</v>
      </c>
      <c r="K239" s="1" t="s">
        <v>58</v>
      </c>
      <c r="L239" s="1" t="s">
        <v>66</v>
      </c>
      <c r="M239" s="2" t="s">
        <v>573</v>
      </c>
    </row>
    <row r="240" spans="1:14" ht="30.6" x14ac:dyDescent="0.3">
      <c r="A240" s="28" t="str">
        <f>HYPERLINK("https://www.google.com/search?q=Limnodromus scolopaceus&amp;tbm=isch")</f>
        <v>https://www.google.com/search?q=Limnodromus scolopaceus&amp;tbm=isch</v>
      </c>
      <c r="B240" s="29" t="str">
        <f>HYPERLINK("https://www.xeno-canto.org/species/Limnodromus-scolopaceus")</f>
        <v>https://www.xeno-canto.org/species/Limnodromus-scolopaceus</v>
      </c>
      <c r="C240" s="30" t="str">
        <f>HYPERLINK("https://ebird.org/species/lobdow")</f>
        <v>https://ebird.org/species/lobdow</v>
      </c>
      <c r="D240" s="31" t="str">
        <f>HYPERLINK("https://www.hbw.com/species/Long-billed-Dowitcher-Limnodromus-scolopaceus")</f>
        <v>https://www.hbw.com/species/Long-billed-Dowitcher-Limnodromus-scolopaceus</v>
      </c>
      <c r="E240" s="32" t="str">
        <f>HYPERLINK("https://www.iucnredlist.org/search?query=Limnodromus scolopaceus&amp;searchType=species")</f>
        <v>https://www.iucnredlist.org/search?query=Limnodromus scolopaceus&amp;searchType=species</v>
      </c>
      <c r="F240" s="2">
        <v>180</v>
      </c>
      <c r="G240" s="27" t="s">
        <v>514</v>
      </c>
      <c r="H240" s="85" t="s">
        <v>574</v>
      </c>
      <c r="I240" s="93" t="s">
        <v>575</v>
      </c>
      <c r="J240" s="1" t="s">
        <v>19</v>
      </c>
      <c r="M240" s="2" t="s">
        <v>576</v>
      </c>
      <c r="N240" s="2" t="s">
        <v>11323</v>
      </c>
    </row>
    <row r="241" spans="1:14" ht="20.399999999999999" x14ac:dyDescent="0.3">
      <c r="A241" s="28" t="str">
        <f>HYPERLINK("https://www.google.com/search?q=Scolopax bukidnonensis&amp;tbm=isch")</f>
        <v>https://www.google.com/search?q=Scolopax bukidnonensis&amp;tbm=isch</v>
      </c>
      <c r="B241" s="29" t="str">
        <f>HYPERLINK("https://www.xeno-canto.org/species/Scolopax-bukidnonensis")</f>
        <v>https://www.xeno-canto.org/species/Scolopax-bukidnonensis</v>
      </c>
      <c r="C241" s="30" t="str">
        <f>HYPERLINK("https://ebird.org/species/bukwoo1")</f>
        <v>https://ebird.org/species/bukwoo1</v>
      </c>
      <c r="D241" s="31" t="str">
        <f>HYPERLINK("https://www.hbw.com/species/Bukidnon-Woodcock-Scolopax-bukidnonensis")</f>
        <v>https://www.hbw.com/species/Bukidnon-Woodcock-Scolopax-bukidnonensis</v>
      </c>
      <c r="E241" s="32" t="str">
        <f>HYPERLINK("https://www.iucnredlist.org/search?query=Scolopax bukidnonensis&amp;searchType=species")</f>
        <v>https://www.iucnredlist.org/search?query=Scolopax bukidnonensis&amp;searchType=species</v>
      </c>
      <c r="F241" s="2">
        <v>181</v>
      </c>
      <c r="G241" s="27" t="s">
        <v>514</v>
      </c>
      <c r="H241" s="86" t="s">
        <v>577</v>
      </c>
      <c r="I241" s="94" t="s">
        <v>578</v>
      </c>
      <c r="J241" s="1" t="s">
        <v>65</v>
      </c>
      <c r="M241" s="2" t="s">
        <v>68</v>
      </c>
      <c r="N241" s="2" t="s">
        <v>11324</v>
      </c>
    </row>
    <row r="242" spans="1:14" ht="14.4" x14ac:dyDescent="0.3">
      <c r="A242" s="28" t="str">
        <f>HYPERLINK("https://www.google.com/search?q=Lymnocryptes minimus&amp;tbm=isch")</f>
        <v>https://www.google.com/search?q=Lymnocryptes minimus&amp;tbm=isch</v>
      </c>
      <c r="B242" s="29" t="str">
        <f>HYPERLINK("https://www.xeno-canto.org/species/Lymnocryptes-minimus")</f>
        <v>https://www.xeno-canto.org/species/Lymnocryptes-minimus</v>
      </c>
      <c r="C242" s="30" t="str">
        <f>HYPERLINK("https://ebird.org/species/jacsni")</f>
        <v>https://ebird.org/species/jacsni</v>
      </c>
      <c r="D242" s="31" t="str">
        <f>HYPERLINK("https://www.hbw.com/species/Jack-Snipe-Lymnocryptes-minimus")</f>
        <v>https://www.hbw.com/species/Jack-Snipe-Lymnocryptes-minimus</v>
      </c>
      <c r="E242" s="32" t="str">
        <f>HYPERLINK("https://www.iucnredlist.org/search?query=Lymnocryptes minimus&amp;searchType=species")</f>
        <v>https://www.iucnredlist.org/search?query=Lymnocryptes minimus&amp;searchType=species</v>
      </c>
      <c r="F242" s="2">
        <v>182</v>
      </c>
      <c r="G242" s="27" t="s">
        <v>514</v>
      </c>
      <c r="H242" s="83" t="s">
        <v>579</v>
      </c>
      <c r="I242" s="92" t="s">
        <v>580</v>
      </c>
      <c r="J242" s="1" t="s">
        <v>19</v>
      </c>
      <c r="M242" s="2" t="s">
        <v>581</v>
      </c>
    </row>
    <row r="243" spans="1:14" ht="30.6" x14ac:dyDescent="0.3">
      <c r="A243" s="28" t="str">
        <f>HYPERLINK("https://www.google.com/search?q=Gallinago hardwickii&amp;tbm=isch")</f>
        <v>https://www.google.com/search?q=Gallinago hardwickii&amp;tbm=isch</v>
      </c>
      <c r="B243" s="29" t="str">
        <f>HYPERLINK("https://www.xeno-canto.org/species/Gallinago-hardwickii")</f>
        <v>https://www.xeno-canto.org/species/Gallinago-hardwickii</v>
      </c>
      <c r="C243" s="30" t="str">
        <f>HYPERLINK("https://ebird.org/species/latsni1")</f>
        <v>https://ebird.org/species/latsni1</v>
      </c>
      <c r="D243" s="31" t="str">
        <f>HYPERLINK("https://www.hbw.com/species/Latham's-Snipe-Gallinago-hardwickii")</f>
        <v>https://www.hbw.com/species/Latham's-Snipe-Gallinago-hardwickii</v>
      </c>
      <c r="E243" s="32" t="str">
        <f>HYPERLINK("https://www.iucnredlist.org/search?query=Gallinago hardwickii&amp;searchType=species")</f>
        <v>https://www.iucnredlist.org/search?query=Gallinago hardwickii&amp;searchType=species</v>
      </c>
      <c r="F243" s="2">
        <v>183</v>
      </c>
      <c r="G243" s="27" t="s">
        <v>514</v>
      </c>
      <c r="H243" s="85" t="s">
        <v>582</v>
      </c>
      <c r="I243" s="93" t="s">
        <v>583</v>
      </c>
      <c r="J243" s="1" t="s">
        <v>19</v>
      </c>
      <c r="M243" s="2" t="s">
        <v>584</v>
      </c>
      <c r="N243" s="2" t="s">
        <v>11325</v>
      </c>
    </row>
    <row r="244" spans="1:14" ht="14.4" x14ac:dyDescent="0.3">
      <c r="A244" s="28" t="str">
        <f>HYPERLINK("https://www.google.com/search?q=Gallinago stenura&amp;tbm=isch")</f>
        <v>https://www.google.com/search?q=Gallinago stenura&amp;tbm=isch</v>
      </c>
      <c r="B244" s="29" t="str">
        <f>HYPERLINK("https://www.xeno-canto.org/species/Gallinago-stenura")</f>
        <v>https://www.xeno-canto.org/species/Gallinago-stenura</v>
      </c>
      <c r="C244" s="30" t="str">
        <f>HYPERLINK("https://ebird.org/species/pitsni")</f>
        <v>https://ebird.org/species/pitsni</v>
      </c>
      <c r="D244" s="31" t="str">
        <f>HYPERLINK("https://www.hbw.com/species/Pintail-Snipe-Gallinago-stenura")</f>
        <v>https://www.hbw.com/species/Pintail-Snipe-Gallinago-stenura</v>
      </c>
      <c r="E244" s="32" t="str">
        <f>HYPERLINK("https://www.iucnredlist.org/search?query=Gallinago stenura&amp;searchType=species")</f>
        <v>https://www.iucnredlist.org/search?query=Gallinago stenura&amp;searchType=species</v>
      </c>
      <c r="F244" s="2">
        <v>184</v>
      </c>
      <c r="G244" s="27" t="s">
        <v>514</v>
      </c>
      <c r="H244" s="83" t="s">
        <v>585</v>
      </c>
      <c r="I244" s="92" t="s">
        <v>586</v>
      </c>
      <c r="J244" s="1" t="s">
        <v>50</v>
      </c>
      <c r="M244" s="2" t="s">
        <v>587</v>
      </c>
    </row>
    <row r="245" spans="1:14" ht="14.4" x14ac:dyDescent="0.3">
      <c r="A245" s="28" t="str">
        <f>HYPERLINK("https://www.google.com/search?q=Gallinago megala&amp;tbm=isch")</f>
        <v>https://www.google.com/search?q=Gallinago megala&amp;tbm=isch</v>
      </c>
      <c r="B245" s="29" t="str">
        <f>HYPERLINK("https://www.xeno-canto.org/species/Gallinago-megala")</f>
        <v>https://www.xeno-canto.org/species/Gallinago-megala</v>
      </c>
      <c r="C245" s="30" t="str">
        <f>HYPERLINK("https://ebird.org/species/swisni1")</f>
        <v>https://ebird.org/species/swisni1</v>
      </c>
      <c r="D245" s="31" t="str">
        <f>HYPERLINK("https://www.hbw.com/species/Swinhoe's-Snipe-Gallinago-megala")</f>
        <v>https://www.hbw.com/species/Swinhoe's-Snipe-Gallinago-megala</v>
      </c>
      <c r="E245" s="32" t="str">
        <f>HYPERLINK("https://www.iucnredlist.org/search?query=Gallinago megala&amp;searchType=species")</f>
        <v>https://www.iucnredlist.org/search?query=Gallinago megala&amp;searchType=species</v>
      </c>
      <c r="F245" s="2">
        <v>185</v>
      </c>
      <c r="G245" s="27" t="s">
        <v>514</v>
      </c>
      <c r="H245" s="83" t="s">
        <v>588</v>
      </c>
      <c r="I245" s="92" t="s">
        <v>589</v>
      </c>
      <c r="J245" s="1" t="s">
        <v>50</v>
      </c>
      <c r="M245" s="2" t="s">
        <v>590</v>
      </c>
    </row>
    <row r="246" spans="1:14" ht="14.4" x14ac:dyDescent="0.3">
      <c r="A246" s="28" t="str">
        <f>HYPERLINK("https://www.google.com/search?q=Gallinago gallinago&amp;tbm=isch")</f>
        <v>https://www.google.com/search?q=Gallinago gallinago&amp;tbm=isch</v>
      </c>
      <c r="B246" s="29" t="str">
        <f>HYPERLINK("https://www.xeno-canto.org/species/Gallinago-gallinago")</f>
        <v>https://www.xeno-canto.org/species/Gallinago-gallinago</v>
      </c>
      <c r="C246" s="30" t="str">
        <f>HYPERLINK("https://ebird.org/species/comsni")</f>
        <v>https://ebird.org/species/comsni</v>
      </c>
      <c r="D246" s="31" t="str">
        <f>HYPERLINK("https://www.hbw.com/species/Common-Snipe-Gallinago-gallinago")</f>
        <v>https://www.hbw.com/species/Common-Snipe-Gallinago-gallinago</v>
      </c>
      <c r="E246" s="32" t="str">
        <f>HYPERLINK("https://www.iucnredlist.org/search?query=Gallinago gallinago&amp;searchType=species")</f>
        <v>https://www.iucnredlist.org/search?query=Gallinago gallinago&amp;searchType=species</v>
      </c>
      <c r="F246" s="2">
        <v>186</v>
      </c>
      <c r="G246" s="27" t="s">
        <v>514</v>
      </c>
      <c r="H246" s="84" t="s">
        <v>591</v>
      </c>
      <c r="I246" s="92" t="s">
        <v>592</v>
      </c>
      <c r="J246" s="1" t="s">
        <v>50</v>
      </c>
      <c r="M246" s="2" t="s">
        <v>92</v>
      </c>
    </row>
    <row r="247" spans="1:14" ht="14.4" x14ac:dyDescent="0.3">
      <c r="A247" s="28" t="str">
        <f>HYPERLINK("https://www.google.com/search?q=Xenus cinereus&amp;tbm=isch")</f>
        <v>https://www.google.com/search?q=Xenus cinereus&amp;tbm=isch</v>
      </c>
      <c r="B247" s="29" t="str">
        <f>HYPERLINK("https://www.xeno-canto.org/species/Xenus-cinereus")</f>
        <v>https://www.xeno-canto.org/species/Xenus-cinereus</v>
      </c>
      <c r="C247" s="30" t="str">
        <f>HYPERLINK("https://ebird.org/species/tersan")</f>
        <v>https://ebird.org/species/tersan</v>
      </c>
      <c r="D247" s="31" t="str">
        <f>HYPERLINK("https://www.hbw.com/species/Terek-Sandpiper-Xenus-cinereus")</f>
        <v>https://www.hbw.com/species/Terek-Sandpiper-Xenus-cinereus</v>
      </c>
      <c r="E247" s="32" t="str">
        <f>HYPERLINK("https://www.iucnredlist.org/search?query=Xenus cinereus&amp;searchType=species")</f>
        <v>https://www.iucnredlist.org/search?query=Xenus cinereus&amp;searchType=species</v>
      </c>
      <c r="F247" s="2">
        <v>187</v>
      </c>
      <c r="G247" s="27" t="s">
        <v>514</v>
      </c>
      <c r="H247" s="84" t="s">
        <v>593</v>
      </c>
      <c r="I247" s="92" t="s">
        <v>594</v>
      </c>
      <c r="J247" s="1" t="s">
        <v>50</v>
      </c>
      <c r="M247" s="2" t="s">
        <v>595</v>
      </c>
    </row>
    <row r="248" spans="1:14" ht="20.399999999999999" x14ac:dyDescent="0.3">
      <c r="A248" s="28" t="str">
        <f>HYPERLINK("https://www.google.com/search?q=Phalaropus lobatus&amp;tbm=isch")</f>
        <v>https://www.google.com/search?q=Phalaropus lobatus&amp;tbm=isch</v>
      </c>
      <c r="B248" s="29" t="str">
        <f>HYPERLINK("https://www.xeno-canto.org/species/Phalaropus-lobatus")</f>
        <v>https://www.xeno-canto.org/species/Phalaropus-lobatus</v>
      </c>
      <c r="C248" s="30" t="str">
        <f>HYPERLINK("https://ebird.org/species/renpha")</f>
        <v>https://ebird.org/species/renpha</v>
      </c>
      <c r="D248" s="31" t="str">
        <f>HYPERLINK("https://www.hbw.com/species/Red-necked-Phalarope-Phalaropus-lobatus")</f>
        <v>https://www.hbw.com/species/Red-necked-Phalarope-Phalaropus-lobatus</v>
      </c>
      <c r="E248" s="32" t="str">
        <f>HYPERLINK("https://www.iucnredlist.org/search?query=Phalaropus lobatus&amp;searchType=species")</f>
        <v>https://www.iucnredlist.org/search?query=Phalaropus lobatus&amp;searchType=species</v>
      </c>
      <c r="F248" s="2">
        <v>188</v>
      </c>
      <c r="G248" s="27" t="s">
        <v>514</v>
      </c>
      <c r="H248" s="84" t="s">
        <v>596</v>
      </c>
      <c r="I248" s="92" t="s">
        <v>597</v>
      </c>
      <c r="J248" s="1" t="s">
        <v>50</v>
      </c>
      <c r="M248" s="2" t="s">
        <v>598</v>
      </c>
    </row>
    <row r="249" spans="1:14" ht="20.399999999999999" x14ac:dyDescent="0.3">
      <c r="A249" s="28" t="str">
        <f>HYPERLINK("https://www.google.com/search?q=Phalaropus fulicarius&amp;tbm=isch")</f>
        <v>https://www.google.com/search?q=Phalaropus fulicarius&amp;tbm=isch</v>
      </c>
      <c r="B249" s="29" t="str">
        <f>HYPERLINK("https://www.xeno-canto.org/species/Phalaropus-fulicarius")</f>
        <v>https://www.xeno-canto.org/species/Phalaropus-fulicarius</v>
      </c>
      <c r="C249" s="30" t="str">
        <f>HYPERLINK("https://ebird.org/species/redpha1")</f>
        <v>https://ebird.org/species/redpha1</v>
      </c>
      <c r="D249" s="31" t="str">
        <f>HYPERLINK("https://www.hbw.com/species/Red-Phalarope-Phalaropus-fulicarius")</f>
        <v>https://www.hbw.com/species/Red-Phalarope-Phalaropus-fulicarius</v>
      </c>
      <c r="E249" s="32" t="str">
        <f>HYPERLINK("https://www.iucnredlist.org/search?query=Phalaropus fulicarius&amp;searchType=species")</f>
        <v>https://www.iucnredlist.org/search?query=Phalaropus fulicarius&amp;searchType=species</v>
      </c>
      <c r="F249" s="2">
        <v>189</v>
      </c>
      <c r="G249" s="27" t="s">
        <v>514</v>
      </c>
      <c r="H249" s="83" t="s">
        <v>599</v>
      </c>
      <c r="I249" s="92" t="s">
        <v>600</v>
      </c>
      <c r="J249" s="1" t="s">
        <v>19</v>
      </c>
      <c r="M249" s="2" t="s">
        <v>598</v>
      </c>
    </row>
    <row r="250" spans="1:14" ht="14.4" x14ac:dyDescent="0.3">
      <c r="A250" s="28" t="str">
        <f>HYPERLINK("https://www.google.com/search?q=Actitis hypoleucos&amp;tbm=isch")</f>
        <v>https://www.google.com/search?q=Actitis hypoleucos&amp;tbm=isch</v>
      </c>
      <c r="B250" s="29" t="str">
        <f>HYPERLINK("https://www.xeno-canto.org/species/Actitis-hypoleucos")</f>
        <v>https://www.xeno-canto.org/species/Actitis-hypoleucos</v>
      </c>
      <c r="C250" s="30" t="str">
        <f>HYPERLINK("https://ebird.org/species/comsan")</f>
        <v>https://ebird.org/species/comsan</v>
      </c>
      <c r="D250" s="31" t="str">
        <f>HYPERLINK("https://www.hbw.com/species/Common-Sandpiper-Actitis-hypoleucos")</f>
        <v>https://www.hbw.com/species/Common-Sandpiper-Actitis-hypoleucos</v>
      </c>
      <c r="E250" s="32" t="str">
        <f>HYPERLINK("https://www.iucnredlist.org/search?query=Actitis hypoleucos&amp;searchType=species")</f>
        <v>https://www.iucnredlist.org/search?query=Actitis hypoleucos&amp;searchType=species</v>
      </c>
      <c r="F250" s="2">
        <v>190</v>
      </c>
      <c r="G250" s="27" t="s">
        <v>514</v>
      </c>
      <c r="H250" s="84" t="s">
        <v>601</v>
      </c>
      <c r="I250" s="92" t="s">
        <v>602</v>
      </c>
      <c r="J250" s="1" t="s">
        <v>50</v>
      </c>
      <c r="M250" s="2" t="s">
        <v>92</v>
      </c>
    </row>
    <row r="251" spans="1:14" ht="20.399999999999999" x14ac:dyDescent="0.3">
      <c r="A251" s="28" t="str">
        <f>HYPERLINK("https://www.google.com/search?q=Tringa ochropus&amp;tbm=isch")</f>
        <v>https://www.google.com/search?q=Tringa ochropus&amp;tbm=isch</v>
      </c>
      <c r="B251" s="29" t="str">
        <f>HYPERLINK("https://www.xeno-canto.org/species/Tringa-ochropus")</f>
        <v>https://www.xeno-canto.org/species/Tringa-ochropus</v>
      </c>
      <c r="C251" s="30" t="str">
        <f>HYPERLINK("https://ebird.org/species/grnsan")</f>
        <v>https://ebird.org/species/grnsan</v>
      </c>
      <c r="D251" s="31" t="str">
        <f>HYPERLINK("https://www.hbw.com/species/Green-Sandpiper-Tringa-ochropus")</f>
        <v>https://www.hbw.com/species/Green-Sandpiper-Tringa-ochropus</v>
      </c>
      <c r="E251" s="32" t="str">
        <f>HYPERLINK("https://www.iucnredlist.org/search?query=Tringa ochropus&amp;searchType=species")</f>
        <v>https://www.iucnredlist.org/search?query=Tringa ochropus&amp;searchType=species</v>
      </c>
      <c r="F251" s="2">
        <v>191</v>
      </c>
      <c r="G251" s="27" t="s">
        <v>514</v>
      </c>
      <c r="H251" s="84" t="s">
        <v>603</v>
      </c>
      <c r="I251" s="92" t="s">
        <v>604</v>
      </c>
      <c r="J251" s="1" t="s">
        <v>50</v>
      </c>
      <c r="M251" s="2" t="s">
        <v>605</v>
      </c>
    </row>
    <row r="252" spans="1:14" ht="14.4" x14ac:dyDescent="0.3">
      <c r="A252" s="28" t="str">
        <f>HYPERLINK("https://www.google.com/search?q=Tringa brevipes&amp;tbm=isch")</f>
        <v>https://www.google.com/search?q=Tringa brevipes&amp;tbm=isch</v>
      </c>
      <c r="B252" s="29" t="str">
        <f>HYPERLINK("https://www.xeno-canto.org/species/Tringa-brevipes")</f>
        <v>https://www.xeno-canto.org/species/Tringa-brevipes</v>
      </c>
      <c r="C252" s="30" t="str">
        <f>HYPERLINK("https://ebird.org/species/gyttat1")</f>
        <v>https://ebird.org/species/gyttat1</v>
      </c>
      <c r="D252" s="31" t="str">
        <f>HYPERLINK("https://www.hbw.com/species/Grey-tailed-Tattler-Tringa-brevipes")</f>
        <v>https://www.hbw.com/species/Grey-tailed-Tattler-Tringa-brevipes</v>
      </c>
      <c r="E252" s="32" t="str">
        <f>HYPERLINK("https://www.iucnredlist.org/search?query=Tringa brevipes&amp;searchType=species")</f>
        <v>https://www.iucnredlist.org/search?query=Tringa brevipes&amp;searchType=species</v>
      </c>
      <c r="F252" s="2">
        <v>192</v>
      </c>
      <c r="G252" s="27" t="s">
        <v>514</v>
      </c>
      <c r="H252" s="84" t="s">
        <v>606</v>
      </c>
      <c r="I252" s="92" t="s">
        <v>607</v>
      </c>
      <c r="J252" s="1" t="s">
        <v>50</v>
      </c>
      <c r="K252" s="1" t="s">
        <v>58</v>
      </c>
      <c r="M252" s="2" t="s">
        <v>522</v>
      </c>
      <c r="N252" s="2" t="s">
        <v>123</v>
      </c>
    </row>
    <row r="253" spans="1:14" ht="14.4" x14ac:dyDescent="0.3">
      <c r="A253" s="28" t="str">
        <f>HYPERLINK("https://www.google.com/search?q=Tringa totanus&amp;tbm=isch")</f>
        <v>https://www.google.com/search?q=Tringa totanus&amp;tbm=isch</v>
      </c>
      <c r="B253" s="29" t="str">
        <f>HYPERLINK("https://www.xeno-canto.org/species/Tringa-totanus")</f>
        <v>https://www.xeno-canto.org/species/Tringa-totanus</v>
      </c>
      <c r="C253" s="30" t="str">
        <f>HYPERLINK("https://ebird.org/species/comred1")</f>
        <v>https://ebird.org/species/comred1</v>
      </c>
      <c r="D253" s="31" t="str">
        <f>HYPERLINK("https://www.hbw.com/species/Common-Redshank-Tringa-totanus")</f>
        <v>https://www.hbw.com/species/Common-Redshank-Tringa-totanus</v>
      </c>
      <c r="E253" s="32" t="str">
        <f>HYPERLINK("https://www.iucnredlist.org/search?query=Tringa totanus&amp;searchType=species")</f>
        <v>https://www.iucnredlist.org/search?query=Tringa totanus&amp;searchType=species</v>
      </c>
      <c r="F253" s="2">
        <v>193</v>
      </c>
      <c r="G253" s="27" t="s">
        <v>514</v>
      </c>
      <c r="H253" s="84" t="s">
        <v>608</v>
      </c>
      <c r="I253" s="92" t="s">
        <v>609</v>
      </c>
      <c r="J253" s="1" t="s">
        <v>50</v>
      </c>
      <c r="M253" s="2" t="s">
        <v>610</v>
      </c>
    </row>
    <row r="254" spans="1:14" ht="14.4" x14ac:dyDescent="0.3">
      <c r="A254" s="28" t="str">
        <f>HYPERLINK("https://www.google.com/search?q=Tringa stagnatilis&amp;tbm=isch")</f>
        <v>https://www.google.com/search?q=Tringa stagnatilis&amp;tbm=isch</v>
      </c>
      <c r="B254" s="29" t="str">
        <f>HYPERLINK("https://www.xeno-canto.org/species/Tringa-stagnatilis")</f>
        <v>https://www.xeno-canto.org/species/Tringa-stagnatilis</v>
      </c>
      <c r="C254" s="30" t="str">
        <f>HYPERLINK("https://ebird.org/species/marsan")</f>
        <v>https://ebird.org/species/marsan</v>
      </c>
      <c r="D254" s="31" t="str">
        <f>HYPERLINK("https://www.hbw.com/species/Marsh-Sandpiper-Tringa-stagnatilis")</f>
        <v>https://www.hbw.com/species/Marsh-Sandpiper-Tringa-stagnatilis</v>
      </c>
      <c r="E254" s="32" t="str">
        <f>HYPERLINK("https://www.iucnredlist.org/search?query=Tringa stagnatilis&amp;searchType=species")</f>
        <v>https://www.iucnredlist.org/search?query=Tringa stagnatilis&amp;searchType=species</v>
      </c>
      <c r="F254" s="2">
        <v>194</v>
      </c>
      <c r="G254" s="27" t="s">
        <v>514</v>
      </c>
      <c r="H254" s="84" t="s">
        <v>611</v>
      </c>
      <c r="I254" s="92" t="s">
        <v>612</v>
      </c>
      <c r="J254" s="1" t="s">
        <v>50</v>
      </c>
      <c r="M254" s="2" t="s">
        <v>613</v>
      </c>
    </row>
    <row r="255" spans="1:14" ht="20.399999999999999" x14ac:dyDescent="0.3">
      <c r="A255" s="28" t="str">
        <f>HYPERLINK("https://www.google.com/search?q=Tringa glareola&amp;tbm=isch")</f>
        <v>https://www.google.com/search?q=Tringa glareola&amp;tbm=isch</v>
      </c>
      <c r="B255" s="29" t="str">
        <f>HYPERLINK("https://www.xeno-canto.org/species/Tringa-glareola")</f>
        <v>https://www.xeno-canto.org/species/Tringa-glareola</v>
      </c>
      <c r="C255" s="30" t="str">
        <f>HYPERLINK("https://ebird.org/species/woosan")</f>
        <v>https://ebird.org/species/woosan</v>
      </c>
      <c r="D255" s="31" t="str">
        <f>HYPERLINK("https://www.hbw.com/species/Wood-Sandpiper-Tringa-glareola")</f>
        <v>https://www.hbw.com/species/Wood-Sandpiper-Tringa-glareola</v>
      </c>
      <c r="E255" s="32" t="str">
        <f>HYPERLINK("https://www.iucnredlist.org/search?query=Tringa glareola&amp;searchType=species")</f>
        <v>https://www.iucnredlist.org/search?query=Tringa glareola&amp;searchType=species</v>
      </c>
      <c r="F255" s="2">
        <v>195</v>
      </c>
      <c r="G255" s="27" t="s">
        <v>514</v>
      </c>
      <c r="H255" s="84" t="s">
        <v>614</v>
      </c>
      <c r="I255" s="92" t="s">
        <v>615</v>
      </c>
      <c r="J255" s="1" t="s">
        <v>50</v>
      </c>
      <c r="M255" s="2" t="s">
        <v>605</v>
      </c>
    </row>
    <row r="256" spans="1:14" ht="14.4" x14ac:dyDescent="0.3">
      <c r="A256" s="28" t="str">
        <f>HYPERLINK("https://www.google.com/search?q=Tringa erythropus&amp;tbm=isch")</f>
        <v>https://www.google.com/search?q=Tringa erythropus&amp;tbm=isch</v>
      </c>
      <c r="B256" s="29" t="str">
        <f>HYPERLINK("https://www.xeno-canto.org/species/Tringa-erythropus")</f>
        <v>https://www.xeno-canto.org/species/Tringa-erythropus</v>
      </c>
      <c r="C256" s="30" t="str">
        <f>HYPERLINK("https://ebird.org/species/spored")</f>
        <v>https://ebird.org/species/spored</v>
      </c>
      <c r="D256" s="31" t="str">
        <f>HYPERLINK("https://www.hbw.com/species/Spotted-Redshank-Tringa-erythropus")</f>
        <v>https://www.hbw.com/species/Spotted-Redshank-Tringa-erythropus</v>
      </c>
      <c r="E256" s="32" t="str">
        <f>HYPERLINK("https://www.iucnredlist.org/search?query=Tringa erythropus&amp;searchType=species")</f>
        <v>https://www.iucnredlist.org/search?query=Tringa erythropus&amp;searchType=species</v>
      </c>
      <c r="F256" s="2">
        <v>196</v>
      </c>
      <c r="G256" s="27" t="s">
        <v>514</v>
      </c>
      <c r="H256" s="83" t="s">
        <v>616</v>
      </c>
      <c r="I256" s="92" t="s">
        <v>617</v>
      </c>
      <c r="J256" s="1" t="s">
        <v>19</v>
      </c>
      <c r="L256" s="1" t="s">
        <v>67</v>
      </c>
      <c r="M256" s="2" t="s">
        <v>581</v>
      </c>
    </row>
    <row r="257" spans="1:14" ht="14.4" x14ac:dyDescent="0.3">
      <c r="A257" s="28" t="str">
        <f>HYPERLINK("https://www.google.com/search?q=Tringa nebularia&amp;tbm=isch")</f>
        <v>https://www.google.com/search?q=Tringa nebularia&amp;tbm=isch</v>
      </c>
      <c r="B257" s="29" t="str">
        <f>HYPERLINK("https://www.xeno-canto.org/species/Tringa-nebularia")</f>
        <v>https://www.xeno-canto.org/species/Tringa-nebularia</v>
      </c>
      <c r="C257" s="30" t="str">
        <f>HYPERLINK("https://ebird.org/species/comgre")</f>
        <v>https://ebird.org/species/comgre</v>
      </c>
      <c r="D257" s="31" t="str">
        <f>HYPERLINK("https://www.hbw.com/species/Common-Greenshank-Tringa-nebularia")</f>
        <v>https://www.hbw.com/species/Common-Greenshank-Tringa-nebularia</v>
      </c>
      <c r="E257" s="32" t="str">
        <f>HYPERLINK("https://www.iucnredlist.org/search?query=Tringa nebularia&amp;searchType=species")</f>
        <v>https://www.iucnredlist.org/search?query=Tringa nebularia&amp;searchType=species</v>
      </c>
      <c r="F257" s="2">
        <v>197</v>
      </c>
      <c r="G257" s="27" t="s">
        <v>514</v>
      </c>
      <c r="H257" s="84" t="s">
        <v>618</v>
      </c>
      <c r="I257" s="92" t="s">
        <v>619</v>
      </c>
      <c r="J257" s="1" t="s">
        <v>50</v>
      </c>
      <c r="M257" s="2" t="s">
        <v>620</v>
      </c>
    </row>
    <row r="258" spans="1:14" ht="14.4" x14ac:dyDescent="0.3">
      <c r="A258" s="28" t="str">
        <f>HYPERLINK("https://www.google.com/search?q=Tringa guttifer&amp;tbm=isch")</f>
        <v>https://www.google.com/search?q=Tringa guttifer&amp;tbm=isch</v>
      </c>
      <c r="B258" s="29" t="str">
        <f>HYPERLINK("https://www.xeno-canto.org/species/Tringa-guttifer")</f>
        <v>https://www.xeno-canto.org/species/Tringa-guttifer</v>
      </c>
      <c r="C258" s="30" t="str">
        <f>HYPERLINK("https://ebird.org/species/norgre1")</f>
        <v>https://ebird.org/species/norgre1</v>
      </c>
      <c r="D258" s="31" t="str">
        <f>HYPERLINK("https://www.hbw.com/species/Spotted-Greenshank-Tringa-guttifer")</f>
        <v>https://www.hbw.com/species/Spotted-Greenshank-Tringa-guttifer</v>
      </c>
      <c r="E258" s="32" t="str">
        <f>HYPERLINK("https://www.iucnredlist.org/search?query=Tringa guttifer&amp;searchType=species")</f>
        <v>https://www.iucnredlist.org/search?query=Tringa guttifer&amp;searchType=species</v>
      </c>
      <c r="F258" s="2">
        <v>198</v>
      </c>
      <c r="G258" s="27" t="s">
        <v>514</v>
      </c>
      <c r="H258" s="83" t="s">
        <v>621</v>
      </c>
      <c r="I258" s="92" t="s">
        <v>622</v>
      </c>
      <c r="J258" s="1" t="s">
        <v>19</v>
      </c>
      <c r="K258" s="1" t="s">
        <v>67</v>
      </c>
      <c r="L258" s="1" t="s">
        <v>67</v>
      </c>
      <c r="M258" s="2" t="s">
        <v>47</v>
      </c>
    </row>
    <row r="259" spans="1:14" x14ac:dyDescent="0.3">
      <c r="A259" s="33"/>
      <c r="B259" s="34"/>
      <c r="C259" s="35"/>
      <c r="D259" s="36"/>
      <c r="E259" s="37"/>
    </row>
    <row r="260" spans="1:14" ht="12" x14ac:dyDescent="0.3">
      <c r="A260" s="33"/>
      <c r="B260" s="34"/>
      <c r="C260" s="35"/>
      <c r="D260" s="36"/>
      <c r="E260" s="37"/>
      <c r="H260" s="82" t="s">
        <v>623</v>
      </c>
      <c r="I260" s="91" t="s">
        <v>624</v>
      </c>
    </row>
    <row r="261" spans="1:14" ht="20.399999999999999" x14ac:dyDescent="0.3">
      <c r="A261" s="28" t="str">
        <f>HYPERLINK("https://www.google.com/search?q=Glareola maldivarum&amp;tbm=isch")</f>
        <v>https://www.google.com/search?q=Glareola maldivarum&amp;tbm=isch</v>
      </c>
      <c r="B261" s="29" t="str">
        <f>HYPERLINK("https://www.xeno-canto.org/species/Glareola-maldivarum")</f>
        <v>https://www.xeno-canto.org/species/Glareola-maldivarum</v>
      </c>
      <c r="C261" s="30" t="str">
        <f>HYPERLINK("https://ebird.org/species/oripra")</f>
        <v>https://ebird.org/species/oripra</v>
      </c>
      <c r="D261" s="31" t="str">
        <f>HYPERLINK("https://www.hbw.com/species/Oriental-Pratincole-Glareola-maldivarum")</f>
        <v>https://www.hbw.com/species/Oriental-Pratincole-Glareola-maldivarum</v>
      </c>
      <c r="E261" s="32" t="str">
        <f>HYPERLINK("https://www.iucnredlist.org/search?query=Glareola maldivarum&amp;searchType=species")</f>
        <v>https://www.iucnredlist.org/search?query=Glareola maldivarum&amp;searchType=species</v>
      </c>
      <c r="F261" s="2">
        <v>199</v>
      </c>
      <c r="G261" s="27" t="s">
        <v>624</v>
      </c>
      <c r="H261" s="84" t="s">
        <v>625</v>
      </c>
      <c r="I261" s="92" t="s">
        <v>626</v>
      </c>
      <c r="J261" s="1" t="s">
        <v>236</v>
      </c>
      <c r="M261" s="2" t="s">
        <v>627</v>
      </c>
    </row>
    <row r="262" spans="1:14" x14ac:dyDescent="0.3">
      <c r="A262" s="33"/>
      <c r="B262" s="34"/>
      <c r="C262" s="35"/>
      <c r="D262" s="36"/>
      <c r="E262" s="37"/>
    </row>
    <row r="263" spans="1:14" ht="12" x14ac:dyDescent="0.3">
      <c r="A263" s="33"/>
      <c r="B263" s="34"/>
      <c r="C263" s="35"/>
      <c r="D263" s="36"/>
      <c r="E263" s="37"/>
      <c r="H263" s="82" t="s">
        <v>628</v>
      </c>
      <c r="I263" s="91" t="s">
        <v>629</v>
      </c>
    </row>
    <row r="264" spans="1:14" ht="14.4" x14ac:dyDescent="0.3">
      <c r="A264" s="28" t="str">
        <f>HYPERLINK("https://www.google.com/search?q=Anous stolidus&amp;tbm=isch")</f>
        <v>https://www.google.com/search?q=Anous stolidus&amp;tbm=isch</v>
      </c>
      <c r="B264" s="29" t="str">
        <f>HYPERLINK("https://www.xeno-canto.org/species/Anous-stolidus")</f>
        <v>https://www.xeno-canto.org/species/Anous-stolidus</v>
      </c>
      <c r="C264" s="30" t="str">
        <f>HYPERLINK("https://ebird.org/species/brnnod")</f>
        <v>https://ebird.org/species/brnnod</v>
      </c>
      <c r="D264" s="31" t="str">
        <f>HYPERLINK("https://www.hbw.com/species/Brown-Noddy-Anous-stolidus")</f>
        <v>https://www.hbw.com/species/Brown-Noddy-Anous-stolidus</v>
      </c>
      <c r="E264" s="32" t="str">
        <f>HYPERLINK("https://www.iucnredlist.org/search?query=Anous stolidus&amp;searchType=species")</f>
        <v>https://www.iucnredlist.org/search?query=Anous stolidus&amp;searchType=species</v>
      </c>
      <c r="F264" s="2">
        <v>200</v>
      </c>
      <c r="G264" s="27" t="s">
        <v>629</v>
      </c>
      <c r="H264" s="84" t="s">
        <v>630</v>
      </c>
      <c r="I264" s="92" t="s">
        <v>631</v>
      </c>
      <c r="J264" s="1" t="s">
        <v>15</v>
      </c>
      <c r="L264" s="1" t="s">
        <v>66</v>
      </c>
      <c r="M264" s="2" t="s">
        <v>181</v>
      </c>
    </row>
    <row r="265" spans="1:14" ht="14.4" x14ac:dyDescent="0.3">
      <c r="A265" s="28" t="str">
        <f>HYPERLINK("https://www.google.com/search?q=Anous minutus&amp;tbm=isch")</f>
        <v>https://www.google.com/search?q=Anous minutus&amp;tbm=isch</v>
      </c>
      <c r="B265" s="29" t="str">
        <f>HYPERLINK("https://www.xeno-canto.org/species/Anous-minutus")</f>
        <v>https://www.xeno-canto.org/species/Anous-minutus</v>
      </c>
      <c r="C265" s="30" t="str">
        <f>HYPERLINK("https://ebird.org/species/blknod")</f>
        <v>https://ebird.org/species/blknod</v>
      </c>
      <c r="D265" s="31" t="str">
        <f>HYPERLINK("https://www.hbw.com/species/Black-Noddy-Anous-minutus")</f>
        <v>https://www.hbw.com/species/Black-Noddy-Anous-minutus</v>
      </c>
      <c r="E265" s="32" t="str">
        <f>HYPERLINK("https://www.iucnredlist.org/search?query=Anous minutus&amp;searchType=species")</f>
        <v>https://www.iucnredlist.org/search?query=Anous minutus&amp;searchType=species</v>
      </c>
      <c r="F265" s="2">
        <v>201</v>
      </c>
      <c r="G265" s="27" t="s">
        <v>629</v>
      </c>
      <c r="H265" s="84" t="s">
        <v>632</v>
      </c>
      <c r="I265" s="92" t="s">
        <v>633</v>
      </c>
      <c r="J265" s="1" t="s">
        <v>15</v>
      </c>
      <c r="L265" s="1" t="s">
        <v>67</v>
      </c>
      <c r="M265" s="2" t="s">
        <v>634</v>
      </c>
    </row>
    <row r="266" spans="1:14" ht="40.799999999999997" x14ac:dyDescent="0.3">
      <c r="A266" s="28" t="str">
        <f>HYPERLINK("https://www.google.com/search?q=Gygis alba&amp;tbm=isch")</f>
        <v>https://www.google.com/search?q=Gygis alba&amp;tbm=isch</v>
      </c>
      <c r="B266" s="29" t="str">
        <f>HYPERLINK("https://www.xeno-canto.org/species/Gygis-alba")</f>
        <v>https://www.xeno-canto.org/species/Gygis-alba</v>
      </c>
      <c r="C266" s="30" t="str">
        <f>HYPERLINK("https://ebird.org/species/whiter")</f>
        <v>https://ebird.org/species/whiter</v>
      </c>
      <c r="D266" s="31" t="str">
        <f>HYPERLINK("https://www.hbw.com/species/Common-White-Tern-Gygis-alba")</f>
        <v>https://www.hbw.com/species/Common-White-Tern-Gygis-alba</v>
      </c>
      <c r="E266" s="32" t="str">
        <f>HYPERLINK("https://www.iucnredlist.org/search?query=Gygis alba&amp;searchType=species")</f>
        <v>https://www.iucnredlist.org/search?query=Gygis alba&amp;searchType=species</v>
      </c>
      <c r="F266" s="2">
        <v>202</v>
      </c>
      <c r="G266" s="27" t="s">
        <v>629</v>
      </c>
      <c r="H266" s="85" t="s">
        <v>635</v>
      </c>
      <c r="I266" s="93" t="s">
        <v>636</v>
      </c>
      <c r="J266" s="1" t="s">
        <v>19</v>
      </c>
      <c r="M266" s="2" t="s">
        <v>181</v>
      </c>
      <c r="N266" s="2" t="s">
        <v>11326</v>
      </c>
    </row>
    <row r="267" spans="1:14" ht="14.4" x14ac:dyDescent="0.3">
      <c r="A267" s="28" t="str">
        <f>HYPERLINK("https://www.google.com/search?q=Chroicocephalus ridibundus&amp;tbm=isch")</f>
        <v>https://www.google.com/search?q=Chroicocephalus ridibundus&amp;tbm=isch</v>
      </c>
      <c r="B267" s="29" t="str">
        <f>HYPERLINK("https://www.xeno-canto.org/species/Chroicocephalus-ridibundus")</f>
        <v>https://www.xeno-canto.org/species/Chroicocephalus-ridibundus</v>
      </c>
      <c r="C267" s="30" t="str">
        <f>HYPERLINK("https://ebird.org/species/bkhgul")</f>
        <v>https://ebird.org/species/bkhgul</v>
      </c>
      <c r="D267" s="31" t="str">
        <f>HYPERLINK("https://www.hbw.com/species/Black-headed-Gull-Larus-ridibundus")</f>
        <v>https://www.hbw.com/species/Black-headed-Gull-Larus-ridibundus</v>
      </c>
      <c r="E267" s="32" t="str">
        <f>HYPERLINK("https://www.iucnredlist.org/search?query=Chroicocephalus ridibundus&amp;searchType=species")</f>
        <v>https://www.iucnredlist.org/search?query=Chroicocephalus ridibundus&amp;searchType=species</v>
      </c>
      <c r="F267" s="2">
        <v>203</v>
      </c>
      <c r="G267" s="27" t="s">
        <v>629</v>
      </c>
      <c r="H267" s="84" t="s">
        <v>637</v>
      </c>
      <c r="I267" s="92" t="s">
        <v>638</v>
      </c>
      <c r="J267" s="1" t="s">
        <v>50</v>
      </c>
      <c r="M267" s="2" t="s">
        <v>92</v>
      </c>
    </row>
    <row r="268" spans="1:14" ht="14.4" x14ac:dyDescent="0.3">
      <c r="A268" s="28" t="str">
        <f>HYPERLINK("https://www.google.com/search?q=Chroicocephalus saundersi&amp;tbm=isch")</f>
        <v>https://www.google.com/search?q=Chroicocephalus saundersi&amp;tbm=isch</v>
      </c>
      <c r="B268" s="29" t="str">
        <f>HYPERLINK("https://www.xeno-canto.org/species/Chroicocephalus-saundersi")</f>
        <v>https://www.xeno-canto.org/species/Chroicocephalus-saundersi</v>
      </c>
      <c r="C268" s="30" t="str">
        <f>HYPERLINK("https://ebird.org/species/saugul2")</f>
        <v>https://ebird.org/species/saugul2</v>
      </c>
      <c r="D268" s="31" t="str">
        <f>HYPERLINK("https://www.hbw.com/species/Saunders's-Gull-Saundersilarus-saundersi")</f>
        <v>https://www.hbw.com/species/Saunders's-Gull-Saundersilarus-saundersi</v>
      </c>
      <c r="E268" s="32" t="str">
        <f>HYPERLINK("https://www.iucnredlist.org/search?query=Chroicocephalus saundersi&amp;searchType=species")</f>
        <v>https://www.iucnredlist.org/search?query=Chroicocephalus saundersi&amp;searchType=species</v>
      </c>
      <c r="F268" s="2">
        <v>204</v>
      </c>
      <c r="G268" s="27" t="s">
        <v>629</v>
      </c>
      <c r="H268" s="85" t="s">
        <v>639</v>
      </c>
      <c r="I268" s="93" t="s">
        <v>640</v>
      </c>
      <c r="J268" s="1" t="s">
        <v>19</v>
      </c>
      <c r="K268" s="1" t="s">
        <v>66</v>
      </c>
      <c r="M268" s="2" t="s">
        <v>641</v>
      </c>
      <c r="N268" s="2" t="s">
        <v>642</v>
      </c>
    </row>
    <row r="269" spans="1:14" ht="30.6" x14ac:dyDescent="0.3">
      <c r="A269" s="28" t="str">
        <f>HYPERLINK("https://www.google.com/search?q=Leucophaeus atricilla&amp;tbm=isch")</f>
        <v>https://www.google.com/search?q=Leucophaeus atricilla&amp;tbm=isch</v>
      </c>
      <c r="B269" s="29" t="str">
        <f>HYPERLINK("https://www.xeno-canto.org/species/Leucophaeus-atricilla")</f>
        <v>https://www.xeno-canto.org/species/Leucophaeus-atricilla</v>
      </c>
      <c r="C269" s="30" t="str">
        <f>HYPERLINK("https://ebird.org/species/laugul")</f>
        <v>https://ebird.org/species/laugul</v>
      </c>
      <c r="D269" s="31" t="str">
        <f>HYPERLINK("https://www.hbw.com/species/Laughing-Gull-Larus-atricilla")</f>
        <v>https://www.hbw.com/species/Laughing-Gull-Larus-atricilla</v>
      </c>
      <c r="E269" s="32" t="str">
        <f>HYPERLINK("https://www.iucnredlist.org/search?query=Leucophaeus atricilla&amp;searchType=species")</f>
        <v>https://www.iucnredlist.org/search?query=Leucophaeus atricilla&amp;searchType=species</v>
      </c>
      <c r="F269" s="2">
        <v>205</v>
      </c>
      <c r="G269" s="27" t="s">
        <v>629</v>
      </c>
      <c r="H269" s="85" t="s">
        <v>643</v>
      </c>
      <c r="I269" s="93" t="s">
        <v>644</v>
      </c>
      <c r="J269" s="1" t="s">
        <v>19</v>
      </c>
      <c r="M269" s="2" t="s">
        <v>645</v>
      </c>
      <c r="N269" s="2" t="s">
        <v>646</v>
      </c>
    </row>
    <row r="270" spans="1:14" ht="20.399999999999999" x14ac:dyDescent="0.3">
      <c r="A270" s="28" t="str">
        <f>HYPERLINK("https://www.google.com/search?q=Leucophaeus pipixcan&amp;tbm=isch")</f>
        <v>https://www.google.com/search?q=Leucophaeus pipixcan&amp;tbm=isch</v>
      </c>
      <c r="B270" s="29" t="str">
        <f>HYPERLINK("https://www.xeno-canto.org/species/Leucophaeus-pipixcan")</f>
        <v>https://www.xeno-canto.org/species/Leucophaeus-pipixcan</v>
      </c>
      <c r="C270" s="30" t="str">
        <f>HYPERLINK("https://ebird.org/species/fragul")</f>
        <v>https://ebird.org/species/fragul</v>
      </c>
      <c r="D270" s="31" t="str">
        <f>HYPERLINK("https://www.hbw.com/species/Franklin’s-Gull-Larus-pipixcan")</f>
        <v>https://www.hbw.com/species/Franklin’s-Gull-Larus-pipixcan</v>
      </c>
      <c r="E270" s="32" t="str">
        <f>HYPERLINK("https://www.iucnredlist.org/search?query=Leucophaeus pipixcan&amp;searchType=species")</f>
        <v>https://www.iucnredlist.org/search?query=Leucophaeus pipixcan&amp;searchType=species</v>
      </c>
      <c r="F270" s="2">
        <v>206</v>
      </c>
      <c r="G270" s="27" t="s">
        <v>629</v>
      </c>
      <c r="H270" s="85" t="s">
        <v>647</v>
      </c>
      <c r="I270" s="93" t="s">
        <v>648</v>
      </c>
      <c r="J270" s="1" t="s">
        <v>19</v>
      </c>
      <c r="M270" s="2" t="s">
        <v>649</v>
      </c>
      <c r="N270" s="2" t="s">
        <v>650</v>
      </c>
    </row>
    <row r="271" spans="1:14" ht="14.4" x14ac:dyDescent="0.3">
      <c r="A271" s="28" t="str">
        <f>HYPERLINK("https://www.google.com/search?q=Larus crassirostris&amp;tbm=isch")</f>
        <v>https://www.google.com/search?q=Larus crassirostris&amp;tbm=isch</v>
      </c>
      <c r="B271" s="29" t="str">
        <f>HYPERLINK("https://www.xeno-canto.org/species/Larus-crassirostris")</f>
        <v>https://www.xeno-canto.org/species/Larus-crassirostris</v>
      </c>
      <c r="C271" s="30" t="str">
        <f>HYPERLINK("https://ebird.org/species/bktgul")</f>
        <v>https://ebird.org/species/bktgul</v>
      </c>
      <c r="D271" s="31" t="str">
        <f>HYPERLINK("https://www.hbw.com/species/Black-tailed-Gull-Larus-crassirostris")</f>
        <v>https://www.hbw.com/species/Black-tailed-Gull-Larus-crassirostris</v>
      </c>
      <c r="E271" s="32" t="str">
        <f>HYPERLINK("https://www.iucnredlist.org/search?query=Larus crassirostris&amp;searchType=species")</f>
        <v>https://www.iucnredlist.org/search?query=Larus crassirostris&amp;searchType=species</v>
      </c>
      <c r="F271" s="2">
        <v>207</v>
      </c>
      <c r="G271" s="27" t="s">
        <v>629</v>
      </c>
      <c r="H271" s="83" t="s">
        <v>651</v>
      </c>
      <c r="I271" s="92" t="s">
        <v>652</v>
      </c>
      <c r="J271" s="1" t="s">
        <v>19</v>
      </c>
      <c r="M271" s="2" t="s">
        <v>653</v>
      </c>
    </row>
    <row r="272" spans="1:14" ht="40.799999999999997" x14ac:dyDescent="0.3">
      <c r="A272" s="28" t="str">
        <f>HYPERLINK("https://www.google.com/search?q=Larus canus&amp;tbm=isch")</f>
        <v>https://www.google.com/search?q=Larus canus&amp;tbm=isch</v>
      </c>
      <c r="B272" s="29" t="str">
        <f>HYPERLINK("https://www.xeno-canto.org/species/Larus-canus")</f>
        <v>https://www.xeno-canto.org/species/Larus-canus</v>
      </c>
      <c r="C272" s="30" t="str">
        <f>HYPERLINK("https://ebird.org/species/mewgul")</f>
        <v>https://ebird.org/species/mewgul</v>
      </c>
      <c r="D272" s="31" t="str">
        <f>HYPERLINK("https://www.hbw.com/species/Mew-Gull-Larus-canus")</f>
        <v>https://www.hbw.com/species/Mew-Gull-Larus-canus</v>
      </c>
      <c r="E272" s="32" t="str">
        <f>HYPERLINK("https://www.iucnredlist.org/search?query=Larus canus&amp;searchType=species")</f>
        <v>https://www.iucnredlist.org/search?query=Larus canus&amp;searchType=species</v>
      </c>
      <c r="F272" s="2">
        <v>208</v>
      </c>
      <c r="G272" s="27" t="s">
        <v>629</v>
      </c>
      <c r="H272" s="85" t="s">
        <v>654</v>
      </c>
      <c r="I272" s="93" t="s">
        <v>655</v>
      </c>
      <c r="J272" s="1" t="s">
        <v>19</v>
      </c>
      <c r="M272" s="2" t="s">
        <v>656</v>
      </c>
      <c r="N272" s="2" t="s">
        <v>657</v>
      </c>
    </row>
    <row r="273" spans="1:14" ht="14.4" x14ac:dyDescent="0.3">
      <c r="A273" s="28" t="str">
        <f>HYPERLINK("https://www.google.com/search?q=Larus vegae&amp;tbm=isch")</f>
        <v>https://www.google.com/search?q=Larus vegae&amp;tbm=isch</v>
      </c>
      <c r="B273" s="29" t="str">
        <f>HYPERLINK("https://www.xeno-canto.org/species/Larus-vegae")</f>
        <v>https://www.xeno-canto.org/species/Larus-vegae</v>
      </c>
      <c r="C273" s="30" t="str">
        <f>HYPERLINK("https://ebird.org/species/")</f>
        <v>https://ebird.org/species/</v>
      </c>
      <c r="D273" s="31" t="str">
        <f>HYPERLINK("https://www.hbw.com/species/Vega-Gull-Larus-vegae")</f>
        <v>https://www.hbw.com/species/Vega-Gull-Larus-vegae</v>
      </c>
      <c r="E273" s="32" t="str">
        <f>HYPERLINK("https://www.iucnredlist.org/search?query=Larus vegae&amp;searchType=species")</f>
        <v>https://www.iucnredlist.org/search?query=Larus vegae&amp;searchType=species</v>
      </c>
      <c r="F273" s="2">
        <v>209</v>
      </c>
      <c r="G273" s="27" t="s">
        <v>629</v>
      </c>
      <c r="H273" s="83" t="s">
        <v>658</v>
      </c>
      <c r="I273" s="92" t="s">
        <v>659</v>
      </c>
      <c r="J273" s="1" t="s">
        <v>19</v>
      </c>
      <c r="M273" s="2" t="s">
        <v>660</v>
      </c>
    </row>
    <row r="274" spans="1:14" ht="14.4" x14ac:dyDescent="0.3">
      <c r="A274" s="28" t="str">
        <f>HYPERLINK("https://www.google.com/search?q=Larus schistisagus&amp;tbm=isch")</f>
        <v>https://www.google.com/search?q=Larus schistisagus&amp;tbm=isch</v>
      </c>
      <c r="B274" s="29" t="str">
        <f>HYPERLINK("https://www.xeno-canto.org/species/Larus-schistisagus")</f>
        <v>https://www.xeno-canto.org/species/Larus-schistisagus</v>
      </c>
      <c r="C274" s="30" t="str">
        <f>HYPERLINK("https://ebird.org/species/slbgul")</f>
        <v>https://ebird.org/species/slbgul</v>
      </c>
      <c r="D274" s="31" t="str">
        <f>HYPERLINK("https://www.hbw.com/species/Slaty-backed-Gull-Larus-schistisagus")</f>
        <v>https://www.hbw.com/species/Slaty-backed-Gull-Larus-schistisagus</v>
      </c>
      <c r="E274" s="32" t="str">
        <f>HYPERLINK("https://www.iucnredlist.org/search?query=Larus schistisagus&amp;searchType=species")</f>
        <v>https://www.iucnredlist.org/search?query=Larus schistisagus&amp;searchType=species</v>
      </c>
      <c r="F274" s="2">
        <v>210</v>
      </c>
      <c r="G274" s="27" t="s">
        <v>629</v>
      </c>
      <c r="H274" s="83" t="s">
        <v>661</v>
      </c>
      <c r="I274" s="92" t="s">
        <v>662</v>
      </c>
      <c r="J274" s="1" t="s">
        <v>19</v>
      </c>
      <c r="M274" s="2" t="s">
        <v>663</v>
      </c>
    </row>
    <row r="275" spans="1:14" ht="30.6" x14ac:dyDescent="0.3">
      <c r="A275" s="28" t="str">
        <f>HYPERLINK("https://www.google.com/search?q=Larus fuscus&amp;tbm=isch")</f>
        <v>https://www.google.com/search?q=Larus fuscus&amp;tbm=isch</v>
      </c>
      <c r="B275" s="29" t="str">
        <f>HYPERLINK("https://www.xeno-canto.org/species/Larus-fuscus")</f>
        <v>https://www.xeno-canto.org/species/Larus-fuscus</v>
      </c>
      <c r="C275" s="30" t="str">
        <f>HYPERLINK("https://ebird.org/species/lbbgul")</f>
        <v>https://ebird.org/species/lbbgul</v>
      </c>
      <c r="D275" s="31" t="str">
        <f>HYPERLINK("https://www.hbw.com/species/Lesser-Black-backed-Gull-Larus-fuscus")</f>
        <v>https://www.hbw.com/species/Lesser-Black-backed-Gull-Larus-fuscus</v>
      </c>
      <c r="E275" s="32" t="str">
        <f>HYPERLINK("https://www.iucnredlist.org/search?query=Larus fuscus&amp;searchType=species")</f>
        <v>https://www.iucnredlist.org/search?query=Larus fuscus&amp;searchType=species</v>
      </c>
      <c r="F275" s="2">
        <v>211</v>
      </c>
      <c r="G275" s="27" t="s">
        <v>629</v>
      </c>
      <c r="H275" s="85" t="s">
        <v>664</v>
      </c>
      <c r="I275" s="93" t="s">
        <v>665</v>
      </c>
      <c r="J275" s="1" t="s">
        <v>19</v>
      </c>
      <c r="M275" s="2" t="s">
        <v>666</v>
      </c>
      <c r="N275" s="2" t="s">
        <v>667</v>
      </c>
    </row>
    <row r="276" spans="1:14" ht="14.4" x14ac:dyDescent="0.3">
      <c r="A276" s="28" t="str">
        <f>HYPERLINK("https://www.google.com/search?q=Gelochelidon nilotica&amp;tbm=isch")</f>
        <v>https://www.google.com/search?q=Gelochelidon nilotica&amp;tbm=isch</v>
      </c>
      <c r="B276" s="29" t="str">
        <f>HYPERLINK("https://www.xeno-canto.org/species/Gelochelidon-nilotica")</f>
        <v>https://www.xeno-canto.org/species/Gelochelidon-nilotica</v>
      </c>
      <c r="C276" s="30" t="str">
        <f>HYPERLINK("https://ebird.org/species/gubter1")</f>
        <v>https://ebird.org/species/gubter1</v>
      </c>
      <c r="D276" s="31" t="str">
        <f>HYPERLINK("https://www.hbw.com/species/Common-Gull-billed-Tern-Gelochelidon-nilotica")</f>
        <v>https://www.hbw.com/species/Common-Gull-billed-Tern-Gelochelidon-nilotica</v>
      </c>
      <c r="E276" s="32" t="str">
        <f>HYPERLINK("https://www.iucnredlist.org/search?query=Gelochelidon nilotica&amp;searchType=species")</f>
        <v>https://www.iucnredlist.org/search?query=Gelochelidon nilotica&amp;searchType=species</v>
      </c>
      <c r="F276" s="2">
        <v>212</v>
      </c>
      <c r="G276" s="27" t="s">
        <v>629</v>
      </c>
      <c r="H276" s="84" t="s">
        <v>668</v>
      </c>
      <c r="I276" s="92" t="s">
        <v>669</v>
      </c>
      <c r="J276" s="1" t="s">
        <v>50</v>
      </c>
      <c r="M276" s="2" t="s">
        <v>201</v>
      </c>
      <c r="N276" s="2" t="s">
        <v>123</v>
      </c>
    </row>
    <row r="277" spans="1:14" ht="14.4" x14ac:dyDescent="0.3">
      <c r="A277" s="28" t="str">
        <f>HYPERLINK("https://www.google.com/search?q=Hydroprogne caspia&amp;tbm=isch")</f>
        <v>https://www.google.com/search?q=Hydroprogne caspia&amp;tbm=isch</v>
      </c>
      <c r="B277" s="29" t="str">
        <f>HYPERLINK("https://www.xeno-canto.org/species/Hydroprogne-caspia")</f>
        <v>https://www.xeno-canto.org/species/Hydroprogne-caspia</v>
      </c>
      <c r="C277" s="30" t="str">
        <f>HYPERLINK("https://ebird.org/species/caster1")</f>
        <v>https://ebird.org/species/caster1</v>
      </c>
      <c r="D277" s="31" t="str">
        <f>HYPERLINK("https://www.hbw.com/species/Caspian-Tern-Hydroprogne-caspia")</f>
        <v>https://www.hbw.com/species/Caspian-Tern-Hydroprogne-caspia</v>
      </c>
      <c r="E277" s="32" t="str">
        <f>HYPERLINK("https://www.iucnredlist.org/search?query=Hydroprogne caspia&amp;searchType=species")</f>
        <v>https://www.iucnredlist.org/search?query=Hydroprogne caspia&amp;searchType=species</v>
      </c>
      <c r="F277" s="2">
        <v>213</v>
      </c>
      <c r="G277" s="27" t="s">
        <v>629</v>
      </c>
      <c r="H277" s="84" t="s">
        <v>670</v>
      </c>
      <c r="I277" s="92" t="s">
        <v>671</v>
      </c>
      <c r="J277" s="1" t="s">
        <v>50</v>
      </c>
      <c r="M277" s="2" t="s">
        <v>672</v>
      </c>
    </row>
    <row r="278" spans="1:14" ht="14.4" x14ac:dyDescent="0.3">
      <c r="A278" s="28" t="str">
        <f>HYPERLINK("https://www.google.com/search?q=Thalasseus bergii&amp;tbm=isch")</f>
        <v>https://www.google.com/search?q=Thalasseus bergii&amp;tbm=isch</v>
      </c>
      <c r="B278" s="29" t="str">
        <f>HYPERLINK("https://www.xeno-canto.org/species/Thalasseus-bergii")</f>
        <v>https://www.xeno-canto.org/species/Thalasseus-bergii</v>
      </c>
      <c r="C278" s="30" t="str">
        <f>HYPERLINK("https://ebird.org/species/grcter1")</f>
        <v>https://ebird.org/species/grcter1</v>
      </c>
      <c r="D278" s="31" t="str">
        <f>HYPERLINK("https://www.hbw.com/species/Greater-Crested-Tern-Thalasseus-bergii")</f>
        <v>https://www.hbw.com/species/Greater-Crested-Tern-Thalasseus-bergii</v>
      </c>
      <c r="E278" s="32" t="str">
        <f>HYPERLINK("https://www.iucnredlist.org/search?query=Thalasseus bergii&amp;searchType=species")</f>
        <v>https://www.iucnredlist.org/search?query=Thalasseus bergii&amp;searchType=species</v>
      </c>
      <c r="F278" s="2">
        <v>214</v>
      </c>
      <c r="G278" s="27" t="s">
        <v>629</v>
      </c>
      <c r="H278" s="84" t="s">
        <v>673</v>
      </c>
      <c r="I278" s="92" t="s">
        <v>674</v>
      </c>
      <c r="J278" s="1" t="s">
        <v>15</v>
      </c>
      <c r="L278" s="1" t="s">
        <v>66</v>
      </c>
      <c r="M278" s="2" t="s">
        <v>675</v>
      </c>
    </row>
    <row r="279" spans="1:14" ht="14.4" x14ac:dyDescent="0.3">
      <c r="A279" s="28" t="str">
        <f>HYPERLINK("https://www.google.com/search?q=Thalasseus bernsteini&amp;tbm=isch")</f>
        <v>https://www.google.com/search?q=Thalasseus bernsteini&amp;tbm=isch</v>
      </c>
      <c r="B279" s="29" t="str">
        <f>HYPERLINK("https://www.xeno-canto.org/species/Thalasseus-bernsteini")</f>
        <v>https://www.xeno-canto.org/species/Thalasseus-bernsteini</v>
      </c>
      <c r="C279" s="30" t="str">
        <f>HYPERLINK("https://ebird.org/species/chcter2")</f>
        <v>https://ebird.org/species/chcter2</v>
      </c>
      <c r="D279" s="31" t="str">
        <f>HYPERLINK("https://www.hbw.com/species/Chinese-Crested-Tern-Thalasseus-bernsteini")</f>
        <v>https://www.hbw.com/species/Chinese-Crested-Tern-Thalasseus-bernsteini</v>
      </c>
      <c r="E279" s="32" t="str">
        <f>HYPERLINK("https://www.iucnredlist.org/search?query=Thalasseus bernsteini&amp;searchType=species")</f>
        <v>https://www.iucnredlist.org/search?query=Thalasseus bernsteini&amp;searchType=species</v>
      </c>
      <c r="F279" s="2">
        <v>215</v>
      </c>
      <c r="G279" s="27" t="s">
        <v>629</v>
      </c>
      <c r="H279" s="83" t="s">
        <v>676</v>
      </c>
      <c r="I279" s="92" t="s">
        <v>677</v>
      </c>
      <c r="J279" s="1" t="s">
        <v>19</v>
      </c>
      <c r="K279" s="1" t="s">
        <v>85</v>
      </c>
      <c r="L279" s="1" t="s">
        <v>85</v>
      </c>
      <c r="M279" s="2" t="s">
        <v>678</v>
      </c>
    </row>
    <row r="280" spans="1:14" ht="14.4" x14ac:dyDescent="0.3">
      <c r="A280" s="28" t="str">
        <f>HYPERLINK("https://www.google.com/search?q=Sternula albifrons&amp;tbm=isch")</f>
        <v>https://www.google.com/search?q=Sternula albifrons&amp;tbm=isch</v>
      </c>
      <c r="B280" s="29" t="str">
        <f>HYPERLINK("https://www.xeno-canto.org/species/Sternula-albifrons")</f>
        <v>https://www.xeno-canto.org/species/Sternula-albifrons</v>
      </c>
      <c r="C280" s="30" t="str">
        <f>HYPERLINK("https://ebird.org/species/litter1")</f>
        <v>https://ebird.org/species/litter1</v>
      </c>
      <c r="D280" s="31" t="str">
        <f>HYPERLINK("https://www.hbw.com/species/Little-Tern-Sternula-albifrons")</f>
        <v>https://www.hbw.com/species/Little-Tern-Sternula-albifrons</v>
      </c>
      <c r="E280" s="32" t="str">
        <f>HYPERLINK("https://www.iucnredlist.org/search?query=Sternula albifrons&amp;searchType=species")</f>
        <v>https://www.iucnredlist.org/search?query=Sternula albifrons&amp;searchType=species</v>
      </c>
      <c r="F280" s="2">
        <v>216</v>
      </c>
      <c r="G280" s="27" t="s">
        <v>629</v>
      </c>
      <c r="H280" s="84" t="s">
        <v>679</v>
      </c>
      <c r="I280" s="92" t="s">
        <v>680</v>
      </c>
      <c r="J280" s="1" t="s">
        <v>236</v>
      </c>
      <c r="M280" s="2" t="s">
        <v>681</v>
      </c>
    </row>
    <row r="281" spans="1:14" ht="14.4" x14ac:dyDescent="0.3">
      <c r="A281" s="28" t="str">
        <f>HYPERLINK("https://www.google.com/search?q=Onychoprion aleuticus&amp;tbm=isch")</f>
        <v>https://www.google.com/search?q=Onychoprion aleuticus&amp;tbm=isch</v>
      </c>
      <c r="B281" s="29" t="str">
        <f>HYPERLINK("https://www.xeno-canto.org/species/Onychoprion-aleuticus")</f>
        <v>https://www.xeno-canto.org/species/Onychoprion-aleuticus</v>
      </c>
      <c r="C281" s="30" t="str">
        <f>HYPERLINK("https://ebird.org/species/aleter1")</f>
        <v>https://ebird.org/species/aleter1</v>
      </c>
      <c r="D281" s="31" t="str">
        <f>HYPERLINK("https://www.hbw.com/species/Aleutian-Tern-Onychoprion-aleuticus")</f>
        <v>https://www.hbw.com/species/Aleutian-Tern-Onychoprion-aleuticus</v>
      </c>
      <c r="E281" s="32" t="str">
        <f>HYPERLINK("https://www.iucnredlist.org/search?query=Onychoprion aleuticus&amp;searchType=species")</f>
        <v>https://www.iucnredlist.org/search?query=Onychoprion aleuticus&amp;searchType=species</v>
      </c>
      <c r="F281" s="2">
        <v>217</v>
      </c>
      <c r="G281" s="27" t="s">
        <v>629</v>
      </c>
      <c r="H281" s="83" t="s">
        <v>682</v>
      </c>
      <c r="I281" s="92" t="s">
        <v>683</v>
      </c>
      <c r="J281" s="1" t="s">
        <v>19</v>
      </c>
      <c r="K281" s="1" t="s">
        <v>66</v>
      </c>
      <c r="M281" s="2" t="s">
        <v>684</v>
      </c>
    </row>
    <row r="282" spans="1:14" ht="14.4" x14ac:dyDescent="0.3">
      <c r="A282" s="28" t="str">
        <f>HYPERLINK("https://www.google.com/search?q=Onychoprion anaethetus&amp;tbm=isch")</f>
        <v>https://www.google.com/search?q=Onychoprion anaethetus&amp;tbm=isch</v>
      </c>
      <c r="B282" s="29" t="str">
        <f>HYPERLINK("https://www.xeno-canto.org/species/Onychoprion-anaethetus")</f>
        <v>https://www.xeno-canto.org/species/Onychoprion-anaethetus</v>
      </c>
      <c r="C282" s="30" t="str">
        <f>HYPERLINK("https://ebird.org/species/briter1")</f>
        <v>https://ebird.org/species/briter1</v>
      </c>
      <c r="D282" s="31" t="str">
        <f>HYPERLINK("https://www.hbw.com/species/Bridled-Tern-Onychoprion-anaethetus")</f>
        <v>https://www.hbw.com/species/Bridled-Tern-Onychoprion-anaethetus</v>
      </c>
      <c r="E282" s="32" t="str">
        <f>HYPERLINK("https://www.iucnredlist.org/search?query=Onychoprion anaethetus&amp;searchType=species")</f>
        <v>https://www.iucnredlist.org/search?query=Onychoprion anaethetus&amp;searchType=species</v>
      </c>
      <c r="F282" s="2">
        <v>218</v>
      </c>
      <c r="G282" s="27" t="s">
        <v>629</v>
      </c>
      <c r="H282" s="84" t="s">
        <v>685</v>
      </c>
      <c r="I282" s="92" t="s">
        <v>686</v>
      </c>
      <c r="J282" s="1" t="s">
        <v>15</v>
      </c>
      <c r="L282" s="1" t="s">
        <v>130</v>
      </c>
      <c r="M282" s="2" t="s">
        <v>181</v>
      </c>
    </row>
    <row r="283" spans="1:14" ht="14.4" x14ac:dyDescent="0.3">
      <c r="A283" s="28" t="str">
        <f>HYPERLINK("https://www.google.com/search?q=Onychoprion fuscatus&amp;tbm=isch")</f>
        <v>https://www.google.com/search?q=Onychoprion fuscatus&amp;tbm=isch</v>
      </c>
      <c r="B283" s="29" t="str">
        <f>HYPERLINK("https://www.xeno-canto.org/species/Onychoprion-fuscatus")</f>
        <v>https://www.xeno-canto.org/species/Onychoprion-fuscatus</v>
      </c>
      <c r="C283" s="30" t="str">
        <f>HYPERLINK("https://ebird.org/species/sooter1")</f>
        <v>https://ebird.org/species/sooter1</v>
      </c>
      <c r="D283" s="31" t="str">
        <f>HYPERLINK("https://www.hbw.com/species/Sooty-Tern-Onychoprion-fuscatus")</f>
        <v>https://www.hbw.com/species/Sooty-Tern-Onychoprion-fuscatus</v>
      </c>
      <c r="E283" s="32" t="str">
        <f>HYPERLINK("https://www.iucnredlist.org/search?query=Onychoprion fuscatus&amp;searchType=species")</f>
        <v>https://www.iucnredlist.org/search?query=Onychoprion fuscatus&amp;searchType=species</v>
      </c>
      <c r="F283" s="2">
        <v>219</v>
      </c>
      <c r="G283" s="27" t="s">
        <v>629</v>
      </c>
      <c r="H283" s="84" t="s">
        <v>687</v>
      </c>
      <c r="I283" s="92" t="s">
        <v>688</v>
      </c>
      <c r="J283" s="1" t="s">
        <v>236</v>
      </c>
      <c r="L283" s="1" t="s">
        <v>66</v>
      </c>
      <c r="M283" s="2" t="s">
        <v>181</v>
      </c>
    </row>
    <row r="284" spans="1:14" ht="14.4" x14ac:dyDescent="0.3">
      <c r="A284" s="28" t="str">
        <f>HYPERLINK("https://www.google.com/search?q=Sterna dougallii&amp;tbm=isch")</f>
        <v>https://www.google.com/search?q=Sterna dougallii&amp;tbm=isch</v>
      </c>
      <c r="B284" s="29" t="str">
        <f>HYPERLINK("https://www.xeno-canto.org/species/Sterna-dougallii")</f>
        <v>https://www.xeno-canto.org/species/Sterna-dougallii</v>
      </c>
      <c r="C284" s="30" t="str">
        <f>HYPERLINK("https://ebird.org/species/roster")</f>
        <v>https://ebird.org/species/roster</v>
      </c>
      <c r="D284" s="31" t="str">
        <f>HYPERLINK("https://www.hbw.com/species/Roseate-Tern-Sterna-dougallii")</f>
        <v>https://www.hbw.com/species/Roseate-Tern-Sterna-dougallii</v>
      </c>
      <c r="E284" s="32" t="str">
        <f>HYPERLINK("https://www.iucnredlist.org/search?query=Sterna dougallii&amp;searchType=species")</f>
        <v>https://www.iucnredlist.org/search?query=Sterna dougallii&amp;searchType=species</v>
      </c>
      <c r="F284" s="2">
        <v>220</v>
      </c>
      <c r="G284" s="27" t="s">
        <v>629</v>
      </c>
      <c r="H284" s="83" t="s">
        <v>689</v>
      </c>
      <c r="I284" s="92" t="s">
        <v>690</v>
      </c>
      <c r="J284" s="1" t="s">
        <v>317</v>
      </c>
      <c r="M284" s="2" t="s">
        <v>691</v>
      </c>
    </row>
    <row r="285" spans="1:14" ht="14.4" x14ac:dyDescent="0.3">
      <c r="A285" s="28" t="str">
        <f>HYPERLINK("https://www.google.com/search?q=Sterna sumatrana&amp;tbm=isch")</f>
        <v>https://www.google.com/search?q=Sterna sumatrana&amp;tbm=isch</v>
      </c>
      <c r="B285" s="29" t="str">
        <f>HYPERLINK("https://www.xeno-canto.org/species/Sterna-sumatrana")</f>
        <v>https://www.xeno-canto.org/species/Sterna-sumatrana</v>
      </c>
      <c r="C285" s="30" t="str">
        <f>HYPERLINK("https://ebird.org/species/blnter1")</f>
        <v>https://ebird.org/species/blnter1</v>
      </c>
      <c r="D285" s="31" t="str">
        <f>HYPERLINK("https://www.hbw.com/species/Black-naped-Tern-Sterna-sumatrana")</f>
        <v>https://www.hbw.com/species/Black-naped-Tern-Sterna-sumatrana</v>
      </c>
      <c r="E285" s="32" t="str">
        <f>HYPERLINK("https://www.iucnredlist.org/search?query=Sterna sumatrana&amp;searchType=species")</f>
        <v>https://www.iucnredlist.org/search?query=Sterna sumatrana&amp;searchType=species</v>
      </c>
      <c r="F285" s="2">
        <v>221</v>
      </c>
      <c r="G285" s="27" t="s">
        <v>629</v>
      </c>
      <c r="H285" s="84" t="s">
        <v>692</v>
      </c>
      <c r="I285" s="92" t="s">
        <v>693</v>
      </c>
      <c r="J285" s="1" t="s">
        <v>15</v>
      </c>
      <c r="M285" s="2" t="s">
        <v>694</v>
      </c>
      <c r="N285" s="2" t="s">
        <v>123</v>
      </c>
    </row>
    <row r="286" spans="1:14" ht="14.4" x14ac:dyDescent="0.3">
      <c r="A286" s="28" t="str">
        <f>HYPERLINK("https://www.google.com/search?q=Sterna hirundo&amp;tbm=isch")</f>
        <v>https://www.google.com/search?q=Sterna hirundo&amp;tbm=isch</v>
      </c>
      <c r="B286" s="29" t="str">
        <f>HYPERLINK("https://www.xeno-canto.org/species/Sterna-hirundo")</f>
        <v>https://www.xeno-canto.org/species/Sterna-hirundo</v>
      </c>
      <c r="C286" s="30" t="str">
        <f>HYPERLINK("https://ebird.org/species/comter")</f>
        <v>https://ebird.org/species/comter</v>
      </c>
      <c r="D286" s="31" t="str">
        <f>HYPERLINK("https://www.hbw.com/species/Common-Tern-Sterna-hirundo")</f>
        <v>https://www.hbw.com/species/Common-Tern-Sterna-hirundo</v>
      </c>
      <c r="E286" s="32" t="str">
        <f>HYPERLINK("https://www.iucnredlist.org/search?query=Sterna hirundo&amp;searchType=species")</f>
        <v>https://www.iucnredlist.org/search?query=Sterna hirundo&amp;searchType=species</v>
      </c>
      <c r="F286" s="2">
        <v>222</v>
      </c>
      <c r="G286" s="27" t="s">
        <v>629</v>
      </c>
      <c r="H286" s="84" t="s">
        <v>695</v>
      </c>
      <c r="I286" s="92" t="s">
        <v>696</v>
      </c>
      <c r="J286" s="1" t="s">
        <v>15</v>
      </c>
      <c r="M286" s="2" t="s">
        <v>697</v>
      </c>
      <c r="N286" s="2" t="s">
        <v>123</v>
      </c>
    </row>
    <row r="287" spans="1:14" ht="14.4" x14ac:dyDescent="0.3">
      <c r="A287" s="28" t="str">
        <f>HYPERLINK("https://www.google.com/search?q=Chlidonias hybrida&amp;tbm=isch")</f>
        <v>https://www.google.com/search?q=Chlidonias hybrida&amp;tbm=isch</v>
      </c>
      <c r="B287" s="29" t="str">
        <f>HYPERLINK("https://www.xeno-canto.org/species/Chlidonias-hybrida")</f>
        <v>https://www.xeno-canto.org/species/Chlidonias-hybrida</v>
      </c>
      <c r="C287" s="30" t="str">
        <f>HYPERLINK("https://ebird.org/species/whiter2")</f>
        <v>https://ebird.org/species/whiter2</v>
      </c>
      <c r="D287" s="31" t="str">
        <f>HYPERLINK("https://www.hbw.com/species/Whiskered-Tern-Chlidonias-hybrida")</f>
        <v>https://www.hbw.com/species/Whiskered-Tern-Chlidonias-hybrida</v>
      </c>
      <c r="E287" s="32" t="str">
        <f>HYPERLINK("https://www.iucnredlist.org/search?query=Chlidonias hybrida&amp;searchType=species")</f>
        <v>https://www.iucnredlist.org/search?query=Chlidonias hybrida&amp;searchType=species</v>
      </c>
      <c r="F287" s="2">
        <v>223</v>
      </c>
      <c r="G287" s="27" t="s">
        <v>629</v>
      </c>
      <c r="H287" s="84" t="s">
        <v>698</v>
      </c>
      <c r="I287" s="92" t="s">
        <v>699</v>
      </c>
      <c r="J287" s="1" t="s">
        <v>50</v>
      </c>
      <c r="M287" s="2" t="s">
        <v>681</v>
      </c>
    </row>
    <row r="288" spans="1:14" ht="14.4" x14ac:dyDescent="0.3">
      <c r="A288" s="28" t="str">
        <f>HYPERLINK("https://www.google.com/search?q=Chlidonias leucopterus&amp;tbm=isch")</f>
        <v>https://www.google.com/search?q=Chlidonias leucopterus&amp;tbm=isch</v>
      </c>
      <c r="B288" s="29" t="str">
        <f>HYPERLINK("https://www.xeno-canto.org/species/Chlidonias-leucopterus")</f>
        <v>https://www.xeno-canto.org/species/Chlidonias-leucopterus</v>
      </c>
      <c r="C288" s="30" t="str">
        <f>HYPERLINK("https://ebird.org/species/whwter")</f>
        <v>https://ebird.org/species/whwter</v>
      </c>
      <c r="D288" s="31" t="str">
        <f>HYPERLINK("https://www.hbw.com/species/White-winged-Tern-Chlidonias-leucopterus")</f>
        <v>https://www.hbw.com/species/White-winged-Tern-Chlidonias-leucopterus</v>
      </c>
      <c r="E288" s="32" t="str">
        <f>HYPERLINK("https://www.iucnredlist.org/search?query=Chlidonias leucopterus&amp;searchType=species")</f>
        <v>https://www.iucnredlist.org/search?query=Chlidonias leucopterus&amp;searchType=species</v>
      </c>
      <c r="F288" s="2">
        <v>224</v>
      </c>
      <c r="G288" s="27" t="s">
        <v>629</v>
      </c>
      <c r="H288" s="84" t="s">
        <v>700</v>
      </c>
      <c r="I288" s="92" t="s">
        <v>701</v>
      </c>
      <c r="J288" s="1" t="s">
        <v>50</v>
      </c>
      <c r="M288" s="2" t="s">
        <v>613</v>
      </c>
      <c r="N288" s="2" t="s">
        <v>123</v>
      </c>
    </row>
    <row r="289" spans="1:14" x14ac:dyDescent="0.3">
      <c r="A289" s="33"/>
      <c r="B289" s="34"/>
      <c r="C289" s="35"/>
      <c r="D289" s="36"/>
      <c r="E289" s="37"/>
    </row>
    <row r="290" spans="1:14" ht="12" x14ac:dyDescent="0.3">
      <c r="A290" s="33"/>
      <c r="B290" s="34"/>
      <c r="C290" s="35"/>
      <c r="D290" s="36"/>
      <c r="E290" s="37"/>
      <c r="H290" s="82" t="s">
        <v>702</v>
      </c>
      <c r="I290" s="91" t="s">
        <v>703</v>
      </c>
    </row>
    <row r="291" spans="1:14" ht="14.4" x14ac:dyDescent="0.3">
      <c r="A291" s="28" t="str">
        <f>HYPERLINK("https://www.google.com/search?q=Stercorarius pomarinus&amp;tbm=isch")</f>
        <v>https://www.google.com/search?q=Stercorarius pomarinus&amp;tbm=isch</v>
      </c>
      <c r="B291" s="29" t="str">
        <f>HYPERLINK("https://www.xeno-canto.org/species/Stercorarius-pomarinus")</f>
        <v>https://www.xeno-canto.org/species/Stercorarius-pomarinus</v>
      </c>
      <c r="C291" s="30" t="str">
        <f>HYPERLINK("https://ebird.org/species/pomjae")</f>
        <v>https://ebird.org/species/pomjae</v>
      </c>
      <c r="D291" s="31" t="str">
        <f>HYPERLINK("https://www.hbw.com/species/Pomarine-Jaeger-Stercorarius-pomarinus")</f>
        <v>https://www.hbw.com/species/Pomarine-Jaeger-Stercorarius-pomarinus</v>
      </c>
      <c r="E291" s="32" t="str">
        <f>HYPERLINK("https://www.iucnredlist.org/search?query=Stercorarius pomarinus&amp;searchType=species")</f>
        <v>https://www.iucnredlist.org/search?query=Stercorarius pomarinus&amp;searchType=species</v>
      </c>
      <c r="F291" s="2">
        <v>225</v>
      </c>
      <c r="G291" s="27" t="s">
        <v>703</v>
      </c>
      <c r="H291" s="83" t="s">
        <v>704</v>
      </c>
      <c r="I291" s="92" t="s">
        <v>705</v>
      </c>
      <c r="J291" s="1" t="s">
        <v>50</v>
      </c>
      <c r="M291" s="2" t="s">
        <v>482</v>
      </c>
    </row>
    <row r="292" spans="1:14" ht="20.399999999999999" x14ac:dyDescent="0.3">
      <c r="A292" s="28" t="str">
        <f>HYPERLINK("https://www.google.com/search?q=Stercorarius parasiticus&amp;tbm=isch")</f>
        <v>https://www.google.com/search?q=Stercorarius parasiticus&amp;tbm=isch</v>
      </c>
      <c r="B292" s="29" t="str">
        <f>HYPERLINK("https://www.xeno-canto.org/species/Stercorarius-parasiticus")</f>
        <v>https://www.xeno-canto.org/species/Stercorarius-parasiticus</v>
      </c>
      <c r="C292" s="30" t="str">
        <f>HYPERLINK("https://ebird.org/species/parjae")</f>
        <v>https://ebird.org/species/parjae</v>
      </c>
      <c r="D292" s="31" t="str">
        <f>HYPERLINK("https://www.hbw.com/species/Arctic-Jaeger-Stercorarius-parasiticus")</f>
        <v>https://www.hbw.com/species/Arctic-Jaeger-Stercorarius-parasiticus</v>
      </c>
      <c r="E292" s="32" t="str">
        <f>HYPERLINK("https://www.iucnredlist.org/search?query=Stercorarius parasiticus&amp;searchType=species")</f>
        <v>https://www.iucnredlist.org/search?query=Stercorarius parasiticus&amp;searchType=species</v>
      </c>
      <c r="F292" s="2">
        <v>226</v>
      </c>
      <c r="G292" s="27" t="s">
        <v>703</v>
      </c>
      <c r="H292" s="85" t="s">
        <v>706</v>
      </c>
      <c r="I292" s="93" t="s">
        <v>707</v>
      </c>
      <c r="J292" s="1" t="s">
        <v>19</v>
      </c>
      <c r="M292" s="2" t="s">
        <v>482</v>
      </c>
      <c r="N292" s="2" t="s">
        <v>708</v>
      </c>
    </row>
    <row r="293" spans="1:14" ht="20.399999999999999" x14ac:dyDescent="0.3">
      <c r="A293" s="28" t="str">
        <f>HYPERLINK("https://www.google.com/search?q=Stercorarius longicaudus&amp;tbm=isch")</f>
        <v>https://www.google.com/search?q=Stercorarius longicaudus&amp;tbm=isch</v>
      </c>
      <c r="B293" s="29" t="str">
        <f>HYPERLINK("https://www.xeno-canto.org/species/Stercorarius-longicaudus")</f>
        <v>https://www.xeno-canto.org/species/Stercorarius-longicaudus</v>
      </c>
      <c r="C293" s="30" t="str">
        <f>HYPERLINK("https://ebird.org/species/lotjae")</f>
        <v>https://ebird.org/species/lotjae</v>
      </c>
      <c r="D293" s="31" t="str">
        <f>HYPERLINK("https://www.hbw.com/species/Long-tailed-Jaeger-Stercorarius-longicaudus")</f>
        <v>https://www.hbw.com/species/Long-tailed-Jaeger-Stercorarius-longicaudus</v>
      </c>
      <c r="E293" s="32" t="str">
        <f>HYPERLINK("https://www.iucnredlist.org/search?query=Stercorarius longicaudus&amp;searchType=species")</f>
        <v>https://www.iucnredlist.org/search?query=Stercorarius longicaudus&amp;searchType=species</v>
      </c>
      <c r="F293" s="2">
        <v>227</v>
      </c>
      <c r="G293" s="27" t="s">
        <v>703</v>
      </c>
      <c r="H293" s="85" t="s">
        <v>709</v>
      </c>
      <c r="I293" s="93" t="s">
        <v>710</v>
      </c>
      <c r="J293" s="1" t="s">
        <v>19</v>
      </c>
      <c r="M293" s="2" t="s">
        <v>482</v>
      </c>
      <c r="N293" s="2" t="s">
        <v>711</v>
      </c>
    </row>
    <row r="294" spans="1:14" x14ac:dyDescent="0.3">
      <c r="A294" s="33"/>
      <c r="B294" s="34"/>
      <c r="C294" s="35"/>
      <c r="D294" s="36"/>
      <c r="E294" s="37"/>
    </row>
    <row r="295" spans="1:14" ht="12" x14ac:dyDescent="0.3">
      <c r="A295" s="33"/>
      <c r="B295" s="34"/>
      <c r="C295" s="35"/>
      <c r="D295" s="36"/>
      <c r="E295" s="37"/>
      <c r="H295" s="82" t="s">
        <v>712</v>
      </c>
      <c r="I295" s="91" t="s">
        <v>713</v>
      </c>
    </row>
    <row r="296" spans="1:14" ht="20.399999999999999" x14ac:dyDescent="0.3">
      <c r="A296" s="28" t="str">
        <f>HYPERLINK("https://www.google.com/search?q=Columba livia&amp;tbm=isch")</f>
        <v>https://www.google.com/search?q=Columba livia&amp;tbm=isch</v>
      </c>
      <c r="B296" s="29" t="str">
        <f>HYPERLINK("https://www.xeno-canto.org/species/Columba-livia")</f>
        <v>https://www.xeno-canto.org/species/Columba-livia</v>
      </c>
      <c r="C296" s="30" t="str">
        <f>HYPERLINK("https://ebird.org/species/rocpig")</f>
        <v>https://ebird.org/species/rocpig</v>
      </c>
      <c r="D296" s="31" t="str">
        <f>HYPERLINK("https://www.hbw.com/species/Rock-Dove-Columba-livia")</f>
        <v>https://www.hbw.com/species/Rock-Dove-Columba-livia</v>
      </c>
      <c r="E296" s="32" t="str">
        <f>HYPERLINK("https://www.iucnredlist.org/search?query=Columba livia&amp;searchType=species")</f>
        <v>https://www.iucnredlist.org/search?query=Columba livia&amp;searchType=species</v>
      </c>
      <c r="F296" s="2">
        <v>228</v>
      </c>
      <c r="G296" s="27" t="s">
        <v>713</v>
      </c>
      <c r="H296" s="88" t="s">
        <v>714</v>
      </c>
      <c r="I296" s="95" t="s">
        <v>715</v>
      </c>
      <c r="J296" s="1" t="s">
        <v>107</v>
      </c>
      <c r="M296" s="2" t="s">
        <v>201</v>
      </c>
      <c r="N296" s="2" t="s">
        <v>716</v>
      </c>
    </row>
    <row r="297" spans="1:14" ht="14.4" x14ac:dyDescent="0.3">
      <c r="A297" s="28" t="str">
        <f>HYPERLINK("https://www.google.com/search?q=Columba vitiensis&amp;tbm=isch")</f>
        <v>https://www.google.com/search?q=Columba vitiensis&amp;tbm=isch</v>
      </c>
      <c r="B297" s="29" t="str">
        <f>HYPERLINK("https://www.xeno-canto.org/species/Columba-vitiensis")</f>
        <v>https://www.xeno-canto.org/species/Columba-vitiensis</v>
      </c>
      <c r="C297" s="30" t="str">
        <f>HYPERLINK("https://ebird.org/species/metpig1")</f>
        <v>https://ebird.org/species/metpig1</v>
      </c>
      <c r="D297" s="31" t="str">
        <f>HYPERLINK("https://www.hbw.com/species/Metallic-Pigeon-Columba-vitiensis")</f>
        <v>https://www.hbw.com/species/Metallic-Pigeon-Columba-vitiensis</v>
      </c>
      <c r="E297" s="32" t="str">
        <f>HYPERLINK("https://www.iucnredlist.org/search?query=Columba vitiensis&amp;searchType=species")</f>
        <v>https://www.iucnredlist.org/search?query=Columba vitiensis&amp;searchType=species</v>
      </c>
      <c r="F297" s="2">
        <v>229</v>
      </c>
      <c r="G297" s="27" t="s">
        <v>713</v>
      </c>
      <c r="H297" s="84" t="s">
        <v>717</v>
      </c>
      <c r="I297" s="92" t="s">
        <v>718</v>
      </c>
      <c r="J297" s="1" t="s">
        <v>15</v>
      </c>
      <c r="M297" s="2" t="s">
        <v>719</v>
      </c>
    </row>
    <row r="298" spans="1:14" ht="20.399999999999999" x14ac:dyDescent="0.3">
      <c r="A298" s="28" t="str">
        <f>HYPERLINK("https://www.google.com/search?q=Streptopelia orientalis&amp;tbm=isch")</f>
        <v>https://www.google.com/search?q=Streptopelia orientalis&amp;tbm=isch</v>
      </c>
      <c r="B298" s="29" t="str">
        <f>HYPERLINK("https://www.xeno-canto.org/species/Streptopelia-orientalis")</f>
        <v>https://www.xeno-canto.org/species/Streptopelia-orientalis</v>
      </c>
      <c r="C298" s="30" t="str">
        <f>HYPERLINK("https://ebird.org/species/ortdov")</f>
        <v>https://ebird.org/species/ortdov</v>
      </c>
      <c r="D298" s="31" t="str">
        <f>HYPERLINK("https://www.hbw.com/species/Oriental-Turtle-Dove-Streptopelia-orientalis")</f>
        <v>https://www.hbw.com/species/Oriental-Turtle-Dove-Streptopelia-orientalis</v>
      </c>
      <c r="E298" s="32" t="str">
        <f>HYPERLINK("https://www.iucnredlist.org/search?query=Streptopelia orientalis&amp;searchType=species")</f>
        <v>https://www.iucnredlist.org/search?query=Streptopelia orientalis&amp;searchType=species</v>
      </c>
      <c r="F298" s="2">
        <v>230</v>
      </c>
      <c r="G298" s="27" t="s">
        <v>713</v>
      </c>
      <c r="H298" s="87" t="s">
        <v>720</v>
      </c>
      <c r="I298" s="93" t="s">
        <v>721</v>
      </c>
      <c r="J298" s="1" t="s">
        <v>19</v>
      </c>
      <c r="M298" s="2" t="s">
        <v>722</v>
      </c>
      <c r="N298" s="2" t="s">
        <v>11327</v>
      </c>
    </row>
    <row r="299" spans="1:14" ht="14.4" x14ac:dyDescent="0.3">
      <c r="A299" s="28" t="str">
        <f>HYPERLINK("https://www.google.com/search?q=Streptopelia bitorquata&amp;tbm=isch")</f>
        <v>https://www.google.com/search?q=Streptopelia bitorquata&amp;tbm=isch</v>
      </c>
      <c r="B299" s="29" t="str">
        <f>HYPERLINK("https://www.xeno-canto.org/species/Streptopelia-bitorquata")</f>
        <v>https://www.xeno-canto.org/species/Streptopelia-bitorquata</v>
      </c>
      <c r="C299" s="30" t="str">
        <f>HYPERLINK("https://ebird.org/species/iscdov1")</f>
        <v>https://ebird.org/species/iscdov1</v>
      </c>
      <c r="D299" s="31" t="str">
        <f>HYPERLINK("https://www.hbw.com/species/Philippine-Collared-dove-Streptopelia-dusumieri")</f>
        <v>https://www.hbw.com/species/Philippine-Collared-dove-Streptopelia-dusumieri</v>
      </c>
      <c r="E299" s="32" t="str">
        <f>HYPERLINK("https://www.iucnredlist.org/search?query=Streptopelia bitorquata&amp;searchType=species")</f>
        <v>https://www.iucnredlist.org/search?query=Streptopelia bitorquata&amp;searchType=species</v>
      </c>
      <c r="F299" s="2">
        <v>231</v>
      </c>
      <c r="G299" s="27" t="s">
        <v>713</v>
      </c>
      <c r="H299" s="84" t="s">
        <v>723</v>
      </c>
      <c r="I299" s="92" t="s">
        <v>724</v>
      </c>
      <c r="J299" s="1" t="s">
        <v>15</v>
      </c>
      <c r="K299" s="1" t="s">
        <v>66</v>
      </c>
      <c r="L299" s="1" t="s">
        <v>67</v>
      </c>
      <c r="M299" s="2" t="s">
        <v>725</v>
      </c>
    </row>
    <row r="300" spans="1:14" ht="14.4" x14ac:dyDescent="0.3">
      <c r="A300" s="28" t="str">
        <f>HYPERLINK("https://www.google.com/search?q=Streptopelia tranquebarica&amp;tbm=isch")</f>
        <v>https://www.google.com/search?q=Streptopelia tranquebarica&amp;tbm=isch</v>
      </c>
      <c r="B300" s="29" t="str">
        <f>HYPERLINK("https://www.xeno-canto.org/species/Streptopelia-tranquebarica")</f>
        <v>https://www.xeno-canto.org/species/Streptopelia-tranquebarica</v>
      </c>
      <c r="C300" s="30" t="str">
        <f>HYPERLINK("https://ebird.org/species/recdov1")</f>
        <v>https://ebird.org/species/recdov1</v>
      </c>
      <c r="D300" s="31" t="str">
        <f>HYPERLINK("https://www.hbw.com/species/Red-Turtle-dove-Streptopelia-tranquebarica")</f>
        <v>https://www.hbw.com/species/Red-Turtle-dove-Streptopelia-tranquebarica</v>
      </c>
      <c r="E300" s="32" t="str">
        <f>HYPERLINK("https://www.iucnredlist.org/search?query=Streptopelia tranquebarica&amp;searchType=species")</f>
        <v>https://www.iucnredlist.org/search?query=Streptopelia tranquebarica&amp;searchType=species</v>
      </c>
      <c r="F300" s="2">
        <v>232</v>
      </c>
      <c r="G300" s="27" t="s">
        <v>713</v>
      </c>
      <c r="H300" s="84" t="s">
        <v>726</v>
      </c>
      <c r="I300" s="92" t="s">
        <v>727</v>
      </c>
      <c r="J300" s="1" t="s">
        <v>15</v>
      </c>
      <c r="M300" s="2" t="s">
        <v>43</v>
      </c>
    </row>
    <row r="301" spans="1:14" ht="14.4" x14ac:dyDescent="0.3">
      <c r="A301" s="28" t="str">
        <f>HYPERLINK("https://www.google.com/search?q=Spilopelia chinensis&amp;tbm=isch")</f>
        <v>https://www.google.com/search?q=Spilopelia chinensis&amp;tbm=isch</v>
      </c>
      <c r="B301" s="29" t="str">
        <f>HYPERLINK("https://www.xeno-canto.org/species/Spilopelia-chinensis")</f>
        <v>https://www.xeno-canto.org/species/Spilopelia-chinensis</v>
      </c>
      <c r="C301" s="30" t="str">
        <f>HYPERLINK("https://ebird.org/species/spodov")</f>
        <v>https://ebird.org/species/spodov</v>
      </c>
      <c r="D301" s="31" t="str">
        <f>HYPERLINK("https://www.hbw.com/species/Eastern-Spotted-Dove-Spilopelia-chinensis")</f>
        <v>https://www.hbw.com/species/Eastern-Spotted-Dove-Spilopelia-chinensis</v>
      </c>
      <c r="E301" s="32" t="str">
        <f>HYPERLINK("https://www.iucnredlist.org/search?query=Spilopelia chinensis&amp;searchType=species")</f>
        <v>https://www.iucnredlist.org/search?query=Spilopelia chinensis&amp;searchType=species</v>
      </c>
      <c r="F301" s="2">
        <v>233</v>
      </c>
      <c r="G301" s="27" t="s">
        <v>713</v>
      </c>
      <c r="H301" s="84" t="s">
        <v>728</v>
      </c>
      <c r="I301" s="92" t="s">
        <v>729</v>
      </c>
      <c r="J301" s="1" t="s">
        <v>15</v>
      </c>
      <c r="M301" s="2" t="s">
        <v>43</v>
      </c>
    </row>
    <row r="302" spans="1:14" ht="14.4" x14ac:dyDescent="0.3">
      <c r="A302" s="28" t="str">
        <f>HYPERLINK("https://www.google.com/search?q=Macropygia tenuirostris&amp;tbm=isch")</f>
        <v>https://www.google.com/search?q=Macropygia tenuirostris&amp;tbm=isch</v>
      </c>
      <c r="B302" s="29" t="str">
        <f>HYPERLINK("https://www.xeno-canto.org/species/Macropygia-tenuirostris")</f>
        <v>https://www.xeno-canto.org/species/Macropygia-tenuirostris</v>
      </c>
      <c r="C302" s="30" t="str">
        <f>HYPERLINK("https://ebird.org/species/phcdov1")</f>
        <v>https://ebird.org/species/phcdov1</v>
      </c>
      <c r="D302" s="31" t="str">
        <f>HYPERLINK("https://www.hbw.com/species/Philippine-Cuckoo-dove-Macropygia-tenuirostris")</f>
        <v>https://www.hbw.com/species/Philippine-Cuckoo-dove-Macropygia-tenuirostris</v>
      </c>
      <c r="E302" s="32" t="str">
        <f>HYPERLINK("https://www.iucnredlist.org/search?query=Macropygia tenuirostris&amp;searchType=species")</f>
        <v>https://www.iucnredlist.org/search?query=Macropygia tenuirostris&amp;searchType=species</v>
      </c>
      <c r="F302" s="2">
        <v>234</v>
      </c>
      <c r="G302" s="27" t="s">
        <v>713</v>
      </c>
      <c r="H302" s="84" t="s">
        <v>730</v>
      </c>
      <c r="I302" s="92" t="s">
        <v>731</v>
      </c>
      <c r="J302" s="1" t="s">
        <v>732</v>
      </c>
      <c r="M302" s="2" t="s">
        <v>733</v>
      </c>
    </row>
    <row r="303" spans="1:14" ht="14.4" x14ac:dyDescent="0.3">
      <c r="A303" s="28" t="str">
        <f>HYPERLINK("https://www.google.com/search?q=Chalcophaps indica&amp;tbm=isch")</f>
        <v>https://www.google.com/search?q=Chalcophaps indica&amp;tbm=isch</v>
      </c>
      <c r="B303" s="29" t="str">
        <f>HYPERLINK("https://www.xeno-canto.org/species/Chalcophaps-indica")</f>
        <v>https://www.xeno-canto.org/species/Chalcophaps-indica</v>
      </c>
      <c r="C303" s="30" t="str">
        <f>HYPERLINK("https://ebird.org/species/emedov2")</f>
        <v>https://ebird.org/species/emedov2</v>
      </c>
      <c r="D303" s="31" t="str">
        <f>HYPERLINK("https://www.hbw.com/species/Grey-capped-Emerald-Dove-Chalcophaps-indica")</f>
        <v>https://www.hbw.com/species/Grey-capped-Emerald-Dove-Chalcophaps-indica</v>
      </c>
      <c r="E303" s="32" t="str">
        <f>HYPERLINK("https://www.iucnredlist.org/search?query=Chalcophaps indica&amp;searchType=species")</f>
        <v>https://www.iucnredlist.org/search?query=Chalcophaps indica&amp;searchType=species</v>
      </c>
      <c r="F303" s="2">
        <v>235</v>
      </c>
      <c r="G303" s="27" t="s">
        <v>713</v>
      </c>
      <c r="H303" s="84" t="s">
        <v>734</v>
      </c>
      <c r="I303" s="92" t="s">
        <v>735</v>
      </c>
      <c r="J303" s="1" t="s">
        <v>15</v>
      </c>
      <c r="M303" s="2" t="s">
        <v>119</v>
      </c>
    </row>
    <row r="304" spans="1:14" ht="14.4" x14ac:dyDescent="0.3">
      <c r="A304" s="28" t="str">
        <f>HYPERLINK("https://www.google.com/search?q=Geopelia striata&amp;tbm=isch")</f>
        <v>https://www.google.com/search?q=Geopelia striata&amp;tbm=isch</v>
      </c>
      <c r="B304" s="29" t="str">
        <f>HYPERLINK("https://www.xeno-canto.org/species/Geopelia-striata")</f>
        <v>https://www.xeno-canto.org/species/Geopelia-striata</v>
      </c>
      <c r="C304" s="30" t="str">
        <f>HYPERLINK("https://ebird.org/species/zebdov")</f>
        <v>https://ebird.org/species/zebdov</v>
      </c>
      <c r="D304" s="31" t="str">
        <f>HYPERLINK("https://www.hbw.com/species/Zebra-Dove-Geopelia-striata")</f>
        <v>https://www.hbw.com/species/Zebra-Dove-Geopelia-striata</v>
      </c>
      <c r="E304" s="32" t="str">
        <f>HYPERLINK("https://www.iucnredlist.org/search?query=Geopelia striata&amp;searchType=species")</f>
        <v>https://www.iucnredlist.org/search?query=Geopelia striata&amp;searchType=species</v>
      </c>
      <c r="F304" s="2">
        <v>236</v>
      </c>
      <c r="G304" s="27" t="s">
        <v>713</v>
      </c>
      <c r="H304" s="84" t="s">
        <v>736</v>
      </c>
      <c r="I304" s="92" t="s">
        <v>737</v>
      </c>
      <c r="J304" s="1" t="s">
        <v>15</v>
      </c>
      <c r="M304" s="2" t="s">
        <v>738</v>
      </c>
    </row>
    <row r="305" spans="1:14" ht="20.399999999999999" x14ac:dyDescent="0.3">
      <c r="A305" s="28" t="str">
        <f>HYPERLINK("https://www.google.com/search?q=Caloenas nicobarica&amp;tbm=isch")</f>
        <v>https://www.google.com/search?q=Caloenas nicobarica&amp;tbm=isch</v>
      </c>
      <c r="B305" s="29" t="str">
        <f>HYPERLINK("https://www.xeno-canto.org/species/Caloenas-nicobarica")</f>
        <v>https://www.xeno-canto.org/species/Caloenas-nicobarica</v>
      </c>
      <c r="C305" s="30" t="str">
        <f>HYPERLINK("https://ebird.org/species/nicpig1")</f>
        <v>https://ebird.org/species/nicpig1</v>
      </c>
      <c r="D305" s="31" t="str">
        <f>HYPERLINK("https://www.hbw.com/species/Nicobar-Pigeon-Caloenas-nicobarica")</f>
        <v>https://www.hbw.com/species/Nicobar-Pigeon-Caloenas-nicobarica</v>
      </c>
      <c r="E305" s="32" t="str">
        <f>HYPERLINK("https://www.iucnredlist.org/search?query=Caloenas nicobarica&amp;searchType=species")</f>
        <v>https://www.iucnredlist.org/search?query=Caloenas nicobarica&amp;searchType=species</v>
      </c>
      <c r="F305" s="2">
        <v>237</v>
      </c>
      <c r="G305" s="27" t="s">
        <v>713</v>
      </c>
      <c r="H305" s="84" t="s">
        <v>739</v>
      </c>
      <c r="I305" s="92" t="s">
        <v>740</v>
      </c>
      <c r="J305" s="1" t="s">
        <v>15</v>
      </c>
      <c r="K305" s="1" t="s">
        <v>58</v>
      </c>
      <c r="L305" s="1" t="s">
        <v>67</v>
      </c>
      <c r="M305" s="2" t="s">
        <v>741</v>
      </c>
    </row>
    <row r="306" spans="1:14" ht="14.4" x14ac:dyDescent="0.3">
      <c r="A306" s="28" t="str">
        <f>HYPERLINK("https://www.google.com/search?q=Gallicolumba luzonica&amp;tbm=isch")</f>
        <v>https://www.google.com/search?q=Gallicolumba luzonica&amp;tbm=isch</v>
      </c>
      <c r="B306" s="29" t="str">
        <f>HYPERLINK("https://www.xeno-canto.org/species/Gallicolumba-luzonica")</f>
        <v>https://www.xeno-canto.org/species/Gallicolumba-luzonica</v>
      </c>
      <c r="C306" s="30" t="str">
        <f>HYPERLINK("https://ebird.org/species/lubhea1")</f>
        <v>https://ebird.org/species/lubhea1</v>
      </c>
      <c r="D306" s="31" t="str">
        <f>HYPERLINK("https://www.hbw.com/species/Luzon-Bleeding-heart-Gallicolumba-luzonica")</f>
        <v>https://www.hbw.com/species/Luzon-Bleeding-heart-Gallicolumba-luzonica</v>
      </c>
      <c r="E306" s="32" t="str">
        <f>HYPERLINK("https://www.iucnredlist.org/search?query=Gallicolumba luzonica&amp;searchType=species")</f>
        <v>https://www.iucnredlist.org/search?query=Gallicolumba luzonica&amp;searchType=species</v>
      </c>
      <c r="F306" s="2">
        <v>238</v>
      </c>
      <c r="G306" s="27" t="s">
        <v>713</v>
      </c>
      <c r="H306" s="86" t="s">
        <v>742</v>
      </c>
      <c r="I306" s="94" t="s">
        <v>743</v>
      </c>
      <c r="J306" s="1" t="s">
        <v>65</v>
      </c>
      <c r="K306" s="1" t="s">
        <v>58</v>
      </c>
      <c r="L306" s="1" t="s">
        <v>66</v>
      </c>
      <c r="M306" s="2" t="s">
        <v>68</v>
      </c>
    </row>
    <row r="307" spans="1:14" ht="14.4" x14ac:dyDescent="0.3">
      <c r="A307" s="28" t="str">
        <f>HYPERLINK("https://www.google.com/search?q=Gallicolumba crinigera&amp;tbm=isch")</f>
        <v>https://www.google.com/search?q=Gallicolumba crinigera&amp;tbm=isch</v>
      </c>
      <c r="B307" s="29" t="str">
        <f>HYPERLINK("https://www.xeno-canto.org/species/Gallicolumba-crinigera")</f>
        <v>https://www.xeno-canto.org/species/Gallicolumba-crinigera</v>
      </c>
      <c r="C307" s="30" t="str">
        <f>HYPERLINK("https://ebird.org/species/minblh1")</f>
        <v>https://ebird.org/species/minblh1</v>
      </c>
      <c r="D307" s="31" t="str">
        <f>HYPERLINK("https://www.hbw.com/species/Mindanao-Bleeding-heart-Gallicolumba-crinigera")</f>
        <v>https://www.hbw.com/species/Mindanao-Bleeding-heart-Gallicolumba-crinigera</v>
      </c>
      <c r="E307" s="32" t="str">
        <f>HYPERLINK("https://www.iucnredlist.org/search?query=Gallicolumba crinigera&amp;searchType=species")</f>
        <v>https://www.iucnredlist.org/search?query=Gallicolumba crinigera&amp;searchType=species</v>
      </c>
      <c r="F307" s="2">
        <v>239</v>
      </c>
      <c r="G307" s="27" t="s">
        <v>713</v>
      </c>
      <c r="H307" s="86" t="s">
        <v>744</v>
      </c>
      <c r="I307" s="94" t="s">
        <v>745</v>
      </c>
      <c r="J307" s="1" t="s">
        <v>65</v>
      </c>
      <c r="K307" s="1" t="s">
        <v>66</v>
      </c>
      <c r="L307" s="1" t="s">
        <v>66</v>
      </c>
      <c r="M307" s="2" t="s">
        <v>68</v>
      </c>
    </row>
    <row r="308" spans="1:14" ht="14.4" x14ac:dyDescent="0.3">
      <c r="A308" s="28" t="str">
        <f>HYPERLINK("https://www.google.com/search?q=Gallicolumba platenae&amp;tbm=isch")</f>
        <v>https://www.google.com/search?q=Gallicolumba platenae&amp;tbm=isch</v>
      </c>
      <c r="B308" s="29" t="str">
        <f>HYPERLINK("https://www.xeno-canto.org/species/Gallicolumba-platenae")</f>
        <v>https://www.xeno-canto.org/species/Gallicolumba-platenae</v>
      </c>
      <c r="C308" s="30" t="str">
        <f>HYPERLINK("https://ebird.org/species/mibhea2")</f>
        <v>https://ebird.org/species/mibhea2</v>
      </c>
      <c r="D308" s="31" t="str">
        <f>HYPERLINK("https://www.hbw.com/species/Mindoro-Bleeding-heart-Gallicolumba-platenae")</f>
        <v>https://www.hbw.com/species/Mindoro-Bleeding-heart-Gallicolumba-platenae</v>
      </c>
      <c r="E308" s="32" t="str">
        <f>HYPERLINK("https://www.iucnredlist.org/search?query=Gallicolumba platenae&amp;searchType=species")</f>
        <v>https://www.iucnredlist.org/search?query=Gallicolumba platenae&amp;searchType=species</v>
      </c>
      <c r="F308" s="2">
        <v>240</v>
      </c>
      <c r="G308" s="27" t="s">
        <v>713</v>
      </c>
      <c r="H308" s="90" t="s">
        <v>746</v>
      </c>
      <c r="I308" s="94" t="s">
        <v>747</v>
      </c>
      <c r="J308" s="1" t="s">
        <v>65</v>
      </c>
      <c r="K308" s="1" t="s">
        <v>85</v>
      </c>
      <c r="L308" s="1" t="s">
        <v>85</v>
      </c>
      <c r="M308" s="2" t="s">
        <v>68</v>
      </c>
    </row>
    <row r="309" spans="1:14" ht="14.4" x14ac:dyDescent="0.3">
      <c r="A309" s="28" t="str">
        <f>HYPERLINK("https://www.google.com/search?q=Gallicolumba keayi&amp;tbm=isch")</f>
        <v>https://www.google.com/search?q=Gallicolumba keayi&amp;tbm=isch</v>
      </c>
      <c r="B309" s="29" t="str">
        <f>HYPERLINK("https://www.xeno-canto.org/species/Gallicolumba-keayi")</f>
        <v>https://www.xeno-canto.org/species/Gallicolumba-keayi</v>
      </c>
      <c r="C309" s="30" t="str">
        <f>HYPERLINK("https://ebird.org/species/nebhea1")</f>
        <v>https://ebird.org/species/nebhea1</v>
      </c>
      <c r="D309" s="31" t="str">
        <f>HYPERLINK("https://www.hbw.com/species/Negros-Bleeding-heart-Gallicolumba-keayi")</f>
        <v>https://www.hbw.com/species/Negros-Bleeding-heart-Gallicolumba-keayi</v>
      </c>
      <c r="E309" s="32" t="str">
        <f>HYPERLINK("https://www.iucnredlist.org/search?query=Gallicolumba keayi&amp;searchType=species")</f>
        <v>https://www.iucnredlist.org/search?query=Gallicolumba keayi&amp;searchType=species</v>
      </c>
      <c r="F309" s="2">
        <v>241</v>
      </c>
      <c r="G309" s="27" t="s">
        <v>713</v>
      </c>
      <c r="H309" s="90" t="s">
        <v>748</v>
      </c>
      <c r="I309" s="94" t="s">
        <v>749</v>
      </c>
      <c r="J309" s="1" t="s">
        <v>65</v>
      </c>
      <c r="K309" s="1" t="s">
        <v>85</v>
      </c>
      <c r="L309" s="1" t="s">
        <v>85</v>
      </c>
      <c r="M309" s="2" t="s">
        <v>68</v>
      </c>
    </row>
    <row r="310" spans="1:14" ht="14.4" x14ac:dyDescent="0.3">
      <c r="A310" s="28" t="str">
        <f>HYPERLINK("https://www.google.com/search?q=Gallicolumba menagei&amp;tbm=isch")</f>
        <v>https://www.google.com/search?q=Gallicolumba menagei&amp;tbm=isch</v>
      </c>
      <c r="B310" s="29" t="str">
        <f>HYPERLINK("https://www.xeno-canto.org/species/Gallicolumba-menagei")</f>
        <v>https://www.xeno-canto.org/species/Gallicolumba-menagei</v>
      </c>
      <c r="C310" s="30" t="str">
        <f>HYPERLINK("https://ebird.org/species/subhea1")</f>
        <v>https://ebird.org/species/subhea1</v>
      </c>
      <c r="D310" s="31" t="str">
        <f>HYPERLINK("https://www.hbw.com/species/Sulu-Bleeding-heart-Gallicolumba-menagei")</f>
        <v>https://www.hbw.com/species/Sulu-Bleeding-heart-Gallicolumba-menagei</v>
      </c>
      <c r="E310" s="32" t="str">
        <f>HYPERLINK("https://www.iucnredlist.org/search?query=Gallicolumba menagei&amp;searchType=species")</f>
        <v>https://www.iucnredlist.org/search?query=Gallicolumba menagei&amp;searchType=species</v>
      </c>
      <c r="F310" s="2">
        <v>242</v>
      </c>
      <c r="G310" s="27" t="s">
        <v>713</v>
      </c>
      <c r="H310" s="90" t="s">
        <v>750</v>
      </c>
      <c r="I310" s="94" t="s">
        <v>751</v>
      </c>
      <c r="J310" s="1" t="s">
        <v>65</v>
      </c>
      <c r="K310" s="1" t="s">
        <v>85</v>
      </c>
      <c r="L310" s="1" t="s">
        <v>85</v>
      </c>
      <c r="M310" s="2" t="s">
        <v>68</v>
      </c>
      <c r="N310" s="2" t="s">
        <v>752</v>
      </c>
    </row>
    <row r="311" spans="1:14" ht="14.4" x14ac:dyDescent="0.3">
      <c r="A311" s="28" t="str">
        <f>HYPERLINK("https://www.google.com/search?q=Phapitreron leucotis&amp;tbm=isch")</f>
        <v>https://www.google.com/search?q=Phapitreron leucotis&amp;tbm=isch</v>
      </c>
      <c r="B311" s="29" t="str">
        <f>HYPERLINK("https://www.xeno-canto.org/species/Phapitreron-leucotis")</f>
        <v>https://www.xeno-canto.org/species/Phapitreron-leucotis</v>
      </c>
      <c r="C311" s="30" t="str">
        <f>HYPERLINK("https://ebird.org/species/whedov1")</f>
        <v>https://ebird.org/species/whedov1</v>
      </c>
      <c r="D311" s="31" t="str">
        <f>HYPERLINK("https://www.hbw.com/species/White-eared-Brown-dove-Phapitreron-leucotis")</f>
        <v>https://www.hbw.com/species/White-eared-Brown-dove-Phapitreron-leucotis</v>
      </c>
      <c r="E311" s="32" t="str">
        <f>HYPERLINK("https://www.iucnredlist.org/search?query=Phapitreron leucotis&amp;searchType=species")</f>
        <v>https://www.iucnredlist.org/search?query=Phapitreron leucotis&amp;searchType=species</v>
      </c>
      <c r="F311" s="2">
        <v>243</v>
      </c>
      <c r="G311" s="27" t="s">
        <v>713</v>
      </c>
      <c r="H311" s="86" t="s">
        <v>753</v>
      </c>
      <c r="I311" s="94" t="s">
        <v>754</v>
      </c>
      <c r="J311" s="1" t="s">
        <v>65</v>
      </c>
      <c r="M311" s="2" t="s">
        <v>68</v>
      </c>
    </row>
    <row r="312" spans="1:14" ht="14.4" x14ac:dyDescent="0.3">
      <c r="A312" s="28" t="str">
        <f>HYPERLINK("https://www.google.com/search?q=Phapitreron amethystinus&amp;tbm=isch")</f>
        <v>https://www.google.com/search?q=Phapitreron amethystinus&amp;tbm=isch</v>
      </c>
      <c r="B312" s="29" t="str">
        <f>HYPERLINK("https://www.xeno-canto.org/species/Phapitreron-amethystinus")</f>
        <v>https://www.xeno-canto.org/species/Phapitreron-amethystinus</v>
      </c>
      <c r="C312" s="30" t="str">
        <f>HYPERLINK("https://ebird.org/species/amedov1")</f>
        <v>https://ebird.org/species/amedov1</v>
      </c>
      <c r="D312" s="31" t="str">
        <f>HYPERLINK("https://www.hbw.com/species/Amethyst-Brown-dove-Phapitreron-amethystinus")</f>
        <v>https://www.hbw.com/species/Amethyst-Brown-dove-Phapitreron-amethystinus</v>
      </c>
      <c r="E312" s="32" t="str">
        <f>HYPERLINK("https://www.iucnredlist.org/search?query=Phapitreron amethystinus&amp;searchType=species")</f>
        <v>https://www.iucnredlist.org/search?query=Phapitreron amethystinus&amp;searchType=species</v>
      </c>
      <c r="F312" s="2">
        <v>244</v>
      </c>
      <c r="G312" s="27" t="s">
        <v>713</v>
      </c>
      <c r="H312" s="86" t="s">
        <v>755</v>
      </c>
      <c r="I312" s="94" t="s">
        <v>756</v>
      </c>
      <c r="J312" s="1" t="s">
        <v>65</v>
      </c>
      <c r="L312" s="1" t="s">
        <v>85</v>
      </c>
      <c r="M312" s="2" t="s">
        <v>68</v>
      </c>
    </row>
    <row r="313" spans="1:14" ht="14.4" x14ac:dyDescent="0.3">
      <c r="A313" s="28" t="str">
        <f>HYPERLINK("https://www.google.com/search?q=Phapitreron cinereiceps&amp;tbm=isch")</f>
        <v>https://www.google.com/search?q=Phapitreron cinereiceps&amp;tbm=isch</v>
      </c>
      <c r="B313" s="29" t="str">
        <f>HYPERLINK("https://www.xeno-canto.org/species/Phapitreron-cinereiceps")</f>
        <v>https://www.xeno-canto.org/species/Phapitreron-cinereiceps</v>
      </c>
      <c r="C313" s="30" t="str">
        <f>HYPERLINK("https://ebird.org/species/daedov3")</f>
        <v>https://ebird.org/species/daedov3</v>
      </c>
      <c r="D313" s="31" t="str">
        <f>HYPERLINK("https://www.hbw.com/species/Tawitawi-Brown-dove-Phapitreron-cinereiceps")</f>
        <v>https://www.hbw.com/species/Tawitawi-Brown-dove-Phapitreron-cinereiceps</v>
      </c>
      <c r="E313" s="32" t="str">
        <f>HYPERLINK("https://www.iucnredlist.org/search?query=Phapitreron cinereiceps&amp;searchType=species")</f>
        <v>https://www.iucnredlist.org/search?query=Phapitreron cinereiceps&amp;searchType=species</v>
      </c>
      <c r="F313" s="2">
        <v>245</v>
      </c>
      <c r="G313" s="27" t="s">
        <v>713</v>
      </c>
      <c r="H313" s="90" t="s">
        <v>757</v>
      </c>
      <c r="I313" s="94" t="s">
        <v>758</v>
      </c>
      <c r="J313" s="1" t="s">
        <v>65</v>
      </c>
      <c r="K313" s="1" t="s">
        <v>67</v>
      </c>
      <c r="L313" s="1" t="s">
        <v>85</v>
      </c>
      <c r="M313" s="2" t="s">
        <v>759</v>
      </c>
    </row>
    <row r="314" spans="1:14" ht="20.399999999999999" x14ac:dyDescent="0.3">
      <c r="A314" s="28" t="str">
        <f>HYPERLINK("https://www.google.com/search?q=Phapitreron brunneiceps&amp;tbm=isch")</f>
        <v>https://www.google.com/search?q=Phapitreron brunneiceps&amp;tbm=isch</v>
      </c>
      <c r="B314" s="29" t="str">
        <f>HYPERLINK("https://www.xeno-canto.org/species/Phapitreron-brunneiceps")</f>
        <v>https://www.xeno-canto.org/species/Phapitreron-brunneiceps</v>
      </c>
      <c r="C314" s="30" t="str">
        <f>HYPERLINK("https://ebird.org/species/daedov2")</f>
        <v>https://ebird.org/species/daedov2</v>
      </c>
      <c r="D314" s="31" t="str">
        <f>HYPERLINK("https://www.hbw.com/species/Dark-eared-Brown-dove-Phapitreron-brunneiceps")</f>
        <v>https://www.hbw.com/species/Dark-eared-Brown-dove-Phapitreron-brunneiceps</v>
      </c>
      <c r="E314" s="32" t="str">
        <f>HYPERLINK("https://www.iucnredlist.org/search?query=Phapitreron brunneiceps&amp;searchType=species")</f>
        <v>https://www.iucnredlist.org/search?query=Phapitreron brunneiceps&amp;searchType=species</v>
      </c>
      <c r="F314" s="2">
        <v>246</v>
      </c>
      <c r="G314" s="27" t="s">
        <v>713</v>
      </c>
      <c r="H314" s="86" t="s">
        <v>760</v>
      </c>
      <c r="I314" s="94" t="s">
        <v>761</v>
      </c>
      <c r="J314" s="1" t="s">
        <v>65</v>
      </c>
      <c r="K314" s="1" t="s">
        <v>66</v>
      </c>
      <c r="L314" s="1" t="s">
        <v>66</v>
      </c>
      <c r="M314" s="2" t="s">
        <v>762</v>
      </c>
    </row>
    <row r="315" spans="1:14" ht="20.399999999999999" x14ac:dyDescent="0.3">
      <c r="A315" s="28" t="str">
        <f>HYPERLINK("https://www.google.com/search?q=Treron vernans&amp;tbm=isch")</f>
        <v>https://www.google.com/search?q=Treron vernans&amp;tbm=isch</v>
      </c>
      <c r="B315" s="29" t="str">
        <f>HYPERLINK("https://www.xeno-canto.org/species/Treron-vernans")</f>
        <v>https://www.xeno-canto.org/species/Treron-vernans</v>
      </c>
      <c r="C315" s="30" t="str">
        <f>HYPERLINK("https://ebird.org/species/pinpig3")</f>
        <v>https://ebird.org/species/pinpig3</v>
      </c>
      <c r="D315" s="31" t="str">
        <f>HYPERLINK("https://www.hbw.com/species/Pink-necked-Green-pigeon-Treron-vernans")</f>
        <v>https://www.hbw.com/species/Pink-necked-Green-pigeon-Treron-vernans</v>
      </c>
      <c r="E315" s="32" t="str">
        <f>HYPERLINK("https://www.iucnredlist.org/search?query=Treron vernans&amp;searchType=species")</f>
        <v>https://www.iucnredlist.org/search?query=Treron vernans&amp;searchType=species</v>
      </c>
      <c r="F315" s="2">
        <v>247</v>
      </c>
      <c r="G315" s="27" t="s">
        <v>713</v>
      </c>
      <c r="H315" s="84" t="s">
        <v>763</v>
      </c>
      <c r="I315" s="92" t="s">
        <v>764</v>
      </c>
      <c r="J315" s="1" t="s">
        <v>15</v>
      </c>
      <c r="M315" s="2" t="s">
        <v>765</v>
      </c>
    </row>
    <row r="316" spans="1:14" ht="14.4" x14ac:dyDescent="0.3">
      <c r="A316" s="28" t="str">
        <f>HYPERLINK("https://www.google.com/search?q=Treron axillaris&amp;tbm=isch")</f>
        <v>https://www.google.com/search?q=Treron axillaris&amp;tbm=isch</v>
      </c>
      <c r="B316" s="29" t="str">
        <f>HYPERLINK("https://www.xeno-canto.org/species/Treron-axillaris")</f>
        <v>https://www.xeno-canto.org/species/Treron-axillaris</v>
      </c>
      <c r="C316" s="30" t="str">
        <f>HYPERLINK("https://ebird.org/species/pomgrp1")</f>
        <v>https://ebird.org/species/pomgrp1</v>
      </c>
      <c r="D316" s="31" t="str">
        <f>HYPERLINK("https://www.hbw.com/species/Philippine-Green-pigeon-Treron-axillaris")</f>
        <v>https://www.hbw.com/species/Philippine-Green-pigeon-Treron-axillaris</v>
      </c>
      <c r="E316" s="32" t="str">
        <f>HYPERLINK("https://www.iucnredlist.org/search?query=Treron axillaris&amp;searchType=species")</f>
        <v>https://www.iucnredlist.org/search?query=Treron axillaris&amp;searchType=species</v>
      </c>
      <c r="F316" s="2">
        <v>248</v>
      </c>
      <c r="G316" s="27" t="s">
        <v>713</v>
      </c>
      <c r="H316" s="86" t="s">
        <v>766</v>
      </c>
      <c r="I316" s="94" t="s">
        <v>767</v>
      </c>
      <c r="J316" s="1" t="s">
        <v>65</v>
      </c>
      <c r="L316" s="1" t="s">
        <v>66</v>
      </c>
      <c r="M316" s="2" t="s">
        <v>68</v>
      </c>
    </row>
    <row r="317" spans="1:14" ht="14.4" x14ac:dyDescent="0.3">
      <c r="A317" s="28" t="str">
        <f>HYPERLINK("https://www.google.com/search?q=Treron curvirostra&amp;tbm=isch")</f>
        <v>https://www.google.com/search?q=Treron curvirostra&amp;tbm=isch</v>
      </c>
      <c r="B317" s="29" t="str">
        <f>HYPERLINK("https://www.xeno-canto.org/species/Treron-curvirostra")</f>
        <v>https://www.xeno-canto.org/species/Treron-curvirostra</v>
      </c>
      <c r="C317" s="30" t="str">
        <f>HYPERLINK("https://ebird.org/species/thbpig1")</f>
        <v>https://ebird.org/species/thbpig1</v>
      </c>
      <c r="D317" s="31" t="str">
        <f>HYPERLINK("https://www.hbw.com/species/Thick-billed-Green-pigeon-Treron-curvirostra")</f>
        <v>https://www.hbw.com/species/Thick-billed-Green-pigeon-Treron-curvirostra</v>
      </c>
      <c r="E317" s="32" t="str">
        <f>HYPERLINK("https://www.iucnredlist.org/search?query=Treron curvirostra&amp;searchType=species")</f>
        <v>https://www.iucnredlist.org/search?query=Treron curvirostra&amp;searchType=species</v>
      </c>
      <c r="F317" s="2">
        <v>249</v>
      </c>
      <c r="G317" s="27" t="s">
        <v>713</v>
      </c>
      <c r="H317" s="84" t="s">
        <v>768</v>
      </c>
      <c r="I317" s="92" t="s">
        <v>769</v>
      </c>
      <c r="J317" s="1" t="s">
        <v>15</v>
      </c>
      <c r="M317" s="2" t="s">
        <v>43</v>
      </c>
    </row>
    <row r="318" spans="1:14" ht="14.4" x14ac:dyDescent="0.3">
      <c r="A318" s="28" t="str">
        <f>HYPERLINK("https://www.google.com/search?q=Treron formosae&amp;tbm=isch")</f>
        <v>https://www.google.com/search?q=Treron formosae&amp;tbm=isch</v>
      </c>
      <c r="B318" s="29" t="str">
        <f>HYPERLINK("https://www.xeno-canto.org/species/Treron-formosae")</f>
        <v>https://www.xeno-canto.org/species/Treron-formosae</v>
      </c>
      <c r="C318" s="30" t="str">
        <f>HYPERLINK("https://ebird.org/species/whgpig1")</f>
        <v>https://ebird.org/species/whgpig1</v>
      </c>
      <c r="D318" s="31" t="str">
        <f>HYPERLINK("https://www.hbw.com/species/Taiwan-Green-pigeon-Treron-formosae")</f>
        <v>https://www.hbw.com/species/Taiwan-Green-pigeon-Treron-formosae</v>
      </c>
      <c r="E318" s="32" t="str">
        <f>HYPERLINK("https://www.iucnredlist.org/search?query=Treron formosae&amp;searchType=species")</f>
        <v>https://www.iucnredlist.org/search?query=Treron formosae&amp;searchType=species</v>
      </c>
      <c r="F318" s="2">
        <v>250</v>
      </c>
      <c r="G318" s="27" t="s">
        <v>713</v>
      </c>
      <c r="H318" s="84" t="s">
        <v>770</v>
      </c>
      <c r="I318" s="92" t="s">
        <v>771</v>
      </c>
      <c r="J318" s="1" t="s">
        <v>15</v>
      </c>
      <c r="K318" s="1" t="s">
        <v>58</v>
      </c>
      <c r="L318" s="1" t="s">
        <v>66</v>
      </c>
      <c r="M318" s="2" t="s">
        <v>772</v>
      </c>
    </row>
    <row r="319" spans="1:14" ht="14.4" x14ac:dyDescent="0.3">
      <c r="A319" s="28" t="str">
        <f>HYPERLINK("https://www.google.com/search?q=Ptilinopus marchei&amp;tbm=isch")</f>
        <v>https://www.google.com/search?q=Ptilinopus marchei&amp;tbm=isch</v>
      </c>
      <c r="B319" s="29" t="str">
        <f>HYPERLINK("https://www.xeno-canto.org/species/Ptilinopus-marchei")</f>
        <v>https://www.xeno-canto.org/species/Ptilinopus-marchei</v>
      </c>
      <c r="C319" s="30" t="str">
        <f>HYPERLINK("https://ebird.org/species/fbfdov1")</f>
        <v>https://ebird.org/species/fbfdov1</v>
      </c>
      <c r="D319" s="31" t="str">
        <f>HYPERLINK("https://www.hbw.com/species/Flame-breasted-Fruit-dove-Ramphiculus-marchei")</f>
        <v>https://www.hbw.com/species/Flame-breasted-Fruit-dove-Ramphiculus-marchei</v>
      </c>
      <c r="E319" s="32" t="str">
        <f>HYPERLINK("https://www.iucnredlist.org/search?query=Ptilinopus marchei&amp;searchType=species")</f>
        <v>https://www.iucnredlist.org/search?query=Ptilinopus marchei&amp;searchType=species</v>
      </c>
      <c r="F319" s="2">
        <v>251</v>
      </c>
      <c r="G319" s="27" t="s">
        <v>713</v>
      </c>
      <c r="H319" s="86" t="s">
        <v>773</v>
      </c>
      <c r="I319" s="94" t="s">
        <v>774</v>
      </c>
      <c r="J319" s="1" t="s">
        <v>65</v>
      </c>
      <c r="K319" s="1" t="s">
        <v>66</v>
      </c>
      <c r="L319" s="1" t="s">
        <v>67</v>
      </c>
      <c r="M319" s="2" t="s">
        <v>68</v>
      </c>
    </row>
    <row r="320" spans="1:14" ht="14.4" x14ac:dyDescent="0.3">
      <c r="A320" s="28" t="str">
        <f>HYPERLINK("https://www.google.com/search?q=Ptilinopus merrilli&amp;tbm=isch")</f>
        <v>https://www.google.com/search?q=Ptilinopus merrilli&amp;tbm=isch</v>
      </c>
      <c r="B320" s="29" t="str">
        <f>HYPERLINK("https://www.xeno-canto.org/species/Ptilinopus-merrilli")</f>
        <v>https://www.xeno-canto.org/species/Ptilinopus-merrilli</v>
      </c>
      <c r="C320" s="30" t="str">
        <f>HYPERLINK("https://ebird.org/species/crbfrd1")</f>
        <v>https://ebird.org/species/crbfrd1</v>
      </c>
      <c r="D320" s="31" t="str">
        <f>HYPERLINK("https://www.hbw.com/species/Cream-bellied-Fruit-dove-Ramphiculus-merrilli")</f>
        <v>https://www.hbw.com/species/Cream-bellied-Fruit-dove-Ramphiculus-merrilli</v>
      </c>
      <c r="E320" s="32" t="str">
        <f>HYPERLINK("https://www.iucnredlist.org/search?query=Ptilinopus merrilli&amp;searchType=species")</f>
        <v>https://www.iucnredlist.org/search?query=Ptilinopus merrilli&amp;searchType=species</v>
      </c>
      <c r="F320" s="2">
        <v>252</v>
      </c>
      <c r="G320" s="27" t="s">
        <v>713</v>
      </c>
      <c r="H320" s="86" t="s">
        <v>775</v>
      </c>
      <c r="I320" s="94" t="s">
        <v>776</v>
      </c>
      <c r="J320" s="1" t="s">
        <v>65</v>
      </c>
      <c r="K320" s="1" t="s">
        <v>58</v>
      </c>
      <c r="L320" s="1" t="s">
        <v>66</v>
      </c>
      <c r="M320" s="2" t="s">
        <v>68</v>
      </c>
    </row>
    <row r="321" spans="1:14" ht="14.4" x14ac:dyDescent="0.3">
      <c r="A321" s="28" t="str">
        <f>HYPERLINK("https://www.google.com/search?q=Ptilinopus occipitalis&amp;tbm=isch")</f>
        <v>https://www.google.com/search?q=Ptilinopus occipitalis&amp;tbm=isch</v>
      </c>
      <c r="B321" s="29" t="str">
        <f>HYPERLINK("https://www.xeno-canto.org/species/Ptilinopus-occipitalis")</f>
        <v>https://www.xeno-canto.org/species/Ptilinopus-occipitalis</v>
      </c>
      <c r="C321" s="30" t="str">
        <f>HYPERLINK("https://ebird.org/species/ybfdov2")</f>
        <v>https://ebird.org/species/ybfdov2</v>
      </c>
      <c r="D321" s="31" t="str">
        <f>HYPERLINK("https://www.hbw.com/species/Yellow-breasted-Fruit-dove-Ramphiculus-occipitalis")</f>
        <v>https://www.hbw.com/species/Yellow-breasted-Fruit-dove-Ramphiculus-occipitalis</v>
      </c>
      <c r="E321" s="32" t="str">
        <f>HYPERLINK("https://www.iucnredlist.org/search?query=Ptilinopus occipitalis&amp;searchType=species")</f>
        <v>https://www.iucnredlist.org/search?query=Ptilinopus occipitalis&amp;searchType=species</v>
      </c>
      <c r="F321" s="2">
        <v>253</v>
      </c>
      <c r="G321" s="27" t="s">
        <v>713</v>
      </c>
      <c r="H321" s="86" t="s">
        <v>777</v>
      </c>
      <c r="I321" s="94" t="s">
        <v>778</v>
      </c>
      <c r="J321" s="1" t="s">
        <v>65</v>
      </c>
      <c r="M321" s="2" t="s">
        <v>68</v>
      </c>
    </row>
    <row r="322" spans="1:14" ht="14.4" x14ac:dyDescent="0.3">
      <c r="A322" s="28" t="str">
        <f>HYPERLINK("https://www.google.com/search?q=Ptilinopus leclancheri&amp;tbm=isch")</f>
        <v>https://www.google.com/search?q=Ptilinopus leclancheri&amp;tbm=isch</v>
      </c>
      <c r="B322" s="29" t="str">
        <f>HYPERLINK("https://www.xeno-canto.org/species/Ptilinopus-leclancheri")</f>
        <v>https://www.xeno-canto.org/species/Ptilinopus-leclancheri</v>
      </c>
      <c r="C322" s="30" t="str">
        <f>HYPERLINK("https://ebird.org/species/bcfdov1")</f>
        <v>https://ebird.org/species/bcfdov1</v>
      </c>
      <c r="D322" s="31" t="str">
        <f>HYPERLINK("https://www.hbw.com/species/Black-chinned-Fruit-dove-Ramphiculus-leclancheri")</f>
        <v>https://www.hbw.com/species/Black-chinned-Fruit-dove-Ramphiculus-leclancheri</v>
      </c>
      <c r="E322" s="32" t="str">
        <f>HYPERLINK("https://www.iucnredlist.org/search?query=Ptilinopus leclancheri&amp;searchType=species")</f>
        <v>https://www.iucnredlist.org/search?query=Ptilinopus leclancheri&amp;searchType=species</v>
      </c>
      <c r="F322" s="2">
        <v>254</v>
      </c>
      <c r="G322" s="27" t="s">
        <v>713</v>
      </c>
      <c r="H322" s="84" t="s">
        <v>779</v>
      </c>
      <c r="I322" s="92" t="s">
        <v>780</v>
      </c>
      <c r="J322" s="1" t="s">
        <v>732</v>
      </c>
      <c r="M322" s="2" t="s">
        <v>781</v>
      </c>
    </row>
    <row r="323" spans="1:14" ht="20.399999999999999" x14ac:dyDescent="0.3">
      <c r="A323" s="28" t="str">
        <f>HYPERLINK("https://www.google.com/search?q=Ptilinopus superbus&amp;tbm=isch")</f>
        <v>https://www.google.com/search?q=Ptilinopus superbus&amp;tbm=isch</v>
      </c>
      <c r="B323" s="29" t="str">
        <f>HYPERLINK("https://www.xeno-canto.org/species/Ptilinopus-superbus")</f>
        <v>https://www.xeno-canto.org/species/Ptilinopus-superbus</v>
      </c>
      <c r="C323" s="30" t="str">
        <f>HYPERLINK("https://ebird.org/species/sufdov1")</f>
        <v>https://ebird.org/species/sufdov1</v>
      </c>
      <c r="D323" s="31" t="str">
        <f>HYPERLINK("https://www.hbw.com/species/Superb-Fruit-Dove-Ptilinopus-superbus")</f>
        <v>https://www.hbw.com/species/Superb-Fruit-Dove-Ptilinopus-superbus</v>
      </c>
      <c r="E323" s="32" t="str">
        <f>HYPERLINK("https://www.iucnredlist.org/search?query=Ptilinopus superbus&amp;searchType=species")</f>
        <v>https://www.iucnredlist.org/search?query=Ptilinopus superbus&amp;searchType=species</v>
      </c>
      <c r="F323" s="2">
        <v>255</v>
      </c>
      <c r="G323" s="27" t="s">
        <v>713</v>
      </c>
      <c r="H323" s="83" t="s">
        <v>782</v>
      </c>
      <c r="I323" s="92" t="s">
        <v>783</v>
      </c>
      <c r="J323" s="1" t="s">
        <v>10</v>
      </c>
      <c r="M323" s="2" t="s">
        <v>784</v>
      </c>
      <c r="N323" s="2" t="s">
        <v>785</v>
      </c>
    </row>
    <row r="324" spans="1:14" ht="20.399999999999999" x14ac:dyDescent="0.3">
      <c r="A324" s="28" t="str">
        <f>HYPERLINK("https://www.google.com/search?q=Ptilinopus melanospilus&amp;tbm=isch")</f>
        <v>https://www.google.com/search?q=Ptilinopus melanospilus&amp;tbm=isch</v>
      </c>
      <c r="B324" s="29" t="str">
        <f>HYPERLINK("https://www.xeno-canto.org/species/Ptilinopus-melanospilus")</f>
        <v>https://www.xeno-canto.org/species/Ptilinopus-melanospilus</v>
      </c>
      <c r="C324" s="30" t="str">
        <f>HYPERLINK("https://ebird.org/species/bknfrd1")</f>
        <v>https://ebird.org/species/bknfrd1</v>
      </c>
      <c r="D324" s="31" t="str">
        <f>HYPERLINK("https://www.hbw.com/species/Black-naped-Fruit-dove-Ptilinopus-melanospilus")</f>
        <v>https://www.hbw.com/species/Black-naped-Fruit-dove-Ptilinopus-melanospilus</v>
      </c>
      <c r="E324" s="32" t="str">
        <f>HYPERLINK("https://www.iucnredlist.org/search?query=Ptilinopus melanospilus&amp;searchType=species")</f>
        <v>https://www.iucnredlist.org/search?query=Ptilinopus melanospilus&amp;searchType=species</v>
      </c>
      <c r="F324" s="2">
        <v>256</v>
      </c>
      <c r="G324" s="27" t="s">
        <v>713</v>
      </c>
      <c r="H324" s="84" t="s">
        <v>786</v>
      </c>
      <c r="I324" s="92" t="s">
        <v>787</v>
      </c>
      <c r="J324" s="1" t="s">
        <v>15</v>
      </c>
      <c r="M324" s="2" t="s">
        <v>788</v>
      </c>
    </row>
    <row r="325" spans="1:14" ht="20.399999999999999" x14ac:dyDescent="0.3">
      <c r="A325" s="28" t="str">
        <f>HYPERLINK("https://www.google.com/search?q=Ptilinopus arcanus&amp;tbm=isch")</f>
        <v>https://www.google.com/search?q=Ptilinopus arcanus&amp;tbm=isch</v>
      </c>
      <c r="B325" s="29" t="str">
        <f>HYPERLINK("https://www.xeno-canto.org/species/Ptilinopus-arcanus")</f>
        <v>https://www.xeno-canto.org/species/Ptilinopus-arcanus</v>
      </c>
      <c r="C325" s="30" t="str">
        <f>HYPERLINK("https://ebird.org/species/nefdov1")</f>
        <v>https://ebird.org/species/nefdov1</v>
      </c>
      <c r="D325" s="31" t="str">
        <f>HYPERLINK("https://www.hbw.com/species/Negros-Fruit-dove-Ptilinopus-arcanus")</f>
        <v>https://www.hbw.com/species/Negros-Fruit-dove-Ptilinopus-arcanus</v>
      </c>
      <c r="E325" s="32" t="str">
        <f>HYPERLINK("https://www.iucnredlist.org/search?query=Ptilinopus arcanus&amp;searchType=species")</f>
        <v>https://www.iucnredlist.org/search?query=Ptilinopus arcanus&amp;searchType=species</v>
      </c>
      <c r="F325" s="2">
        <v>257</v>
      </c>
      <c r="G325" s="27" t="s">
        <v>713</v>
      </c>
      <c r="H325" s="90" t="s">
        <v>789</v>
      </c>
      <c r="I325" s="94" t="s">
        <v>790</v>
      </c>
      <c r="J325" s="1" t="s">
        <v>65</v>
      </c>
      <c r="K325" s="1" t="s">
        <v>85</v>
      </c>
      <c r="L325" s="1" t="s">
        <v>85</v>
      </c>
      <c r="M325" s="2" t="s">
        <v>68</v>
      </c>
      <c r="N325" s="2" t="s">
        <v>791</v>
      </c>
    </row>
    <row r="326" spans="1:14" ht="14.4" x14ac:dyDescent="0.3">
      <c r="A326" s="28" t="str">
        <f>HYPERLINK("https://www.google.com/search?q=Ducula poliocephala&amp;tbm=isch")</f>
        <v>https://www.google.com/search?q=Ducula poliocephala&amp;tbm=isch</v>
      </c>
      <c r="B326" s="29" t="str">
        <f>HYPERLINK("https://www.xeno-canto.org/species/Ducula-poliocephala")</f>
        <v>https://www.xeno-canto.org/species/Ducula-poliocephala</v>
      </c>
      <c r="C326" s="30" t="str">
        <f>HYPERLINK("https://ebird.org/species/pbipig1")</f>
        <v>https://ebird.org/species/pbipig1</v>
      </c>
      <c r="D326" s="31" t="str">
        <f>HYPERLINK("https://www.hbw.com/species/Pink-bellied-Imperial-pigeon-Ducula-poliocephala")</f>
        <v>https://www.hbw.com/species/Pink-bellied-Imperial-pigeon-Ducula-poliocephala</v>
      </c>
      <c r="E326" s="32" t="str">
        <f>HYPERLINK("https://www.iucnredlist.org/search?query=Ducula poliocephala&amp;searchType=species")</f>
        <v>https://www.iucnredlist.org/search?query=Ducula poliocephala&amp;searchType=species</v>
      </c>
      <c r="F326" s="2">
        <v>258</v>
      </c>
      <c r="G326" s="27" t="s">
        <v>713</v>
      </c>
      <c r="H326" s="86" t="s">
        <v>792</v>
      </c>
      <c r="I326" s="94" t="s">
        <v>793</v>
      </c>
      <c r="J326" s="1" t="s">
        <v>65</v>
      </c>
      <c r="K326" s="1" t="s">
        <v>58</v>
      </c>
      <c r="L326" s="1" t="s">
        <v>85</v>
      </c>
      <c r="M326" s="2" t="s">
        <v>68</v>
      </c>
    </row>
    <row r="327" spans="1:14" ht="14.4" x14ac:dyDescent="0.3">
      <c r="A327" s="28" t="str">
        <f>HYPERLINK("https://www.google.com/search?q=Ducula mindorensis&amp;tbm=isch")</f>
        <v>https://www.google.com/search?q=Ducula mindorensis&amp;tbm=isch</v>
      </c>
      <c r="B327" s="29" t="str">
        <f>HYPERLINK("https://www.xeno-canto.org/species/Ducula-mindorensis")</f>
        <v>https://www.xeno-canto.org/species/Ducula-mindorensis</v>
      </c>
      <c r="C327" s="30" t="str">
        <f>HYPERLINK("https://ebird.org/species/miipig2")</f>
        <v>https://ebird.org/species/miipig2</v>
      </c>
      <c r="D327" s="31" t="str">
        <f>HYPERLINK("https://www.hbw.com/species/Mindoro-Imperial-pigeon-Ducula-mindorensis")</f>
        <v>https://www.hbw.com/species/Mindoro-Imperial-pigeon-Ducula-mindorensis</v>
      </c>
      <c r="E327" s="32" t="str">
        <f>HYPERLINK("https://www.iucnredlist.org/search?query=Ducula mindorensis&amp;searchType=species")</f>
        <v>https://www.iucnredlist.org/search?query=Ducula mindorensis&amp;searchType=species</v>
      </c>
      <c r="F327" s="2">
        <v>259</v>
      </c>
      <c r="G327" s="27" t="s">
        <v>713</v>
      </c>
      <c r="H327" s="86" t="s">
        <v>794</v>
      </c>
      <c r="I327" s="94" t="s">
        <v>795</v>
      </c>
      <c r="J327" s="1" t="s">
        <v>65</v>
      </c>
      <c r="K327" s="1" t="s">
        <v>67</v>
      </c>
      <c r="L327" s="1" t="s">
        <v>67</v>
      </c>
      <c r="M327" s="2" t="s">
        <v>68</v>
      </c>
    </row>
    <row r="328" spans="1:14" ht="14.4" x14ac:dyDescent="0.3">
      <c r="A328" s="28" t="str">
        <f>HYPERLINK("https://www.google.com/search?q=Ducula carola&amp;tbm=isch")</f>
        <v>https://www.google.com/search?q=Ducula carola&amp;tbm=isch</v>
      </c>
      <c r="B328" s="29" t="str">
        <f>HYPERLINK("https://www.xeno-canto.org/species/Ducula-carola")</f>
        <v>https://www.xeno-canto.org/species/Ducula-carola</v>
      </c>
      <c r="C328" s="30" t="str">
        <f>HYPERLINK("https://ebird.org/species/spipig3")</f>
        <v>https://ebird.org/species/spipig3</v>
      </c>
      <c r="D328" s="31" t="str">
        <f>HYPERLINK("https://www.hbw.com/species/Spotted-Imperial-pigeon-Ducula-carola")</f>
        <v>https://www.hbw.com/species/Spotted-Imperial-pigeon-Ducula-carola</v>
      </c>
      <c r="E328" s="32" t="str">
        <f>HYPERLINK("https://www.iucnredlist.org/search?query=Ducula carola&amp;searchType=species")</f>
        <v>https://www.iucnredlist.org/search?query=Ducula carola&amp;searchType=species</v>
      </c>
      <c r="F328" s="2">
        <v>260</v>
      </c>
      <c r="G328" s="27" t="s">
        <v>713</v>
      </c>
      <c r="H328" s="86" t="s">
        <v>796</v>
      </c>
      <c r="I328" s="94" t="s">
        <v>797</v>
      </c>
      <c r="J328" s="1" t="s">
        <v>65</v>
      </c>
      <c r="K328" s="1" t="s">
        <v>66</v>
      </c>
      <c r="L328" s="1" t="s">
        <v>67</v>
      </c>
      <c r="M328" s="2" t="s">
        <v>68</v>
      </c>
    </row>
    <row r="329" spans="1:14" ht="14.4" x14ac:dyDescent="0.3">
      <c r="A329" s="28" t="str">
        <f>HYPERLINK("https://www.google.com/search?q=Ducula aenea&amp;tbm=isch")</f>
        <v>https://www.google.com/search?q=Ducula aenea&amp;tbm=isch</v>
      </c>
      <c r="B329" s="29" t="str">
        <f>HYPERLINK("https://www.xeno-canto.org/species/Ducula-aenea")</f>
        <v>https://www.xeno-canto.org/species/Ducula-aenea</v>
      </c>
      <c r="C329" s="30" t="str">
        <f>HYPERLINK("https://ebird.org/species/gripig1")</f>
        <v>https://ebird.org/species/gripig1</v>
      </c>
      <c r="D329" s="31" t="str">
        <f>HYPERLINK("https://www.hbw.com/species/Green-Imperial-pigeon-Ducula-aenea")</f>
        <v>https://www.hbw.com/species/Green-Imperial-pigeon-Ducula-aenea</v>
      </c>
      <c r="E329" s="32" t="str">
        <f>HYPERLINK("https://www.iucnredlist.org/search?query=Ducula aenea&amp;searchType=species")</f>
        <v>https://www.iucnredlist.org/search?query=Ducula aenea&amp;searchType=species</v>
      </c>
      <c r="F329" s="2">
        <v>261</v>
      </c>
      <c r="G329" s="27" t="s">
        <v>713</v>
      </c>
      <c r="H329" s="84" t="s">
        <v>798</v>
      </c>
      <c r="I329" s="92" t="s">
        <v>799</v>
      </c>
      <c r="J329" s="1" t="s">
        <v>15</v>
      </c>
      <c r="M329" s="2" t="s">
        <v>43</v>
      </c>
    </row>
    <row r="330" spans="1:14" ht="14.4" x14ac:dyDescent="0.3">
      <c r="A330" s="28" t="str">
        <f>HYPERLINK("https://www.google.com/search?q=Ducula pickeringii&amp;tbm=isch")</f>
        <v>https://www.google.com/search?q=Ducula pickeringii&amp;tbm=isch</v>
      </c>
      <c r="B330" s="29" t="str">
        <f>HYPERLINK("https://www.xeno-canto.org/species/Ducula-pickeringii")</f>
        <v>https://www.xeno-canto.org/species/Ducula-pickeringii</v>
      </c>
      <c r="C330" s="30" t="str">
        <f>HYPERLINK("https://ebird.org/species/gryimp1")</f>
        <v>https://ebird.org/species/gryimp1</v>
      </c>
      <c r="D330" s="31" t="str">
        <f>HYPERLINK("https://www.hbw.com/species/Grey-Imperial-pigeon-Ducula-pickeringii")</f>
        <v>https://www.hbw.com/species/Grey-Imperial-pigeon-Ducula-pickeringii</v>
      </c>
      <c r="E330" s="32" t="str">
        <f>HYPERLINK("https://www.iucnredlist.org/search?query=Ducula pickeringii&amp;searchType=species")</f>
        <v>https://www.iucnredlist.org/search?query=Ducula pickeringii&amp;searchType=species</v>
      </c>
      <c r="F330" s="2">
        <v>262</v>
      </c>
      <c r="G330" s="27" t="s">
        <v>713</v>
      </c>
      <c r="H330" s="84" t="s">
        <v>800</v>
      </c>
      <c r="I330" s="92" t="s">
        <v>801</v>
      </c>
      <c r="J330" s="1" t="s">
        <v>732</v>
      </c>
      <c r="K330" s="1" t="s">
        <v>66</v>
      </c>
      <c r="L330" s="1" t="s">
        <v>67</v>
      </c>
      <c r="M330" s="2" t="s">
        <v>802</v>
      </c>
    </row>
    <row r="331" spans="1:14" ht="20.399999999999999" x14ac:dyDescent="0.3">
      <c r="A331" s="28" t="str">
        <f>HYPERLINK("https://www.google.com/search?q=Ducula bicolor&amp;tbm=isch")</f>
        <v>https://www.google.com/search?q=Ducula bicolor&amp;tbm=isch</v>
      </c>
      <c r="B331" s="29" t="str">
        <f>HYPERLINK("https://www.xeno-canto.org/species/Ducula-bicolor")</f>
        <v>https://www.xeno-canto.org/species/Ducula-bicolor</v>
      </c>
      <c r="C331" s="30" t="str">
        <f>HYPERLINK("https://ebird.org/species/piipig1")</f>
        <v>https://ebird.org/species/piipig1</v>
      </c>
      <c r="D331" s="31" t="str">
        <f>HYPERLINK("https://www.hbw.com/species/Pied-Imperial-pigeon-Ducula-bicolor")</f>
        <v>https://www.hbw.com/species/Pied-Imperial-pigeon-Ducula-bicolor</v>
      </c>
      <c r="E331" s="32" t="str">
        <f>HYPERLINK("https://www.iucnredlist.org/search?query=Ducula bicolor&amp;searchType=species")</f>
        <v>https://www.iucnredlist.org/search?query=Ducula bicolor&amp;searchType=species</v>
      </c>
      <c r="F331" s="2">
        <v>263</v>
      </c>
      <c r="G331" s="27" t="s">
        <v>713</v>
      </c>
      <c r="H331" s="84" t="s">
        <v>803</v>
      </c>
      <c r="I331" s="92" t="s">
        <v>804</v>
      </c>
      <c r="J331" s="1" t="s">
        <v>15</v>
      </c>
      <c r="M331" s="2" t="s">
        <v>805</v>
      </c>
    </row>
    <row r="332" spans="1:14" x14ac:dyDescent="0.3">
      <c r="A332" s="33"/>
      <c r="B332" s="34"/>
      <c r="C332" s="35"/>
      <c r="D332" s="36"/>
      <c r="E332" s="37"/>
    </row>
    <row r="333" spans="1:14" ht="12" x14ac:dyDescent="0.3">
      <c r="A333" s="33"/>
      <c r="B333" s="34"/>
      <c r="C333" s="35"/>
      <c r="D333" s="36"/>
      <c r="E333" s="37"/>
      <c r="H333" s="82" t="s">
        <v>806</v>
      </c>
      <c r="I333" s="91" t="s">
        <v>807</v>
      </c>
    </row>
    <row r="334" spans="1:14" ht="14.4" x14ac:dyDescent="0.3">
      <c r="A334" s="28" t="str">
        <f>HYPERLINK("https://www.google.com/search?q=Centropus unirufus&amp;tbm=isch")</f>
        <v>https://www.google.com/search?q=Centropus unirufus&amp;tbm=isch</v>
      </c>
      <c r="B334" s="29" t="str">
        <f>HYPERLINK("https://www.xeno-canto.org/species/Centropus-unirufus")</f>
        <v>https://www.xeno-canto.org/species/Centropus-unirufus</v>
      </c>
      <c r="C334" s="30" t="str">
        <f>HYPERLINK("https://ebird.org/species/rufcou1")</f>
        <v>https://ebird.org/species/rufcou1</v>
      </c>
      <c r="D334" s="31" t="str">
        <f>HYPERLINK("https://www.hbw.com/species/Rufous-Coucal-Centropus-unirufus")</f>
        <v>https://www.hbw.com/species/Rufous-Coucal-Centropus-unirufus</v>
      </c>
      <c r="E334" s="32" t="str">
        <f>HYPERLINK("https://www.iucnredlist.org/search?query=Centropus unirufus&amp;searchType=species")</f>
        <v>https://www.iucnredlist.org/search?query=Centropus unirufus&amp;searchType=species</v>
      </c>
      <c r="F334" s="2">
        <v>264</v>
      </c>
      <c r="G334" s="27" t="s">
        <v>807</v>
      </c>
      <c r="H334" s="86" t="s">
        <v>808</v>
      </c>
      <c r="I334" s="94" t="s">
        <v>809</v>
      </c>
      <c r="J334" s="1" t="s">
        <v>65</v>
      </c>
      <c r="K334" s="1" t="s">
        <v>58</v>
      </c>
      <c r="L334" s="1" t="s">
        <v>130</v>
      </c>
      <c r="M334" s="2" t="s">
        <v>68</v>
      </c>
    </row>
    <row r="335" spans="1:14" ht="14.4" x14ac:dyDescent="0.3">
      <c r="A335" s="28" t="str">
        <f>HYPERLINK("https://www.google.com/search?q=Centropus melanops&amp;tbm=isch")</f>
        <v>https://www.google.com/search?q=Centropus melanops&amp;tbm=isch</v>
      </c>
      <c r="B335" s="29" t="str">
        <f>HYPERLINK("https://www.xeno-canto.org/species/Centropus-melanops")</f>
        <v>https://www.xeno-canto.org/species/Centropus-melanops</v>
      </c>
      <c r="C335" s="30" t="str">
        <f>HYPERLINK("https://ebird.org/species/blfcou1")</f>
        <v>https://ebird.org/species/blfcou1</v>
      </c>
      <c r="D335" s="31" t="str">
        <f>HYPERLINK("https://www.hbw.com/species/Black-faced-Coucal-Centropus-melanops")</f>
        <v>https://www.hbw.com/species/Black-faced-Coucal-Centropus-melanops</v>
      </c>
      <c r="E335" s="32" t="str">
        <f>HYPERLINK("https://www.iucnredlist.org/search?query=Centropus melanops&amp;searchType=species")</f>
        <v>https://www.iucnredlist.org/search?query=Centropus melanops&amp;searchType=species</v>
      </c>
      <c r="F335" s="2">
        <v>265</v>
      </c>
      <c r="G335" s="27" t="s">
        <v>807</v>
      </c>
      <c r="H335" s="86" t="s">
        <v>810</v>
      </c>
      <c r="I335" s="94" t="s">
        <v>811</v>
      </c>
      <c r="J335" s="1" t="s">
        <v>65</v>
      </c>
      <c r="M335" s="2" t="s">
        <v>68</v>
      </c>
    </row>
    <row r="336" spans="1:14" ht="14.4" x14ac:dyDescent="0.3">
      <c r="A336" s="28" t="str">
        <f>HYPERLINK("https://www.google.com/search?q=Centropus steerii&amp;tbm=isch")</f>
        <v>https://www.google.com/search?q=Centropus steerii&amp;tbm=isch</v>
      </c>
      <c r="B336" s="29" t="str">
        <f>HYPERLINK("https://www.xeno-canto.org/species/Centropus-steerii")</f>
        <v>https://www.xeno-canto.org/species/Centropus-steerii</v>
      </c>
      <c r="C336" s="30" t="str">
        <f>HYPERLINK("https://ebird.org/species/blhcou1")</f>
        <v>https://ebird.org/species/blhcou1</v>
      </c>
      <c r="D336" s="31" t="str">
        <f>HYPERLINK("https://www.hbw.com/species/Black-hooded-Coucal-Centropus-steerii")</f>
        <v>https://www.hbw.com/species/Black-hooded-Coucal-Centropus-steerii</v>
      </c>
      <c r="E336" s="32" t="str">
        <f>HYPERLINK("https://www.iucnredlist.org/search?query=Centropus steerii&amp;searchType=species")</f>
        <v>https://www.iucnredlist.org/search?query=Centropus steerii&amp;searchType=species</v>
      </c>
      <c r="F336" s="2">
        <v>266</v>
      </c>
      <c r="G336" s="27" t="s">
        <v>807</v>
      </c>
      <c r="H336" s="90" t="s">
        <v>812</v>
      </c>
      <c r="I336" s="94" t="s">
        <v>813</v>
      </c>
      <c r="J336" s="1" t="s">
        <v>65</v>
      </c>
      <c r="K336" s="1" t="s">
        <v>85</v>
      </c>
      <c r="L336" s="1" t="s">
        <v>85</v>
      </c>
      <c r="M336" s="2" t="s">
        <v>68</v>
      </c>
    </row>
    <row r="337" spans="1:14" ht="14.4" x14ac:dyDescent="0.3">
      <c r="A337" s="28" t="str">
        <f>HYPERLINK("https://www.google.com/search?q=Centropus sinensis&amp;tbm=isch")</f>
        <v>https://www.google.com/search?q=Centropus sinensis&amp;tbm=isch</v>
      </c>
      <c r="B337" s="29" t="str">
        <f>HYPERLINK("https://www.xeno-canto.org/species/Centropus-sinensis")</f>
        <v>https://www.xeno-canto.org/species/Centropus-sinensis</v>
      </c>
      <c r="C337" s="30" t="str">
        <f>HYPERLINK("https://ebird.org/species/grecou1")</f>
        <v>https://ebird.org/species/grecou1</v>
      </c>
      <c r="D337" s="31" t="str">
        <f>HYPERLINK("https://www.hbw.com/species/Greater-Coucal-Centropus-sinensis")</f>
        <v>https://www.hbw.com/species/Greater-Coucal-Centropus-sinensis</v>
      </c>
      <c r="E337" s="32" t="str">
        <f>HYPERLINK("https://www.iucnredlist.org/search?query=Centropus sinensis&amp;searchType=species")</f>
        <v>https://www.iucnredlist.org/search?query=Centropus sinensis&amp;searchType=species</v>
      </c>
      <c r="F337" s="2">
        <v>267</v>
      </c>
      <c r="G337" s="27" t="s">
        <v>807</v>
      </c>
      <c r="H337" s="84" t="s">
        <v>814</v>
      </c>
      <c r="I337" s="92" t="s">
        <v>815</v>
      </c>
      <c r="J337" s="1" t="s">
        <v>15</v>
      </c>
      <c r="M337" s="2" t="s">
        <v>43</v>
      </c>
    </row>
    <row r="338" spans="1:14" ht="14.4" x14ac:dyDescent="0.3">
      <c r="A338" s="28" t="str">
        <f>HYPERLINK("https://www.google.com/search?q=Centropus viridis&amp;tbm=isch")</f>
        <v>https://www.google.com/search?q=Centropus viridis&amp;tbm=isch</v>
      </c>
      <c r="B338" s="29" t="str">
        <f>HYPERLINK("https://www.xeno-canto.org/species/Centropus-viridis")</f>
        <v>https://www.xeno-canto.org/species/Centropus-viridis</v>
      </c>
      <c r="C338" s="30" t="str">
        <f>HYPERLINK("https://ebird.org/species/phicou1")</f>
        <v>https://ebird.org/species/phicou1</v>
      </c>
      <c r="D338" s="31" t="str">
        <f>HYPERLINK("https://www.hbw.com/species/Philippine-Coucal-Centropus-viridis")</f>
        <v>https://www.hbw.com/species/Philippine-Coucal-Centropus-viridis</v>
      </c>
      <c r="E338" s="32" t="str">
        <f>HYPERLINK("https://www.iucnredlist.org/search?query=Centropus viridis&amp;searchType=species")</f>
        <v>https://www.iucnredlist.org/search?query=Centropus viridis&amp;searchType=species</v>
      </c>
      <c r="F338" s="2">
        <v>268</v>
      </c>
      <c r="G338" s="27" t="s">
        <v>807</v>
      </c>
      <c r="H338" s="86" t="s">
        <v>816</v>
      </c>
      <c r="I338" s="94" t="s">
        <v>817</v>
      </c>
      <c r="J338" s="1" t="s">
        <v>65</v>
      </c>
      <c r="M338" s="2" t="s">
        <v>68</v>
      </c>
    </row>
    <row r="339" spans="1:14" ht="14.4" x14ac:dyDescent="0.3">
      <c r="A339" s="28" t="str">
        <f>HYPERLINK("https://www.google.com/search?q=Centropus bengalensis&amp;tbm=isch")</f>
        <v>https://www.google.com/search?q=Centropus bengalensis&amp;tbm=isch</v>
      </c>
      <c r="B339" s="29" t="str">
        <f>HYPERLINK("https://www.xeno-canto.org/species/Centropus-bengalensis")</f>
        <v>https://www.xeno-canto.org/species/Centropus-bengalensis</v>
      </c>
      <c r="C339" s="30" t="str">
        <f>HYPERLINK("https://ebird.org/species/lescou1")</f>
        <v>https://ebird.org/species/lescou1</v>
      </c>
      <c r="D339" s="31" t="str">
        <f>HYPERLINK("https://www.hbw.com/species/Lesser-Coucal-Centropus-bengalensis")</f>
        <v>https://www.hbw.com/species/Lesser-Coucal-Centropus-bengalensis</v>
      </c>
      <c r="E339" s="32" t="str">
        <f>HYPERLINK("https://www.iucnredlist.org/search?query=Centropus bengalensis&amp;searchType=species")</f>
        <v>https://www.iucnredlist.org/search?query=Centropus bengalensis&amp;searchType=species</v>
      </c>
      <c r="F339" s="2">
        <v>269</v>
      </c>
      <c r="G339" s="27" t="s">
        <v>807</v>
      </c>
      <c r="H339" s="84" t="s">
        <v>818</v>
      </c>
      <c r="I339" s="92" t="s">
        <v>819</v>
      </c>
      <c r="J339" s="1" t="s">
        <v>15</v>
      </c>
      <c r="M339" s="2" t="s">
        <v>43</v>
      </c>
    </row>
    <row r="340" spans="1:14" ht="14.4" x14ac:dyDescent="0.3">
      <c r="A340" s="28" t="str">
        <f>HYPERLINK("https://www.google.com/search?q=Phaenicophaeus curvirostris&amp;tbm=isch")</f>
        <v>https://www.google.com/search?q=Phaenicophaeus curvirostris&amp;tbm=isch</v>
      </c>
      <c r="B340" s="29" t="str">
        <f>HYPERLINK("https://www.xeno-canto.org/species/Phaenicophaeus-curvirostris")</f>
        <v>https://www.xeno-canto.org/species/Phaenicophaeus-curvirostris</v>
      </c>
      <c r="C340" s="30" t="str">
        <f>HYPERLINK("https://ebird.org/species/chbmal2")</f>
        <v>https://ebird.org/species/chbmal2</v>
      </c>
      <c r="D340" s="31" t="str">
        <f>HYPERLINK("https://www.hbw.com/species/Chestnut-breasted-Malkoha-Phaenicophaeus-curvirostris")</f>
        <v>https://www.hbw.com/species/Chestnut-breasted-Malkoha-Phaenicophaeus-curvirostris</v>
      </c>
      <c r="E340" s="32" t="str">
        <f>HYPERLINK("https://www.iucnredlist.org/search?query=Phaenicophaeus curvirostris&amp;searchType=species")</f>
        <v>https://www.iucnredlist.org/search?query=Phaenicophaeus curvirostris&amp;searchType=species</v>
      </c>
      <c r="F340" s="2">
        <v>270</v>
      </c>
      <c r="G340" s="27" t="s">
        <v>807</v>
      </c>
      <c r="H340" s="84" t="s">
        <v>820</v>
      </c>
      <c r="I340" s="92" t="s">
        <v>821</v>
      </c>
      <c r="J340" s="1" t="s">
        <v>15</v>
      </c>
      <c r="M340" s="2" t="s">
        <v>822</v>
      </c>
      <c r="N340" s="2" t="s">
        <v>123</v>
      </c>
    </row>
    <row r="341" spans="1:14" ht="14.4" x14ac:dyDescent="0.3">
      <c r="A341" s="28" t="str">
        <f>HYPERLINK("https://www.google.com/search?q=Dasylophus superciliosus&amp;tbm=isch")</f>
        <v>https://www.google.com/search?q=Dasylophus superciliosus&amp;tbm=isch</v>
      </c>
      <c r="B341" s="29" t="str">
        <f>HYPERLINK("https://www.xeno-canto.org/species/Dasylophus-superciliosus")</f>
        <v>https://www.xeno-canto.org/species/Dasylophus-superciliosus</v>
      </c>
      <c r="C341" s="30" t="str">
        <f>HYPERLINK("https://ebird.org/species/recmal1")</f>
        <v>https://ebird.org/species/recmal1</v>
      </c>
      <c r="D341" s="31" t="str">
        <f>HYPERLINK("https://www.hbw.com/species/Red-crested-Malkoha-Dasylophus-superciliosus")</f>
        <v>https://www.hbw.com/species/Red-crested-Malkoha-Dasylophus-superciliosus</v>
      </c>
      <c r="E341" s="32" t="str">
        <f>HYPERLINK("https://www.iucnredlist.org/search?query=Dasylophus superciliosus&amp;searchType=species")</f>
        <v>https://www.iucnredlist.org/search?query=Dasylophus superciliosus&amp;searchType=species</v>
      </c>
      <c r="F341" s="2">
        <v>271</v>
      </c>
      <c r="G341" s="27" t="s">
        <v>807</v>
      </c>
      <c r="H341" s="86" t="s">
        <v>823</v>
      </c>
      <c r="I341" s="94" t="s">
        <v>824</v>
      </c>
      <c r="J341" s="1" t="s">
        <v>65</v>
      </c>
      <c r="M341" s="2" t="s">
        <v>68</v>
      </c>
    </row>
    <row r="342" spans="1:14" ht="14.4" x14ac:dyDescent="0.3">
      <c r="A342" s="28" t="str">
        <f>HYPERLINK("https://www.google.com/search?q=Dasylophus cumingi&amp;tbm=isch")</f>
        <v>https://www.google.com/search?q=Dasylophus cumingi&amp;tbm=isch</v>
      </c>
      <c r="B342" s="29" t="str">
        <f>HYPERLINK("https://www.xeno-canto.org/species/Dasylophus-cumingi")</f>
        <v>https://www.xeno-canto.org/species/Dasylophus-cumingi</v>
      </c>
      <c r="C342" s="30" t="str">
        <f>HYPERLINK("https://ebird.org/species/scfmal1")</f>
        <v>https://ebird.org/species/scfmal1</v>
      </c>
      <c r="D342" s="31" t="str">
        <f>HYPERLINK("https://www.hbw.com/species/Scale-feathered-Malkoha-Lepidogrammus-cumingi")</f>
        <v>https://www.hbw.com/species/Scale-feathered-Malkoha-Lepidogrammus-cumingi</v>
      </c>
      <c r="E342" s="32" t="str">
        <f>HYPERLINK("https://www.iucnredlist.org/search?query=Dasylophus cumingi&amp;searchType=species")</f>
        <v>https://www.iucnredlist.org/search?query=Dasylophus cumingi&amp;searchType=species</v>
      </c>
      <c r="F342" s="2">
        <v>272</v>
      </c>
      <c r="G342" s="27" t="s">
        <v>807</v>
      </c>
      <c r="H342" s="86" t="s">
        <v>825</v>
      </c>
      <c r="I342" s="94" t="s">
        <v>826</v>
      </c>
      <c r="J342" s="1" t="s">
        <v>65</v>
      </c>
      <c r="M342" s="2" t="s">
        <v>68</v>
      </c>
    </row>
    <row r="343" spans="1:14" ht="20.399999999999999" x14ac:dyDescent="0.3">
      <c r="A343" s="28" t="str">
        <f>HYPERLINK("https://www.google.com/search?q=Clamator coromandus&amp;tbm=isch")</f>
        <v>https://www.google.com/search?q=Clamator coromandus&amp;tbm=isch</v>
      </c>
      <c r="B343" s="29" t="str">
        <f>HYPERLINK("https://www.xeno-canto.org/species/Clamator-coromandus")</f>
        <v>https://www.xeno-canto.org/species/Clamator-coromandus</v>
      </c>
      <c r="C343" s="30" t="str">
        <f>HYPERLINK("https://ebird.org/species/chwcuc1")</f>
        <v>https://ebird.org/species/chwcuc1</v>
      </c>
      <c r="D343" s="31" t="str">
        <f>HYPERLINK("https://www.hbw.com/species/Chestnut-winged-Cuckoo-Clamator-coromandus")</f>
        <v>https://www.hbw.com/species/Chestnut-winged-Cuckoo-Clamator-coromandus</v>
      </c>
      <c r="E343" s="32" t="str">
        <f>HYPERLINK("https://www.iucnredlist.org/search?query=Clamator coromandus&amp;searchType=species")</f>
        <v>https://www.iucnredlist.org/search?query=Clamator coromandus&amp;searchType=species</v>
      </c>
      <c r="F343" s="2">
        <v>273</v>
      </c>
      <c r="G343" s="27" t="s">
        <v>807</v>
      </c>
      <c r="H343" s="84" t="s">
        <v>827</v>
      </c>
      <c r="I343" s="92" t="s">
        <v>828</v>
      </c>
      <c r="J343" s="1" t="s">
        <v>50</v>
      </c>
      <c r="M343" s="2" t="s">
        <v>829</v>
      </c>
    </row>
    <row r="344" spans="1:14" ht="30.6" x14ac:dyDescent="0.3">
      <c r="A344" s="28" t="str">
        <f>HYPERLINK("https://www.google.com/search?q=Clamator jacobinus&amp;tbm=isch")</f>
        <v>https://www.google.com/search?q=Clamator jacobinus&amp;tbm=isch</v>
      </c>
      <c r="B344" s="29" t="str">
        <f>HYPERLINK("https://www.xeno-canto.org/species/Clamator-jacobinus")</f>
        <v>https://www.xeno-canto.org/species/Clamator-jacobinus</v>
      </c>
      <c r="C344" s="30" t="str">
        <f>HYPERLINK("https://ebird.org/species/piecuc1")</f>
        <v>https://ebird.org/species/piecuc1</v>
      </c>
      <c r="D344" s="31" t="str">
        <f>HYPERLINK("https://www.hbw.com/species/Jacobin-Cuckoo-Clamator-jacobinus")</f>
        <v>https://www.hbw.com/species/Jacobin-Cuckoo-Clamator-jacobinus</v>
      </c>
      <c r="E344" s="32" t="str">
        <f>HYPERLINK("https://www.iucnredlist.org/search?query=Clamator jacobinus&amp;searchType=species")</f>
        <v>https://www.iucnredlist.org/search?query=Clamator jacobinus&amp;searchType=species</v>
      </c>
      <c r="F344" s="2">
        <v>274</v>
      </c>
      <c r="G344" s="27" t="s">
        <v>807</v>
      </c>
      <c r="H344" s="85" t="s">
        <v>830</v>
      </c>
      <c r="I344" s="93" t="s">
        <v>831</v>
      </c>
      <c r="J344" s="1" t="s">
        <v>19</v>
      </c>
      <c r="M344" s="2" t="s">
        <v>832</v>
      </c>
      <c r="N344" s="2" t="s">
        <v>833</v>
      </c>
    </row>
    <row r="345" spans="1:14" ht="14.4" x14ac:dyDescent="0.3">
      <c r="A345" s="28" t="str">
        <f>HYPERLINK("https://www.google.com/search?q=Eudynamys scolopaceus&amp;tbm=isch")</f>
        <v>https://www.google.com/search?q=Eudynamys scolopaceus&amp;tbm=isch</v>
      </c>
      <c r="B345" s="29" t="str">
        <f>HYPERLINK("https://www.xeno-canto.org/species/Eudynamys-scolopaceus")</f>
        <v>https://www.xeno-canto.org/species/Eudynamys-scolopaceus</v>
      </c>
      <c r="C345" s="30" t="str">
        <f>HYPERLINK("https://ebird.org/species/asikoe2")</f>
        <v>https://ebird.org/species/asikoe2</v>
      </c>
      <c r="D345" s="31" t="str">
        <f>HYPERLINK("https://www.hbw.com/species/Western-Koel-Eudynamys-scolopaceus")</f>
        <v>https://www.hbw.com/species/Western-Koel-Eudynamys-scolopaceus</v>
      </c>
      <c r="E345" s="32" t="str">
        <f>HYPERLINK("https://www.iucnredlist.org/search?query=Eudynamys scolopaceus&amp;searchType=species")</f>
        <v>https://www.iucnredlist.org/search?query=Eudynamys scolopaceus&amp;searchType=species</v>
      </c>
      <c r="F345" s="2">
        <v>275</v>
      </c>
      <c r="G345" s="27" t="s">
        <v>807</v>
      </c>
      <c r="H345" s="84" t="s">
        <v>834</v>
      </c>
      <c r="I345" s="92" t="s">
        <v>835</v>
      </c>
      <c r="J345" s="1" t="s">
        <v>15</v>
      </c>
      <c r="M345" s="2" t="s">
        <v>836</v>
      </c>
    </row>
    <row r="346" spans="1:14" ht="30.6" x14ac:dyDescent="0.3">
      <c r="A346" s="28" t="str">
        <f>HYPERLINK("https://www.google.com/search?q=Scythrops novaehollandiae&amp;tbm=isch")</f>
        <v>https://www.google.com/search?q=Scythrops novaehollandiae&amp;tbm=isch</v>
      </c>
      <c r="B346" s="29" t="str">
        <f>HYPERLINK("https://www.xeno-canto.org/species/Scythrops-novaehollandiae")</f>
        <v>https://www.xeno-canto.org/species/Scythrops-novaehollandiae</v>
      </c>
      <c r="C346" s="30" t="str">
        <f>HYPERLINK("https://ebird.org/species/chbcuc2")</f>
        <v>https://ebird.org/species/chbcuc2</v>
      </c>
      <c r="D346" s="31" t="str">
        <f>HYPERLINK("https://www.hbw.com/species/Channel-billed-Cuckoo-Scythrops-novaehollandiae")</f>
        <v>https://www.hbw.com/species/Channel-billed-Cuckoo-Scythrops-novaehollandiae</v>
      </c>
      <c r="E346" s="32" t="str">
        <f>HYPERLINK("https://www.iucnredlist.org/search?query=Scythrops novaehollandiae&amp;searchType=species")</f>
        <v>https://www.iucnredlist.org/search?query=Scythrops novaehollandiae&amp;searchType=species</v>
      </c>
      <c r="F346" s="2">
        <v>276</v>
      </c>
      <c r="G346" s="27" t="s">
        <v>807</v>
      </c>
      <c r="H346" s="85" t="s">
        <v>837</v>
      </c>
      <c r="I346" s="93" t="s">
        <v>838</v>
      </c>
      <c r="J346" s="1" t="s">
        <v>19</v>
      </c>
      <c r="M346" s="2" t="s">
        <v>233</v>
      </c>
      <c r="N346" s="2" t="s">
        <v>11328</v>
      </c>
    </row>
    <row r="347" spans="1:14" ht="14.4" x14ac:dyDescent="0.3">
      <c r="A347" s="28" t="str">
        <f>HYPERLINK("https://www.google.com/search?q=Chrysococcyx xanthorhynchus&amp;tbm=isch")</f>
        <v>https://www.google.com/search?q=Chrysococcyx xanthorhynchus&amp;tbm=isch</v>
      </c>
      <c r="B347" s="29" t="str">
        <f>HYPERLINK("https://www.xeno-canto.org/species/Chrysococcyx-xanthorhynchus")</f>
        <v>https://www.xeno-canto.org/species/Chrysococcyx-xanthorhynchus</v>
      </c>
      <c r="C347" s="30" t="str">
        <f>HYPERLINK("https://ebird.org/species/viocuc1")</f>
        <v>https://ebird.org/species/viocuc1</v>
      </c>
      <c r="D347" s="31" t="str">
        <f>HYPERLINK("https://www.hbw.com/species/Violet-Cuckoo-Chrysococcyx-xanthorhynchus")</f>
        <v>https://www.hbw.com/species/Violet-Cuckoo-Chrysococcyx-xanthorhynchus</v>
      </c>
      <c r="E347" s="32" t="str">
        <f>HYPERLINK("https://www.iucnredlist.org/search?query=Chrysococcyx xanthorhynchus&amp;searchType=species")</f>
        <v>https://www.iucnredlist.org/search?query=Chrysococcyx xanthorhynchus&amp;searchType=species</v>
      </c>
      <c r="F347" s="2">
        <v>277</v>
      </c>
      <c r="G347" s="27" t="s">
        <v>807</v>
      </c>
      <c r="H347" s="84" t="s">
        <v>839</v>
      </c>
      <c r="I347" s="92" t="s">
        <v>840</v>
      </c>
      <c r="J347" s="1" t="s">
        <v>15</v>
      </c>
      <c r="M347" s="2" t="s">
        <v>841</v>
      </c>
    </row>
    <row r="348" spans="1:14" ht="14.4" x14ac:dyDescent="0.3">
      <c r="A348" s="28" t="str">
        <f>HYPERLINK("https://www.google.com/search?q=Chrysococcyx minutillus&amp;tbm=isch")</f>
        <v>https://www.google.com/search?q=Chrysococcyx minutillus&amp;tbm=isch</v>
      </c>
      <c r="B348" s="29" t="str">
        <f>HYPERLINK("https://www.xeno-canto.org/species/Chrysococcyx-minutillus")</f>
        <v>https://www.xeno-canto.org/species/Chrysococcyx-minutillus</v>
      </c>
      <c r="C348" s="30" t="str">
        <f>HYPERLINK("https://ebird.org/species/libcuc1")</f>
        <v>https://ebird.org/species/libcuc1</v>
      </c>
      <c r="D348" s="31" t="str">
        <f>HYPERLINK("https://www.hbw.com/species/Little-Bronze-cuckoo-Chalcites-minutillus")</f>
        <v>https://www.hbw.com/species/Little-Bronze-cuckoo-Chalcites-minutillus</v>
      </c>
      <c r="E348" s="32" t="str">
        <f>HYPERLINK("https://www.iucnredlist.org/search?query=Chrysococcyx minutillus&amp;searchType=species")</f>
        <v>https://www.iucnredlist.org/search?query=Chrysococcyx minutillus&amp;searchType=species</v>
      </c>
      <c r="F348" s="2">
        <v>278</v>
      </c>
      <c r="G348" s="27" t="s">
        <v>807</v>
      </c>
      <c r="H348" s="84" t="s">
        <v>842</v>
      </c>
      <c r="I348" s="92" t="s">
        <v>843</v>
      </c>
      <c r="J348" s="1" t="s">
        <v>15</v>
      </c>
      <c r="M348" s="2" t="s">
        <v>844</v>
      </c>
      <c r="N348" s="2" t="s">
        <v>123</v>
      </c>
    </row>
    <row r="349" spans="1:14" ht="14.4" x14ac:dyDescent="0.3">
      <c r="A349" s="28" t="str">
        <f>HYPERLINK("https://www.google.com/search?q=Cacomantis sonneratii&amp;tbm=isch")</f>
        <v>https://www.google.com/search?q=Cacomantis sonneratii&amp;tbm=isch</v>
      </c>
      <c r="B349" s="29" t="str">
        <f>HYPERLINK("https://www.xeno-canto.org/species/Cacomantis-sonneratii")</f>
        <v>https://www.xeno-canto.org/species/Cacomantis-sonneratii</v>
      </c>
      <c r="C349" s="30" t="str">
        <f>HYPERLINK("https://ebird.org/species/babcuc2")</f>
        <v>https://ebird.org/species/babcuc2</v>
      </c>
      <c r="D349" s="31" t="str">
        <f>HYPERLINK("https://www.hbw.com/species/Banded-Bay-Cuckoo-Cacomantis-sonneratii")</f>
        <v>https://www.hbw.com/species/Banded-Bay-Cuckoo-Cacomantis-sonneratii</v>
      </c>
      <c r="E349" s="32" t="str">
        <f>HYPERLINK("https://www.iucnredlist.org/search?query=Cacomantis sonneratii&amp;searchType=species")</f>
        <v>https://www.iucnredlist.org/search?query=Cacomantis sonneratii&amp;searchType=species</v>
      </c>
      <c r="F349" s="2">
        <v>279</v>
      </c>
      <c r="G349" s="27" t="s">
        <v>807</v>
      </c>
      <c r="H349" s="84" t="s">
        <v>845</v>
      </c>
      <c r="I349" s="92" t="s">
        <v>846</v>
      </c>
      <c r="J349" s="1" t="s">
        <v>317</v>
      </c>
      <c r="M349" s="2" t="s">
        <v>43</v>
      </c>
    </row>
    <row r="350" spans="1:14" ht="14.4" x14ac:dyDescent="0.3">
      <c r="A350" s="28" t="str">
        <f>HYPERLINK("https://www.google.com/search?q=Cacomantis merulinus&amp;tbm=isch")</f>
        <v>https://www.google.com/search?q=Cacomantis merulinus&amp;tbm=isch</v>
      </c>
      <c r="B350" s="29" t="str">
        <f>HYPERLINK("https://www.xeno-canto.org/species/Cacomantis-merulinus")</f>
        <v>https://www.xeno-canto.org/species/Cacomantis-merulinus</v>
      </c>
      <c r="C350" s="30" t="str">
        <f>HYPERLINK("https://ebird.org/species/placuc1")</f>
        <v>https://ebird.org/species/placuc1</v>
      </c>
      <c r="D350" s="31" t="str">
        <f>HYPERLINK("https://www.hbw.com/species/Plaintive-Cuckoo-Cacomantis-merulinus")</f>
        <v>https://www.hbw.com/species/Plaintive-Cuckoo-Cacomantis-merulinus</v>
      </c>
      <c r="E350" s="32" t="str">
        <f>HYPERLINK("https://www.iucnredlist.org/search?query=Cacomantis merulinus&amp;searchType=species")</f>
        <v>https://www.iucnredlist.org/search?query=Cacomantis merulinus&amp;searchType=species</v>
      </c>
      <c r="F350" s="2">
        <v>280</v>
      </c>
      <c r="G350" s="27" t="s">
        <v>807</v>
      </c>
      <c r="H350" s="84" t="s">
        <v>847</v>
      </c>
      <c r="I350" s="92" t="s">
        <v>848</v>
      </c>
      <c r="J350" s="1" t="s">
        <v>15</v>
      </c>
      <c r="M350" s="2" t="s">
        <v>841</v>
      </c>
    </row>
    <row r="351" spans="1:14" ht="20.399999999999999" x14ac:dyDescent="0.3">
      <c r="A351" s="28" t="str">
        <f>HYPERLINK("https://www.google.com/search?q=Cacomantis sepulcralis&amp;tbm=isch")</f>
        <v>https://www.google.com/search?q=Cacomantis sepulcralis&amp;tbm=isch</v>
      </c>
      <c r="B351" s="29" t="str">
        <f>HYPERLINK("https://www.xeno-canto.org/species/Cacomantis-sepulcralis")</f>
        <v>https://www.xeno-canto.org/species/Cacomantis-sepulcralis</v>
      </c>
      <c r="C351" s="30" t="str">
        <f>HYPERLINK("https://ebird.org/species/brucuc1")</f>
        <v>https://ebird.org/species/brucuc1</v>
      </c>
      <c r="D351" s="31" t="str">
        <f>HYPERLINK("https://www.hbw.com/species/Brush-Cuckoo-Cacomantis-variolosus")</f>
        <v>https://www.hbw.com/species/Brush-Cuckoo-Cacomantis-variolosus</v>
      </c>
      <c r="E351" s="32" t="str">
        <f>HYPERLINK("https://www.iucnredlist.org/search?query=Cacomantis sepulcralis&amp;searchType=species")</f>
        <v>https://www.iucnredlist.org/search?query=Cacomantis sepulcralis&amp;searchType=species</v>
      </c>
      <c r="F351" s="2">
        <v>281</v>
      </c>
      <c r="G351" s="27" t="s">
        <v>807</v>
      </c>
      <c r="H351" s="84" t="s">
        <v>849</v>
      </c>
      <c r="I351" s="92" t="s">
        <v>850</v>
      </c>
      <c r="J351" s="1" t="s">
        <v>15</v>
      </c>
      <c r="M351" s="2" t="s">
        <v>851</v>
      </c>
    </row>
    <row r="352" spans="1:14" ht="14.4" x14ac:dyDescent="0.3">
      <c r="A352" s="28" t="str">
        <f>HYPERLINK("https://www.google.com/search?q=Surniculus velutinus&amp;tbm=isch")</f>
        <v>https://www.google.com/search?q=Surniculus velutinus&amp;tbm=isch</v>
      </c>
      <c r="B352" s="29" t="str">
        <f>HYPERLINK("https://www.xeno-canto.org/species/Surniculus-velutinus")</f>
        <v>https://www.xeno-canto.org/species/Surniculus-velutinus</v>
      </c>
      <c r="C352" s="30" t="str">
        <f>HYPERLINK("https://ebird.org/species/phidrc1")</f>
        <v>https://ebird.org/species/phidrc1</v>
      </c>
      <c r="D352" s="31" t="str">
        <f>HYPERLINK("https://www.hbw.com/species/Philippine-Drongo-cuckoo-Surniculus-velutinus")</f>
        <v>https://www.hbw.com/species/Philippine-Drongo-cuckoo-Surniculus-velutinus</v>
      </c>
      <c r="E352" s="32" t="str">
        <f>HYPERLINK("https://www.iucnredlist.org/search?query=Surniculus velutinus&amp;searchType=species")</f>
        <v>https://www.iucnredlist.org/search?query=Surniculus velutinus&amp;searchType=species</v>
      </c>
      <c r="F352" s="2">
        <v>282</v>
      </c>
      <c r="G352" s="27" t="s">
        <v>807</v>
      </c>
      <c r="H352" s="86" t="s">
        <v>852</v>
      </c>
      <c r="I352" s="94" t="s">
        <v>853</v>
      </c>
      <c r="J352" s="1" t="s">
        <v>65</v>
      </c>
      <c r="M352" s="2" t="s">
        <v>68</v>
      </c>
    </row>
    <row r="353" spans="1:13" ht="30.6" x14ac:dyDescent="0.3">
      <c r="A353" s="28" t="str">
        <f>HYPERLINK("https://www.google.com/search?q=Surniculus lugubris&amp;tbm=isch")</f>
        <v>https://www.google.com/search?q=Surniculus lugubris&amp;tbm=isch</v>
      </c>
      <c r="B353" s="29" t="str">
        <f>HYPERLINK("https://www.xeno-canto.org/species/Surniculus-lugubris")</f>
        <v>https://www.xeno-canto.org/species/Surniculus-lugubris</v>
      </c>
      <c r="C353" s="30" t="str">
        <f>HYPERLINK("https://ebird.org/species/asidrc3")</f>
        <v>https://ebird.org/species/asidrc3</v>
      </c>
      <c r="D353" s="31" t="str">
        <f>HYPERLINK("https://www.hbw.com/species/Square-tailed-Drongo-cuckoo-Surniculus-lugubris")</f>
        <v>https://www.hbw.com/species/Square-tailed-Drongo-cuckoo-Surniculus-lugubris</v>
      </c>
      <c r="E353" s="32" t="str">
        <f>HYPERLINK("https://www.iucnredlist.org/search?query=Surniculus lugubris&amp;searchType=species")</f>
        <v>https://www.iucnredlist.org/search?query=Surniculus lugubris&amp;searchType=species</v>
      </c>
      <c r="F353" s="2">
        <v>283</v>
      </c>
      <c r="G353" s="27" t="s">
        <v>807</v>
      </c>
      <c r="H353" s="84" t="s">
        <v>854</v>
      </c>
      <c r="I353" s="92" t="s">
        <v>855</v>
      </c>
      <c r="J353" s="1" t="s">
        <v>15</v>
      </c>
      <c r="M353" s="2" t="s">
        <v>856</v>
      </c>
    </row>
    <row r="354" spans="1:13" ht="14.4" x14ac:dyDescent="0.3">
      <c r="A354" s="28" t="str">
        <f>HYPERLINK("https://www.google.com/search?q=Hierococcyx sparverioides&amp;tbm=isch")</f>
        <v>https://www.google.com/search?q=Hierococcyx sparverioides&amp;tbm=isch</v>
      </c>
      <c r="B354" s="29" t="str">
        <f>HYPERLINK("https://www.xeno-canto.org/species/Hierococcyx-sparverioides")</f>
        <v>https://www.xeno-canto.org/species/Hierococcyx-sparverioides</v>
      </c>
      <c r="C354" s="30" t="str">
        <f>HYPERLINK("https://ebird.org/species/larhac2")</f>
        <v>https://ebird.org/species/larhac2</v>
      </c>
      <c r="D354" s="31" t="str">
        <f>HYPERLINK("https://www.hbw.com/species/Large-Hawk-cuckoo-Hierococcyx-sparverioides")</f>
        <v>https://www.hbw.com/species/Large-Hawk-cuckoo-Hierococcyx-sparverioides</v>
      </c>
      <c r="E354" s="32" t="str">
        <f>HYPERLINK("https://www.iucnredlist.org/search?query=Hierococcyx sparverioides&amp;searchType=species")</f>
        <v>https://www.iucnredlist.org/search?query=Hierococcyx sparverioides&amp;searchType=species</v>
      </c>
      <c r="F354" s="2">
        <v>284</v>
      </c>
      <c r="G354" s="27" t="s">
        <v>807</v>
      </c>
      <c r="H354" s="84" t="s">
        <v>857</v>
      </c>
      <c r="I354" s="92" t="s">
        <v>858</v>
      </c>
      <c r="J354" s="1" t="s">
        <v>50</v>
      </c>
      <c r="M354" s="2" t="s">
        <v>43</v>
      </c>
    </row>
    <row r="355" spans="1:13" ht="14.4" x14ac:dyDescent="0.3">
      <c r="A355" s="28" t="str">
        <f>HYPERLINK("https://www.google.com/search?q=Hierococcyx pectoralis&amp;tbm=isch")</f>
        <v>https://www.google.com/search?q=Hierococcyx pectoralis&amp;tbm=isch</v>
      </c>
      <c r="B355" s="29" t="str">
        <f>HYPERLINK("https://www.xeno-canto.org/species/Hierococcyx-pectoralis")</f>
        <v>https://www.xeno-canto.org/species/Hierococcyx-pectoralis</v>
      </c>
      <c r="C355" s="30" t="str">
        <f>HYPERLINK("https://ebird.org/species/phhcuc1")</f>
        <v>https://ebird.org/species/phhcuc1</v>
      </c>
      <c r="D355" s="31" t="str">
        <f>HYPERLINK("https://www.hbw.com/species/Philippine-Hawk-cuckoo-Hierococcyx-pectoralis")</f>
        <v>https://www.hbw.com/species/Philippine-Hawk-cuckoo-Hierococcyx-pectoralis</v>
      </c>
      <c r="E355" s="32" t="str">
        <f>HYPERLINK("https://www.iucnredlist.org/search?query=Hierococcyx pectoralis&amp;searchType=species")</f>
        <v>https://www.iucnredlist.org/search?query=Hierococcyx pectoralis&amp;searchType=species</v>
      </c>
      <c r="F355" s="2">
        <v>285</v>
      </c>
      <c r="G355" s="27" t="s">
        <v>807</v>
      </c>
      <c r="H355" s="86" t="s">
        <v>859</v>
      </c>
      <c r="I355" s="94" t="s">
        <v>860</v>
      </c>
      <c r="J355" s="1" t="s">
        <v>65</v>
      </c>
      <c r="M355" s="2" t="s">
        <v>68</v>
      </c>
    </row>
    <row r="356" spans="1:13" ht="14.4" x14ac:dyDescent="0.3">
      <c r="A356" s="28" t="str">
        <f>HYPERLINK("https://www.google.com/search?q=Cuculus micropterus&amp;tbm=isch")</f>
        <v>https://www.google.com/search?q=Cuculus micropterus&amp;tbm=isch</v>
      </c>
      <c r="B356" s="29" t="str">
        <f>HYPERLINK("https://www.xeno-canto.org/species/Cuculus-micropterus")</f>
        <v>https://www.xeno-canto.org/species/Cuculus-micropterus</v>
      </c>
      <c r="C356" s="30" t="str">
        <f>HYPERLINK("https://ebird.org/species/indcuc1")</f>
        <v>https://ebird.org/species/indcuc1</v>
      </c>
      <c r="D356" s="31" t="str">
        <f>HYPERLINK("https://www.hbw.com/species/Indian-Cuckoo-Cuculus-micropterus")</f>
        <v>https://www.hbw.com/species/Indian-Cuckoo-Cuculus-micropterus</v>
      </c>
      <c r="E356" s="32" t="str">
        <f>HYPERLINK("https://www.iucnredlist.org/search?query=Cuculus micropterus&amp;searchType=species")</f>
        <v>https://www.iucnredlist.org/search?query=Cuculus micropterus&amp;searchType=species</v>
      </c>
      <c r="F356" s="2">
        <v>286</v>
      </c>
      <c r="G356" s="27" t="s">
        <v>807</v>
      </c>
      <c r="H356" s="83" t="s">
        <v>861</v>
      </c>
      <c r="I356" s="92" t="s">
        <v>862</v>
      </c>
      <c r="J356" s="1" t="s">
        <v>50</v>
      </c>
      <c r="M356" s="2" t="s">
        <v>215</v>
      </c>
    </row>
    <row r="357" spans="1:13" ht="14.4" x14ac:dyDescent="0.3">
      <c r="A357" s="28" t="str">
        <f>HYPERLINK("https://www.google.com/search?q=Cuculus saturatus&amp;tbm=isch")</f>
        <v>https://www.google.com/search?q=Cuculus saturatus&amp;tbm=isch</v>
      </c>
      <c r="B357" s="29" t="str">
        <f>HYPERLINK("https://www.xeno-canto.org/species/Cuculus-saturatus")</f>
        <v>https://www.xeno-canto.org/species/Cuculus-saturatus</v>
      </c>
      <c r="C357" s="30" t="str">
        <f>HYPERLINK("https://ebird.org/species/himcuc1")</f>
        <v>https://ebird.org/species/himcuc1</v>
      </c>
      <c r="D357" s="31" t="str">
        <f>HYPERLINK("https://www.hbw.com/species/Oriental-Cuckoo-Cuculus-saturatus")</f>
        <v>https://www.hbw.com/species/Oriental-Cuckoo-Cuculus-saturatus</v>
      </c>
      <c r="E357" s="32" t="str">
        <f>HYPERLINK("https://www.iucnredlist.org/search?query=Cuculus saturatus&amp;searchType=species")</f>
        <v>https://www.iucnredlist.org/search?query=Cuculus saturatus&amp;searchType=species</v>
      </c>
      <c r="F357" s="2">
        <v>287</v>
      </c>
      <c r="G357" s="27" t="s">
        <v>807</v>
      </c>
      <c r="H357" s="83" t="s">
        <v>863</v>
      </c>
      <c r="I357" s="92" t="s">
        <v>864</v>
      </c>
      <c r="J357" s="1" t="s">
        <v>50</v>
      </c>
      <c r="M357" s="2" t="s">
        <v>865</v>
      </c>
    </row>
    <row r="358" spans="1:13" ht="14.4" x14ac:dyDescent="0.3">
      <c r="A358" s="28" t="str">
        <f>HYPERLINK("https://www.google.com/search?q=Cuculus optatus&amp;tbm=isch")</f>
        <v>https://www.google.com/search?q=Cuculus optatus&amp;tbm=isch</v>
      </c>
      <c r="B358" s="29" t="str">
        <f>HYPERLINK("https://www.xeno-canto.org/species/Cuculus-optatus")</f>
        <v>https://www.xeno-canto.org/species/Cuculus-optatus</v>
      </c>
      <c r="C358" s="30" t="str">
        <f>HYPERLINK("https://ebird.org/species/oricuc2")</f>
        <v>https://ebird.org/species/oricuc2</v>
      </c>
      <c r="D358" s="31" t="str">
        <f>HYPERLINK("https://www.hbw.com/species/Oriental-Cuckoo-Cuculus-optatus")</f>
        <v>https://www.hbw.com/species/Oriental-Cuckoo-Cuculus-optatus</v>
      </c>
      <c r="E358" s="32" t="str">
        <f>HYPERLINK("https://www.iucnredlist.org/search?query=Cuculus optatus&amp;searchType=species")</f>
        <v>https://www.iucnredlist.org/search?query=Cuculus optatus&amp;searchType=species</v>
      </c>
      <c r="F358" s="2">
        <v>288</v>
      </c>
      <c r="G358" s="27" t="s">
        <v>807</v>
      </c>
      <c r="H358" s="83" t="s">
        <v>866</v>
      </c>
      <c r="I358" s="92" t="s">
        <v>867</v>
      </c>
      <c r="J358" s="1" t="s">
        <v>50</v>
      </c>
      <c r="M358" s="2" t="s">
        <v>868</v>
      </c>
    </row>
    <row r="359" spans="1:13" x14ac:dyDescent="0.3">
      <c r="A359" s="33"/>
      <c r="B359" s="34"/>
      <c r="C359" s="35"/>
      <c r="D359" s="36"/>
      <c r="E359" s="37"/>
    </row>
    <row r="360" spans="1:13" ht="12" x14ac:dyDescent="0.3">
      <c r="A360" s="33"/>
      <c r="B360" s="34"/>
      <c r="C360" s="35"/>
      <c r="D360" s="36"/>
      <c r="E360" s="37"/>
      <c r="H360" s="82" t="s">
        <v>869</v>
      </c>
      <c r="I360" s="91" t="s">
        <v>870</v>
      </c>
    </row>
    <row r="361" spans="1:13" ht="30.6" x14ac:dyDescent="0.3">
      <c r="A361" s="28" t="str">
        <f>HYPERLINK("https://www.google.com/search?q=Tyto longimembris&amp;tbm=isch")</f>
        <v>https://www.google.com/search?q=Tyto longimembris&amp;tbm=isch</v>
      </c>
      <c r="B361" s="29" t="str">
        <f>HYPERLINK("https://www.xeno-canto.org/species/Tyto-longimembris")</f>
        <v>https://www.xeno-canto.org/species/Tyto-longimembris</v>
      </c>
      <c r="C361" s="30" t="str">
        <f>HYPERLINK("https://ebird.org/species/ausgro1")</f>
        <v>https://ebird.org/species/ausgro1</v>
      </c>
      <c r="D361" s="31" t="str">
        <f>HYPERLINK("https://www.hbw.com/species/Eastern-Grass-owl-Tyto-longimembris")</f>
        <v>https://www.hbw.com/species/Eastern-Grass-owl-Tyto-longimembris</v>
      </c>
      <c r="E361" s="32" t="str">
        <f>HYPERLINK("https://www.iucnredlist.org/search?query=Tyto longimembris&amp;searchType=species")</f>
        <v>https://www.iucnredlist.org/search?query=Tyto longimembris&amp;searchType=species</v>
      </c>
      <c r="F361" s="2">
        <v>289</v>
      </c>
      <c r="G361" s="27" t="s">
        <v>870</v>
      </c>
      <c r="H361" s="84" t="s">
        <v>871</v>
      </c>
      <c r="I361" s="92" t="s">
        <v>872</v>
      </c>
      <c r="J361" s="1" t="s">
        <v>15</v>
      </c>
      <c r="M361" s="2" t="s">
        <v>873</v>
      </c>
    </row>
    <row r="362" spans="1:13" x14ac:dyDescent="0.3">
      <c r="A362" s="33"/>
      <c r="B362" s="34"/>
      <c r="C362" s="35"/>
      <c r="D362" s="36"/>
      <c r="E362" s="37"/>
    </row>
    <row r="363" spans="1:13" ht="12" x14ac:dyDescent="0.3">
      <c r="A363" s="33"/>
      <c r="B363" s="34"/>
      <c r="C363" s="35"/>
      <c r="D363" s="36"/>
      <c r="E363" s="37"/>
      <c r="H363" s="82" t="s">
        <v>874</v>
      </c>
      <c r="I363" s="91" t="s">
        <v>875</v>
      </c>
    </row>
    <row r="364" spans="1:13" ht="14.4" x14ac:dyDescent="0.3">
      <c r="A364" s="28" t="str">
        <f>HYPERLINK("https://www.google.com/search?q=Otus gurneyi&amp;tbm=isch")</f>
        <v>https://www.google.com/search?q=Otus gurneyi&amp;tbm=isch</v>
      </c>
      <c r="B364" s="29" t="str">
        <f>HYPERLINK("https://www.xeno-canto.org/species/Otus-gurneyi")</f>
        <v>https://www.xeno-canto.org/species/Otus-gurneyi</v>
      </c>
      <c r="C364" s="30" t="str">
        <f>HYPERLINK("https://ebird.org/species/mineao1")</f>
        <v>https://ebird.org/species/mineao1</v>
      </c>
      <c r="D364" s="31" t="str">
        <f>HYPERLINK("https://www.hbw.com/species/Giant-Scops-owl-Otus-gurneyi")</f>
        <v>https://www.hbw.com/species/Giant-Scops-owl-Otus-gurneyi</v>
      </c>
      <c r="E364" s="32" t="str">
        <f>HYPERLINK("https://www.iucnredlist.org/search?query=Otus gurneyi&amp;searchType=species")</f>
        <v>https://www.iucnredlist.org/search?query=Otus gurneyi&amp;searchType=species</v>
      </c>
      <c r="F364" s="2">
        <v>290</v>
      </c>
      <c r="G364" s="27" t="s">
        <v>875</v>
      </c>
      <c r="H364" s="86" t="s">
        <v>876</v>
      </c>
      <c r="I364" s="94" t="s">
        <v>877</v>
      </c>
      <c r="J364" s="1" t="s">
        <v>65</v>
      </c>
      <c r="K364" s="1" t="s">
        <v>66</v>
      </c>
      <c r="L364" s="1" t="s">
        <v>67</v>
      </c>
      <c r="M364" s="2" t="s">
        <v>68</v>
      </c>
    </row>
    <row r="365" spans="1:13" ht="14.4" x14ac:dyDescent="0.3">
      <c r="A365" s="28" t="str">
        <f>HYPERLINK("https://www.google.com/search?q=Otus fuliginosus&amp;tbm=isch")</f>
        <v>https://www.google.com/search?q=Otus fuliginosus&amp;tbm=isch</v>
      </c>
      <c r="B365" s="29" t="str">
        <f>HYPERLINK("https://www.xeno-canto.org/species/Otus-fuliginosus")</f>
        <v>https://www.xeno-canto.org/species/Otus-fuliginosus</v>
      </c>
      <c r="C365" s="30" t="str">
        <f>HYPERLINK("https://ebird.org/species/pasowl2")</f>
        <v>https://ebird.org/species/pasowl2</v>
      </c>
      <c r="D365" s="31" t="str">
        <f>HYPERLINK("https://www.hbw.com/species/Palawan-Scops-owl-Otus-fuliginosus")</f>
        <v>https://www.hbw.com/species/Palawan-Scops-owl-Otus-fuliginosus</v>
      </c>
      <c r="E365" s="32" t="str">
        <f>HYPERLINK("https://www.iucnredlist.org/search?query=Otus fuliginosus&amp;searchType=species")</f>
        <v>https://www.iucnredlist.org/search?query=Otus fuliginosus&amp;searchType=species</v>
      </c>
      <c r="F365" s="2">
        <v>291</v>
      </c>
      <c r="G365" s="27" t="s">
        <v>875</v>
      </c>
      <c r="H365" s="86" t="s">
        <v>878</v>
      </c>
      <c r="I365" s="94" t="s">
        <v>879</v>
      </c>
      <c r="J365" s="1" t="s">
        <v>65</v>
      </c>
      <c r="K365" s="1" t="s">
        <v>58</v>
      </c>
      <c r="L365" s="1" t="s">
        <v>67</v>
      </c>
      <c r="M365" s="2" t="s">
        <v>880</v>
      </c>
    </row>
    <row r="366" spans="1:13" ht="20.399999999999999" x14ac:dyDescent="0.3">
      <c r="A366" s="28" t="str">
        <f>HYPERLINK("https://www.google.com/search?q=Otus megalotis&amp;tbm=isch")</f>
        <v>https://www.google.com/search?q=Otus megalotis&amp;tbm=isch</v>
      </c>
      <c r="B366" s="29" t="str">
        <f>HYPERLINK("https://www.xeno-canto.org/species/Otus-megalotis")</f>
        <v>https://www.xeno-canto.org/species/Otus-megalotis</v>
      </c>
      <c r="C366" s="30" t="str">
        <f>HYPERLINK("https://ebird.org/species/phsowl1")</f>
        <v>https://ebird.org/species/phsowl1</v>
      </c>
      <c r="D366" s="31" t="str">
        <f>HYPERLINK("https://www.hbw.com/species/Luzon-Lowland-Scops-owl-Otus-megalotis")</f>
        <v>https://www.hbw.com/species/Luzon-Lowland-Scops-owl-Otus-megalotis</v>
      </c>
      <c r="E366" s="32" t="str">
        <f>HYPERLINK("https://www.iucnredlist.org/search?query=Otus megalotis&amp;searchType=species")</f>
        <v>https://www.iucnredlist.org/search?query=Otus megalotis&amp;searchType=species</v>
      </c>
      <c r="F366" s="2">
        <v>292</v>
      </c>
      <c r="G366" s="27" t="s">
        <v>875</v>
      </c>
      <c r="H366" s="86" t="s">
        <v>881</v>
      </c>
      <c r="I366" s="94" t="s">
        <v>882</v>
      </c>
      <c r="J366" s="1" t="s">
        <v>65</v>
      </c>
      <c r="M366" s="2" t="s">
        <v>883</v>
      </c>
    </row>
    <row r="367" spans="1:13" ht="20.399999999999999" x14ac:dyDescent="0.3">
      <c r="A367" s="28" t="str">
        <f>HYPERLINK("https://www.google.com/search?q=Otus everetti&amp;tbm=isch")</f>
        <v>https://www.google.com/search?q=Otus everetti&amp;tbm=isch</v>
      </c>
      <c r="B367" s="29" t="str">
        <f>HYPERLINK("https://www.xeno-canto.org/species/Otus-everetti")</f>
        <v>https://www.xeno-canto.org/species/Otus-everetti</v>
      </c>
      <c r="C367" s="30" t="str">
        <f>HYPERLINK("https://ebird.org/species/evesco1")</f>
        <v>https://ebird.org/species/evesco1</v>
      </c>
      <c r="D367" s="31" t="str">
        <f>HYPERLINK("https://www.hbw.com/species/Mindanao-Lowland-Scops-owl-Otus-everetti")</f>
        <v>https://www.hbw.com/species/Mindanao-Lowland-Scops-owl-Otus-everetti</v>
      </c>
      <c r="E367" s="32" t="str">
        <f>HYPERLINK("https://www.iucnredlist.org/search?query=Otus everetti&amp;searchType=species")</f>
        <v>https://www.iucnredlist.org/search?query=Otus everetti&amp;searchType=species</v>
      </c>
      <c r="F367" s="2">
        <v>293</v>
      </c>
      <c r="G367" s="27" t="s">
        <v>875</v>
      </c>
      <c r="H367" s="86" t="s">
        <v>884</v>
      </c>
      <c r="I367" s="94" t="s">
        <v>885</v>
      </c>
      <c r="J367" s="1" t="s">
        <v>65</v>
      </c>
      <c r="M367" s="2" t="s">
        <v>886</v>
      </c>
    </row>
    <row r="368" spans="1:13" ht="14.4" x14ac:dyDescent="0.3">
      <c r="A368" s="28" t="str">
        <f>HYPERLINK("https://www.google.com/search?q=Otus nigrorum&amp;tbm=isch")</f>
        <v>https://www.google.com/search?q=Otus nigrorum&amp;tbm=isch</v>
      </c>
      <c r="B368" s="29" t="str">
        <f>HYPERLINK("https://www.xeno-canto.org/species/Otus-nigrorum")</f>
        <v>https://www.xeno-canto.org/species/Otus-nigrorum</v>
      </c>
      <c r="C368" s="30" t="str">
        <f>HYPERLINK("https://ebird.org/species/negsco1")</f>
        <v>https://ebird.org/species/negsco1</v>
      </c>
      <c r="D368" s="31" t="str">
        <f>HYPERLINK("https://www.hbw.com/species/Visayan-Scops-owl-Otus-nigrorum")</f>
        <v>https://www.hbw.com/species/Visayan-Scops-owl-Otus-nigrorum</v>
      </c>
      <c r="E368" s="32" t="str">
        <f>HYPERLINK("https://www.iucnredlist.org/search?query=Otus nigrorum&amp;searchType=species")</f>
        <v>https://www.iucnredlist.org/search?query=Otus nigrorum&amp;searchType=species</v>
      </c>
      <c r="F368" s="2">
        <v>294</v>
      </c>
      <c r="G368" s="27" t="s">
        <v>875</v>
      </c>
      <c r="H368" s="86" t="s">
        <v>887</v>
      </c>
      <c r="I368" s="94" t="s">
        <v>888</v>
      </c>
      <c r="J368" s="1" t="s">
        <v>65</v>
      </c>
      <c r="K368" s="1" t="s">
        <v>66</v>
      </c>
      <c r="L368" s="1" t="s">
        <v>66</v>
      </c>
      <c r="M368" s="2" t="s">
        <v>889</v>
      </c>
    </row>
    <row r="369" spans="1:14" ht="14.4" x14ac:dyDescent="0.3">
      <c r="A369" s="28" t="str">
        <f>HYPERLINK("https://www.google.com/search?q=Otus mirus&amp;tbm=isch")</f>
        <v>https://www.google.com/search?q=Otus mirus&amp;tbm=isch</v>
      </c>
      <c r="B369" s="29" t="str">
        <f>HYPERLINK("https://www.xeno-canto.org/species/Otus-mirus")</f>
        <v>https://www.xeno-canto.org/species/Otus-mirus</v>
      </c>
      <c r="C369" s="30" t="str">
        <f>HYPERLINK("https://ebird.org/species/misowl1")</f>
        <v>https://ebird.org/species/misowl1</v>
      </c>
      <c r="D369" s="31" t="str">
        <f>HYPERLINK("https://www.hbw.com/species/Mindanao-Highland-Scops-owl-Otus-mirus")</f>
        <v>https://www.hbw.com/species/Mindanao-Highland-Scops-owl-Otus-mirus</v>
      </c>
      <c r="E369" s="32" t="str">
        <f>HYPERLINK("https://www.iucnredlist.org/search?query=Otus mirus&amp;searchType=species")</f>
        <v>https://www.iucnredlist.org/search?query=Otus mirus&amp;searchType=species</v>
      </c>
      <c r="F369" s="2">
        <v>295</v>
      </c>
      <c r="G369" s="27" t="s">
        <v>875</v>
      </c>
      <c r="H369" s="86" t="s">
        <v>890</v>
      </c>
      <c r="I369" s="94" t="s">
        <v>891</v>
      </c>
      <c r="J369" s="1" t="s">
        <v>65</v>
      </c>
      <c r="K369" s="1" t="s">
        <v>58</v>
      </c>
      <c r="M369" s="2" t="s">
        <v>892</v>
      </c>
    </row>
    <row r="370" spans="1:14" ht="14.4" x14ac:dyDescent="0.3">
      <c r="A370" s="28" t="str">
        <f>HYPERLINK("https://www.google.com/search?q=Otus longicornis&amp;tbm=isch")</f>
        <v>https://www.google.com/search?q=Otus longicornis&amp;tbm=isch</v>
      </c>
      <c r="B370" s="29" t="str">
        <f>HYPERLINK("https://www.xeno-canto.org/species/Otus-longicornis")</f>
        <v>https://www.xeno-canto.org/species/Otus-longicornis</v>
      </c>
      <c r="C370" s="30" t="str">
        <f>HYPERLINK("https://ebird.org/species/lusowl1")</f>
        <v>https://ebird.org/species/lusowl1</v>
      </c>
      <c r="D370" s="31" t="str">
        <f>HYPERLINK("https://www.hbw.com/species/Luzon-Highland-Scops-owl-Otus-longicornis")</f>
        <v>https://www.hbw.com/species/Luzon-Highland-Scops-owl-Otus-longicornis</v>
      </c>
      <c r="E370" s="32" t="str">
        <f>HYPERLINK("https://www.iucnredlist.org/search?query=Otus longicornis&amp;searchType=species")</f>
        <v>https://www.iucnredlist.org/search?query=Otus longicornis&amp;searchType=species</v>
      </c>
      <c r="F370" s="2">
        <v>296</v>
      </c>
      <c r="G370" s="27" t="s">
        <v>875</v>
      </c>
      <c r="H370" s="86" t="s">
        <v>893</v>
      </c>
      <c r="I370" s="94" t="s">
        <v>894</v>
      </c>
      <c r="J370" s="1" t="s">
        <v>65</v>
      </c>
      <c r="K370" s="1" t="s">
        <v>58</v>
      </c>
      <c r="L370" s="1" t="s">
        <v>66</v>
      </c>
      <c r="M370" s="2" t="s">
        <v>895</v>
      </c>
    </row>
    <row r="371" spans="1:14" ht="14.4" x14ac:dyDescent="0.3">
      <c r="A371" s="28" t="str">
        <f>HYPERLINK("https://www.google.com/search?q=Otus mindorensis&amp;tbm=isch")</f>
        <v>https://www.google.com/search?q=Otus mindorensis&amp;tbm=isch</v>
      </c>
      <c r="B371" s="29" t="str">
        <f>HYPERLINK("https://www.xeno-canto.org/species/Otus-mindorensis")</f>
        <v>https://www.xeno-canto.org/species/Otus-mindorensis</v>
      </c>
      <c r="C371" s="30" t="str">
        <f>HYPERLINK("https://ebird.org/species/misowl2")</f>
        <v>https://ebird.org/species/misowl2</v>
      </c>
      <c r="D371" s="31" t="str">
        <f>HYPERLINK("https://www.hbw.com/species/Mindoro-Scops-owl-Otus-mindorensis")</f>
        <v>https://www.hbw.com/species/Mindoro-Scops-owl-Otus-mindorensis</v>
      </c>
      <c r="E371" s="32" t="str">
        <f>HYPERLINK("https://www.iucnredlist.org/search?query=Otus mindorensis&amp;searchType=species")</f>
        <v>https://www.iucnredlist.org/search?query=Otus mindorensis&amp;searchType=species</v>
      </c>
      <c r="F371" s="2">
        <v>297</v>
      </c>
      <c r="G371" s="27" t="s">
        <v>875</v>
      </c>
      <c r="H371" s="86" t="s">
        <v>896</v>
      </c>
      <c r="I371" s="94" t="s">
        <v>897</v>
      </c>
      <c r="J371" s="1" t="s">
        <v>65</v>
      </c>
      <c r="K371" s="1" t="s">
        <v>58</v>
      </c>
      <c r="L371" s="1" t="s">
        <v>66</v>
      </c>
      <c r="M371" s="2" t="s">
        <v>898</v>
      </c>
    </row>
    <row r="372" spans="1:14" ht="20.399999999999999" x14ac:dyDescent="0.3">
      <c r="A372" s="28" t="str">
        <f>HYPERLINK("https://www.google.com/search?q=Otus sunia&amp;tbm=isch")</f>
        <v>https://www.google.com/search?q=Otus sunia&amp;tbm=isch</v>
      </c>
      <c r="B372" s="29" t="str">
        <f>HYPERLINK("https://www.xeno-canto.org/species/Otus-sunia")</f>
        <v>https://www.xeno-canto.org/species/Otus-sunia</v>
      </c>
      <c r="C372" s="30" t="str">
        <f>HYPERLINK("https://ebird.org/species/orsowl")</f>
        <v>https://ebird.org/species/orsowl</v>
      </c>
      <c r="D372" s="31" t="str">
        <f>HYPERLINK("https://www.hbw.com/species/Oriental-Scops-owl-Otus-sunia")</f>
        <v>https://www.hbw.com/species/Oriental-Scops-owl-Otus-sunia</v>
      </c>
      <c r="E372" s="32" t="str">
        <f>HYPERLINK("https://www.iucnredlist.org/search?query=Otus sunia&amp;searchType=species")</f>
        <v>https://www.iucnredlist.org/search?query=Otus sunia&amp;searchType=species</v>
      </c>
      <c r="F372" s="2">
        <v>298</v>
      </c>
      <c r="G372" s="27" t="s">
        <v>875</v>
      </c>
      <c r="H372" s="85" t="s">
        <v>899</v>
      </c>
      <c r="I372" s="93" t="s">
        <v>900</v>
      </c>
      <c r="J372" s="1" t="s">
        <v>19</v>
      </c>
      <c r="M372" s="2" t="s">
        <v>215</v>
      </c>
      <c r="N372" s="2" t="s">
        <v>11329</v>
      </c>
    </row>
    <row r="373" spans="1:14" ht="14.4" x14ac:dyDescent="0.3">
      <c r="A373" s="28" t="str">
        <f>HYPERLINK("https://www.google.com/search?q=Otus mantananensis&amp;tbm=isch")</f>
        <v>https://www.google.com/search?q=Otus mantananensis&amp;tbm=isch</v>
      </c>
      <c r="B373" s="29" t="str">
        <f>HYPERLINK("https://www.xeno-canto.org/species/Otus-mantananensis")</f>
        <v>https://www.xeno-canto.org/species/Otus-mantananensis</v>
      </c>
      <c r="C373" s="30" t="str">
        <f>HYPERLINK("https://ebird.org/species/masowl2")</f>
        <v>https://ebird.org/species/masowl2</v>
      </c>
      <c r="D373" s="31" t="str">
        <f>HYPERLINK("https://www.hbw.com/species/Mantanani-Scops-owl-Otus-mantananensis")</f>
        <v>https://www.hbw.com/species/Mantanani-Scops-owl-Otus-mantananensis</v>
      </c>
      <c r="E373" s="32" t="str">
        <f>HYPERLINK("https://www.iucnredlist.org/search?query=Otus mantananensis&amp;searchType=species")</f>
        <v>https://www.iucnredlist.org/search?query=Otus mantananensis&amp;searchType=species</v>
      </c>
      <c r="F373" s="2">
        <v>299</v>
      </c>
      <c r="G373" s="27" t="s">
        <v>875</v>
      </c>
      <c r="H373" s="84" t="s">
        <v>901</v>
      </c>
      <c r="I373" s="92" t="s">
        <v>902</v>
      </c>
      <c r="J373" s="1" t="s">
        <v>732</v>
      </c>
      <c r="K373" s="1" t="s">
        <v>58</v>
      </c>
      <c r="L373" s="1" t="s">
        <v>66</v>
      </c>
      <c r="M373" s="2" t="s">
        <v>68</v>
      </c>
    </row>
    <row r="374" spans="1:14" ht="14.4" x14ac:dyDescent="0.3">
      <c r="A374" s="28" t="str">
        <f>HYPERLINK("https://www.google.com/search?q=Otus elegans&amp;tbm=isch")</f>
        <v>https://www.google.com/search?q=Otus elegans&amp;tbm=isch</v>
      </c>
      <c r="B374" s="29" t="str">
        <f>HYPERLINK("https://www.xeno-canto.org/species/Otus-elegans")</f>
        <v>https://www.xeno-canto.org/species/Otus-elegans</v>
      </c>
      <c r="C374" s="30" t="str">
        <f>HYPERLINK("https://ebird.org/species/ryusco1")</f>
        <v>https://ebird.org/species/ryusco1</v>
      </c>
      <c r="D374" s="31" t="str">
        <f>HYPERLINK("https://www.hbw.com/species/Ryukyu-Scops-owl-Otus-elegans")</f>
        <v>https://www.hbw.com/species/Ryukyu-Scops-owl-Otus-elegans</v>
      </c>
      <c r="E374" s="32" t="str">
        <f>HYPERLINK("https://www.iucnredlist.org/search?query=Otus elegans&amp;searchType=species")</f>
        <v>https://www.iucnredlist.org/search?query=Otus elegans&amp;searchType=species</v>
      </c>
      <c r="F374" s="2">
        <v>300</v>
      </c>
      <c r="G374" s="27" t="s">
        <v>875</v>
      </c>
      <c r="H374" s="84" t="s">
        <v>903</v>
      </c>
      <c r="I374" s="92" t="s">
        <v>904</v>
      </c>
      <c r="J374" s="1" t="s">
        <v>15</v>
      </c>
      <c r="K374" s="1" t="s">
        <v>58</v>
      </c>
      <c r="L374" s="1" t="s">
        <v>130</v>
      </c>
      <c r="M374" s="2" t="s">
        <v>905</v>
      </c>
    </row>
    <row r="375" spans="1:14" ht="14.4" x14ac:dyDescent="0.3">
      <c r="A375" s="28" t="str">
        <f>HYPERLINK("https://www.google.com/search?q=Bubo philippensis&amp;tbm=isch")</f>
        <v>https://www.google.com/search?q=Bubo philippensis&amp;tbm=isch</v>
      </c>
      <c r="B375" s="29" t="str">
        <f>HYPERLINK("https://www.xeno-canto.org/species/Bubo-philippensis")</f>
        <v>https://www.xeno-canto.org/species/Bubo-philippensis</v>
      </c>
      <c r="C375" s="30" t="str">
        <f>HYPERLINK("https://ebird.org/species/pheowl2")</f>
        <v>https://ebird.org/species/pheowl2</v>
      </c>
      <c r="D375" s="31" t="str">
        <f>HYPERLINK("https://www.hbw.com/species/Philippine-Eagle-owl-Bubo-philippensis")</f>
        <v>https://www.hbw.com/species/Philippine-Eagle-owl-Bubo-philippensis</v>
      </c>
      <c r="E375" s="32" t="str">
        <f>HYPERLINK("https://www.iucnredlist.org/search?query=Bubo philippensis&amp;searchType=species")</f>
        <v>https://www.iucnredlist.org/search?query=Bubo philippensis&amp;searchType=species</v>
      </c>
      <c r="F375" s="2">
        <v>301</v>
      </c>
      <c r="G375" s="27" t="s">
        <v>875</v>
      </c>
      <c r="H375" s="86" t="s">
        <v>906</v>
      </c>
      <c r="I375" s="94" t="s">
        <v>907</v>
      </c>
      <c r="J375" s="1" t="s">
        <v>65</v>
      </c>
      <c r="K375" s="1" t="s">
        <v>66</v>
      </c>
      <c r="L375" s="1" t="s">
        <v>67</v>
      </c>
      <c r="M375" s="2" t="s">
        <v>68</v>
      </c>
    </row>
    <row r="376" spans="1:14" ht="20.399999999999999" x14ac:dyDescent="0.3">
      <c r="A376" s="28" t="str">
        <f>HYPERLINK("https://www.google.com/search?q=Strix seloputo&amp;tbm=isch")</f>
        <v>https://www.google.com/search?q=Strix seloputo&amp;tbm=isch</v>
      </c>
      <c r="B376" s="29" t="str">
        <f>HYPERLINK("https://www.xeno-canto.org/species/Strix-seloputo")</f>
        <v>https://www.xeno-canto.org/species/Strix-seloputo</v>
      </c>
      <c r="C376" s="30" t="str">
        <f>HYPERLINK("https://ebird.org/species/spwowl1")</f>
        <v>https://ebird.org/species/spwowl1</v>
      </c>
      <c r="D376" s="31" t="str">
        <f>HYPERLINK("https://www.hbw.com/species/Spotted-Wood-owl-Strix-seloputo")</f>
        <v>https://www.hbw.com/species/Spotted-Wood-owl-Strix-seloputo</v>
      </c>
      <c r="E376" s="32" t="str">
        <f>HYPERLINK("https://www.iucnredlist.org/search?query=Strix seloputo&amp;searchType=species")</f>
        <v>https://www.iucnredlist.org/search?query=Strix seloputo&amp;searchType=species</v>
      </c>
      <c r="F376" s="2">
        <v>302</v>
      </c>
      <c r="G376" s="27" t="s">
        <v>875</v>
      </c>
      <c r="H376" s="84" t="s">
        <v>908</v>
      </c>
      <c r="I376" s="92" t="s">
        <v>909</v>
      </c>
      <c r="J376" s="1" t="s">
        <v>15</v>
      </c>
      <c r="M376" s="2" t="s">
        <v>910</v>
      </c>
    </row>
    <row r="377" spans="1:14" ht="14.4" x14ac:dyDescent="0.3">
      <c r="A377" s="28" t="str">
        <f>HYPERLINK("https://www.google.com/search?q=Ninox scutulata&amp;tbm=isch")</f>
        <v>https://www.google.com/search?q=Ninox scutulata&amp;tbm=isch</v>
      </c>
      <c r="B377" s="29" t="str">
        <f>HYPERLINK("https://www.xeno-canto.org/species/Ninox-scutulata")</f>
        <v>https://www.xeno-canto.org/species/Ninox-scutulata</v>
      </c>
      <c r="C377" s="30" t="str">
        <f>HYPERLINK("https://ebird.org/species/brnhao1")</f>
        <v>https://ebird.org/species/brnhao1</v>
      </c>
      <c r="D377" s="31" t="str">
        <f>HYPERLINK("https://www.hbw.com/species/Brown-Boobook-Ninox-scutulata")</f>
        <v>https://www.hbw.com/species/Brown-Boobook-Ninox-scutulata</v>
      </c>
      <c r="E377" s="32" t="str">
        <f>HYPERLINK("https://www.iucnredlist.org/search?query=Ninox scutulata&amp;searchType=species")</f>
        <v>https://www.iucnredlist.org/search?query=Ninox scutulata&amp;searchType=species</v>
      </c>
      <c r="F377" s="2">
        <v>303</v>
      </c>
      <c r="G377" s="27" t="s">
        <v>875</v>
      </c>
      <c r="H377" s="84" t="s">
        <v>911</v>
      </c>
      <c r="I377" s="92" t="s">
        <v>912</v>
      </c>
      <c r="J377" s="1" t="s">
        <v>15</v>
      </c>
      <c r="M377" s="2" t="s">
        <v>913</v>
      </c>
    </row>
    <row r="378" spans="1:14" ht="20.399999999999999" x14ac:dyDescent="0.3">
      <c r="A378" s="28" t="str">
        <f>HYPERLINK("https://www.google.com/search?q=Ninox japonica&amp;tbm=isch")</f>
        <v>https://www.google.com/search?q=Ninox japonica&amp;tbm=isch</v>
      </c>
      <c r="B378" s="29" t="str">
        <f>HYPERLINK("https://www.xeno-canto.org/species/Ninox-japonica")</f>
        <v>https://www.xeno-canto.org/species/Ninox-japonica</v>
      </c>
      <c r="C378" s="30" t="str">
        <f>HYPERLINK("https://ebird.org/species/norboo1")</f>
        <v>https://ebird.org/species/norboo1</v>
      </c>
      <c r="D378" s="31" t="str">
        <f>HYPERLINK("https://www.hbw.com/species/Northern-Boobook-Ninox-japonica")</f>
        <v>https://www.hbw.com/species/Northern-Boobook-Ninox-japonica</v>
      </c>
      <c r="E378" s="32" t="str">
        <f>HYPERLINK("https://www.iucnredlist.org/search?query=Ninox japonica&amp;searchType=species")</f>
        <v>https://www.iucnredlist.org/search?query=Ninox japonica&amp;searchType=species</v>
      </c>
      <c r="F378" s="2">
        <v>304</v>
      </c>
      <c r="G378" s="27" t="s">
        <v>875</v>
      </c>
      <c r="H378" s="84" t="s">
        <v>914</v>
      </c>
      <c r="I378" s="92" t="s">
        <v>915</v>
      </c>
      <c r="J378" s="1" t="s">
        <v>236</v>
      </c>
      <c r="M378" s="2" t="s">
        <v>916</v>
      </c>
      <c r="N378" s="2" t="s">
        <v>11330</v>
      </c>
    </row>
    <row r="379" spans="1:14" ht="14.4" x14ac:dyDescent="0.3">
      <c r="A379" s="28" t="str">
        <f>HYPERLINK("https://www.google.com/search?q=Ninox randi&amp;tbm=isch")</f>
        <v>https://www.google.com/search?q=Ninox randi&amp;tbm=isch</v>
      </c>
      <c r="B379" s="29" t="str">
        <f>HYPERLINK("https://www.xeno-canto.org/species/Ninox-randi")</f>
        <v>https://www.xeno-canto.org/species/Ninox-randi</v>
      </c>
      <c r="C379" s="30" t="str">
        <f>HYPERLINK("https://ebird.org/species/choboo1")</f>
        <v>https://ebird.org/species/choboo1</v>
      </c>
      <c r="D379" s="31" t="str">
        <f>HYPERLINK("https://www.hbw.com/species/Chocolate-Boobook-Ninox-randi")</f>
        <v>https://www.hbw.com/species/Chocolate-Boobook-Ninox-randi</v>
      </c>
      <c r="E379" s="32" t="str">
        <f>HYPERLINK("https://www.iucnredlist.org/search?query=Ninox randi&amp;searchType=species")</f>
        <v>https://www.iucnredlist.org/search?query=Ninox randi&amp;searchType=species</v>
      </c>
      <c r="F379" s="2">
        <v>305</v>
      </c>
      <c r="G379" s="27" t="s">
        <v>875</v>
      </c>
      <c r="H379" s="84" t="s">
        <v>917</v>
      </c>
      <c r="I379" s="92" t="s">
        <v>918</v>
      </c>
      <c r="J379" s="1" t="s">
        <v>732</v>
      </c>
      <c r="K379" s="1" t="s">
        <v>58</v>
      </c>
      <c r="L379" s="1" t="s">
        <v>66</v>
      </c>
      <c r="M379" s="2" t="s">
        <v>919</v>
      </c>
    </row>
    <row r="380" spans="1:14" ht="14.4" x14ac:dyDescent="0.3">
      <c r="A380" s="28" t="str">
        <f>HYPERLINK("https://www.google.com/search?q=Ninox philippensis&amp;tbm=isch")</f>
        <v>https://www.google.com/search?q=Ninox philippensis&amp;tbm=isch</v>
      </c>
      <c r="B380" s="29" t="str">
        <f>HYPERLINK("https://www.xeno-canto.org/species/Ninox-philippensis")</f>
        <v>https://www.xeno-canto.org/species/Ninox-philippensis</v>
      </c>
      <c r="C380" s="30" t="str">
        <f>HYPERLINK("https://ebird.org/species/phihao1")</f>
        <v>https://ebird.org/species/phihao1</v>
      </c>
      <c r="D380" s="31" t="str">
        <f>HYPERLINK("https://www.hbw.com/species/Luzon-Boobook-Ninox-philippensis")</f>
        <v>https://www.hbw.com/species/Luzon-Boobook-Ninox-philippensis</v>
      </c>
      <c r="E380" s="32" t="str">
        <f>HYPERLINK("https://www.iucnredlist.org/search?query=Ninox philippensis&amp;searchType=species")</f>
        <v>https://www.iucnredlist.org/search?query=Ninox philippensis&amp;searchType=species</v>
      </c>
      <c r="F380" s="2">
        <v>306</v>
      </c>
      <c r="G380" s="27" t="s">
        <v>875</v>
      </c>
      <c r="H380" s="86" t="s">
        <v>920</v>
      </c>
      <c r="I380" s="94" t="s">
        <v>921</v>
      </c>
      <c r="J380" s="1" t="s">
        <v>65</v>
      </c>
      <c r="M380" s="2" t="s">
        <v>68</v>
      </c>
    </row>
    <row r="381" spans="1:14" ht="20.399999999999999" x14ac:dyDescent="0.3">
      <c r="A381" s="28" t="str">
        <f>HYPERLINK("https://www.google.com/search?q=Ninox spilocephala&amp;tbm=isch")</f>
        <v>https://www.google.com/search?q=Ninox spilocephala&amp;tbm=isch</v>
      </c>
      <c r="B381" s="29" t="str">
        <f>HYPERLINK("https://www.xeno-canto.org/species/Ninox-spilocephala")</f>
        <v>https://www.xeno-canto.org/species/Ninox-spilocephala</v>
      </c>
      <c r="C381" s="30" t="str">
        <f>HYPERLINK("https://ebird.org/species/minboo1")</f>
        <v>https://ebird.org/species/minboo1</v>
      </c>
      <c r="D381" s="31" t="str">
        <f>HYPERLINK("https://www.hbw.com/species/Mindanao-Boobook-Ninox-spilocephala")</f>
        <v>https://www.hbw.com/species/Mindanao-Boobook-Ninox-spilocephala</v>
      </c>
      <c r="E381" s="32" t="str">
        <f>HYPERLINK("https://www.iucnredlist.org/search?query=Ninox spilocephala&amp;searchType=species")</f>
        <v>https://www.iucnredlist.org/search?query=Ninox spilocephala&amp;searchType=species</v>
      </c>
      <c r="F381" s="2">
        <v>307</v>
      </c>
      <c r="G381" s="27" t="s">
        <v>875</v>
      </c>
      <c r="H381" s="86" t="s">
        <v>922</v>
      </c>
      <c r="I381" s="94" t="s">
        <v>923</v>
      </c>
      <c r="J381" s="1" t="s">
        <v>65</v>
      </c>
      <c r="K381" s="1" t="s">
        <v>58</v>
      </c>
      <c r="L381" s="1" t="s">
        <v>66</v>
      </c>
      <c r="M381" s="2" t="s">
        <v>924</v>
      </c>
    </row>
    <row r="382" spans="1:14" ht="14.4" x14ac:dyDescent="0.3">
      <c r="A382" s="28" t="str">
        <f>HYPERLINK("https://www.google.com/search?q=Ninox mindorensis&amp;tbm=isch")</f>
        <v>https://www.google.com/search?q=Ninox mindorensis&amp;tbm=isch</v>
      </c>
      <c r="B382" s="29" t="str">
        <f>HYPERLINK("https://www.xeno-canto.org/species/Ninox-mindorensis")</f>
        <v>https://www.xeno-canto.org/species/Ninox-mindorensis</v>
      </c>
      <c r="C382" s="30" t="str">
        <f>HYPERLINK("https://ebird.org/species/minboo2")</f>
        <v>https://ebird.org/species/minboo2</v>
      </c>
      <c r="D382" s="31" t="str">
        <f>HYPERLINK("https://www.hbw.com/species/Mindoro-Boobook-Ninox-mindorensis")</f>
        <v>https://www.hbw.com/species/Mindoro-Boobook-Ninox-mindorensis</v>
      </c>
      <c r="E382" s="32" t="str">
        <f>HYPERLINK("https://www.iucnredlist.org/search?query=Ninox mindorensis&amp;searchType=species")</f>
        <v>https://www.iucnredlist.org/search?query=Ninox mindorensis&amp;searchType=species</v>
      </c>
      <c r="F382" s="2">
        <v>308</v>
      </c>
      <c r="G382" s="27" t="s">
        <v>875</v>
      </c>
      <c r="H382" s="86" t="s">
        <v>925</v>
      </c>
      <c r="I382" s="94" t="s">
        <v>926</v>
      </c>
      <c r="J382" s="1" t="s">
        <v>65</v>
      </c>
      <c r="K382" s="1" t="s">
        <v>66</v>
      </c>
      <c r="L382" s="1" t="s">
        <v>66</v>
      </c>
      <c r="M382" s="2" t="s">
        <v>927</v>
      </c>
    </row>
    <row r="383" spans="1:14" ht="14.4" x14ac:dyDescent="0.3">
      <c r="A383" s="28" t="str">
        <f>HYPERLINK("https://www.google.com/search?q=Ninox spilonotus&amp;tbm=isch")</f>
        <v>https://www.google.com/search?q=Ninox spilonotus&amp;tbm=isch</v>
      </c>
      <c r="B383" s="29" t="str">
        <f>HYPERLINK("https://www.xeno-canto.org/species/Ninox-spilonotus")</f>
        <v>https://www.xeno-canto.org/species/Ninox-spilonotus</v>
      </c>
      <c r="C383" s="30" t="str">
        <f>HYPERLINK("https://ebird.org/species/romboo1")</f>
        <v>https://ebird.org/species/romboo1</v>
      </c>
      <c r="D383" s="31" t="str">
        <f>HYPERLINK("https://www.hbw.com/species/Romblon-Boobook-Ninox-spilonotus")</f>
        <v>https://www.hbw.com/species/Romblon-Boobook-Ninox-spilonotus</v>
      </c>
      <c r="E383" s="32" t="str">
        <f>HYPERLINK("https://www.iucnredlist.org/search?query=Ninox spilonotus&amp;searchType=species")</f>
        <v>https://www.iucnredlist.org/search?query=Ninox spilonotus&amp;searchType=species</v>
      </c>
      <c r="F383" s="2">
        <v>309</v>
      </c>
      <c r="G383" s="27" t="s">
        <v>875</v>
      </c>
      <c r="H383" s="86" t="s">
        <v>928</v>
      </c>
      <c r="I383" s="94" t="s">
        <v>929</v>
      </c>
      <c r="J383" s="1" t="s">
        <v>65</v>
      </c>
      <c r="K383" s="1" t="s">
        <v>67</v>
      </c>
      <c r="L383" s="1" t="s">
        <v>67</v>
      </c>
      <c r="M383" s="2" t="s">
        <v>930</v>
      </c>
    </row>
    <row r="384" spans="1:14" ht="14.4" x14ac:dyDescent="0.3">
      <c r="A384" s="28" t="str">
        <f>HYPERLINK("https://www.google.com/search?q=Ninox rumseyi&amp;tbm=isch")</f>
        <v>https://www.google.com/search?q=Ninox rumseyi&amp;tbm=isch</v>
      </c>
      <c r="B384" s="29" t="str">
        <f>HYPERLINK("https://www.xeno-canto.org/species/Ninox-rumseyi")</f>
        <v>https://www.xeno-canto.org/species/Ninox-rumseyi</v>
      </c>
      <c r="C384" s="30" t="str">
        <f>HYPERLINK("https://ebird.org/species/cebboo1")</f>
        <v>https://ebird.org/species/cebboo1</v>
      </c>
      <c r="D384" s="31" t="str">
        <f>HYPERLINK("https://www.hbw.com/species/Cebu-Boobook-Ninox-rumseyi")</f>
        <v>https://www.hbw.com/species/Cebu-Boobook-Ninox-rumseyi</v>
      </c>
      <c r="E384" s="32" t="str">
        <f>HYPERLINK("https://www.iucnredlist.org/search?query=Ninox rumseyi&amp;searchType=species")</f>
        <v>https://www.iucnredlist.org/search?query=Ninox rumseyi&amp;searchType=species</v>
      </c>
      <c r="F384" s="2">
        <v>310</v>
      </c>
      <c r="G384" s="27" t="s">
        <v>875</v>
      </c>
      <c r="H384" s="89" t="s">
        <v>931</v>
      </c>
      <c r="I384" s="96" t="s">
        <v>932</v>
      </c>
      <c r="J384" s="1" t="s">
        <v>65</v>
      </c>
      <c r="K384" s="1" t="s">
        <v>67</v>
      </c>
      <c r="L384" s="1" t="s">
        <v>67</v>
      </c>
      <c r="M384" s="2" t="s">
        <v>933</v>
      </c>
      <c r="N384" s="2" t="s">
        <v>11331</v>
      </c>
    </row>
    <row r="385" spans="1:14" ht="14.4" x14ac:dyDescent="0.3">
      <c r="A385" s="28" t="str">
        <f>HYPERLINK("https://www.google.com/search?q=Ninox leventisi&amp;tbm=isch")</f>
        <v>https://www.google.com/search?q=Ninox leventisi&amp;tbm=isch</v>
      </c>
      <c r="B385" s="29" t="str">
        <f>HYPERLINK("https://www.xeno-canto.org/species/Ninox-leventisi")</f>
        <v>https://www.xeno-canto.org/species/Ninox-leventisi</v>
      </c>
      <c r="C385" s="30" t="str">
        <f>HYPERLINK("https://ebird.org/species/camboo1")</f>
        <v>https://ebird.org/species/camboo1</v>
      </c>
      <c r="D385" s="31" t="str">
        <f>HYPERLINK("https://www.hbw.com/species/Camiguin-Boobook-Ninox-leventisi")</f>
        <v>https://www.hbw.com/species/Camiguin-Boobook-Ninox-leventisi</v>
      </c>
      <c r="E385" s="32" t="str">
        <f>HYPERLINK("https://www.iucnredlist.org/search?query=Ninox leventisi&amp;searchType=species")</f>
        <v>https://www.iucnredlist.org/search?query=Ninox leventisi&amp;searchType=species</v>
      </c>
      <c r="F385" s="2">
        <v>311</v>
      </c>
      <c r="G385" s="27" t="s">
        <v>875</v>
      </c>
      <c r="H385" s="89" t="s">
        <v>934</v>
      </c>
      <c r="I385" s="96" t="s">
        <v>935</v>
      </c>
      <c r="J385" s="1" t="s">
        <v>65</v>
      </c>
      <c r="K385" s="1" t="s">
        <v>67</v>
      </c>
      <c r="L385" s="1" t="s">
        <v>67</v>
      </c>
      <c r="M385" s="2" t="s">
        <v>936</v>
      </c>
      <c r="N385" s="2" t="s">
        <v>11331</v>
      </c>
    </row>
    <row r="386" spans="1:14" ht="14.4" x14ac:dyDescent="0.3">
      <c r="A386" s="28" t="str">
        <f>HYPERLINK("https://www.google.com/search?q=Ninox reyi&amp;tbm=isch")</f>
        <v>https://www.google.com/search?q=Ninox reyi&amp;tbm=isch</v>
      </c>
      <c r="B386" s="29" t="str">
        <f>HYPERLINK("https://www.xeno-canto.org/species/Ninox-reyi")</f>
        <v>https://www.xeno-canto.org/species/Ninox-reyi</v>
      </c>
      <c r="C386" s="30" t="str">
        <f>HYPERLINK("https://ebird.org/species/sulboo1")</f>
        <v>https://ebird.org/species/sulboo1</v>
      </c>
      <c r="D386" s="31" t="str">
        <f>HYPERLINK("https://www.hbw.com/species/Sulu-Boobook-Ninox-reyi")</f>
        <v>https://www.hbw.com/species/Sulu-Boobook-Ninox-reyi</v>
      </c>
      <c r="E386" s="32" t="str">
        <f>HYPERLINK("https://www.iucnredlist.org/search?query=Ninox reyi&amp;searchType=species")</f>
        <v>https://www.iucnredlist.org/search?query=Ninox reyi&amp;searchType=species</v>
      </c>
      <c r="F386" s="2">
        <v>312</v>
      </c>
      <c r="G386" s="27" t="s">
        <v>875</v>
      </c>
      <c r="H386" s="86" t="s">
        <v>937</v>
      </c>
      <c r="I386" s="94" t="s">
        <v>938</v>
      </c>
      <c r="J386" s="1" t="s">
        <v>65</v>
      </c>
      <c r="K386" s="1" t="s">
        <v>66</v>
      </c>
      <c r="L386" s="1" t="s">
        <v>66</v>
      </c>
      <c r="M386" s="2" t="s">
        <v>939</v>
      </c>
    </row>
    <row r="387" spans="1:14" ht="14.4" x14ac:dyDescent="0.3">
      <c r="A387" s="28" t="str">
        <f>HYPERLINK("https://www.google.com/search?q=Asio flammeus&amp;tbm=isch")</f>
        <v>https://www.google.com/search?q=Asio flammeus&amp;tbm=isch</v>
      </c>
      <c r="B387" s="29" t="str">
        <f>HYPERLINK("https://www.xeno-canto.org/species/Asio-flammeus")</f>
        <v>https://www.xeno-canto.org/species/Asio-flammeus</v>
      </c>
      <c r="C387" s="30" t="str">
        <f>HYPERLINK("https://ebird.org/species/sheowl")</f>
        <v>https://ebird.org/species/sheowl</v>
      </c>
      <c r="D387" s="31" t="str">
        <f>HYPERLINK("https://www.hbw.com/species/Short-eared-Owl-Asio-flammeus")</f>
        <v>https://www.hbw.com/species/Short-eared-Owl-Asio-flammeus</v>
      </c>
      <c r="E387" s="32" t="str">
        <f>HYPERLINK("https://www.iucnredlist.org/search?query=Asio flammeus&amp;searchType=species")</f>
        <v>https://www.iucnredlist.org/search?query=Asio flammeus&amp;searchType=species</v>
      </c>
      <c r="F387" s="2">
        <v>313</v>
      </c>
      <c r="G387" s="27" t="s">
        <v>875</v>
      </c>
      <c r="H387" s="83" t="s">
        <v>940</v>
      </c>
      <c r="I387" s="92" t="s">
        <v>941</v>
      </c>
      <c r="J387" s="1" t="s">
        <v>19</v>
      </c>
      <c r="M387" s="2" t="s">
        <v>942</v>
      </c>
    </row>
    <row r="388" spans="1:14" x14ac:dyDescent="0.3">
      <c r="A388" s="33"/>
      <c r="B388" s="34"/>
      <c r="C388" s="35"/>
      <c r="D388" s="36"/>
      <c r="E388" s="37"/>
    </row>
    <row r="389" spans="1:14" ht="12" x14ac:dyDescent="0.3">
      <c r="A389" s="33"/>
      <c r="B389" s="34"/>
      <c r="C389" s="35"/>
      <c r="D389" s="36"/>
      <c r="E389" s="37"/>
      <c r="H389" s="82" t="s">
        <v>943</v>
      </c>
      <c r="I389" s="91" t="s">
        <v>944</v>
      </c>
    </row>
    <row r="390" spans="1:14" ht="14.4" x14ac:dyDescent="0.3">
      <c r="A390" s="28" t="str">
        <f>HYPERLINK("https://www.google.com/search?q=Batrachostomus septimus&amp;tbm=isch")</f>
        <v>https://www.google.com/search?q=Batrachostomus septimus&amp;tbm=isch</v>
      </c>
      <c r="B390" s="29" t="str">
        <f>HYPERLINK("https://www.xeno-canto.org/species/Batrachostomus-septimus")</f>
        <v>https://www.xeno-canto.org/species/Batrachostomus-septimus</v>
      </c>
      <c r="C390" s="30" t="str">
        <f>HYPERLINK("https://ebird.org/species/phifro1")</f>
        <v>https://ebird.org/species/phifro1</v>
      </c>
      <c r="D390" s="31" t="str">
        <f>HYPERLINK("https://www.hbw.com/species/Philippine-Frogmouth-Batrachostomus-septimus")</f>
        <v>https://www.hbw.com/species/Philippine-Frogmouth-Batrachostomus-septimus</v>
      </c>
      <c r="E390" s="32" t="str">
        <f>HYPERLINK("https://www.iucnredlist.org/search?query=Batrachostomus septimus&amp;searchType=species")</f>
        <v>https://www.iucnredlist.org/search?query=Batrachostomus septimus&amp;searchType=species</v>
      </c>
      <c r="F390" s="2">
        <v>314</v>
      </c>
      <c r="G390" s="27" t="s">
        <v>944</v>
      </c>
      <c r="H390" s="86" t="s">
        <v>945</v>
      </c>
      <c r="I390" s="94" t="s">
        <v>946</v>
      </c>
      <c r="J390" s="1" t="s">
        <v>65</v>
      </c>
      <c r="M390" s="2" t="s">
        <v>68</v>
      </c>
    </row>
    <row r="391" spans="1:14" ht="20.399999999999999" x14ac:dyDescent="0.3">
      <c r="A391" s="28" t="str">
        <f>HYPERLINK("https://www.google.com/search?q=Batrachostomus chaseni&amp;tbm=isch")</f>
        <v>https://www.google.com/search?q=Batrachostomus chaseni&amp;tbm=isch</v>
      </c>
      <c r="B391" s="29" t="str">
        <f>HYPERLINK("https://www.xeno-canto.org/species/Batrachostomus-chaseni")</f>
        <v>https://www.xeno-canto.org/species/Batrachostomus-chaseni</v>
      </c>
      <c r="C391" s="30" t="str">
        <f>HYPERLINK("https://ebird.org/species/palfro1")</f>
        <v>https://ebird.org/species/palfro1</v>
      </c>
      <c r="D391" s="31" t="str">
        <f>HYPERLINK("https://www.hbw.com/species/Palawan-Frogmouth-Batrachostomus-chaseni")</f>
        <v>https://www.hbw.com/species/Palawan-Frogmouth-Batrachostomus-chaseni</v>
      </c>
      <c r="E391" s="32" t="str">
        <f>HYPERLINK("https://www.iucnredlist.org/search?query=Batrachostomus chaseni&amp;searchType=species")</f>
        <v>https://www.iucnredlist.org/search?query=Batrachostomus chaseni&amp;searchType=species</v>
      </c>
      <c r="F391" s="2">
        <v>315</v>
      </c>
      <c r="G391" s="27" t="s">
        <v>944</v>
      </c>
      <c r="H391" s="86" t="s">
        <v>947</v>
      </c>
      <c r="I391" s="94" t="s">
        <v>948</v>
      </c>
      <c r="J391" s="1" t="s">
        <v>65</v>
      </c>
      <c r="L391" s="1" t="s">
        <v>66</v>
      </c>
      <c r="M391" s="2" t="s">
        <v>949</v>
      </c>
    </row>
    <row r="392" spans="1:14" x14ac:dyDescent="0.3">
      <c r="A392" s="33"/>
      <c r="B392" s="34"/>
      <c r="C392" s="35"/>
      <c r="D392" s="36"/>
      <c r="E392" s="37"/>
    </row>
    <row r="393" spans="1:14" ht="12" x14ac:dyDescent="0.3">
      <c r="A393" s="33"/>
      <c r="B393" s="34"/>
      <c r="C393" s="35"/>
      <c r="D393" s="36"/>
      <c r="E393" s="37"/>
      <c r="H393" s="82" t="s">
        <v>950</v>
      </c>
      <c r="I393" s="91" t="s">
        <v>951</v>
      </c>
    </row>
    <row r="394" spans="1:14" ht="14.4" x14ac:dyDescent="0.3">
      <c r="A394" s="28" t="str">
        <f>HYPERLINK("https://www.google.com/search?q=Lyncornis macrotis&amp;tbm=isch")</f>
        <v>https://www.google.com/search?q=Lyncornis macrotis&amp;tbm=isch</v>
      </c>
      <c r="B394" s="29" t="str">
        <f>HYPERLINK("https://www.xeno-canto.org/species/Lyncornis-macrotis")</f>
        <v>https://www.xeno-canto.org/species/Lyncornis-macrotis</v>
      </c>
      <c r="C394" s="30" t="str">
        <f>HYPERLINK("https://ebird.org/species/grenig1")</f>
        <v>https://ebird.org/species/grenig1</v>
      </c>
      <c r="D394" s="31" t="str">
        <f>HYPERLINK("https://www.hbw.com/species/Great-Eared-nightjar-Lyncornis-macrotis")</f>
        <v>https://www.hbw.com/species/Great-Eared-nightjar-Lyncornis-macrotis</v>
      </c>
      <c r="E394" s="32" t="str">
        <f>HYPERLINK("https://www.iucnredlist.org/search?query=Lyncornis macrotis&amp;searchType=species")</f>
        <v>https://www.iucnredlist.org/search?query=Lyncornis macrotis&amp;searchType=species</v>
      </c>
      <c r="F394" s="2">
        <v>316</v>
      </c>
      <c r="G394" s="27" t="s">
        <v>951</v>
      </c>
      <c r="H394" s="84" t="s">
        <v>952</v>
      </c>
      <c r="I394" s="92" t="s">
        <v>953</v>
      </c>
      <c r="J394" s="1" t="s">
        <v>15</v>
      </c>
      <c r="M394" s="2" t="s">
        <v>954</v>
      </c>
    </row>
    <row r="395" spans="1:14" ht="14.4" x14ac:dyDescent="0.3">
      <c r="A395" s="28" t="str">
        <f>HYPERLINK("https://www.google.com/search?q=Caprimulgus jotaka&amp;tbm=isch")</f>
        <v>https://www.google.com/search?q=Caprimulgus jotaka&amp;tbm=isch</v>
      </c>
      <c r="B395" s="29" t="str">
        <f>HYPERLINK("https://www.xeno-canto.org/species/Caprimulgus-jotaka")</f>
        <v>https://www.xeno-canto.org/species/Caprimulgus-jotaka</v>
      </c>
      <c r="C395" s="30" t="str">
        <f>HYPERLINK("https://ebird.org/species/grynig1")</f>
        <v>https://ebird.org/species/grynig1</v>
      </c>
      <c r="D395" s="31" t="str">
        <f>HYPERLINK("https://www.hbw.com/species/Grey-Nightjar-Caprimulgus-jotaka")</f>
        <v>https://www.hbw.com/species/Grey-Nightjar-Caprimulgus-jotaka</v>
      </c>
      <c r="E395" s="32" t="str">
        <f>HYPERLINK("https://www.iucnredlist.org/search?query=Caprimulgus jotaka&amp;searchType=species")</f>
        <v>https://www.iucnredlist.org/search?query=Caprimulgus jotaka&amp;searchType=species</v>
      </c>
      <c r="F395" s="2">
        <v>317</v>
      </c>
      <c r="G395" s="27" t="s">
        <v>951</v>
      </c>
      <c r="H395" s="83" t="s">
        <v>955</v>
      </c>
      <c r="I395" s="92" t="s">
        <v>956</v>
      </c>
      <c r="J395" s="1" t="s">
        <v>50</v>
      </c>
      <c r="M395" s="2" t="s">
        <v>957</v>
      </c>
      <c r="N395" s="2" t="s">
        <v>11332</v>
      </c>
    </row>
    <row r="396" spans="1:14" ht="14.4" x14ac:dyDescent="0.3">
      <c r="A396" s="28" t="str">
        <f>HYPERLINK("https://www.google.com/search?q=Caprimulgus macrurus&amp;tbm=isch")</f>
        <v>https://www.google.com/search?q=Caprimulgus macrurus&amp;tbm=isch</v>
      </c>
      <c r="B396" s="29" t="str">
        <f>HYPERLINK("https://www.xeno-canto.org/species/Caprimulgus-macrurus")</f>
        <v>https://www.xeno-canto.org/species/Caprimulgus-macrurus</v>
      </c>
      <c r="C396" s="30" t="str">
        <f>HYPERLINK("https://ebird.org/species/latnig2")</f>
        <v>https://ebird.org/species/latnig2</v>
      </c>
      <c r="D396" s="31" t="str">
        <f>HYPERLINK("https://www.hbw.com/species/Large-tailed-Nightjar-Caprimulgus-macrurus")</f>
        <v>https://www.hbw.com/species/Large-tailed-Nightjar-Caprimulgus-macrurus</v>
      </c>
      <c r="E396" s="32" t="str">
        <f>HYPERLINK("https://www.iucnredlist.org/search?query=Caprimulgus macrurus&amp;searchType=species")</f>
        <v>https://www.iucnredlist.org/search?query=Caprimulgus macrurus&amp;searchType=species</v>
      </c>
      <c r="F396" s="2">
        <v>318</v>
      </c>
      <c r="G396" s="27" t="s">
        <v>951</v>
      </c>
      <c r="H396" s="84" t="s">
        <v>958</v>
      </c>
      <c r="I396" s="92" t="s">
        <v>959</v>
      </c>
      <c r="J396" s="1" t="s">
        <v>15</v>
      </c>
      <c r="M396" s="2" t="s">
        <v>960</v>
      </c>
    </row>
    <row r="397" spans="1:14" ht="14.4" x14ac:dyDescent="0.3">
      <c r="A397" s="28" t="str">
        <f>HYPERLINK("https://www.google.com/search?q=Caprimulgus manillensis&amp;tbm=isch")</f>
        <v>https://www.google.com/search?q=Caprimulgus manillensis&amp;tbm=isch</v>
      </c>
      <c r="B397" s="29" t="str">
        <f>HYPERLINK("https://www.xeno-canto.org/species/Caprimulgus-manillensis")</f>
        <v>https://www.xeno-canto.org/species/Caprimulgus-manillensis</v>
      </c>
      <c r="C397" s="30" t="str">
        <f>HYPERLINK("https://ebird.org/species/phinig1")</f>
        <v>https://ebird.org/species/phinig1</v>
      </c>
      <c r="D397" s="31" t="str">
        <f>HYPERLINK("https://www.hbw.com/species/Philippine-Nightjar-Caprimulgus-manillensis")</f>
        <v>https://www.hbw.com/species/Philippine-Nightjar-Caprimulgus-manillensis</v>
      </c>
      <c r="E397" s="32" t="str">
        <f>HYPERLINK("https://www.iucnredlist.org/search?query=Caprimulgus manillensis&amp;searchType=species")</f>
        <v>https://www.iucnredlist.org/search?query=Caprimulgus manillensis&amp;searchType=species</v>
      </c>
      <c r="F397" s="2">
        <v>319</v>
      </c>
      <c r="G397" s="27" t="s">
        <v>951</v>
      </c>
      <c r="H397" s="86" t="s">
        <v>961</v>
      </c>
      <c r="I397" s="94" t="s">
        <v>962</v>
      </c>
      <c r="J397" s="1" t="s">
        <v>65</v>
      </c>
      <c r="M397" s="2" t="s">
        <v>68</v>
      </c>
    </row>
    <row r="398" spans="1:14" ht="14.4" x14ac:dyDescent="0.3">
      <c r="A398" s="28" t="str">
        <f>HYPERLINK("https://www.google.com/search?q=Caprimulgus affinis&amp;tbm=isch")</f>
        <v>https://www.google.com/search?q=Caprimulgus affinis&amp;tbm=isch</v>
      </c>
      <c r="B398" s="29" t="str">
        <f>HYPERLINK("https://www.xeno-canto.org/species/Caprimulgus-affinis")</f>
        <v>https://www.xeno-canto.org/species/Caprimulgus-affinis</v>
      </c>
      <c r="C398" s="30" t="str">
        <f>HYPERLINK("https://ebird.org/species/savnig1")</f>
        <v>https://ebird.org/species/savnig1</v>
      </c>
      <c r="D398" s="31" t="str">
        <f>HYPERLINK("https://www.hbw.com/species/Savanna-Nightjar-Caprimulgus-affinis")</f>
        <v>https://www.hbw.com/species/Savanna-Nightjar-Caprimulgus-affinis</v>
      </c>
      <c r="E398" s="32" t="str">
        <f>HYPERLINK("https://www.iucnredlist.org/search?query=Caprimulgus affinis&amp;searchType=species")</f>
        <v>https://www.iucnredlist.org/search?query=Caprimulgus affinis&amp;searchType=species</v>
      </c>
      <c r="F398" s="2">
        <v>320</v>
      </c>
      <c r="G398" s="27" t="s">
        <v>951</v>
      </c>
      <c r="H398" s="84" t="s">
        <v>963</v>
      </c>
      <c r="I398" s="92" t="s">
        <v>964</v>
      </c>
      <c r="J398" s="1" t="s">
        <v>15</v>
      </c>
      <c r="M398" s="2" t="s">
        <v>43</v>
      </c>
    </row>
    <row r="399" spans="1:14" x14ac:dyDescent="0.3">
      <c r="A399" s="33"/>
      <c r="B399" s="34"/>
      <c r="C399" s="35"/>
      <c r="D399" s="36"/>
      <c r="E399" s="37"/>
    </row>
    <row r="400" spans="1:14" ht="12" x14ac:dyDescent="0.3">
      <c r="A400" s="33"/>
      <c r="B400" s="34"/>
      <c r="C400" s="35"/>
      <c r="D400" s="36"/>
      <c r="E400" s="37"/>
      <c r="H400" s="82" t="s">
        <v>965</v>
      </c>
      <c r="I400" s="91" t="s">
        <v>966</v>
      </c>
    </row>
    <row r="401" spans="1:14" ht="14.4" x14ac:dyDescent="0.3">
      <c r="A401" s="28" t="str">
        <f>HYPERLINK("https://www.google.com/search?q=Hemiprocne longipennis&amp;tbm=isch")</f>
        <v>https://www.google.com/search?q=Hemiprocne longipennis&amp;tbm=isch</v>
      </c>
      <c r="B401" s="29" t="str">
        <f>HYPERLINK("https://www.xeno-canto.org/species/Hemiprocne-longipennis")</f>
        <v>https://www.xeno-canto.org/species/Hemiprocne-longipennis</v>
      </c>
      <c r="C401" s="30" t="str">
        <f>HYPERLINK("https://ebird.org/species/gyrtre1")</f>
        <v>https://ebird.org/species/gyrtre1</v>
      </c>
      <c r="D401" s="31" t="str">
        <f>HYPERLINK("https://www.hbw.com/species/Grey-rumped-Treeswift-Hemiprocne-longipennis")</f>
        <v>https://www.hbw.com/species/Grey-rumped-Treeswift-Hemiprocne-longipennis</v>
      </c>
      <c r="E401" s="32" t="str">
        <f>HYPERLINK("https://www.iucnredlist.org/search?query=Hemiprocne longipennis&amp;searchType=species")</f>
        <v>https://www.iucnredlist.org/search?query=Hemiprocne longipennis&amp;searchType=species</v>
      </c>
      <c r="F401" s="2">
        <v>321</v>
      </c>
      <c r="G401" s="27" t="s">
        <v>966</v>
      </c>
      <c r="H401" s="83" t="s">
        <v>967</v>
      </c>
      <c r="I401" s="92" t="s">
        <v>968</v>
      </c>
      <c r="J401" s="1" t="s">
        <v>15</v>
      </c>
      <c r="M401" s="2" t="s">
        <v>969</v>
      </c>
    </row>
    <row r="402" spans="1:14" ht="20.399999999999999" x14ac:dyDescent="0.3">
      <c r="A402" s="28" t="str">
        <f>HYPERLINK("https://www.google.com/search?q=Hemiprocne comata&amp;tbm=isch")</f>
        <v>https://www.google.com/search?q=Hemiprocne comata&amp;tbm=isch</v>
      </c>
      <c r="B402" s="29" t="str">
        <f>HYPERLINK("https://www.xeno-canto.org/species/Hemiprocne-comata")</f>
        <v>https://www.xeno-canto.org/species/Hemiprocne-comata</v>
      </c>
      <c r="C402" s="30" t="str">
        <f>HYPERLINK("https://ebird.org/species/whitre1")</f>
        <v>https://ebird.org/species/whitre1</v>
      </c>
      <c r="D402" s="31" t="str">
        <f>HYPERLINK("https://www.hbw.com/species/Whiskered-Treeswift-Hemiprocne-comata")</f>
        <v>https://www.hbw.com/species/Whiskered-Treeswift-Hemiprocne-comata</v>
      </c>
      <c r="E402" s="32" t="str">
        <f>HYPERLINK("https://www.iucnredlist.org/search?query=Hemiprocne comata&amp;searchType=species")</f>
        <v>https://www.iucnredlist.org/search?query=Hemiprocne comata&amp;searchType=species</v>
      </c>
      <c r="F402" s="2">
        <v>322</v>
      </c>
      <c r="G402" s="27" t="s">
        <v>966</v>
      </c>
      <c r="H402" s="84" t="s">
        <v>970</v>
      </c>
      <c r="I402" s="92" t="s">
        <v>971</v>
      </c>
      <c r="J402" s="1" t="s">
        <v>15</v>
      </c>
      <c r="M402" s="2" t="s">
        <v>972</v>
      </c>
    </row>
    <row r="403" spans="1:14" x14ac:dyDescent="0.3">
      <c r="A403" s="33"/>
      <c r="B403" s="34"/>
      <c r="C403" s="35"/>
      <c r="D403" s="36"/>
      <c r="E403" s="37"/>
    </row>
    <row r="404" spans="1:14" ht="12" x14ac:dyDescent="0.3">
      <c r="A404" s="33"/>
      <c r="B404" s="34"/>
      <c r="C404" s="35"/>
      <c r="D404" s="36"/>
      <c r="E404" s="37"/>
      <c r="H404" s="82" t="s">
        <v>973</v>
      </c>
      <c r="I404" s="91" t="s">
        <v>974</v>
      </c>
    </row>
    <row r="405" spans="1:14" ht="14.4" x14ac:dyDescent="0.3">
      <c r="A405" s="28" t="str">
        <f>HYPERLINK("https://www.google.com/search?q=Collocalia marginata&amp;tbm=isch")</f>
        <v>https://www.google.com/search?q=Collocalia marginata&amp;tbm=isch</v>
      </c>
      <c r="B405" s="29" t="str">
        <f>HYPERLINK("https://www.xeno-canto.org/species/Collocalia-marginata")</f>
        <v>https://www.xeno-canto.org/species/Collocalia-marginata</v>
      </c>
      <c r="C405" s="30" t="str">
        <f>HYPERLINK("https://ebird.org/species/gyrswi5")</f>
        <v>https://ebird.org/species/gyrswi5</v>
      </c>
      <c r="D405" s="31" t="str">
        <f>HYPERLINK("https://www.hbw.com/species/Glossy-Swiftlet-Collocalia-esculenta")</f>
        <v>https://www.hbw.com/species/Glossy-Swiftlet-Collocalia-esculenta</v>
      </c>
      <c r="E405" s="32" t="str">
        <f>HYPERLINK("https://www.iucnredlist.org/search?query=Collocalia marginata&amp;searchType=species")</f>
        <v>https://www.iucnredlist.org/search?query=Collocalia marginata&amp;searchType=species</v>
      </c>
      <c r="F405" s="2">
        <v>323</v>
      </c>
      <c r="G405" s="27" t="s">
        <v>974</v>
      </c>
      <c r="H405" s="86" t="s">
        <v>975</v>
      </c>
      <c r="I405" s="94" t="s">
        <v>976</v>
      </c>
      <c r="J405" s="1" t="s">
        <v>65</v>
      </c>
      <c r="M405" s="2" t="s">
        <v>977</v>
      </c>
    </row>
    <row r="406" spans="1:14" ht="14.4" x14ac:dyDescent="0.3">
      <c r="A406" s="28" t="str">
        <f>HYPERLINK("https://www.google.com/search?q=Collocalia isonota&amp;tbm=isch")</f>
        <v>https://www.google.com/search?q=Collocalia isonota&amp;tbm=isch</v>
      </c>
      <c r="B406" s="29" t="str">
        <f>HYPERLINK("https://www.xeno-canto.org/species/Collocalia-isonota")</f>
        <v>https://www.xeno-canto.org/species/Collocalia-isonota</v>
      </c>
      <c r="C406" s="30" t="str">
        <f>HYPERLINK("https://ebird.org/species/ridswi1")</f>
        <v>https://ebird.org/species/ridswi1</v>
      </c>
      <c r="D406" s="31" t="str">
        <f>HYPERLINK("https://www.hbw.com/species/Ridgetop-Swiftlet-Collocalia-isonota")</f>
        <v>https://www.hbw.com/species/Ridgetop-Swiftlet-Collocalia-isonota</v>
      </c>
      <c r="E406" s="32" t="str">
        <f>HYPERLINK("https://www.iucnredlist.org/search?query=Collocalia isonota&amp;searchType=species")</f>
        <v>https://www.iucnredlist.org/search?query=Collocalia isonota&amp;searchType=species</v>
      </c>
      <c r="F406" s="2">
        <v>324</v>
      </c>
      <c r="G406" s="27" t="s">
        <v>974</v>
      </c>
      <c r="H406" s="86" t="s">
        <v>978</v>
      </c>
      <c r="I406" s="94" t="s">
        <v>979</v>
      </c>
      <c r="J406" s="1" t="s">
        <v>65</v>
      </c>
      <c r="M406" s="2" t="s">
        <v>977</v>
      </c>
    </row>
    <row r="407" spans="1:14" ht="14.4" x14ac:dyDescent="0.3">
      <c r="A407" s="28" t="str">
        <f>HYPERLINK("https://www.google.com/search?q=Collocalia troglodytes&amp;tbm=isch")</f>
        <v>https://www.google.com/search?q=Collocalia troglodytes&amp;tbm=isch</v>
      </c>
      <c r="B407" s="29" t="str">
        <f>HYPERLINK("https://www.xeno-canto.org/species/Collocalia-troglodytes")</f>
        <v>https://www.xeno-canto.org/species/Collocalia-troglodytes</v>
      </c>
      <c r="C407" s="30" t="str">
        <f>HYPERLINK("https://ebird.org/species/pygswi2")</f>
        <v>https://ebird.org/species/pygswi2</v>
      </c>
      <c r="D407" s="31" t="str">
        <f>HYPERLINK("https://www.hbw.com/species/Pygmy-Swiftlet-Collocalia-troglodytes")</f>
        <v>https://www.hbw.com/species/Pygmy-Swiftlet-Collocalia-troglodytes</v>
      </c>
      <c r="E407" s="32" t="str">
        <f>HYPERLINK("https://www.iucnredlist.org/search?query=Collocalia troglodytes&amp;searchType=species")</f>
        <v>https://www.iucnredlist.org/search?query=Collocalia troglodytes&amp;searchType=species</v>
      </c>
      <c r="F407" s="2">
        <v>325</v>
      </c>
      <c r="G407" s="27" t="s">
        <v>974</v>
      </c>
      <c r="H407" s="86" t="s">
        <v>980</v>
      </c>
      <c r="I407" s="94" t="s">
        <v>981</v>
      </c>
      <c r="J407" s="1" t="s">
        <v>65</v>
      </c>
      <c r="M407" s="2" t="s">
        <v>68</v>
      </c>
    </row>
    <row r="408" spans="1:14" ht="14.4" x14ac:dyDescent="0.3">
      <c r="A408" s="28" t="str">
        <f>HYPERLINK("https://www.google.com/search?q=Aerodramus mearnsi&amp;tbm=isch")</f>
        <v>https://www.google.com/search?q=Aerodramus mearnsi&amp;tbm=isch</v>
      </c>
      <c r="B408" s="29" t="str">
        <f>HYPERLINK("https://www.xeno-canto.org/species/Aerodramus-mearnsi")</f>
        <v>https://www.xeno-canto.org/species/Aerodramus-mearnsi</v>
      </c>
      <c r="C408" s="30" t="str">
        <f>HYPERLINK("https://ebird.org/species/phiswi1")</f>
        <v>https://ebird.org/species/phiswi1</v>
      </c>
      <c r="D408" s="31" t="str">
        <f>HYPERLINK("https://www.hbw.com/species/Philippine-Swiftlet-Aerodramus-mearnsi")</f>
        <v>https://www.hbw.com/species/Philippine-Swiftlet-Aerodramus-mearnsi</v>
      </c>
      <c r="E408" s="32" t="str">
        <f>HYPERLINK("https://www.iucnredlist.org/search?query=Aerodramus mearnsi&amp;searchType=species")</f>
        <v>https://www.iucnredlist.org/search?query=Aerodramus mearnsi&amp;searchType=species</v>
      </c>
      <c r="F408" s="2">
        <v>326</v>
      </c>
      <c r="G408" s="27" t="s">
        <v>974</v>
      </c>
      <c r="H408" s="86" t="s">
        <v>982</v>
      </c>
      <c r="I408" s="94" t="s">
        <v>983</v>
      </c>
      <c r="J408" s="1" t="s">
        <v>65</v>
      </c>
      <c r="M408" s="2" t="s">
        <v>68</v>
      </c>
    </row>
    <row r="409" spans="1:14" ht="14.4" x14ac:dyDescent="0.3">
      <c r="A409" s="28" t="str">
        <f>HYPERLINK("https://www.google.com/search?q=Aerodramus whiteheadi&amp;tbm=isch")</f>
        <v>https://www.google.com/search?q=Aerodramus whiteheadi&amp;tbm=isch</v>
      </c>
      <c r="B409" s="29" t="str">
        <f>HYPERLINK("https://www.xeno-canto.org/species/Aerodramus-whiteheadi")</f>
        <v>https://www.xeno-canto.org/species/Aerodramus-whiteheadi</v>
      </c>
      <c r="C409" s="30" t="str">
        <f>HYPERLINK("https://ebird.org/species/whiswi1")</f>
        <v>https://ebird.org/species/whiswi1</v>
      </c>
      <c r="D409" s="31" t="str">
        <f>HYPERLINK("https://www.hbw.com/species/Whitehead's-Swiftlet-Aerodramus-whiteheadi")</f>
        <v>https://www.hbw.com/species/Whitehead's-Swiftlet-Aerodramus-whiteheadi</v>
      </c>
      <c r="E409" s="32" t="str">
        <f>HYPERLINK("https://www.iucnredlist.org/search?query=Aerodramus whiteheadi&amp;searchType=species")</f>
        <v>https://www.iucnredlist.org/search?query=Aerodramus whiteheadi&amp;searchType=species</v>
      </c>
      <c r="F409" s="2">
        <v>327</v>
      </c>
      <c r="G409" s="27" t="s">
        <v>974</v>
      </c>
      <c r="H409" s="90" t="s">
        <v>984</v>
      </c>
      <c r="I409" s="94" t="s">
        <v>985</v>
      </c>
      <c r="J409" s="1" t="s">
        <v>65</v>
      </c>
      <c r="K409" s="1" t="s">
        <v>406</v>
      </c>
      <c r="M409" s="2" t="s">
        <v>68</v>
      </c>
    </row>
    <row r="410" spans="1:14" ht="14.4" x14ac:dyDescent="0.3">
      <c r="A410" s="28" t="str">
        <f>HYPERLINK("https://www.google.com/search?q=Aerodramus salangana&amp;tbm=isch")</f>
        <v>https://www.google.com/search?q=Aerodramus salangana&amp;tbm=isch</v>
      </c>
      <c r="B410" s="29" t="str">
        <f>HYPERLINK("https://www.xeno-canto.org/species/Aerodramus-salangana")</f>
        <v>https://www.xeno-canto.org/species/Aerodramus-salangana</v>
      </c>
      <c r="C410" s="30" t="str">
        <f>HYPERLINK("https://ebird.org/species/monswi2")</f>
        <v>https://ebird.org/species/monswi2</v>
      </c>
      <c r="D410" s="31" t="str">
        <f>HYPERLINK("https://www.hbw.com/species/Mossy-nest-Swiftlet-Aerodramus-salangana")</f>
        <v>https://www.hbw.com/species/Mossy-nest-Swiftlet-Aerodramus-salangana</v>
      </c>
      <c r="E410" s="32" t="str">
        <f>HYPERLINK("https://www.iucnredlist.org/search?query=Aerodramus salangana&amp;searchType=species")</f>
        <v>https://www.iucnredlist.org/search?query=Aerodramus salangana&amp;searchType=species</v>
      </c>
      <c r="F410" s="2">
        <v>328</v>
      </c>
      <c r="G410" s="27" t="s">
        <v>974</v>
      </c>
      <c r="H410" s="83" t="s">
        <v>986</v>
      </c>
      <c r="I410" s="92" t="s">
        <v>987</v>
      </c>
      <c r="J410" s="1" t="s">
        <v>10</v>
      </c>
      <c r="M410" s="2" t="s">
        <v>988</v>
      </c>
    </row>
    <row r="411" spans="1:14" ht="14.4" x14ac:dyDescent="0.3">
      <c r="A411" s="28" t="str">
        <f>HYPERLINK("https://www.google.com/search?q=Aerodramus amelis&amp;tbm=isch")</f>
        <v>https://www.google.com/search?q=Aerodramus amelis&amp;tbm=isch</v>
      </c>
      <c r="B411" s="29" t="str">
        <f>HYPERLINK("https://www.xeno-canto.org/species/Aerodramus-amelis")</f>
        <v>https://www.xeno-canto.org/species/Aerodramus-amelis</v>
      </c>
      <c r="C411" s="30" t="str">
        <f>HYPERLINK("https://ebird.org/species/palswi2")</f>
        <v>https://ebird.org/species/palswi2</v>
      </c>
      <c r="D411" s="31" t="str">
        <f>HYPERLINK("https://www.hbw.com/species/Ameline-Swiftlet-Aerodramus-amelis")</f>
        <v>https://www.hbw.com/species/Ameline-Swiftlet-Aerodramus-amelis</v>
      </c>
      <c r="E411" s="32" t="str">
        <f>HYPERLINK("https://www.iucnredlist.org/search?query=Aerodramus amelis&amp;searchType=species")</f>
        <v>https://www.iucnredlist.org/search?query=Aerodramus amelis&amp;searchType=species</v>
      </c>
      <c r="F411" s="2">
        <v>329</v>
      </c>
      <c r="G411" s="27" t="s">
        <v>974</v>
      </c>
      <c r="H411" s="86" t="s">
        <v>989</v>
      </c>
      <c r="I411" s="94" t="s">
        <v>990</v>
      </c>
      <c r="J411" s="1" t="s">
        <v>65</v>
      </c>
      <c r="M411" s="2" t="s">
        <v>68</v>
      </c>
    </row>
    <row r="412" spans="1:14" ht="14.4" x14ac:dyDescent="0.3">
      <c r="A412" s="28" t="str">
        <f>HYPERLINK("https://www.google.com/search?q=Aerodramus maximus&amp;tbm=isch")</f>
        <v>https://www.google.com/search?q=Aerodramus maximus&amp;tbm=isch</v>
      </c>
      <c r="B412" s="29" t="str">
        <f>HYPERLINK("https://www.xeno-canto.org/species/Aerodramus-maximus")</f>
        <v>https://www.xeno-canto.org/species/Aerodramus-maximus</v>
      </c>
      <c r="C412" s="30" t="str">
        <f>HYPERLINK("https://ebird.org/species/blnswi1")</f>
        <v>https://ebird.org/species/blnswi1</v>
      </c>
      <c r="D412" s="31" t="str">
        <f>HYPERLINK("https://www.hbw.com/species/Black-nest-Swiftlet-Aerodramus-maximus")</f>
        <v>https://www.hbw.com/species/Black-nest-Swiftlet-Aerodramus-maximus</v>
      </c>
      <c r="E412" s="32" t="str">
        <f>HYPERLINK("https://www.iucnredlist.org/search?query=Aerodramus maximus&amp;searchType=species")</f>
        <v>https://www.iucnredlist.org/search?query=Aerodramus maximus&amp;searchType=species</v>
      </c>
      <c r="F412" s="2">
        <v>330</v>
      </c>
      <c r="G412" s="27" t="s">
        <v>974</v>
      </c>
      <c r="H412" s="83" t="s">
        <v>991</v>
      </c>
      <c r="I412" s="92" t="s">
        <v>992</v>
      </c>
      <c r="J412" s="1" t="s">
        <v>10</v>
      </c>
      <c r="M412" s="2" t="s">
        <v>822</v>
      </c>
    </row>
    <row r="413" spans="1:14" ht="14.4" x14ac:dyDescent="0.3">
      <c r="A413" s="28" t="str">
        <f>HYPERLINK("https://www.google.com/search?q=Aerodramus germani&amp;tbm=isch")</f>
        <v>https://www.google.com/search?q=Aerodramus germani&amp;tbm=isch</v>
      </c>
      <c r="B413" s="29" t="str">
        <f>HYPERLINK("https://www.xeno-canto.org/species/Aerodramus-germani")</f>
        <v>https://www.xeno-canto.org/species/Aerodramus-germani</v>
      </c>
      <c r="C413" s="30" t="str">
        <f>HYPERLINK("https://ebird.org/species/gerswi1")</f>
        <v>https://ebird.org/species/gerswi1</v>
      </c>
      <c r="D413" s="31" t="str">
        <f>HYPERLINK("https://www.hbw.com/species/Edible-nest-Swiftlet-Aerodramus-fuciphagus")</f>
        <v>https://www.hbw.com/species/Edible-nest-Swiftlet-Aerodramus-fuciphagus</v>
      </c>
      <c r="E413" s="32" t="str">
        <f>HYPERLINK("https://www.iucnredlist.org/search?query=Aerodramus germani&amp;searchType=species")</f>
        <v>https://www.iucnredlist.org/search?query=Aerodramus germani&amp;searchType=species</v>
      </c>
      <c r="F413" s="2">
        <v>331</v>
      </c>
      <c r="G413" s="27" t="s">
        <v>974</v>
      </c>
      <c r="H413" s="84" t="s">
        <v>993</v>
      </c>
      <c r="I413" s="92" t="s">
        <v>994</v>
      </c>
      <c r="J413" s="1" t="s">
        <v>15</v>
      </c>
      <c r="M413" s="2" t="s">
        <v>995</v>
      </c>
    </row>
    <row r="414" spans="1:14" ht="14.4" x14ac:dyDescent="0.3">
      <c r="A414" s="28" t="str">
        <f>HYPERLINK("https://www.google.com/search?q=Mearnsia picina&amp;tbm=isch")</f>
        <v>https://www.google.com/search?q=Mearnsia picina&amp;tbm=isch</v>
      </c>
      <c r="B414" s="29" t="str">
        <f>HYPERLINK("https://www.xeno-canto.org/species/Mearnsia-picina")</f>
        <v>https://www.xeno-canto.org/species/Mearnsia-picina</v>
      </c>
      <c r="C414" s="30" t="str">
        <f>HYPERLINK("https://ebird.org/species/phinee1")</f>
        <v>https://ebird.org/species/phinee1</v>
      </c>
      <c r="D414" s="31" t="str">
        <f>HYPERLINK("https://www.hbw.com/species/Philippine-Spinetail-Mearnsia-picina")</f>
        <v>https://www.hbw.com/species/Philippine-Spinetail-Mearnsia-picina</v>
      </c>
      <c r="E414" s="32" t="str">
        <f>HYPERLINK("https://www.iucnredlist.org/search?query=Mearnsia picina&amp;searchType=species")</f>
        <v>https://www.iucnredlist.org/search?query=Mearnsia picina&amp;searchType=species</v>
      </c>
      <c r="F414" s="2">
        <v>332</v>
      </c>
      <c r="G414" s="27" t="s">
        <v>974</v>
      </c>
      <c r="H414" s="86" t="s">
        <v>996</v>
      </c>
      <c r="I414" s="94" t="s">
        <v>997</v>
      </c>
      <c r="J414" s="1" t="s">
        <v>65</v>
      </c>
      <c r="K414" s="1" t="s">
        <v>58</v>
      </c>
      <c r="L414" s="1" t="s">
        <v>66</v>
      </c>
      <c r="M414" s="2" t="s">
        <v>998</v>
      </c>
    </row>
    <row r="415" spans="1:14" ht="30.6" x14ac:dyDescent="0.3">
      <c r="A415" s="28" t="str">
        <f>HYPERLINK("https://www.google.com/search?q=Hirundapus caudacutus&amp;tbm=isch")</f>
        <v>https://www.google.com/search?q=Hirundapus caudacutus&amp;tbm=isch</v>
      </c>
      <c r="B415" s="29" t="str">
        <f>HYPERLINK("https://www.xeno-canto.org/species/Hirundapus-caudacutus")</f>
        <v>https://www.xeno-canto.org/species/Hirundapus-caudacutus</v>
      </c>
      <c r="C415" s="30" t="str">
        <f>HYPERLINK("https://ebird.org/species/whtnee")</f>
        <v>https://ebird.org/species/whtnee</v>
      </c>
      <c r="D415" s="31" t="str">
        <f>HYPERLINK("https://www.hbw.com/species/White-throated-Needletail-Hirundapus-caudacutus")</f>
        <v>https://www.hbw.com/species/White-throated-Needletail-Hirundapus-caudacutus</v>
      </c>
      <c r="E415" s="32" t="str">
        <f>HYPERLINK("https://www.iucnredlist.org/search?query=Hirundapus caudacutus&amp;searchType=species")</f>
        <v>https://www.iucnredlist.org/search?query=Hirundapus caudacutus&amp;searchType=species</v>
      </c>
      <c r="F415" s="2">
        <v>333</v>
      </c>
      <c r="G415" s="27" t="s">
        <v>974</v>
      </c>
      <c r="H415" s="85" t="s">
        <v>999</v>
      </c>
      <c r="I415" s="93" t="s">
        <v>1000</v>
      </c>
      <c r="J415" s="1" t="s">
        <v>19</v>
      </c>
      <c r="M415" s="2" t="s">
        <v>1001</v>
      </c>
      <c r="N415" s="2" t="s">
        <v>11333</v>
      </c>
    </row>
    <row r="416" spans="1:14" ht="14.4" x14ac:dyDescent="0.3">
      <c r="A416" s="28" t="str">
        <f>HYPERLINK("https://www.google.com/search?q=Hirundapus giganteus&amp;tbm=isch")</f>
        <v>https://www.google.com/search?q=Hirundapus giganteus&amp;tbm=isch</v>
      </c>
      <c r="B416" s="29" t="str">
        <f>HYPERLINK("https://www.xeno-canto.org/species/Hirundapus-giganteus")</f>
        <v>https://www.xeno-canto.org/species/Hirundapus-giganteus</v>
      </c>
      <c r="C416" s="30" t="str">
        <f>HYPERLINK("https://ebird.org/species/brbnee1")</f>
        <v>https://ebird.org/species/brbnee1</v>
      </c>
      <c r="D416" s="31" t="str">
        <f>HYPERLINK("https://www.hbw.com/species/Brown-backed-Needletail-Hirundapus-giganteus")</f>
        <v>https://www.hbw.com/species/Brown-backed-Needletail-Hirundapus-giganteus</v>
      </c>
      <c r="E416" s="32" t="str">
        <f>HYPERLINK("https://www.iucnredlist.org/search?query=Hirundapus giganteus&amp;searchType=species")</f>
        <v>https://www.iucnredlist.org/search?query=Hirundapus giganteus&amp;searchType=species</v>
      </c>
      <c r="F416" s="2">
        <v>334</v>
      </c>
      <c r="G416" s="27" t="s">
        <v>974</v>
      </c>
      <c r="H416" s="84" t="s">
        <v>1002</v>
      </c>
      <c r="I416" s="92" t="s">
        <v>1003</v>
      </c>
      <c r="J416" s="1" t="s">
        <v>15</v>
      </c>
      <c r="M416" s="2" t="s">
        <v>43</v>
      </c>
    </row>
    <row r="417" spans="1:14" ht="14.4" x14ac:dyDescent="0.3">
      <c r="A417" s="28" t="str">
        <f>HYPERLINK("https://www.google.com/search?q=Hirundapus celebensis&amp;tbm=isch")</f>
        <v>https://www.google.com/search?q=Hirundapus celebensis&amp;tbm=isch</v>
      </c>
      <c r="B417" s="29" t="str">
        <f>HYPERLINK("https://www.xeno-canto.org/species/Hirundapus-celebensis")</f>
        <v>https://www.xeno-canto.org/species/Hirundapus-celebensis</v>
      </c>
      <c r="C417" s="30" t="str">
        <f>HYPERLINK("https://ebird.org/species/purnee1")</f>
        <v>https://ebird.org/species/purnee1</v>
      </c>
      <c r="D417" s="31" t="str">
        <f>HYPERLINK("https://www.hbw.com/species/Purple-Needletail-Hirundapus-celebensis")</f>
        <v>https://www.hbw.com/species/Purple-Needletail-Hirundapus-celebensis</v>
      </c>
      <c r="E417" s="32" t="str">
        <f>HYPERLINK("https://www.iucnredlist.org/search?query=Hirundapus celebensis&amp;searchType=species")</f>
        <v>https://www.iucnredlist.org/search?query=Hirundapus celebensis&amp;searchType=species</v>
      </c>
      <c r="F417" s="2">
        <v>335</v>
      </c>
      <c r="G417" s="27" t="s">
        <v>974</v>
      </c>
      <c r="H417" s="84" t="s">
        <v>1004</v>
      </c>
      <c r="I417" s="92" t="s">
        <v>1005</v>
      </c>
      <c r="J417" s="1" t="s">
        <v>15</v>
      </c>
      <c r="M417" s="2" t="s">
        <v>1006</v>
      </c>
    </row>
    <row r="418" spans="1:14" ht="14.4" x14ac:dyDescent="0.3">
      <c r="A418" s="28" t="str">
        <f>HYPERLINK("https://www.google.com/search?q=Cypsiurus balasiensis&amp;tbm=isch")</f>
        <v>https://www.google.com/search?q=Cypsiurus balasiensis&amp;tbm=isch</v>
      </c>
      <c r="B418" s="29" t="str">
        <f>HYPERLINK("https://www.xeno-canto.org/species/Cypsiurus-balasiensis")</f>
        <v>https://www.xeno-canto.org/species/Cypsiurus-balasiensis</v>
      </c>
      <c r="C418" s="30" t="str">
        <f>HYPERLINK("https://ebird.org/species/aspswi1")</f>
        <v>https://ebird.org/species/aspswi1</v>
      </c>
      <c r="D418" s="31" t="str">
        <f>HYPERLINK("https://www.hbw.com/species/Asian-Palm-swift-Cypsiurus-balasiensis")</f>
        <v>https://www.hbw.com/species/Asian-Palm-swift-Cypsiurus-balasiensis</v>
      </c>
      <c r="E418" s="32" t="str">
        <f>HYPERLINK("https://www.iucnredlist.org/search?query=Cypsiurus balasiensis&amp;searchType=species")</f>
        <v>https://www.iucnredlist.org/search?query=Cypsiurus balasiensis&amp;searchType=species</v>
      </c>
      <c r="F418" s="2">
        <v>336</v>
      </c>
      <c r="G418" s="27" t="s">
        <v>974</v>
      </c>
      <c r="H418" s="84" t="s">
        <v>1007</v>
      </c>
      <c r="I418" s="92" t="s">
        <v>1008</v>
      </c>
      <c r="J418" s="1" t="s">
        <v>15</v>
      </c>
      <c r="M418" s="2" t="s">
        <v>43</v>
      </c>
    </row>
    <row r="419" spans="1:14" ht="14.4" x14ac:dyDescent="0.3">
      <c r="A419" s="28" t="str">
        <f>HYPERLINK("https://www.google.com/search?q=Apus pacificus&amp;tbm=isch")</f>
        <v>https://www.google.com/search?q=Apus pacificus&amp;tbm=isch</v>
      </c>
      <c r="B419" s="29" t="str">
        <f>HYPERLINK("https://www.xeno-canto.org/species/Apus-pacificus")</f>
        <v>https://www.xeno-canto.org/species/Apus-pacificus</v>
      </c>
      <c r="C419" s="30" t="str">
        <f>HYPERLINK("https://ebird.org/species/fotswi")</f>
        <v>https://ebird.org/species/fotswi</v>
      </c>
      <c r="D419" s="31" t="str">
        <f>HYPERLINK("https://www.hbw.com/species/Pacific-Swift-Apus-pacificus")</f>
        <v>https://www.hbw.com/species/Pacific-Swift-Apus-pacificus</v>
      </c>
      <c r="E419" s="32" t="str">
        <f>HYPERLINK("https://www.iucnredlist.org/search?query=Apus pacificus&amp;searchType=species")</f>
        <v>https://www.iucnredlist.org/search?query=Apus pacificus&amp;searchType=species</v>
      </c>
      <c r="F419" s="2">
        <v>337</v>
      </c>
      <c r="G419" s="27" t="s">
        <v>974</v>
      </c>
      <c r="H419" s="84" t="s">
        <v>1009</v>
      </c>
      <c r="I419" s="92" t="s">
        <v>1010</v>
      </c>
      <c r="J419" s="1" t="s">
        <v>317</v>
      </c>
      <c r="M419" s="2" t="s">
        <v>1011</v>
      </c>
      <c r="N419" s="2" t="s">
        <v>123</v>
      </c>
    </row>
    <row r="420" spans="1:14" ht="14.4" x14ac:dyDescent="0.3">
      <c r="A420" s="28" t="str">
        <f>HYPERLINK("https://www.google.com/search?q=Apus nipalensis&amp;tbm=isch")</f>
        <v>https://www.google.com/search?q=Apus nipalensis&amp;tbm=isch</v>
      </c>
      <c r="B420" s="29" t="str">
        <f>HYPERLINK("https://www.xeno-canto.org/species/Apus-nipalensis")</f>
        <v>https://www.xeno-canto.org/species/Apus-nipalensis</v>
      </c>
      <c r="C420" s="30" t="str">
        <f>HYPERLINK("https://ebird.org/species/houswi1")</f>
        <v>https://ebird.org/species/houswi1</v>
      </c>
      <c r="D420" s="31" t="str">
        <f>HYPERLINK("https://www.hbw.com/species/House-Swift-Apus-nipalensis")</f>
        <v>https://www.hbw.com/species/House-Swift-Apus-nipalensis</v>
      </c>
      <c r="E420" s="32" t="str">
        <f>HYPERLINK("https://www.iucnredlist.org/search?query=Apus nipalensis&amp;searchType=species")</f>
        <v>https://www.iucnredlist.org/search?query=Apus nipalensis&amp;searchType=species</v>
      </c>
      <c r="F420" s="2">
        <v>338</v>
      </c>
      <c r="G420" s="27" t="s">
        <v>974</v>
      </c>
      <c r="H420" s="84" t="s">
        <v>1012</v>
      </c>
      <c r="I420" s="92" t="s">
        <v>1013</v>
      </c>
      <c r="J420" s="1" t="s">
        <v>15</v>
      </c>
      <c r="M420" s="2" t="s">
        <v>1014</v>
      </c>
    </row>
    <row r="421" spans="1:14" x14ac:dyDescent="0.3">
      <c r="A421" s="33"/>
      <c r="B421" s="34"/>
      <c r="C421" s="35"/>
      <c r="D421" s="36"/>
      <c r="E421" s="37"/>
    </row>
    <row r="422" spans="1:14" ht="12" x14ac:dyDescent="0.3">
      <c r="A422" s="33"/>
      <c r="B422" s="34"/>
      <c r="C422" s="35"/>
      <c r="D422" s="36"/>
      <c r="E422" s="37"/>
      <c r="H422" s="82" t="s">
        <v>1015</v>
      </c>
      <c r="I422" s="91" t="s">
        <v>1016</v>
      </c>
    </row>
    <row r="423" spans="1:14" ht="14.4" x14ac:dyDescent="0.3">
      <c r="A423" s="28" t="str">
        <f>HYPERLINK("https://www.google.com/search?q=Harpactes ardens&amp;tbm=isch")</f>
        <v>https://www.google.com/search?q=Harpactes ardens&amp;tbm=isch</v>
      </c>
      <c r="B423" s="29" t="str">
        <f>HYPERLINK("https://www.xeno-canto.org/species/Harpactes-ardens")</f>
        <v>https://www.xeno-canto.org/species/Harpactes-ardens</v>
      </c>
      <c r="C423" s="30" t="str">
        <f>HYPERLINK("https://ebird.org/species/phitro1")</f>
        <v>https://ebird.org/species/phitro1</v>
      </c>
      <c r="D423" s="31" t="str">
        <f>HYPERLINK("https://www.hbw.com/species/Philippine-Trogon-Harpactes-ardens")</f>
        <v>https://www.hbw.com/species/Philippine-Trogon-Harpactes-ardens</v>
      </c>
      <c r="E423" s="32" t="str">
        <f>HYPERLINK("https://www.iucnredlist.org/search?query=Harpactes ardens&amp;searchType=species")</f>
        <v>https://www.iucnredlist.org/search?query=Harpactes ardens&amp;searchType=species</v>
      </c>
      <c r="F423" s="2">
        <v>339</v>
      </c>
      <c r="G423" s="27" t="s">
        <v>1016</v>
      </c>
      <c r="H423" s="86" t="s">
        <v>1017</v>
      </c>
      <c r="I423" s="94" t="s">
        <v>1018</v>
      </c>
      <c r="J423" s="1" t="s">
        <v>65</v>
      </c>
      <c r="M423" s="2" t="s">
        <v>68</v>
      </c>
    </row>
    <row r="424" spans="1:14" x14ac:dyDescent="0.3">
      <c r="A424" s="33"/>
      <c r="B424" s="34"/>
      <c r="C424" s="35"/>
      <c r="D424" s="36"/>
      <c r="E424" s="37"/>
    </row>
    <row r="425" spans="1:14" ht="12" x14ac:dyDescent="0.3">
      <c r="A425" s="33"/>
      <c r="B425" s="34"/>
      <c r="C425" s="35"/>
      <c r="D425" s="36"/>
      <c r="E425" s="37"/>
      <c r="H425" s="82" t="s">
        <v>1019</v>
      </c>
      <c r="I425" s="91" t="s">
        <v>1020</v>
      </c>
    </row>
    <row r="426" spans="1:14" ht="20.399999999999999" x14ac:dyDescent="0.3">
      <c r="A426" s="28" t="str">
        <f>HYPERLINK("https://www.google.com/search?q=Eurystomus orientalis&amp;tbm=isch")</f>
        <v>https://www.google.com/search?q=Eurystomus orientalis&amp;tbm=isch</v>
      </c>
      <c r="B426" s="29" t="str">
        <f>HYPERLINK("https://www.xeno-canto.org/species/Eurystomus-orientalis")</f>
        <v>https://www.xeno-canto.org/species/Eurystomus-orientalis</v>
      </c>
      <c r="C426" s="30" t="str">
        <f>HYPERLINK("https://ebird.org/species/dollar1")</f>
        <v>https://ebird.org/species/dollar1</v>
      </c>
      <c r="D426" s="31" t="str">
        <f>HYPERLINK("https://www.hbw.com/species/Oriental-Dollarbird-Eurystomus-orientalis")</f>
        <v>https://www.hbw.com/species/Oriental-Dollarbird-Eurystomus-orientalis</v>
      </c>
      <c r="E426" s="32" t="str">
        <f>HYPERLINK("https://www.iucnredlist.org/search?query=Eurystomus orientalis&amp;searchType=species")</f>
        <v>https://www.iucnredlist.org/search?query=Eurystomus orientalis&amp;searchType=species</v>
      </c>
      <c r="F426" s="2">
        <v>340</v>
      </c>
      <c r="G426" s="27" t="s">
        <v>1020</v>
      </c>
      <c r="H426" s="84" t="s">
        <v>1021</v>
      </c>
      <c r="I426" s="92" t="s">
        <v>1022</v>
      </c>
      <c r="J426" s="1" t="s">
        <v>15</v>
      </c>
      <c r="M426" s="2" t="s">
        <v>1023</v>
      </c>
    </row>
    <row r="427" spans="1:14" x14ac:dyDescent="0.3">
      <c r="A427" s="33"/>
      <c r="B427" s="34"/>
      <c r="C427" s="35"/>
      <c r="D427" s="36"/>
      <c r="E427" s="37"/>
    </row>
    <row r="428" spans="1:14" ht="12" x14ac:dyDescent="0.3">
      <c r="A428" s="33"/>
      <c r="B428" s="34"/>
      <c r="C428" s="35"/>
      <c r="D428" s="36"/>
      <c r="E428" s="37"/>
      <c r="H428" s="82" t="s">
        <v>1024</v>
      </c>
      <c r="I428" s="91" t="s">
        <v>1025</v>
      </c>
    </row>
    <row r="429" spans="1:14" ht="14.4" x14ac:dyDescent="0.3">
      <c r="A429" s="28" t="str">
        <f>HYPERLINK("https://www.google.com/search?q=Actenoides lindsayi&amp;tbm=isch")</f>
        <v>https://www.google.com/search?q=Actenoides lindsayi&amp;tbm=isch</v>
      </c>
      <c r="B429" s="29" t="str">
        <f>HYPERLINK("https://www.xeno-canto.org/species/Actenoides-lindsayi")</f>
        <v>https://www.xeno-canto.org/species/Actenoides-lindsayi</v>
      </c>
      <c r="C429" s="30" t="str">
        <f>HYPERLINK("https://ebird.org/species/spokin1")</f>
        <v>https://ebird.org/species/spokin1</v>
      </c>
      <c r="D429" s="31" t="str">
        <f>HYPERLINK("https://www.hbw.com/species/Spotted-Kingfisher-Actenoides-lindsayi")</f>
        <v>https://www.hbw.com/species/Spotted-Kingfisher-Actenoides-lindsayi</v>
      </c>
      <c r="E429" s="32" t="str">
        <f>HYPERLINK("https://www.iucnredlist.org/search?query=Actenoides lindsayi&amp;searchType=species")</f>
        <v>https://www.iucnredlist.org/search?query=Actenoides lindsayi&amp;searchType=species</v>
      </c>
      <c r="F429" s="2">
        <v>341</v>
      </c>
      <c r="G429" s="27" t="s">
        <v>1025</v>
      </c>
      <c r="H429" s="86" t="s">
        <v>1026</v>
      </c>
      <c r="I429" s="94" t="s">
        <v>1027</v>
      </c>
      <c r="J429" s="1" t="s">
        <v>65</v>
      </c>
      <c r="M429" s="2" t="s">
        <v>68</v>
      </c>
    </row>
    <row r="430" spans="1:14" ht="14.4" x14ac:dyDescent="0.3">
      <c r="A430" s="28" t="str">
        <f>HYPERLINK("https://www.google.com/search?q=Actenoides hombroni&amp;tbm=isch")</f>
        <v>https://www.google.com/search?q=Actenoides hombroni&amp;tbm=isch</v>
      </c>
      <c r="B430" s="29" t="str">
        <f>HYPERLINK("https://www.xeno-canto.org/species/Actenoides-hombroni")</f>
        <v>https://www.xeno-canto.org/species/Actenoides-hombroni</v>
      </c>
      <c r="C430" s="30" t="str">
        <f>HYPERLINK("https://ebird.org/species/blckin2")</f>
        <v>https://ebird.org/species/blckin2</v>
      </c>
      <c r="D430" s="31" t="str">
        <f>HYPERLINK("https://www.hbw.com/species/Blue-capped-Kingfisher-Actenoides-hombroni")</f>
        <v>https://www.hbw.com/species/Blue-capped-Kingfisher-Actenoides-hombroni</v>
      </c>
      <c r="E430" s="32" t="str">
        <f>HYPERLINK("https://www.iucnredlist.org/search?query=Actenoides hombroni&amp;searchType=species")</f>
        <v>https://www.iucnredlist.org/search?query=Actenoides hombroni&amp;searchType=species</v>
      </c>
      <c r="F430" s="2">
        <v>342</v>
      </c>
      <c r="G430" s="27" t="s">
        <v>1025</v>
      </c>
      <c r="H430" s="86" t="s">
        <v>2587</v>
      </c>
      <c r="I430" s="94" t="s">
        <v>1029</v>
      </c>
      <c r="J430" s="1" t="s">
        <v>65</v>
      </c>
      <c r="K430" s="1" t="s">
        <v>66</v>
      </c>
      <c r="L430" s="1" t="s">
        <v>66</v>
      </c>
      <c r="M430" s="2" t="s">
        <v>68</v>
      </c>
    </row>
    <row r="431" spans="1:14" ht="14.4" x14ac:dyDescent="0.3">
      <c r="A431" s="28" t="str">
        <f>HYPERLINK("https://www.google.com/search?q=Pelargopsis capensis&amp;tbm=isch")</f>
        <v>https://www.google.com/search?q=Pelargopsis capensis&amp;tbm=isch</v>
      </c>
      <c r="B431" s="29" t="str">
        <f>HYPERLINK("https://www.xeno-canto.org/species/Pelargopsis-capensis")</f>
        <v>https://www.xeno-canto.org/species/Pelargopsis-capensis</v>
      </c>
      <c r="C431" s="30" t="str">
        <f>HYPERLINK("https://ebird.org/species/stbkin1")</f>
        <v>https://ebird.org/species/stbkin1</v>
      </c>
      <c r="D431" s="31" t="str">
        <f>HYPERLINK("https://www.hbw.com/species/Stork-billed-Kingfisher-Pelargopsis-capensis")</f>
        <v>https://www.hbw.com/species/Stork-billed-Kingfisher-Pelargopsis-capensis</v>
      </c>
      <c r="E431" s="32" t="str">
        <f>HYPERLINK("https://www.iucnredlist.org/search?query=Pelargopsis capensis&amp;searchType=species")</f>
        <v>https://www.iucnredlist.org/search?query=Pelargopsis capensis&amp;searchType=species</v>
      </c>
      <c r="F431" s="2">
        <v>343</v>
      </c>
      <c r="G431" s="27" t="s">
        <v>1025</v>
      </c>
      <c r="H431" s="84" t="s">
        <v>1030</v>
      </c>
      <c r="I431" s="92" t="s">
        <v>1031</v>
      </c>
      <c r="J431" s="1" t="s">
        <v>15</v>
      </c>
      <c r="M431" s="2" t="s">
        <v>43</v>
      </c>
    </row>
    <row r="432" spans="1:14" ht="14.4" x14ac:dyDescent="0.3">
      <c r="A432" s="28" t="str">
        <f>HYPERLINK("https://www.google.com/search?q=Halcyon coromanda&amp;tbm=isch")</f>
        <v>https://www.google.com/search?q=Halcyon coromanda&amp;tbm=isch</v>
      </c>
      <c r="B432" s="29" t="str">
        <f>HYPERLINK("https://www.xeno-canto.org/species/Halcyon-coromanda")</f>
        <v>https://www.xeno-canto.org/species/Halcyon-coromanda</v>
      </c>
      <c r="C432" s="30" t="str">
        <f>HYPERLINK("https://ebird.org/species/rudkin1")</f>
        <v>https://ebird.org/species/rudkin1</v>
      </c>
      <c r="D432" s="31" t="str">
        <f>HYPERLINK("https://www.hbw.com/species/Ruddy-Kingfisher-Halcyon-coromanda")</f>
        <v>https://www.hbw.com/species/Ruddy-Kingfisher-Halcyon-coromanda</v>
      </c>
      <c r="E432" s="32" t="str">
        <f>HYPERLINK("https://www.iucnredlist.org/search?query=Halcyon coromanda&amp;searchType=species")</f>
        <v>https://www.iucnredlist.org/search?query=Halcyon coromanda&amp;searchType=species</v>
      </c>
      <c r="F432" s="2">
        <v>344</v>
      </c>
      <c r="G432" s="27" t="s">
        <v>1025</v>
      </c>
      <c r="H432" s="84" t="s">
        <v>1032</v>
      </c>
      <c r="I432" s="92" t="s">
        <v>1033</v>
      </c>
      <c r="J432" s="1" t="s">
        <v>236</v>
      </c>
      <c r="M432" s="2" t="s">
        <v>215</v>
      </c>
    </row>
    <row r="433" spans="1:14" ht="14.4" x14ac:dyDescent="0.3">
      <c r="A433" s="28" t="str">
        <f>HYPERLINK("https://www.google.com/search?q=Halcyon smyrnensis&amp;tbm=isch")</f>
        <v>https://www.google.com/search?q=Halcyon smyrnensis&amp;tbm=isch</v>
      </c>
      <c r="B433" s="29" t="str">
        <f>HYPERLINK("https://www.xeno-canto.org/species/Halcyon-smyrnensis")</f>
        <v>https://www.xeno-canto.org/species/Halcyon-smyrnensis</v>
      </c>
      <c r="C433" s="30" t="str">
        <f>HYPERLINK("https://ebird.org/species/whtkin2")</f>
        <v>https://ebird.org/species/whtkin2</v>
      </c>
      <c r="D433" s="31" t="str">
        <f>HYPERLINK("https://www.hbw.com/species/White-throated-Kingfisher-Halcyon-gularis")</f>
        <v>https://www.hbw.com/species/White-throated-Kingfisher-Halcyon-gularis</v>
      </c>
      <c r="E433" s="32" t="str">
        <f>HYPERLINK("https://www.iucnredlist.org/search?query=Halcyon smyrnensis&amp;searchType=species")</f>
        <v>https://www.iucnredlist.org/search?query=Halcyon smyrnensis&amp;searchType=species</v>
      </c>
      <c r="F433" s="2">
        <v>345</v>
      </c>
      <c r="G433" s="27" t="s">
        <v>1025</v>
      </c>
      <c r="H433" s="84" t="s">
        <v>1034</v>
      </c>
      <c r="I433" s="92" t="s">
        <v>1035</v>
      </c>
      <c r="J433" s="1" t="s">
        <v>15</v>
      </c>
      <c r="M433" s="2" t="s">
        <v>1036</v>
      </c>
    </row>
    <row r="434" spans="1:14" ht="20.399999999999999" x14ac:dyDescent="0.3">
      <c r="A434" s="28" t="str">
        <f>HYPERLINK("https://www.google.com/search?q=Halcyon pileata&amp;tbm=isch")</f>
        <v>https://www.google.com/search?q=Halcyon pileata&amp;tbm=isch</v>
      </c>
      <c r="B434" s="29" t="str">
        <f>HYPERLINK("https://www.xeno-canto.org/species/Halcyon-pileata")</f>
        <v>https://www.xeno-canto.org/species/Halcyon-pileata</v>
      </c>
      <c r="C434" s="30" t="str">
        <f>HYPERLINK("https://ebird.org/species/blckin1")</f>
        <v>https://ebird.org/species/blckin1</v>
      </c>
      <c r="D434" s="31" t="str">
        <f>HYPERLINK("https://www.hbw.com/species/Black-capped-Kingfisher-Halcyon-pileata")</f>
        <v>https://www.hbw.com/species/Black-capped-Kingfisher-Halcyon-pileata</v>
      </c>
      <c r="E434" s="32" t="str">
        <f>HYPERLINK("https://www.iucnredlist.org/search?query=Halcyon pileata&amp;searchType=species")</f>
        <v>https://www.iucnredlist.org/search?query=Halcyon pileata&amp;searchType=species</v>
      </c>
      <c r="F434" s="2">
        <v>346</v>
      </c>
      <c r="G434" s="27" t="s">
        <v>1025</v>
      </c>
      <c r="H434" s="83" t="s">
        <v>1037</v>
      </c>
      <c r="I434" s="92" t="s">
        <v>1038</v>
      </c>
      <c r="J434" s="1" t="s">
        <v>15</v>
      </c>
      <c r="M434" s="2" t="s">
        <v>1039</v>
      </c>
    </row>
    <row r="435" spans="1:14" ht="14.4" x14ac:dyDescent="0.3">
      <c r="A435" s="28" t="str">
        <f>HYPERLINK("https://www.google.com/search?q=Todiramphus winchelli&amp;tbm=isch")</f>
        <v>https://www.google.com/search?q=Todiramphus winchelli&amp;tbm=isch</v>
      </c>
      <c r="B435" s="29" t="str">
        <f>HYPERLINK("https://www.xeno-canto.org/species/Todiramphus-winchelli")</f>
        <v>https://www.xeno-canto.org/species/Todiramphus-winchelli</v>
      </c>
      <c r="C435" s="30" t="str">
        <f>HYPERLINK("https://ebird.org/species/rulkin1")</f>
        <v>https://ebird.org/species/rulkin1</v>
      </c>
      <c r="D435" s="31" t="str">
        <f>HYPERLINK("https://www.hbw.com/species/Rufous-lored-Kingfisher-Todiramphus-winchelli")</f>
        <v>https://www.hbw.com/species/Rufous-lored-Kingfisher-Todiramphus-winchelli</v>
      </c>
      <c r="E435" s="32" t="str">
        <f>HYPERLINK("https://www.iucnredlist.org/search?query=Todiramphus winchelli&amp;searchType=species")</f>
        <v>https://www.iucnredlist.org/search?query=Todiramphus winchelli&amp;searchType=species</v>
      </c>
      <c r="F435" s="2">
        <v>347</v>
      </c>
      <c r="G435" s="27" t="s">
        <v>1025</v>
      </c>
      <c r="H435" s="86" t="s">
        <v>2589</v>
      </c>
      <c r="I435" s="94" t="s">
        <v>1041</v>
      </c>
      <c r="J435" s="1" t="s">
        <v>65</v>
      </c>
      <c r="K435" s="1" t="s">
        <v>66</v>
      </c>
      <c r="L435" s="1" t="s">
        <v>66</v>
      </c>
      <c r="M435" s="2" t="s">
        <v>68</v>
      </c>
    </row>
    <row r="436" spans="1:14" ht="30.6" x14ac:dyDescent="0.3">
      <c r="A436" s="28" t="str">
        <f>HYPERLINK("https://www.google.com/search?q=Todiramphus chloris&amp;tbm=isch")</f>
        <v>https://www.google.com/search?q=Todiramphus chloris&amp;tbm=isch</v>
      </c>
      <c r="B436" s="29" t="str">
        <f>HYPERLINK("https://www.xeno-canto.org/species/Todiramphus-chloris")</f>
        <v>https://www.xeno-canto.org/species/Todiramphus-chloris</v>
      </c>
      <c r="C436" s="30" t="str">
        <f>HYPERLINK("https://ebird.org/species/colkin1")</f>
        <v>https://ebird.org/species/colkin1</v>
      </c>
      <c r="D436" s="31" t="str">
        <f>HYPERLINK("https://www.hbw.com/species/Collared-Kingfisher-Todiramphus-chloris")</f>
        <v>https://www.hbw.com/species/Collared-Kingfisher-Todiramphus-chloris</v>
      </c>
      <c r="E436" s="32" t="str">
        <f>HYPERLINK("https://www.iucnredlist.org/search?query=Todiramphus chloris&amp;searchType=species")</f>
        <v>https://www.iucnredlist.org/search?query=Todiramphus chloris&amp;searchType=species</v>
      </c>
      <c r="F436" s="2">
        <v>348</v>
      </c>
      <c r="G436" s="27" t="s">
        <v>1025</v>
      </c>
      <c r="H436" s="84" t="s">
        <v>1042</v>
      </c>
      <c r="I436" s="92" t="s">
        <v>1043</v>
      </c>
      <c r="J436" s="1" t="s">
        <v>15</v>
      </c>
      <c r="M436" s="2" t="s">
        <v>1044</v>
      </c>
    </row>
    <row r="437" spans="1:14" ht="20.399999999999999" x14ac:dyDescent="0.3">
      <c r="A437" s="28" t="str">
        <f>HYPERLINK("https://www.google.com/search?q=Todiramphus sanctus&amp;tbm=isch")</f>
        <v>https://www.google.com/search?q=Todiramphus sanctus&amp;tbm=isch</v>
      </c>
      <c r="B437" s="29" t="str">
        <f>HYPERLINK("https://www.xeno-canto.org/species/Todiramphus-sanctus")</f>
        <v>https://www.xeno-canto.org/species/Todiramphus-sanctus</v>
      </c>
      <c r="C437" s="30" t="str">
        <f>HYPERLINK("https://ebird.org/species/sackin1")</f>
        <v>https://ebird.org/species/sackin1</v>
      </c>
      <c r="D437" s="31" t="str">
        <f>HYPERLINK("https://www.hbw.com/species/Sacred-Kingfisher-Todiramphus-sanctus")</f>
        <v>https://www.hbw.com/species/Sacred-Kingfisher-Todiramphus-sanctus</v>
      </c>
      <c r="E437" s="32" t="str">
        <f>HYPERLINK("https://www.iucnredlist.org/search?query=Todiramphus sanctus&amp;searchType=species")</f>
        <v>https://www.iucnredlist.org/search?query=Todiramphus sanctus&amp;searchType=species</v>
      </c>
      <c r="F437" s="2">
        <v>349</v>
      </c>
      <c r="G437" s="27" t="s">
        <v>1025</v>
      </c>
      <c r="H437" s="85" t="s">
        <v>1045</v>
      </c>
      <c r="I437" s="93" t="s">
        <v>1046</v>
      </c>
      <c r="J437" s="1" t="s">
        <v>19</v>
      </c>
      <c r="M437" s="2" t="s">
        <v>1047</v>
      </c>
      <c r="N437" s="2" t="s">
        <v>11334</v>
      </c>
    </row>
    <row r="438" spans="1:14" ht="14.4" x14ac:dyDescent="0.3">
      <c r="A438" s="28" t="str">
        <f>HYPERLINK("https://www.google.com/search?q=Alcedo meninting&amp;tbm=isch")</f>
        <v>https://www.google.com/search?q=Alcedo meninting&amp;tbm=isch</v>
      </c>
      <c r="B438" s="29" t="str">
        <f>HYPERLINK("https://www.xeno-canto.org/species/Alcedo-meninting")</f>
        <v>https://www.xeno-canto.org/species/Alcedo-meninting</v>
      </c>
      <c r="C438" s="30" t="str">
        <f>HYPERLINK("https://ebird.org/species/blekin1")</f>
        <v>https://ebird.org/species/blekin1</v>
      </c>
      <c r="D438" s="31" t="str">
        <f>HYPERLINK("https://www.hbw.com/species/Blue-eared-Kingfisher-Alcedo-meninting")</f>
        <v>https://www.hbw.com/species/Blue-eared-Kingfisher-Alcedo-meninting</v>
      </c>
      <c r="E438" s="32" t="str">
        <f>HYPERLINK("https://www.iucnredlist.org/search?query=Alcedo meninting&amp;searchType=species")</f>
        <v>https://www.iucnredlist.org/search?query=Alcedo meninting&amp;searchType=species</v>
      </c>
      <c r="F438" s="2">
        <v>350</v>
      </c>
      <c r="G438" s="27" t="s">
        <v>1025</v>
      </c>
      <c r="H438" s="84" t="s">
        <v>1048</v>
      </c>
      <c r="I438" s="92" t="s">
        <v>1049</v>
      </c>
      <c r="J438" s="1" t="s">
        <v>15</v>
      </c>
      <c r="M438" s="2" t="s">
        <v>43</v>
      </c>
      <c r="N438" s="2" t="s">
        <v>123</v>
      </c>
    </row>
    <row r="439" spans="1:14" ht="14.4" x14ac:dyDescent="0.3">
      <c r="A439" s="28" t="str">
        <f>HYPERLINK("https://www.google.com/search?q=Alcedo atthis&amp;tbm=isch")</f>
        <v>https://www.google.com/search?q=Alcedo atthis&amp;tbm=isch</v>
      </c>
      <c r="B439" s="29" t="str">
        <f>HYPERLINK("https://www.xeno-canto.org/species/Alcedo-atthis")</f>
        <v>https://www.xeno-canto.org/species/Alcedo-atthis</v>
      </c>
      <c r="C439" s="30" t="str">
        <f>HYPERLINK("https://ebird.org/species/comkin1")</f>
        <v>https://ebird.org/species/comkin1</v>
      </c>
      <c r="D439" s="31" t="str">
        <f>HYPERLINK("https://www.hbw.com/species/Common-Kingfisher-Alcedo-atthis")</f>
        <v>https://www.hbw.com/species/Common-Kingfisher-Alcedo-atthis</v>
      </c>
      <c r="E439" s="32" t="str">
        <f>HYPERLINK("https://www.iucnredlist.org/search?query=Alcedo atthis&amp;searchType=species")</f>
        <v>https://www.iucnredlist.org/search?query=Alcedo atthis&amp;searchType=species</v>
      </c>
      <c r="F439" s="2">
        <v>351</v>
      </c>
      <c r="G439" s="27" t="s">
        <v>1025</v>
      </c>
      <c r="H439" s="84" t="s">
        <v>1050</v>
      </c>
      <c r="I439" s="92" t="s">
        <v>1051</v>
      </c>
      <c r="J439" s="1" t="s">
        <v>50</v>
      </c>
      <c r="M439" s="2" t="s">
        <v>1052</v>
      </c>
    </row>
    <row r="440" spans="1:14" ht="14.4" x14ac:dyDescent="0.3">
      <c r="A440" s="28" t="str">
        <f>HYPERLINK("https://www.google.com/search?q=Ceyx erithaca&amp;tbm=isch")</f>
        <v>https://www.google.com/search?q=Ceyx erithaca&amp;tbm=isch</v>
      </c>
      <c r="B440" s="29" t="str">
        <f>HYPERLINK("https://www.xeno-canto.org/species/Ceyx-erithaca")</f>
        <v>https://www.xeno-canto.org/species/Ceyx-erithaca</v>
      </c>
      <c r="C440" s="30" t="str">
        <f>HYPERLINK("https://ebird.org/species/rubkin1")</f>
        <v>https://ebird.org/species/rubkin1</v>
      </c>
      <c r="D440" s="31" t="str">
        <f>HYPERLINK("https://www.hbw.com/species/Oriental-Dwarf-kingfisher-Ceyx-erithaca")</f>
        <v>https://www.hbw.com/species/Oriental-Dwarf-kingfisher-Ceyx-erithaca</v>
      </c>
      <c r="E440" s="32" t="str">
        <f>HYPERLINK("https://www.iucnredlist.org/search?query=Ceyx erithaca&amp;searchType=species")</f>
        <v>https://www.iucnredlist.org/search?query=Ceyx erithaca&amp;searchType=species</v>
      </c>
      <c r="F440" s="2">
        <v>352</v>
      </c>
      <c r="G440" s="27" t="s">
        <v>1025</v>
      </c>
      <c r="H440" s="84" t="s">
        <v>1053</v>
      </c>
      <c r="I440" s="92" t="s">
        <v>1054</v>
      </c>
      <c r="J440" s="1" t="s">
        <v>15</v>
      </c>
      <c r="M440" s="2" t="s">
        <v>43</v>
      </c>
    </row>
    <row r="441" spans="1:14" ht="14.4" x14ac:dyDescent="0.3">
      <c r="A441" s="28" t="str">
        <f>HYPERLINK("https://www.google.com/search?q=Ceyx melanurus&amp;tbm=isch")</f>
        <v>https://www.google.com/search?q=Ceyx melanurus&amp;tbm=isch</v>
      </c>
      <c r="B441" s="29" t="str">
        <f>HYPERLINK("https://www.xeno-canto.org/species/Ceyx-melanurus")</f>
        <v>https://www.xeno-canto.org/species/Ceyx-melanurus</v>
      </c>
      <c r="C441" s="30" t="str">
        <f>HYPERLINK("https://ebird.org/species/phikin1")</f>
        <v>https://ebird.org/species/phikin1</v>
      </c>
      <c r="D441" s="31" t="str">
        <f>HYPERLINK("https://www.hbw.com/species/North-Philippine-Dwarf-kingfisher-Ceyx-melanurus")</f>
        <v>https://www.hbw.com/species/North-Philippine-Dwarf-kingfisher-Ceyx-melanurus</v>
      </c>
      <c r="E441" s="32" t="str">
        <f>HYPERLINK("https://www.iucnredlist.org/search?query=Ceyx melanurus&amp;searchType=species")</f>
        <v>https://www.iucnredlist.org/search?query=Ceyx melanurus&amp;searchType=species</v>
      </c>
      <c r="F441" s="2">
        <v>353</v>
      </c>
      <c r="G441" s="27" t="s">
        <v>1025</v>
      </c>
      <c r="H441" s="86" t="s">
        <v>1055</v>
      </c>
      <c r="I441" s="94" t="s">
        <v>1056</v>
      </c>
      <c r="J441" s="1" t="s">
        <v>65</v>
      </c>
      <c r="K441" s="1" t="s">
        <v>66</v>
      </c>
      <c r="L441" s="1" t="s">
        <v>66</v>
      </c>
      <c r="M441" s="2" t="s">
        <v>68</v>
      </c>
    </row>
    <row r="442" spans="1:14" ht="14.4" x14ac:dyDescent="0.3">
      <c r="A442" s="28" t="str">
        <f>HYPERLINK("https://www.google.com/search?q=Ceyx margarethae&amp;tbm=isch")</f>
        <v>https://www.google.com/search?q=Ceyx margarethae&amp;tbm=isch</v>
      </c>
      <c r="B442" s="29" t="str">
        <f>HYPERLINK("https://www.xeno-canto.org/species/Ceyx-margarethae")</f>
        <v>https://www.xeno-canto.org/species/Ceyx-margarethae</v>
      </c>
      <c r="C442" s="30" t="str">
        <f>HYPERLINK("https://ebird.org/species/vardwk1")</f>
        <v>https://ebird.org/species/vardwk1</v>
      </c>
      <c r="D442" s="31" t="str">
        <f>HYPERLINK("https://www.hbw.com/species/Dimorphic-Dwarf-kingfisher-Ceyx-margarethae")</f>
        <v>https://www.hbw.com/species/Dimorphic-Dwarf-kingfisher-Ceyx-margarethae</v>
      </c>
      <c r="E442" s="32" t="str">
        <f>HYPERLINK("https://www.iucnredlist.org/search?query=Ceyx margarethae&amp;searchType=species")</f>
        <v>https://www.iucnredlist.org/search?query=Ceyx margarethae&amp;searchType=species</v>
      </c>
      <c r="F442" s="2">
        <v>354</v>
      </c>
      <c r="G442" s="27" t="s">
        <v>1025</v>
      </c>
      <c r="H442" s="86" t="s">
        <v>1057</v>
      </c>
      <c r="I442" s="94" t="s">
        <v>1058</v>
      </c>
      <c r="J442" s="1" t="s">
        <v>65</v>
      </c>
      <c r="L442" s="1" t="s">
        <v>130</v>
      </c>
      <c r="M442" s="2" t="s">
        <v>1059</v>
      </c>
    </row>
    <row r="443" spans="1:14" ht="14.4" x14ac:dyDescent="0.3">
      <c r="A443" s="28" t="str">
        <f>HYPERLINK("https://www.google.com/search?q=Ceyx cyanopectus&amp;tbm=isch")</f>
        <v>https://www.google.com/search?q=Ceyx cyanopectus&amp;tbm=isch</v>
      </c>
      <c r="B443" s="29" t="str">
        <f>HYPERLINK("https://www.xeno-canto.org/species/Ceyx-cyanopectus")</f>
        <v>https://www.xeno-canto.org/species/Ceyx-cyanopectus</v>
      </c>
      <c r="C443" s="30" t="str">
        <f>HYPERLINK("https://ebird.org/species/inbkin2")</f>
        <v>https://ebird.org/species/inbkin2</v>
      </c>
      <c r="D443" s="31" t="str">
        <f>HYPERLINK("https://www.hbw.com/species/Northern-Indigo-banded-Kingfisher-Ceyx-cyanopectus")</f>
        <v>https://www.hbw.com/species/Northern-Indigo-banded-Kingfisher-Ceyx-cyanopectus</v>
      </c>
      <c r="E443" s="32" t="str">
        <f>HYPERLINK("https://www.iucnredlist.org/search?query=Ceyx cyanopectus&amp;searchType=species")</f>
        <v>https://www.iucnredlist.org/search?query=Ceyx cyanopectus&amp;searchType=species</v>
      </c>
      <c r="F443" s="2">
        <v>355</v>
      </c>
      <c r="G443" s="27" t="s">
        <v>1025</v>
      </c>
      <c r="H443" s="86" t="s">
        <v>1060</v>
      </c>
      <c r="I443" s="94" t="s">
        <v>1061</v>
      </c>
      <c r="J443" s="1" t="s">
        <v>65</v>
      </c>
      <c r="L443" s="1" t="s">
        <v>85</v>
      </c>
      <c r="M443" s="2" t="s">
        <v>68</v>
      </c>
    </row>
    <row r="444" spans="1:14" ht="20.399999999999999" x14ac:dyDescent="0.3">
      <c r="A444" s="28" t="str">
        <f>HYPERLINK("https://www.google.com/search?q=Ceyx argentatus&amp;tbm=isch")</f>
        <v>https://www.google.com/search?q=Ceyx argentatus&amp;tbm=isch</v>
      </c>
      <c r="B444" s="29" t="str">
        <f>HYPERLINK("https://www.xeno-canto.org/species/Ceyx-argentatus")</f>
        <v>https://www.xeno-canto.org/species/Ceyx-argentatus</v>
      </c>
      <c r="C444" s="30" t="str">
        <f>HYPERLINK("https://ebird.org/species/silkin1")</f>
        <v>https://ebird.org/species/silkin1</v>
      </c>
      <c r="D444" s="31" t="str">
        <f>HYPERLINK("https://www.hbw.com/species/Southern-Silvery-Kingfisher-Ceyx-argentatus")</f>
        <v>https://www.hbw.com/species/Southern-Silvery-Kingfisher-Ceyx-argentatus</v>
      </c>
      <c r="E444" s="32" t="str">
        <f>HYPERLINK("https://www.iucnredlist.org/search?query=Ceyx argentatus&amp;searchType=species")</f>
        <v>https://www.iucnredlist.org/search?query=Ceyx argentatus&amp;searchType=species</v>
      </c>
      <c r="F444" s="2">
        <v>356</v>
      </c>
      <c r="G444" s="27" t="s">
        <v>1025</v>
      </c>
      <c r="H444" s="86" t="s">
        <v>1062</v>
      </c>
      <c r="I444" s="94" t="s">
        <v>1063</v>
      </c>
      <c r="J444" s="1" t="s">
        <v>65</v>
      </c>
      <c r="K444" s="1" t="s">
        <v>58</v>
      </c>
      <c r="L444" s="1" t="s">
        <v>66</v>
      </c>
      <c r="M444" s="2" t="s">
        <v>1064</v>
      </c>
    </row>
    <row r="445" spans="1:14" ht="20.399999999999999" x14ac:dyDescent="0.3">
      <c r="A445" s="28" t="str">
        <f>HYPERLINK("https://www.google.com/search?q=Ceyx flumenicola&amp;tbm=isch")</f>
        <v>https://www.google.com/search?q=Ceyx flumenicola&amp;tbm=isch</v>
      </c>
      <c r="B445" s="29" t="str">
        <f>HYPERLINK("https://www.xeno-canto.org/species/Ceyx-flumenicola")</f>
        <v>https://www.xeno-canto.org/species/Ceyx-flumenicola</v>
      </c>
      <c r="C445" s="30" t="str">
        <f>HYPERLINK("https://ebird.org/species/norsik1")</f>
        <v>https://ebird.org/species/norsik1</v>
      </c>
      <c r="D445" s="31" t="str">
        <f>HYPERLINK("https://www.hbw.com/species/Northern-Silvery-Kingfisher-Ceyx-flumenicola")</f>
        <v>https://www.hbw.com/species/Northern-Silvery-Kingfisher-Ceyx-flumenicola</v>
      </c>
      <c r="E445" s="32" t="str">
        <f>HYPERLINK("https://www.iucnredlist.org/search?query=Ceyx flumenicola&amp;searchType=species")</f>
        <v>https://www.iucnredlist.org/search?query=Ceyx flumenicola&amp;searchType=species</v>
      </c>
      <c r="F445" s="2">
        <v>357</v>
      </c>
      <c r="G445" s="27" t="s">
        <v>1025</v>
      </c>
      <c r="H445" s="86" t="s">
        <v>1065</v>
      </c>
      <c r="I445" s="94" t="s">
        <v>1066</v>
      </c>
      <c r="J445" s="1" t="s">
        <v>65</v>
      </c>
      <c r="K445" s="1" t="s">
        <v>58</v>
      </c>
      <c r="L445" s="1" t="s">
        <v>66</v>
      </c>
      <c r="M445" s="2" t="s">
        <v>1067</v>
      </c>
    </row>
    <row r="446" spans="1:14" x14ac:dyDescent="0.3">
      <c r="A446" s="33"/>
      <c r="B446" s="34"/>
      <c r="C446" s="35"/>
      <c r="D446" s="36"/>
      <c r="E446" s="37"/>
    </row>
    <row r="447" spans="1:14" ht="12" x14ac:dyDescent="0.3">
      <c r="A447" s="33"/>
      <c r="B447" s="34"/>
      <c r="C447" s="35"/>
      <c r="D447" s="36"/>
      <c r="E447" s="37"/>
      <c r="H447" s="82" t="s">
        <v>1068</v>
      </c>
      <c r="I447" s="91" t="s">
        <v>1069</v>
      </c>
    </row>
    <row r="448" spans="1:14" ht="30.6" x14ac:dyDescent="0.3">
      <c r="A448" s="28" t="str">
        <f>HYPERLINK("https://www.google.com/search?q=Merops philippinus&amp;tbm=isch")</f>
        <v>https://www.google.com/search?q=Merops philippinus&amp;tbm=isch</v>
      </c>
      <c r="B448" s="29" t="str">
        <f>HYPERLINK("https://www.xeno-canto.org/species/Merops-philippinus")</f>
        <v>https://www.xeno-canto.org/species/Merops-philippinus</v>
      </c>
      <c r="C448" s="30" t="str">
        <f>HYPERLINK("https://ebird.org/species/btbeat1")</f>
        <v>https://ebird.org/species/btbeat1</v>
      </c>
      <c r="D448" s="31" t="str">
        <f>HYPERLINK("https://www.hbw.com/species/Blue-tailed-Bee-eater-Merops-philippinus")</f>
        <v>https://www.hbw.com/species/Blue-tailed-Bee-eater-Merops-philippinus</v>
      </c>
      <c r="E448" s="32" t="str">
        <f>HYPERLINK("https://www.iucnredlist.org/search?query=Merops philippinus&amp;searchType=species")</f>
        <v>https://www.iucnredlist.org/search?query=Merops philippinus&amp;searchType=species</v>
      </c>
      <c r="F448" s="2">
        <v>358</v>
      </c>
      <c r="G448" s="27" t="s">
        <v>1069</v>
      </c>
      <c r="H448" s="84" t="s">
        <v>1070</v>
      </c>
      <c r="I448" s="92" t="s">
        <v>1071</v>
      </c>
      <c r="J448" s="1" t="s">
        <v>15</v>
      </c>
      <c r="M448" s="2" t="s">
        <v>1072</v>
      </c>
    </row>
    <row r="449" spans="1:14" ht="14.4" x14ac:dyDescent="0.3">
      <c r="A449" s="28" t="str">
        <f>HYPERLINK("https://www.google.com/search?q=Merops viridis&amp;tbm=isch")</f>
        <v>https://www.google.com/search?q=Merops viridis&amp;tbm=isch</v>
      </c>
      <c r="B449" s="29" t="str">
        <f>HYPERLINK("https://www.xeno-canto.org/species/Merops-viridis")</f>
        <v>https://www.xeno-canto.org/species/Merops-viridis</v>
      </c>
      <c r="C449" s="30" t="str">
        <f>HYPERLINK("https://ebird.org/species/btbeat2")</f>
        <v>https://ebird.org/species/btbeat2</v>
      </c>
      <c r="D449" s="31" t="str">
        <f>HYPERLINK("https://www.hbw.com/species/Rufous-crowned-Bee-eater-Merops-americanus")</f>
        <v>https://www.hbw.com/species/Rufous-crowned-Bee-eater-Merops-americanus</v>
      </c>
      <c r="E449" s="32" t="str">
        <f>HYPERLINK("https://www.iucnredlist.org/search?query=Merops viridis&amp;searchType=species")</f>
        <v>https://www.iucnredlist.org/search?query=Merops viridis&amp;searchType=species</v>
      </c>
      <c r="F449" s="2">
        <v>359</v>
      </c>
      <c r="G449" s="27" t="s">
        <v>1069</v>
      </c>
      <c r="H449" s="84" t="s">
        <v>1073</v>
      </c>
      <c r="I449" s="92" t="s">
        <v>1074</v>
      </c>
      <c r="J449" s="1" t="s">
        <v>15</v>
      </c>
      <c r="M449" s="2" t="s">
        <v>1075</v>
      </c>
    </row>
    <row r="450" spans="1:14" x14ac:dyDescent="0.3">
      <c r="A450" s="33"/>
      <c r="B450" s="34"/>
      <c r="C450" s="35"/>
      <c r="D450" s="36"/>
      <c r="E450" s="37"/>
    </row>
    <row r="451" spans="1:14" ht="12" x14ac:dyDescent="0.3">
      <c r="A451" s="33"/>
      <c r="B451" s="34"/>
      <c r="C451" s="35"/>
      <c r="D451" s="36"/>
      <c r="E451" s="37"/>
      <c r="H451" s="82" t="s">
        <v>1076</v>
      </c>
      <c r="I451" s="91" t="s">
        <v>1077</v>
      </c>
    </row>
    <row r="452" spans="1:14" ht="14.4" x14ac:dyDescent="0.3">
      <c r="A452" s="28" t="str">
        <f>HYPERLINK("https://www.google.com/search?q=Upupa epops&amp;tbm=isch")</f>
        <v>https://www.google.com/search?q=Upupa epops&amp;tbm=isch</v>
      </c>
      <c r="B452" s="29" t="str">
        <f>HYPERLINK("https://www.xeno-canto.org/species/Upupa-epops")</f>
        <v>https://www.xeno-canto.org/species/Upupa-epops</v>
      </c>
      <c r="C452" s="30" t="str">
        <f>HYPERLINK("https://ebird.org/species/hoopoe")</f>
        <v>https://ebird.org/species/hoopoe</v>
      </c>
      <c r="D452" s="31" t="str">
        <f>HYPERLINK("https://www.hbw.com/species/Common-Hoopoe-Upupa-epops")</f>
        <v>https://www.hbw.com/species/Common-Hoopoe-Upupa-epops</v>
      </c>
      <c r="E452" s="32" t="str">
        <f>HYPERLINK("https://www.iucnredlist.org/search?query=Upupa epops&amp;searchType=species")</f>
        <v>https://www.iucnredlist.org/search?query=Upupa epops&amp;searchType=species</v>
      </c>
      <c r="F452" s="2">
        <v>360</v>
      </c>
      <c r="G452" s="27" t="s">
        <v>1077</v>
      </c>
      <c r="H452" s="83" t="s">
        <v>1078</v>
      </c>
      <c r="I452" s="92" t="s">
        <v>1079</v>
      </c>
      <c r="J452" s="1" t="s">
        <v>19</v>
      </c>
      <c r="M452" s="2" t="s">
        <v>488</v>
      </c>
    </row>
    <row r="453" spans="1:14" x14ac:dyDescent="0.3">
      <c r="A453" s="33"/>
      <c r="B453" s="34"/>
      <c r="C453" s="35"/>
      <c r="D453" s="36"/>
      <c r="E453" s="37"/>
    </row>
    <row r="454" spans="1:14" ht="12" x14ac:dyDescent="0.3">
      <c r="A454" s="33"/>
      <c r="B454" s="34"/>
      <c r="C454" s="35"/>
      <c r="D454" s="36"/>
      <c r="E454" s="37"/>
      <c r="H454" s="82" t="s">
        <v>1080</v>
      </c>
      <c r="I454" s="91" t="s">
        <v>1081</v>
      </c>
    </row>
    <row r="455" spans="1:14" ht="14.4" x14ac:dyDescent="0.3">
      <c r="A455" s="28" t="str">
        <f>HYPERLINK("https://www.google.com/search?q=Buceros hydrocorax&amp;tbm=isch")</f>
        <v>https://www.google.com/search?q=Buceros hydrocorax&amp;tbm=isch</v>
      </c>
      <c r="B455" s="29" t="str">
        <f>HYPERLINK("https://www.xeno-canto.org/species/Buceros-hydrocorax")</f>
        <v>https://www.xeno-canto.org/species/Buceros-hydrocorax</v>
      </c>
      <c r="C455" s="30" t="str">
        <f>HYPERLINK("https://ebird.org/species/rufhor1")</f>
        <v>https://ebird.org/species/rufhor1</v>
      </c>
      <c r="D455" s="31" t="str">
        <f>HYPERLINK("https://www.hbw.com/species/Northern-Rufous-Hornbill-Buceros-hydrocorax")</f>
        <v>https://www.hbw.com/species/Northern-Rufous-Hornbill-Buceros-hydrocorax</v>
      </c>
      <c r="E455" s="32" t="str">
        <f>HYPERLINK("https://www.iucnredlist.org/search?query=Buceros hydrocorax&amp;searchType=species")</f>
        <v>https://www.iucnredlist.org/search?query=Buceros hydrocorax&amp;searchType=species</v>
      </c>
      <c r="F455" s="2">
        <v>361</v>
      </c>
      <c r="G455" s="27" t="s">
        <v>1081</v>
      </c>
      <c r="H455" s="86" t="s">
        <v>1082</v>
      </c>
      <c r="I455" s="94" t="s">
        <v>1083</v>
      </c>
      <c r="J455" s="1" t="s">
        <v>65</v>
      </c>
      <c r="K455" s="1" t="s">
        <v>66</v>
      </c>
      <c r="L455" s="1" t="s">
        <v>67</v>
      </c>
      <c r="M455" s="2" t="s">
        <v>68</v>
      </c>
    </row>
    <row r="456" spans="1:14" ht="14.4" x14ac:dyDescent="0.3">
      <c r="A456" s="28" t="str">
        <f>HYPERLINK("https://www.google.com/search?q=Anthracoceros marchei&amp;tbm=isch")</f>
        <v>https://www.google.com/search?q=Anthracoceros marchei&amp;tbm=isch</v>
      </c>
      <c r="B456" s="29" t="str">
        <f>HYPERLINK("https://www.xeno-canto.org/species/Anthracoceros-marchei")</f>
        <v>https://www.xeno-canto.org/species/Anthracoceros-marchei</v>
      </c>
      <c r="C456" s="30" t="str">
        <f>HYPERLINK("https://ebird.org/species/palhor1")</f>
        <v>https://ebird.org/species/palhor1</v>
      </c>
      <c r="D456" s="31" t="str">
        <f>HYPERLINK("https://www.hbw.com/species/Palawan-Hornbill-Anthracoceros-marchei")</f>
        <v>https://www.hbw.com/species/Palawan-Hornbill-Anthracoceros-marchei</v>
      </c>
      <c r="E456" s="32" t="str">
        <f>HYPERLINK("https://www.iucnredlist.org/search?query=Anthracoceros marchei&amp;searchType=species")</f>
        <v>https://www.iucnredlist.org/search?query=Anthracoceros marchei&amp;searchType=species</v>
      </c>
      <c r="F456" s="2">
        <v>362</v>
      </c>
      <c r="G456" s="27" t="s">
        <v>1081</v>
      </c>
      <c r="H456" s="86" t="s">
        <v>1084</v>
      </c>
      <c r="I456" s="94" t="s">
        <v>1085</v>
      </c>
      <c r="J456" s="1" t="s">
        <v>65</v>
      </c>
      <c r="K456" s="1" t="s">
        <v>66</v>
      </c>
      <c r="L456" s="1" t="s">
        <v>66</v>
      </c>
      <c r="M456" s="2" t="s">
        <v>68</v>
      </c>
    </row>
    <row r="457" spans="1:14" ht="14.4" x14ac:dyDescent="0.3">
      <c r="A457" s="28" t="str">
        <f>HYPERLINK("https://www.google.com/search?q=Anthracoceros montani&amp;tbm=isch")</f>
        <v>https://www.google.com/search?q=Anthracoceros montani&amp;tbm=isch</v>
      </c>
      <c r="B457" s="29" t="str">
        <f>HYPERLINK("https://www.xeno-canto.org/species/Anthracoceros-montani")</f>
        <v>https://www.xeno-canto.org/species/Anthracoceros-montani</v>
      </c>
      <c r="C457" s="30" t="str">
        <f>HYPERLINK("https://ebird.org/species/sulhor2")</f>
        <v>https://ebird.org/species/sulhor2</v>
      </c>
      <c r="D457" s="31" t="str">
        <f>HYPERLINK("https://www.hbw.com/species/Sulu-Hornbill-Anthracoceros-montani")</f>
        <v>https://www.hbw.com/species/Sulu-Hornbill-Anthracoceros-montani</v>
      </c>
      <c r="E457" s="32" t="str">
        <f>HYPERLINK("https://www.iucnredlist.org/search?query=Anthracoceros montani&amp;searchType=species")</f>
        <v>https://www.iucnredlist.org/search?query=Anthracoceros montani&amp;searchType=species</v>
      </c>
      <c r="F457" s="2">
        <v>363</v>
      </c>
      <c r="G457" s="27" t="s">
        <v>1081</v>
      </c>
      <c r="H457" s="86" t="s">
        <v>1086</v>
      </c>
      <c r="I457" s="94" t="s">
        <v>1087</v>
      </c>
      <c r="J457" s="1" t="s">
        <v>65</v>
      </c>
      <c r="K457" s="1" t="s">
        <v>85</v>
      </c>
      <c r="L457" s="1" t="s">
        <v>85</v>
      </c>
      <c r="M457" s="2" t="s">
        <v>1088</v>
      </c>
    </row>
    <row r="458" spans="1:14" ht="14.4" x14ac:dyDescent="0.3">
      <c r="A458" s="28" t="str">
        <f>HYPERLINK("https://www.google.com/search?q=Rhabdotorrhinus waldeni&amp;tbm=isch")</f>
        <v>https://www.google.com/search?q=Rhabdotorrhinus waldeni&amp;tbm=isch</v>
      </c>
      <c r="B458" s="29" t="str">
        <f>HYPERLINK("https://www.xeno-canto.org/species/Rhabdotorrhinus-waldeni")</f>
        <v>https://www.xeno-canto.org/species/Rhabdotorrhinus-waldeni</v>
      </c>
      <c r="C458" s="30" t="str">
        <f>HYPERLINK("https://ebird.org/species/wrbhor1")</f>
        <v>https://ebird.org/species/wrbhor1</v>
      </c>
      <c r="D458" s="31" t="str">
        <f>HYPERLINK("https://www.hbw.com/species/Rufous-headed-Hornbill-Rhabdotorrhinus-waldeni")</f>
        <v>https://www.hbw.com/species/Rufous-headed-Hornbill-Rhabdotorrhinus-waldeni</v>
      </c>
      <c r="E458" s="32" t="str">
        <f>HYPERLINK("https://www.iucnredlist.org/search?query=Rhabdotorrhinus waldeni&amp;searchType=species")</f>
        <v>https://www.iucnredlist.org/search?query=Rhabdotorrhinus waldeni&amp;searchType=species</v>
      </c>
      <c r="F458" s="2">
        <v>364</v>
      </c>
      <c r="G458" s="27" t="s">
        <v>1081</v>
      </c>
      <c r="H458" s="90" t="s">
        <v>1089</v>
      </c>
      <c r="I458" s="94" t="s">
        <v>1090</v>
      </c>
      <c r="J458" s="1" t="s">
        <v>65</v>
      </c>
      <c r="K458" s="1" t="s">
        <v>85</v>
      </c>
      <c r="L458" s="1" t="s">
        <v>85</v>
      </c>
      <c r="M458" s="2" t="s">
        <v>68</v>
      </c>
      <c r="N458" s="2" t="s">
        <v>123</v>
      </c>
    </row>
    <row r="459" spans="1:14" ht="14.4" x14ac:dyDescent="0.3">
      <c r="A459" s="28" t="str">
        <f>HYPERLINK("https://www.google.com/search?q=Rhabdotorrhinus leucocephalus&amp;tbm=isch")</f>
        <v>https://www.google.com/search?q=Rhabdotorrhinus leucocephalus&amp;tbm=isch</v>
      </c>
      <c r="B459" s="29" t="str">
        <f>HYPERLINK("https://www.xeno-canto.org/species/Rhabdotorrhinus-leucocephalus")</f>
        <v>https://www.xeno-canto.org/species/Rhabdotorrhinus-leucocephalus</v>
      </c>
      <c r="C459" s="30" t="str">
        <f>HYPERLINK("https://ebird.org/species/wrihor2")</f>
        <v>https://ebird.org/species/wrihor2</v>
      </c>
      <c r="D459" s="31" t="str">
        <f>HYPERLINK("https://www.hbw.com/species/Writhed-Hornbill-Rhabdotorrhinus-leucocephalus")</f>
        <v>https://www.hbw.com/species/Writhed-Hornbill-Rhabdotorrhinus-leucocephalus</v>
      </c>
      <c r="E459" s="32" t="str">
        <f>HYPERLINK("https://www.iucnredlist.org/search?query=Rhabdotorrhinus leucocephalus&amp;searchType=species")</f>
        <v>https://www.iucnredlist.org/search?query=Rhabdotorrhinus leucocephalus&amp;searchType=species</v>
      </c>
      <c r="F459" s="2">
        <v>365</v>
      </c>
      <c r="G459" s="27" t="s">
        <v>1081</v>
      </c>
      <c r="H459" s="86" t="s">
        <v>1091</v>
      </c>
      <c r="I459" s="94" t="s">
        <v>1092</v>
      </c>
      <c r="J459" s="1" t="s">
        <v>65</v>
      </c>
      <c r="K459" s="1" t="s">
        <v>58</v>
      </c>
      <c r="L459" s="1" t="s">
        <v>66</v>
      </c>
      <c r="M459" s="2" t="s">
        <v>68</v>
      </c>
      <c r="N459" s="2" t="s">
        <v>123</v>
      </c>
    </row>
    <row r="460" spans="1:14" ht="14.4" x14ac:dyDescent="0.3">
      <c r="A460" s="28" t="str">
        <f>HYPERLINK("https://www.google.com/search?q=Penelopides manillae&amp;tbm=isch")</f>
        <v>https://www.google.com/search?q=Penelopides manillae&amp;tbm=isch</v>
      </c>
      <c r="B460" s="29" t="str">
        <f>HYPERLINK("https://www.xeno-canto.org/species/Penelopides-manillae")</f>
        <v>https://www.xeno-canto.org/species/Penelopides-manillae</v>
      </c>
      <c r="C460" s="30" t="str">
        <f>HYPERLINK("https://ebird.org/species/luzhor1")</f>
        <v>https://ebird.org/species/luzhor1</v>
      </c>
      <c r="D460" s="31" t="str">
        <f>HYPERLINK("https://www.hbw.com/species/Luzon-Hornbill-Penelopides-manillae")</f>
        <v>https://www.hbw.com/species/Luzon-Hornbill-Penelopides-manillae</v>
      </c>
      <c r="E460" s="32" t="str">
        <f>HYPERLINK("https://www.iucnredlist.org/search?query=Penelopides manillae&amp;searchType=species")</f>
        <v>https://www.iucnredlist.org/search?query=Penelopides manillae&amp;searchType=species</v>
      </c>
      <c r="F460" s="2">
        <v>366</v>
      </c>
      <c r="G460" s="27" t="s">
        <v>1081</v>
      </c>
      <c r="H460" s="86" t="s">
        <v>1093</v>
      </c>
      <c r="I460" s="94" t="s">
        <v>1094</v>
      </c>
      <c r="J460" s="1" t="s">
        <v>65</v>
      </c>
      <c r="L460" s="1" t="s">
        <v>66</v>
      </c>
      <c r="M460" s="2" t="s">
        <v>1095</v>
      </c>
    </row>
    <row r="461" spans="1:14" ht="14.4" x14ac:dyDescent="0.3">
      <c r="A461" s="28" t="str">
        <f>HYPERLINK("https://www.google.com/search?q=Penelopides mindorensis&amp;tbm=isch")</f>
        <v>https://www.google.com/search?q=Penelopides mindorensis&amp;tbm=isch</v>
      </c>
      <c r="B461" s="29" t="str">
        <f>HYPERLINK("https://www.xeno-canto.org/species/Penelopides-mindorensis")</f>
        <v>https://www.xeno-canto.org/species/Penelopides-mindorensis</v>
      </c>
      <c r="C461" s="30" t="str">
        <f>HYPERLINK("https://ebird.org/species/minhor2")</f>
        <v>https://ebird.org/species/minhor2</v>
      </c>
      <c r="D461" s="31" t="str">
        <f>HYPERLINK("https://www.hbw.com/species/Mindoro-Hornbill-Penelopides-mindorensis")</f>
        <v>https://www.hbw.com/species/Mindoro-Hornbill-Penelopides-mindorensis</v>
      </c>
      <c r="E461" s="32" t="str">
        <f>HYPERLINK("https://www.iucnredlist.org/search?query=Penelopides mindorensis&amp;searchType=species")</f>
        <v>https://www.iucnredlist.org/search?query=Penelopides mindorensis&amp;searchType=species</v>
      </c>
      <c r="F461" s="2">
        <v>367</v>
      </c>
      <c r="G461" s="27" t="s">
        <v>1081</v>
      </c>
      <c r="H461" s="86" t="s">
        <v>1096</v>
      </c>
      <c r="I461" s="94" t="s">
        <v>1097</v>
      </c>
      <c r="J461" s="1" t="s">
        <v>65</v>
      </c>
      <c r="K461" s="1" t="s">
        <v>67</v>
      </c>
      <c r="L461" s="1" t="s">
        <v>67</v>
      </c>
      <c r="M461" s="2" t="s">
        <v>1098</v>
      </c>
    </row>
    <row r="462" spans="1:14" ht="14.4" x14ac:dyDescent="0.3">
      <c r="A462" s="28" t="str">
        <f>HYPERLINK("https://www.google.com/search?q=Penelopides affinis&amp;tbm=isch")</f>
        <v>https://www.google.com/search?q=Penelopides affinis&amp;tbm=isch</v>
      </c>
      <c r="B462" s="29" t="str">
        <f>HYPERLINK("https://www.xeno-canto.org/species/Penelopides-affinis")</f>
        <v>https://www.xeno-canto.org/species/Penelopides-affinis</v>
      </c>
      <c r="C462" s="30" t="str">
        <f>HYPERLINK("https://ebird.org/species/minhor1")</f>
        <v>https://ebird.org/species/minhor1</v>
      </c>
      <c r="D462" s="31" t="str">
        <f>HYPERLINK("https://www.hbw.com/species/Mindanao-Hornbill-Penelopides-affinis")</f>
        <v>https://www.hbw.com/species/Mindanao-Hornbill-Penelopides-affinis</v>
      </c>
      <c r="E462" s="32" t="str">
        <f>HYPERLINK("https://www.iucnredlist.org/search?query=Penelopides affinis&amp;searchType=species")</f>
        <v>https://www.iucnredlist.org/search?query=Penelopides affinis&amp;searchType=species</v>
      </c>
      <c r="F462" s="2">
        <v>368</v>
      </c>
      <c r="G462" s="27" t="s">
        <v>1081</v>
      </c>
      <c r="H462" s="86" t="s">
        <v>1099</v>
      </c>
      <c r="I462" s="94" t="s">
        <v>1100</v>
      </c>
      <c r="J462" s="1" t="s">
        <v>65</v>
      </c>
      <c r="L462" s="1" t="s">
        <v>67</v>
      </c>
      <c r="M462" s="2" t="s">
        <v>998</v>
      </c>
    </row>
    <row r="463" spans="1:14" ht="14.4" x14ac:dyDescent="0.3">
      <c r="A463" s="28" t="str">
        <f>HYPERLINK("https://www.google.com/search?q=Penelopides samarensis&amp;tbm=isch")</f>
        <v>https://www.google.com/search?q=Penelopides samarensis&amp;tbm=isch</v>
      </c>
      <c r="B463" s="29" t="str">
        <f>HYPERLINK("https://www.xeno-canto.org/species/Penelopides-samarensis")</f>
        <v>https://www.xeno-canto.org/species/Penelopides-samarensis</v>
      </c>
      <c r="C463" s="30" t="str">
        <f>HYPERLINK("https://ebird.org/species/samhor1")</f>
        <v>https://ebird.org/species/samhor1</v>
      </c>
      <c r="D463" s="31" t="str">
        <f>HYPERLINK("https://www.hbw.com/species/Samar-Hornbill-Penelopides-samarensis")</f>
        <v>https://www.hbw.com/species/Samar-Hornbill-Penelopides-samarensis</v>
      </c>
      <c r="E463" s="32" t="str">
        <f>HYPERLINK("https://www.iucnredlist.org/search?query=Penelopides samarensis&amp;searchType=species")</f>
        <v>https://www.iucnredlist.org/search?query=Penelopides samarensis&amp;searchType=species</v>
      </c>
      <c r="F463" s="2">
        <v>369</v>
      </c>
      <c r="G463" s="27" t="s">
        <v>1081</v>
      </c>
      <c r="H463" s="86" t="s">
        <v>1101</v>
      </c>
      <c r="I463" s="94" t="s">
        <v>1102</v>
      </c>
      <c r="J463" s="1" t="s">
        <v>65</v>
      </c>
      <c r="L463" s="1" t="s">
        <v>67</v>
      </c>
      <c r="M463" s="2" t="s">
        <v>1103</v>
      </c>
    </row>
    <row r="464" spans="1:14" ht="14.4" x14ac:dyDescent="0.3">
      <c r="A464" s="28" t="str">
        <f>HYPERLINK("https://www.google.com/search?q=Penelopides panini&amp;tbm=isch")</f>
        <v>https://www.google.com/search?q=Penelopides panini&amp;tbm=isch</v>
      </c>
      <c r="B464" s="29" t="str">
        <f>HYPERLINK("https://www.xeno-canto.org/species/Penelopides-panini")</f>
        <v>https://www.xeno-canto.org/species/Penelopides-panini</v>
      </c>
      <c r="C464" s="30" t="str">
        <f>HYPERLINK("https://ebird.org/species/tarhor1")</f>
        <v>https://ebird.org/species/tarhor1</v>
      </c>
      <c r="D464" s="31" t="str">
        <f>HYPERLINK("https://www.hbw.com/species/Visayan-Hornbill-Penelopides-panini")</f>
        <v>https://www.hbw.com/species/Visayan-Hornbill-Penelopides-panini</v>
      </c>
      <c r="E464" s="32" t="str">
        <f>HYPERLINK("https://www.iucnredlist.org/search?query=Penelopides panini&amp;searchType=species")</f>
        <v>https://www.iucnredlist.org/search?query=Penelopides panini&amp;searchType=species</v>
      </c>
      <c r="F464" s="2">
        <v>370</v>
      </c>
      <c r="G464" s="27" t="s">
        <v>1081</v>
      </c>
      <c r="H464" s="86" t="s">
        <v>1104</v>
      </c>
      <c r="I464" s="94" t="s">
        <v>1105</v>
      </c>
      <c r="J464" s="1" t="s">
        <v>65</v>
      </c>
      <c r="K464" s="1" t="s">
        <v>67</v>
      </c>
      <c r="L464" s="1" t="s">
        <v>85</v>
      </c>
      <c r="M464" s="2" t="s">
        <v>68</v>
      </c>
    </row>
    <row r="465" spans="1:13" x14ac:dyDescent="0.3">
      <c r="A465" s="33"/>
      <c r="B465" s="34"/>
      <c r="C465" s="35"/>
      <c r="D465" s="36"/>
      <c r="E465" s="37"/>
    </row>
    <row r="466" spans="1:13" ht="12" x14ac:dyDescent="0.3">
      <c r="A466" s="33"/>
      <c r="B466" s="34"/>
      <c r="C466" s="35"/>
      <c r="D466" s="36"/>
      <c r="E466" s="37"/>
      <c r="H466" s="82" t="s">
        <v>1106</v>
      </c>
      <c r="I466" s="91" t="s">
        <v>1107</v>
      </c>
    </row>
    <row r="467" spans="1:13" ht="14.4" x14ac:dyDescent="0.3">
      <c r="A467" s="28" t="str">
        <f>HYPERLINK("https://www.google.com/search?q=Psilopogon haemacephalus&amp;tbm=isch")</f>
        <v>https://www.google.com/search?q=Psilopogon haemacephalus&amp;tbm=isch</v>
      </c>
      <c r="B467" s="29" t="str">
        <f>HYPERLINK("https://www.xeno-canto.org/species/Psilopogon-haemacephalus")</f>
        <v>https://www.xeno-canto.org/species/Psilopogon-haemacephalus</v>
      </c>
      <c r="C467" s="30" t="str">
        <f>HYPERLINK("https://ebird.org/species/copbar1")</f>
        <v>https://ebird.org/species/copbar1</v>
      </c>
      <c r="D467" s="31" t="str">
        <f>HYPERLINK("https://www.hbw.com/species/Coppersmith-Barbet-Psilopogon-haemacephalus")</f>
        <v>https://www.hbw.com/species/Coppersmith-Barbet-Psilopogon-haemacephalus</v>
      </c>
      <c r="E467" s="32" t="str">
        <f>HYPERLINK("https://www.iucnredlist.org/search?query=Psilopogon haemacephalus&amp;searchType=species")</f>
        <v>https://www.iucnredlist.org/search?query=Psilopogon haemacephalus&amp;searchType=species</v>
      </c>
      <c r="F467" s="2">
        <v>371</v>
      </c>
      <c r="G467" s="27" t="s">
        <v>1107</v>
      </c>
      <c r="H467" s="84" t="s">
        <v>1108</v>
      </c>
      <c r="I467" s="92" t="s">
        <v>1109</v>
      </c>
      <c r="J467" s="1" t="s">
        <v>15</v>
      </c>
      <c r="M467" s="2" t="s">
        <v>43</v>
      </c>
    </row>
    <row r="468" spans="1:13" x14ac:dyDescent="0.3">
      <c r="A468" s="33"/>
      <c r="B468" s="34"/>
      <c r="C468" s="35"/>
      <c r="D468" s="36"/>
      <c r="E468" s="37"/>
    </row>
    <row r="469" spans="1:13" ht="12" x14ac:dyDescent="0.3">
      <c r="A469" s="33"/>
      <c r="B469" s="34"/>
      <c r="C469" s="35"/>
      <c r="D469" s="36"/>
      <c r="E469" s="37"/>
      <c r="H469" s="82" t="s">
        <v>1110</v>
      </c>
      <c r="I469" s="91" t="s">
        <v>1111</v>
      </c>
    </row>
    <row r="470" spans="1:13" ht="14.4" x14ac:dyDescent="0.3">
      <c r="A470" s="28" t="str">
        <f>HYPERLINK("https://www.google.com/search?q=Yungipicus maculatus&amp;tbm=isch")</f>
        <v>https://www.google.com/search?q=Yungipicus maculatus&amp;tbm=isch</v>
      </c>
      <c r="B470" s="29" t="str">
        <f>HYPERLINK("https://www.xeno-canto.org/species/Yungipicus-maculatus")</f>
        <v>https://www.xeno-canto.org/species/Yungipicus-maculatus</v>
      </c>
      <c r="C470" s="30" t="str">
        <f>HYPERLINK("https://ebird.org/species/phiwoo1")</f>
        <v>https://ebird.org/species/phiwoo1</v>
      </c>
      <c r="D470" s="31" t="str">
        <f>HYPERLINK("https://www.hbw.com/species/Philippine-Pygmy-Woodpecker-Picoides-maculatus")</f>
        <v>https://www.hbw.com/species/Philippine-Pygmy-Woodpecker-Picoides-maculatus</v>
      </c>
      <c r="E470" s="32" t="str">
        <f>HYPERLINK("https://www.iucnredlist.org/search?query=Yungipicus maculatus&amp;searchType=species")</f>
        <v>https://www.iucnredlist.org/search?query=Yungipicus maculatus&amp;searchType=species</v>
      </c>
      <c r="F470" s="2">
        <v>372</v>
      </c>
      <c r="G470" s="27" t="s">
        <v>1111</v>
      </c>
      <c r="H470" s="86" t="s">
        <v>1112</v>
      </c>
      <c r="I470" s="94" t="s">
        <v>1113</v>
      </c>
      <c r="J470" s="1" t="s">
        <v>65</v>
      </c>
      <c r="M470" s="2" t="s">
        <v>68</v>
      </c>
    </row>
    <row r="471" spans="1:13" ht="14.4" x14ac:dyDescent="0.3">
      <c r="A471" s="28" t="str">
        <f>HYPERLINK("https://www.google.com/search?q=Yungipicus ramsayi&amp;tbm=isch")</f>
        <v>https://www.google.com/search?q=Yungipicus ramsayi&amp;tbm=isch</v>
      </c>
      <c r="B471" s="29" t="str">
        <f>HYPERLINK("https://www.xeno-canto.org/species/Yungipicus-ramsayi")</f>
        <v>https://www.xeno-canto.org/species/Yungipicus-ramsayi</v>
      </c>
      <c r="C471" s="30" t="str">
        <f>HYPERLINK("https://ebird.org/species/phiwoo3")</f>
        <v>https://ebird.org/species/phiwoo3</v>
      </c>
      <c r="D471" s="31" t="str">
        <f>HYPERLINK("https://www.hbw.com/species/Sulu-Pygmy-Woodpecker-Picoides-ramsayi")</f>
        <v>https://www.hbw.com/species/Sulu-Pygmy-Woodpecker-Picoides-ramsayi</v>
      </c>
      <c r="E471" s="32" t="str">
        <f>HYPERLINK("https://www.iucnredlist.org/search?query=Yungipicus ramsayi&amp;searchType=species")</f>
        <v>https://www.iucnredlist.org/search?query=Yungipicus ramsayi&amp;searchType=species</v>
      </c>
      <c r="F471" s="2">
        <v>373</v>
      </c>
      <c r="G471" s="27" t="s">
        <v>1111</v>
      </c>
      <c r="H471" s="86" t="s">
        <v>1114</v>
      </c>
      <c r="I471" s="94" t="s">
        <v>1115</v>
      </c>
      <c r="J471" s="1" t="s">
        <v>65</v>
      </c>
      <c r="K471" s="1" t="s">
        <v>66</v>
      </c>
      <c r="L471" s="1" t="s">
        <v>66</v>
      </c>
      <c r="M471" s="2" t="s">
        <v>939</v>
      </c>
    </row>
    <row r="472" spans="1:13" ht="14.4" x14ac:dyDescent="0.3">
      <c r="A472" s="28" t="str">
        <f>HYPERLINK("https://www.google.com/search?q=Dryocopus javensis&amp;tbm=isch")</f>
        <v>https://www.google.com/search?q=Dryocopus javensis&amp;tbm=isch</v>
      </c>
      <c r="B472" s="29" t="str">
        <f>HYPERLINK("https://www.xeno-canto.org/species/Dryocopus-javensis")</f>
        <v>https://www.xeno-canto.org/species/Dryocopus-javensis</v>
      </c>
      <c r="C472" s="30" t="str">
        <f>HYPERLINK("https://ebird.org/species/whbwoo2")</f>
        <v>https://ebird.org/species/whbwoo2</v>
      </c>
      <c r="D472" s="31" t="str">
        <f>HYPERLINK("https://www.hbw.com/species/White-bellied-Woodpecker-Dryocopus-javensis")</f>
        <v>https://www.hbw.com/species/White-bellied-Woodpecker-Dryocopus-javensis</v>
      </c>
      <c r="E472" s="32" t="str">
        <f>HYPERLINK("https://www.iucnredlist.org/search?query=Dryocopus javensis&amp;searchType=species")</f>
        <v>https://www.iucnredlist.org/search?query=Dryocopus javensis&amp;searchType=species</v>
      </c>
      <c r="F472" s="2">
        <v>374</v>
      </c>
      <c r="G472" s="27" t="s">
        <v>1111</v>
      </c>
      <c r="H472" s="84" t="s">
        <v>1116</v>
      </c>
      <c r="I472" s="92" t="s">
        <v>1117</v>
      </c>
      <c r="J472" s="1" t="s">
        <v>15</v>
      </c>
      <c r="M472" s="2" t="s">
        <v>43</v>
      </c>
    </row>
    <row r="473" spans="1:13" ht="14.4" x14ac:dyDescent="0.3">
      <c r="A473" s="28" t="str">
        <f>HYPERLINK("https://www.google.com/search?q=Dinopium everetti&amp;tbm=isch")</f>
        <v>https://www.google.com/search?q=Dinopium everetti&amp;tbm=isch</v>
      </c>
      <c r="B473" s="29" t="str">
        <f>HYPERLINK("https://www.xeno-canto.org/species/Dinopium-everetti")</f>
        <v>https://www.xeno-canto.org/species/Dinopium-everetti</v>
      </c>
      <c r="C473" s="30" t="str">
        <f>HYPERLINK("https://ebird.org/species/sptfla1")</f>
        <v>https://ebird.org/species/sptfla1</v>
      </c>
      <c r="D473" s="31" t="str">
        <f>HYPERLINK("https://www.hbw.com/species/Spot-throated-Flameback-Dinopium-everetti")</f>
        <v>https://www.hbw.com/species/Spot-throated-Flameback-Dinopium-everetti</v>
      </c>
      <c r="E473" s="32" t="str">
        <f>HYPERLINK("https://www.iucnredlist.org/search?query=Dinopium everetti&amp;searchType=species")</f>
        <v>https://www.iucnredlist.org/search?query=Dinopium everetti&amp;searchType=species</v>
      </c>
      <c r="F473" s="2">
        <v>375</v>
      </c>
      <c r="G473" s="27" t="s">
        <v>1111</v>
      </c>
      <c r="H473" s="86" t="s">
        <v>1118</v>
      </c>
      <c r="I473" s="94" t="s">
        <v>1119</v>
      </c>
      <c r="J473" s="1" t="s">
        <v>65</v>
      </c>
      <c r="K473" s="1" t="s">
        <v>58</v>
      </c>
      <c r="L473" s="1" t="s">
        <v>130</v>
      </c>
      <c r="M473" s="2" t="s">
        <v>1120</v>
      </c>
    </row>
    <row r="474" spans="1:13" ht="14.4" x14ac:dyDescent="0.3">
      <c r="A474" s="28" t="str">
        <f>HYPERLINK("https://www.google.com/search?q=Chrysocolaptes lucidus&amp;tbm=isch")</f>
        <v>https://www.google.com/search?q=Chrysocolaptes lucidus&amp;tbm=isch</v>
      </c>
      <c r="B474" s="29" t="str">
        <f>HYPERLINK("https://www.xeno-canto.org/species/Chrysocolaptes-lucidus")</f>
        <v>https://www.xeno-canto.org/species/Chrysocolaptes-lucidus</v>
      </c>
      <c r="C474" s="30" t="str">
        <f>HYPERLINK("https://ebird.org/species/busfla1")</f>
        <v>https://ebird.org/species/busfla1</v>
      </c>
      <c r="D474" s="31" t="str">
        <f>HYPERLINK("https://www.hbw.com/species/Buff-spotted-Flameback-Chrysocolaptes-lucidus")</f>
        <v>https://www.hbw.com/species/Buff-spotted-Flameback-Chrysocolaptes-lucidus</v>
      </c>
      <c r="E474" s="32" t="str">
        <f>HYPERLINK("https://www.iucnredlist.org/search?query=Chrysocolaptes lucidus&amp;searchType=species")</f>
        <v>https://www.iucnredlist.org/search?query=Chrysocolaptes lucidus&amp;searchType=species</v>
      </c>
      <c r="F474" s="2">
        <v>376</v>
      </c>
      <c r="G474" s="27" t="s">
        <v>1111</v>
      </c>
      <c r="H474" s="86" t="s">
        <v>1121</v>
      </c>
      <c r="I474" s="94" t="s">
        <v>1122</v>
      </c>
      <c r="J474" s="1" t="s">
        <v>65</v>
      </c>
      <c r="M474" s="2" t="s">
        <v>1123</v>
      </c>
    </row>
    <row r="475" spans="1:13" ht="14.4" x14ac:dyDescent="0.3">
      <c r="A475" s="28" t="str">
        <f>HYPERLINK("https://www.google.com/search?q=Chrysocolaptes haematribon&amp;tbm=isch")</f>
        <v>https://www.google.com/search?q=Chrysocolaptes haematribon&amp;tbm=isch</v>
      </c>
      <c r="B475" s="29" t="str">
        <f>HYPERLINK("https://www.xeno-canto.org/species/Chrysocolaptes-haematribon")</f>
        <v>https://www.xeno-canto.org/species/Chrysocolaptes-haematribon</v>
      </c>
      <c r="C475" s="30" t="str">
        <f>HYPERLINK("https://ebird.org/species/luzfla1")</f>
        <v>https://ebird.org/species/luzfla1</v>
      </c>
      <c r="D475" s="31" t="str">
        <f>HYPERLINK("https://www.hbw.com/species/Luzon-Flameback-Chrysocolaptes-haematribon")</f>
        <v>https://www.hbw.com/species/Luzon-Flameback-Chrysocolaptes-haematribon</v>
      </c>
      <c r="E475" s="32" t="str">
        <f>HYPERLINK("https://www.iucnredlist.org/search?query=Chrysocolaptes haematribon&amp;searchType=species")</f>
        <v>https://www.iucnredlist.org/search?query=Chrysocolaptes haematribon&amp;searchType=species</v>
      </c>
      <c r="F475" s="2">
        <v>377</v>
      </c>
      <c r="G475" s="27" t="s">
        <v>1111</v>
      </c>
      <c r="H475" s="86" t="s">
        <v>1124</v>
      </c>
      <c r="I475" s="94" t="s">
        <v>1125</v>
      </c>
      <c r="J475" s="1" t="s">
        <v>65</v>
      </c>
      <c r="M475" s="2" t="s">
        <v>1095</v>
      </c>
    </row>
    <row r="476" spans="1:13" ht="14.4" x14ac:dyDescent="0.3">
      <c r="A476" s="28" t="str">
        <f>HYPERLINK("https://www.google.com/search?q=Chrysocolaptes xanthocephalus&amp;tbm=isch")</f>
        <v>https://www.google.com/search?q=Chrysocolaptes xanthocephalus&amp;tbm=isch</v>
      </c>
      <c r="B476" s="29" t="str">
        <f>HYPERLINK("https://www.xeno-canto.org/species/Chrysocolaptes-xanthocephalus")</f>
        <v>https://www.xeno-canto.org/species/Chrysocolaptes-xanthocephalus</v>
      </c>
      <c r="C476" s="30" t="str">
        <f>HYPERLINK("https://ebird.org/species/yeffla1")</f>
        <v>https://ebird.org/species/yeffla1</v>
      </c>
      <c r="D476" s="31" t="str">
        <f>HYPERLINK("https://www.hbw.com/species/Yellow-faced-Flameback-Chrysocolaptes-xanthocephalus")</f>
        <v>https://www.hbw.com/species/Yellow-faced-Flameback-Chrysocolaptes-xanthocephalus</v>
      </c>
      <c r="E476" s="32" t="str">
        <f>HYPERLINK("https://www.iucnredlist.org/search?query=Chrysocolaptes xanthocephalus&amp;searchType=species")</f>
        <v>https://www.iucnredlist.org/search?query=Chrysocolaptes xanthocephalus&amp;searchType=species</v>
      </c>
      <c r="F476" s="2">
        <v>378</v>
      </c>
      <c r="G476" s="27" t="s">
        <v>1111</v>
      </c>
      <c r="H476" s="86" t="s">
        <v>1126</v>
      </c>
      <c r="I476" s="94" t="s">
        <v>1127</v>
      </c>
      <c r="J476" s="1" t="s">
        <v>65</v>
      </c>
      <c r="K476" s="1" t="s">
        <v>67</v>
      </c>
      <c r="L476" s="1" t="s">
        <v>67</v>
      </c>
      <c r="M476" s="2" t="s">
        <v>1128</v>
      </c>
    </row>
    <row r="477" spans="1:13" ht="14.4" x14ac:dyDescent="0.3">
      <c r="A477" s="28" t="str">
        <f>HYPERLINK("https://www.google.com/search?q=Chrysocolaptes erythrocephalus&amp;tbm=isch")</f>
        <v>https://www.google.com/search?q=Chrysocolaptes erythrocephalus&amp;tbm=isch</v>
      </c>
      <c r="B477" s="29" t="str">
        <f>HYPERLINK("https://www.xeno-canto.org/species/Chrysocolaptes-erythrocephalus")</f>
        <v>https://www.xeno-canto.org/species/Chrysocolaptes-erythrocephalus</v>
      </c>
      <c r="C477" s="30" t="str">
        <f>HYPERLINK("https://ebird.org/species/rehfla1")</f>
        <v>https://ebird.org/species/rehfla1</v>
      </c>
      <c r="D477" s="31" t="str">
        <f>HYPERLINK("https://www.hbw.com/species/Red-headed-Flameback-Chrysocolaptes-erythrocephalus")</f>
        <v>https://www.hbw.com/species/Red-headed-Flameback-Chrysocolaptes-erythrocephalus</v>
      </c>
      <c r="E477" s="32" t="str">
        <f>HYPERLINK("https://www.iucnredlist.org/search?query=Chrysocolaptes erythrocephalus&amp;searchType=species")</f>
        <v>https://www.iucnredlist.org/search?query=Chrysocolaptes erythrocephalus&amp;searchType=species</v>
      </c>
      <c r="F477" s="2">
        <v>379</v>
      </c>
      <c r="G477" s="27" t="s">
        <v>1111</v>
      </c>
      <c r="H477" s="86" t="s">
        <v>1129</v>
      </c>
      <c r="I477" s="94" t="s">
        <v>1130</v>
      </c>
      <c r="J477" s="1" t="s">
        <v>65</v>
      </c>
      <c r="K477" s="1" t="s">
        <v>67</v>
      </c>
      <c r="L477" s="1" t="s">
        <v>67</v>
      </c>
      <c r="M477" s="2" t="s">
        <v>1131</v>
      </c>
    </row>
    <row r="478" spans="1:13" ht="14.4" x14ac:dyDescent="0.3">
      <c r="A478" s="28" t="str">
        <f>HYPERLINK("https://www.google.com/search?q=Mulleripicus funebris&amp;tbm=isch")</f>
        <v>https://www.google.com/search?q=Mulleripicus funebris&amp;tbm=isch</v>
      </c>
      <c r="B478" s="29" t="str">
        <f>HYPERLINK("https://www.xeno-canto.org/species/Mulleripicus-funebris")</f>
        <v>https://www.xeno-canto.org/species/Mulleripicus-funebris</v>
      </c>
      <c r="C478" s="30" t="str">
        <f>HYPERLINK("https://ebird.org/species/soowoo1")</f>
        <v>https://ebird.org/species/soowoo1</v>
      </c>
      <c r="D478" s="31" t="str">
        <f>HYPERLINK("https://www.hbw.com/species/Northern-Sooty-Woodpecker-Mulleripicus-funebris")</f>
        <v>https://www.hbw.com/species/Northern-Sooty-Woodpecker-Mulleripicus-funebris</v>
      </c>
      <c r="E478" s="32" t="str">
        <f>HYPERLINK("https://www.iucnredlist.org/search?query=Mulleripicus funebris&amp;searchType=species")</f>
        <v>https://www.iucnredlist.org/search?query=Mulleripicus funebris&amp;searchType=species</v>
      </c>
      <c r="F478" s="2">
        <v>380</v>
      </c>
      <c r="G478" s="27" t="s">
        <v>1111</v>
      </c>
      <c r="H478" s="86" t="s">
        <v>1132</v>
      </c>
      <c r="I478" s="94" t="s">
        <v>1133</v>
      </c>
      <c r="J478" s="1" t="s">
        <v>65</v>
      </c>
      <c r="K478" s="1" t="s">
        <v>58</v>
      </c>
      <c r="M478" s="2" t="s">
        <v>68</v>
      </c>
    </row>
    <row r="479" spans="1:13" ht="14.4" x14ac:dyDescent="0.3">
      <c r="A479" s="28" t="str">
        <f>HYPERLINK("https://www.google.com/search?q=Mulleripicus pulverulentus&amp;tbm=isch")</f>
        <v>https://www.google.com/search?q=Mulleripicus pulverulentus&amp;tbm=isch</v>
      </c>
      <c r="B479" s="29" t="str">
        <f>HYPERLINK("https://www.xeno-canto.org/species/Mulleripicus-pulverulentus")</f>
        <v>https://www.xeno-canto.org/species/Mulleripicus-pulverulentus</v>
      </c>
      <c r="C479" s="30" t="str">
        <f>HYPERLINK("https://ebird.org/species/grswoo1")</f>
        <v>https://ebird.org/species/grswoo1</v>
      </c>
      <c r="D479" s="31" t="str">
        <f>HYPERLINK("https://www.hbw.com/species/Great-Slaty-Woodpecker-Mulleripicus-pulverulentus")</f>
        <v>https://www.hbw.com/species/Great-Slaty-Woodpecker-Mulleripicus-pulverulentus</v>
      </c>
      <c r="E479" s="32" t="str">
        <f>HYPERLINK("https://www.iucnredlist.org/search?query=Mulleripicus pulverulentus&amp;searchType=species")</f>
        <v>https://www.iucnredlist.org/search?query=Mulleripicus pulverulentus&amp;searchType=species</v>
      </c>
      <c r="F479" s="2">
        <v>381</v>
      </c>
      <c r="G479" s="27" t="s">
        <v>1111</v>
      </c>
      <c r="H479" s="84" t="s">
        <v>1134</v>
      </c>
      <c r="I479" s="92" t="s">
        <v>1135</v>
      </c>
      <c r="J479" s="1" t="s">
        <v>15</v>
      </c>
      <c r="K479" s="1" t="s">
        <v>66</v>
      </c>
      <c r="L479" s="1" t="s">
        <v>66</v>
      </c>
      <c r="M479" s="2" t="s">
        <v>43</v>
      </c>
    </row>
    <row r="480" spans="1:13" x14ac:dyDescent="0.3">
      <c r="A480" s="33"/>
      <c r="B480" s="34"/>
      <c r="C480" s="35"/>
      <c r="D480" s="36"/>
      <c r="E480" s="37"/>
    </row>
    <row r="481" spans="1:14" ht="12" x14ac:dyDescent="0.3">
      <c r="A481" s="33"/>
      <c r="B481" s="34"/>
      <c r="C481" s="35"/>
      <c r="D481" s="36"/>
      <c r="E481" s="37"/>
      <c r="H481" s="82" t="s">
        <v>1136</v>
      </c>
      <c r="I481" s="91" t="s">
        <v>1137</v>
      </c>
    </row>
    <row r="482" spans="1:14" ht="14.4" x14ac:dyDescent="0.3">
      <c r="A482" s="28" t="str">
        <f>HYPERLINK("https://www.google.com/search?q=Microhierax erythrogenys&amp;tbm=isch")</f>
        <v>https://www.google.com/search?q=Microhierax erythrogenys&amp;tbm=isch</v>
      </c>
      <c r="B482" s="29" t="str">
        <f>HYPERLINK("https://www.xeno-canto.org/species/Microhierax-erythrogenys")</f>
        <v>https://www.xeno-canto.org/species/Microhierax-erythrogenys</v>
      </c>
      <c r="C482" s="30" t="str">
        <f>HYPERLINK("https://ebird.org/species/phifal1")</f>
        <v>https://ebird.org/species/phifal1</v>
      </c>
      <c r="D482" s="31" t="str">
        <f>HYPERLINK("https://www.hbw.com/species/Philippine-Falconet-Microhierax-erythrogenys")</f>
        <v>https://www.hbw.com/species/Philippine-Falconet-Microhierax-erythrogenys</v>
      </c>
      <c r="E482" s="32" t="str">
        <f>HYPERLINK("https://www.iucnredlist.org/search?query=Microhierax erythrogenys&amp;searchType=species")</f>
        <v>https://www.iucnredlist.org/search?query=Microhierax erythrogenys&amp;searchType=species</v>
      </c>
      <c r="F482" s="2">
        <v>382</v>
      </c>
      <c r="G482" s="27" t="s">
        <v>1137</v>
      </c>
      <c r="H482" s="86" t="s">
        <v>1138</v>
      </c>
      <c r="I482" s="94" t="s">
        <v>1139</v>
      </c>
      <c r="J482" s="1" t="s">
        <v>65</v>
      </c>
      <c r="M482" s="2" t="s">
        <v>68</v>
      </c>
    </row>
    <row r="483" spans="1:14" ht="14.4" x14ac:dyDescent="0.3">
      <c r="A483" s="28" t="str">
        <f>HYPERLINK("https://www.google.com/search?q=Falco tinnunculus&amp;tbm=isch")</f>
        <v>https://www.google.com/search?q=Falco tinnunculus&amp;tbm=isch</v>
      </c>
      <c r="B483" s="29" t="str">
        <f>HYPERLINK("https://www.xeno-canto.org/species/Falco-tinnunculus")</f>
        <v>https://www.xeno-canto.org/species/Falco-tinnunculus</v>
      </c>
      <c r="C483" s="30" t="str">
        <f>HYPERLINK("https://ebird.org/species/eurkes")</f>
        <v>https://ebird.org/species/eurkes</v>
      </c>
      <c r="D483" s="31" t="str">
        <f>HYPERLINK("https://www.hbw.com/species/Common-Kestrel-Falco-tinnunculus")</f>
        <v>https://www.hbw.com/species/Common-Kestrel-Falco-tinnunculus</v>
      </c>
      <c r="E483" s="32" t="str">
        <f>HYPERLINK("https://www.iucnredlist.org/search?query=Falco tinnunculus&amp;searchType=species")</f>
        <v>https://www.iucnredlist.org/search?query=Falco tinnunculus&amp;searchType=species</v>
      </c>
      <c r="F483" s="2">
        <v>383</v>
      </c>
      <c r="G483" s="27" t="s">
        <v>1137</v>
      </c>
      <c r="H483" s="84" t="s">
        <v>1140</v>
      </c>
      <c r="I483" s="92" t="s">
        <v>1141</v>
      </c>
      <c r="J483" s="1" t="s">
        <v>50</v>
      </c>
      <c r="M483" s="2" t="s">
        <v>1142</v>
      </c>
    </row>
    <row r="484" spans="1:14" ht="40.799999999999997" x14ac:dyDescent="0.3">
      <c r="A484" s="28" t="str">
        <f>HYPERLINK("https://www.google.com/search?q=Falco moluccensis&amp;tbm=isch")</f>
        <v>https://www.google.com/search?q=Falco moluccensis&amp;tbm=isch</v>
      </c>
      <c r="B484" s="29" t="str">
        <f>HYPERLINK("https://www.xeno-canto.org/species/Falco-moluccensis")</f>
        <v>https://www.xeno-canto.org/species/Falco-moluccensis</v>
      </c>
      <c r="C484" s="30" t="str">
        <f>HYPERLINK("https://ebird.org/species/spokes1")</f>
        <v>https://ebird.org/species/spokes1</v>
      </c>
      <c r="D484" s="31" t="str">
        <f>HYPERLINK("https://www.hbw.com/species/Spotted-Kestrel-Falco-moluccensis")</f>
        <v>https://www.hbw.com/species/Spotted-Kestrel-Falco-moluccensis</v>
      </c>
      <c r="E484" s="32" t="str">
        <f>HYPERLINK("https://www.iucnredlist.org/search?query=Falco moluccensis&amp;searchType=species")</f>
        <v>https://www.iucnredlist.org/search?query=Falco moluccensis&amp;searchType=species</v>
      </c>
      <c r="F484" s="2">
        <v>384</v>
      </c>
      <c r="G484" s="27" t="s">
        <v>1137</v>
      </c>
      <c r="H484" s="85" t="s">
        <v>1143</v>
      </c>
      <c r="I484" s="93" t="s">
        <v>1144</v>
      </c>
      <c r="J484" s="1" t="s">
        <v>15</v>
      </c>
      <c r="M484" s="2" t="s">
        <v>1145</v>
      </c>
      <c r="N484" s="2" t="s">
        <v>11335</v>
      </c>
    </row>
    <row r="485" spans="1:14" ht="20.399999999999999" x14ac:dyDescent="0.3">
      <c r="A485" s="28" t="str">
        <f>HYPERLINK("https://www.google.com/search?q=Falco amurensis&amp;tbm=isch")</f>
        <v>https://www.google.com/search?q=Falco amurensis&amp;tbm=isch</v>
      </c>
      <c r="B485" s="29" t="str">
        <f>HYPERLINK("https://www.xeno-canto.org/species/Falco-amurensis")</f>
        <v>https://www.xeno-canto.org/species/Falco-amurensis</v>
      </c>
      <c r="C485" s="30" t="str">
        <f>HYPERLINK("https://ebird.org/species/amufal1")</f>
        <v>https://ebird.org/species/amufal1</v>
      </c>
      <c r="D485" s="31" t="str">
        <f>HYPERLINK("https://www.hbw.com/species/Amur-Falcon-Falco-amurensis")</f>
        <v>https://www.hbw.com/species/Amur-Falcon-Falco-amurensis</v>
      </c>
      <c r="E485" s="32" t="str">
        <f>HYPERLINK("https://www.iucnredlist.org/search?query=Falco amurensis&amp;searchType=species")</f>
        <v>https://www.iucnredlist.org/search?query=Falco amurensis&amp;searchType=species</v>
      </c>
      <c r="F485" s="2">
        <v>385</v>
      </c>
      <c r="G485" s="27" t="s">
        <v>1137</v>
      </c>
      <c r="H485" s="85" t="s">
        <v>1146</v>
      </c>
      <c r="I485" s="93" t="s">
        <v>1147</v>
      </c>
      <c r="J485" s="1" t="s">
        <v>19</v>
      </c>
      <c r="M485" s="2" t="s">
        <v>1148</v>
      </c>
      <c r="N485" s="2" t="s">
        <v>1149</v>
      </c>
    </row>
    <row r="486" spans="1:14" ht="14.4" x14ac:dyDescent="0.3">
      <c r="A486" s="28" t="str">
        <f>HYPERLINK("https://www.google.com/search?q=Falco columbarius&amp;tbm=isch")</f>
        <v>https://www.google.com/search?q=Falco columbarius&amp;tbm=isch</v>
      </c>
      <c r="B486" s="29" t="str">
        <f>HYPERLINK("https://www.xeno-canto.org/species/Falco-columbarius")</f>
        <v>https://www.xeno-canto.org/species/Falco-columbarius</v>
      </c>
      <c r="C486" s="30" t="str">
        <f>HYPERLINK("https://ebird.org/species/merlin")</f>
        <v>https://ebird.org/species/merlin</v>
      </c>
      <c r="D486" s="31" t="str">
        <f>HYPERLINK("https://www.hbw.com/species/Merlin-Falco-columbarius")</f>
        <v>https://www.hbw.com/species/Merlin-Falco-columbarius</v>
      </c>
      <c r="E486" s="32" t="str">
        <f>HYPERLINK("https://www.iucnredlist.org/search?query=Falco columbarius&amp;searchType=species")</f>
        <v>https://www.iucnredlist.org/search?query=Falco columbarius&amp;searchType=species</v>
      </c>
      <c r="F486" s="2">
        <v>386</v>
      </c>
      <c r="G486" s="27" t="s">
        <v>1137</v>
      </c>
      <c r="H486" s="83" t="s">
        <v>1150</v>
      </c>
      <c r="I486" s="92" t="s">
        <v>1151</v>
      </c>
      <c r="J486" s="1" t="s">
        <v>19</v>
      </c>
      <c r="M486" s="2" t="s">
        <v>20</v>
      </c>
    </row>
    <row r="487" spans="1:14" ht="30.6" x14ac:dyDescent="0.3">
      <c r="A487" s="28" t="str">
        <f>HYPERLINK("https://www.google.com/search?q=Falco subbuteo&amp;tbm=isch")</f>
        <v>https://www.google.com/search?q=Falco subbuteo&amp;tbm=isch</v>
      </c>
      <c r="B487" s="29" t="str">
        <f>HYPERLINK("https://www.xeno-canto.org/species/Falco-subbuteo")</f>
        <v>https://www.xeno-canto.org/species/Falco-subbuteo</v>
      </c>
      <c r="C487" s="30" t="str">
        <f>HYPERLINK("https://ebird.org/species/eurhob")</f>
        <v>https://ebird.org/species/eurhob</v>
      </c>
      <c r="D487" s="31" t="str">
        <f>HYPERLINK("https://www.hbw.com/species/Eurasian-Hobby-Falco-subbuteo")</f>
        <v>https://www.hbw.com/species/Eurasian-Hobby-Falco-subbuteo</v>
      </c>
      <c r="E487" s="32" t="str">
        <f>HYPERLINK("https://www.iucnredlist.org/search?query=Falco subbuteo&amp;searchType=species")</f>
        <v>https://www.iucnredlist.org/search?query=Falco subbuteo&amp;searchType=species</v>
      </c>
      <c r="F487" s="2">
        <v>387</v>
      </c>
      <c r="G487" s="27" t="s">
        <v>1137</v>
      </c>
      <c r="H487" s="85" t="s">
        <v>1152</v>
      </c>
      <c r="I487" s="93" t="s">
        <v>1153</v>
      </c>
      <c r="J487" s="1" t="s">
        <v>19</v>
      </c>
      <c r="M487" s="2" t="s">
        <v>92</v>
      </c>
      <c r="N487" s="2" t="s">
        <v>11336</v>
      </c>
    </row>
    <row r="488" spans="1:14" ht="14.4" x14ac:dyDescent="0.3">
      <c r="A488" s="28" t="str">
        <f>HYPERLINK("https://www.google.com/search?q=Falco severus&amp;tbm=isch")</f>
        <v>https://www.google.com/search?q=Falco severus&amp;tbm=isch</v>
      </c>
      <c r="B488" s="29" t="str">
        <f>HYPERLINK("https://www.xeno-canto.org/species/Falco-severus")</f>
        <v>https://www.xeno-canto.org/species/Falco-severus</v>
      </c>
      <c r="C488" s="30" t="str">
        <f>HYPERLINK("https://ebird.org/species/orihob1")</f>
        <v>https://ebird.org/species/orihob1</v>
      </c>
      <c r="D488" s="31" t="str">
        <f>HYPERLINK("https://www.hbw.com/species/Oriental-Hobby-Falco-severus")</f>
        <v>https://www.hbw.com/species/Oriental-Hobby-Falco-severus</v>
      </c>
      <c r="E488" s="32" t="str">
        <f>HYPERLINK("https://www.iucnredlist.org/search?query=Falco severus&amp;searchType=species")</f>
        <v>https://www.iucnredlist.org/search?query=Falco severus&amp;searchType=species</v>
      </c>
      <c r="F488" s="2">
        <v>388</v>
      </c>
      <c r="G488" s="27" t="s">
        <v>1137</v>
      </c>
      <c r="H488" s="84" t="s">
        <v>1154</v>
      </c>
      <c r="I488" s="92" t="s">
        <v>1155</v>
      </c>
      <c r="J488" s="1" t="s">
        <v>15</v>
      </c>
      <c r="M488" s="2" t="s">
        <v>1156</v>
      </c>
    </row>
    <row r="489" spans="1:14" ht="14.4" x14ac:dyDescent="0.3">
      <c r="A489" s="28" t="str">
        <f>HYPERLINK("https://www.google.com/search?q=Falco peregrinus&amp;tbm=isch")</f>
        <v>https://www.google.com/search?q=Falco peregrinus&amp;tbm=isch</v>
      </c>
      <c r="B489" s="29" t="str">
        <f>HYPERLINK("https://www.xeno-canto.org/species/Falco-peregrinus")</f>
        <v>https://www.xeno-canto.org/species/Falco-peregrinus</v>
      </c>
      <c r="C489" s="30" t="str">
        <f>HYPERLINK("https://ebird.org/species/perfal")</f>
        <v>https://ebird.org/species/perfal</v>
      </c>
      <c r="D489" s="31" t="str">
        <f>HYPERLINK("https://www.hbw.com/species/Peregrine-Falcon-Falco-peregrinus")</f>
        <v>https://www.hbw.com/species/Peregrine-Falcon-Falco-peregrinus</v>
      </c>
      <c r="E489" s="32" t="str">
        <f>HYPERLINK("https://www.iucnredlist.org/search?query=Falco peregrinus&amp;searchType=species")</f>
        <v>https://www.iucnredlist.org/search?query=Falco peregrinus&amp;searchType=species</v>
      </c>
      <c r="F489" s="2">
        <v>389</v>
      </c>
      <c r="G489" s="27" t="s">
        <v>1137</v>
      </c>
      <c r="H489" s="84" t="s">
        <v>1157</v>
      </c>
      <c r="I489" s="92" t="s">
        <v>1158</v>
      </c>
      <c r="J489" s="1" t="s">
        <v>236</v>
      </c>
      <c r="M489" s="2" t="s">
        <v>201</v>
      </c>
    </row>
    <row r="490" spans="1:14" x14ac:dyDescent="0.3">
      <c r="A490" s="33"/>
      <c r="B490" s="34"/>
      <c r="C490" s="35"/>
      <c r="D490" s="36"/>
      <c r="E490" s="37"/>
    </row>
    <row r="491" spans="1:14" ht="12" x14ac:dyDescent="0.3">
      <c r="A491" s="33"/>
      <c r="B491" s="34"/>
      <c r="C491" s="35"/>
      <c r="D491" s="36"/>
      <c r="E491" s="37"/>
      <c r="H491" s="82" t="s">
        <v>1159</v>
      </c>
      <c r="I491" s="91" t="s">
        <v>1160</v>
      </c>
    </row>
    <row r="492" spans="1:14" ht="14.4" x14ac:dyDescent="0.3">
      <c r="A492" s="28" t="str">
        <f>HYPERLINK("https://www.google.com/search?q=Cacatua haematuropygia&amp;tbm=isch")</f>
        <v>https://www.google.com/search?q=Cacatua haematuropygia&amp;tbm=isch</v>
      </c>
      <c r="B492" s="29" t="str">
        <f>HYPERLINK("https://www.xeno-canto.org/species/Cacatua-haematuropygia")</f>
        <v>https://www.xeno-canto.org/species/Cacatua-haematuropygia</v>
      </c>
      <c r="C492" s="30" t="str">
        <f>HYPERLINK("https://ebird.org/species/phicoc1")</f>
        <v>https://ebird.org/species/phicoc1</v>
      </c>
      <c r="D492" s="31" t="str">
        <f>HYPERLINK("https://www.hbw.com/species/Philippine-Cockatoo-Cacatua-haematuropygia")</f>
        <v>https://www.hbw.com/species/Philippine-Cockatoo-Cacatua-haematuropygia</v>
      </c>
      <c r="E492" s="32" t="str">
        <f>HYPERLINK("https://www.iucnredlist.org/search?query=Cacatua haematuropygia&amp;searchType=species")</f>
        <v>https://www.iucnredlist.org/search?query=Cacatua haematuropygia&amp;searchType=species</v>
      </c>
      <c r="F492" s="2">
        <v>390</v>
      </c>
      <c r="G492" s="27" t="s">
        <v>1160</v>
      </c>
      <c r="H492" s="90" t="s">
        <v>1161</v>
      </c>
      <c r="I492" s="94" t="s">
        <v>1162</v>
      </c>
      <c r="J492" s="1" t="s">
        <v>65</v>
      </c>
      <c r="K492" s="1" t="s">
        <v>85</v>
      </c>
      <c r="L492" s="1" t="s">
        <v>85</v>
      </c>
      <c r="M492" s="2" t="s">
        <v>68</v>
      </c>
    </row>
    <row r="493" spans="1:14" x14ac:dyDescent="0.3">
      <c r="A493" s="33"/>
      <c r="B493" s="34"/>
      <c r="C493" s="35"/>
      <c r="D493" s="36"/>
      <c r="E493" s="37"/>
    </row>
    <row r="494" spans="1:14" ht="12" x14ac:dyDescent="0.3">
      <c r="A494" s="33"/>
      <c r="B494" s="34"/>
      <c r="C494" s="35"/>
      <c r="D494" s="36"/>
      <c r="E494" s="37"/>
      <c r="H494" s="82" t="s">
        <v>1163</v>
      </c>
      <c r="I494" s="91" t="s">
        <v>1164</v>
      </c>
    </row>
    <row r="495" spans="1:14" ht="14.4" x14ac:dyDescent="0.3">
      <c r="A495" s="28" t="str">
        <f>HYPERLINK("https://www.google.com/search?q=Prioniturus waterstradti&amp;tbm=isch")</f>
        <v>https://www.google.com/search?q=Prioniturus waterstradti&amp;tbm=isch</v>
      </c>
      <c r="B495" s="29" t="str">
        <f>HYPERLINK("https://www.xeno-canto.org/species/Prioniturus-waterstradti")</f>
        <v>https://www.xeno-canto.org/species/Prioniturus-waterstradti</v>
      </c>
      <c r="C495" s="30" t="str">
        <f>HYPERLINK("https://ebird.org/species/mirtai1")</f>
        <v>https://ebird.org/species/mirtai1</v>
      </c>
      <c r="D495" s="31" t="str">
        <f>HYPERLINK("https://www.hbw.com/species/Mindanao-Racquet-tail-Prioniturus-waterstradti")</f>
        <v>https://www.hbw.com/species/Mindanao-Racquet-tail-Prioniturus-waterstradti</v>
      </c>
      <c r="E495" s="32" t="str">
        <f>HYPERLINK("https://www.iucnredlist.org/search?query=Prioniturus waterstradti&amp;searchType=species")</f>
        <v>https://www.iucnredlist.org/search?query=Prioniturus waterstradti&amp;searchType=species</v>
      </c>
      <c r="F495" s="2">
        <v>391</v>
      </c>
      <c r="G495" s="27" t="s">
        <v>1164</v>
      </c>
      <c r="H495" s="86" t="s">
        <v>1165</v>
      </c>
      <c r="I495" s="94" t="s">
        <v>1166</v>
      </c>
      <c r="J495" s="1" t="s">
        <v>65</v>
      </c>
      <c r="K495" s="1" t="s">
        <v>58</v>
      </c>
      <c r="L495" s="1" t="s">
        <v>66</v>
      </c>
      <c r="M495" s="2" t="s">
        <v>1167</v>
      </c>
    </row>
    <row r="496" spans="1:14" ht="14.4" x14ac:dyDescent="0.3">
      <c r="A496" s="28" t="str">
        <f>HYPERLINK("https://www.google.com/search?q=Prioniturus montanus&amp;tbm=isch")</f>
        <v>https://www.google.com/search?q=Prioniturus montanus&amp;tbm=isch</v>
      </c>
      <c r="B496" s="29" t="str">
        <f>HYPERLINK("https://www.xeno-canto.org/species/Prioniturus-montanus")</f>
        <v>https://www.xeno-canto.org/species/Prioniturus-montanus</v>
      </c>
      <c r="C496" s="30" t="str">
        <f>HYPERLINK("https://ebird.org/species/luzrat1")</f>
        <v>https://ebird.org/species/luzrat1</v>
      </c>
      <c r="D496" s="31" t="str">
        <f>HYPERLINK("https://www.hbw.com/species/Montane-Racquet-tail-Prioniturus-montanus")</f>
        <v>https://www.hbw.com/species/Montane-Racquet-tail-Prioniturus-montanus</v>
      </c>
      <c r="E496" s="32" t="str">
        <f>HYPERLINK("https://www.iucnredlist.org/search?query=Prioniturus montanus&amp;searchType=species")</f>
        <v>https://www.iucnredlist.org/search?query=Prioniturus montanus&amp;searchType=species</v>
      </c>
      <c r="F496" s="2">
        <v>392</v>
      </c>
      <c r="G496" s="27" t="s">
        <v>1164</v>
      </c>
      <c r="H496" s="86" t="s">
        <v>1168</v>
      </c>
      <c r="I496" s="94" t="s">
        <v>1169</v>
      </c>
      <c r="J496" s="1" t="s">
        <v>65</v>
      </c>
      <c r="K496" s="1" t="s">
        <v>58</v>
      </c>
      <c r="L496" s="1" t="s">
        <v>67</v>
      </c>
      <c r="M496" s="2" t="s">
        <v>68</v>
      </c>
    </row>
    <row r="497" spans="1:14" ht="14.4" x14ac:dyDescent="0.3">
      <c r="A497" s="28" t="str">
        <f>HYPERLINK("https://www.google.com/search?q=Prioniturus platenae&amp;tbm=isch")</f>
        <v>https://www.google.com/search?q=Prioniturus platenae&amp;tbm=isch</v>
      </c>
      <c r="B497" s="29" t="str">
        <f>HYPERLINK("https://www.xeno-canto.org/species/Prioniturus-platenae")</f>
        <v>https://www.xeno-canto.org/species/Prioniturus-platenae</v>
      </c>
      <c r="C497" s="30" t="str">
        <f>HYPERLINK("https://ebird.org/species/bhrtai1")</f>
        <v>https://ebird.org/species/bhrtai1</v>
      </c>
      <c r="D497" s="31" t="str">
        <f>HYPERLINK("https://www.hbw.com/species/Blue-headed-Racquet-tail-Prioniturus-platenae")</f>
        <v>https://www.hbw.com/species/Blue-headed-Racquet-tail-Prioniturus-platenae</v>
      </c>
      <c r="E497" s="32" t="str">
        <f>HYPERLINK("https://www.iucnredlist.org/search?query=Prioniturus platenae&amp;searchType=species")</f>
        <v>https://www.iucnredlist.org/search?query=Prioniturus platenae&amp;searchType=species</v>
      </c>
      <c r="F497" s="2">
        <v>393</v>
      </c>
      <c r="G497" s="27" t="s">
        <v>1164</v>
      </c>
      <c r="H497" s="86" t="s">
        <v>1170</v>
      </c>
      <c r="I497" s="94" t="s">
        <v>1171</v>
      </c>
      <c r="J497" s="1" t="s">
        <v>65</v>
      </c>
      <c r="K497" s="1" t="s">
        <v>66</v>
      </c>
      <c r="L497" s="1" t="s">
        <v>66</v>
      </c>
      <c r="M497" s="2" t="s">
        <v>68</v>
      </c>
    </row>
    <row r="498" spans="1:14" ht="14.4" x14ac:dyDescent="0.3">
      <c r="A498" s="28" t="str">
        <f>HYPERLINK("https://www.google.com/search?q=Prioniturus mindorensis&amp;tbm=isch")</f>
        <v>https://www.google.com/search?q=Prioniturus mindorensis&amp;tbm=isch</v>
      </c>
      <c r="B498" s="29" t="str">
        <f>HYPERLINK("https://www.xeno-canto.org/species/Prioniturus-mindorensis")</f>
        <v>https://www.xeno-canto.org/species/Prioniturus-mindorensis</v>
      </c>
      <c r="C498" s="30" t="str">
        <f>HYPERLINK("https://ebird.org/species/minrat1")</f>
        <v>https://ebird.org/species/minrat1</v>
      </c>
      <c r="D498" s="31" t="str">
        <f>HYPERLINK("https://www.hbw.com/species/Mindoro-Racquet-tail-Prioniturus-mindorensis")</f>
        <v>https://www.hbw.com/species/Mindoro-Racquet-tail-Prioniturus-mindorensis</v>
      </c>
      <c r="E498" s="32" t="str">
        <f>HYPERLINK("https://www.iucnredlist.org/search?query=Prioniturus mindorensis&amp;searchType=species")</f>
        <v>https://www.iucnredlist.org/search?query=Prioniturus mindorensis&amp;searchType=species</v>
      </c>
      <c r="F498" s="2">
        <v>394</v>
      </c>
      <c r="G498" s="27" t="s">
        <v>1164</v>
      </c>
      <c r="H498" s="86" t="s">
        <v>1172</v>
      </c>
      <c r="I498" s="94" t="s">
        <v>1173</v>
      </c>
      <c r="J498" s="1" t="s">
        <v>65</v>
      </c>
      <c r="K498" s="1" t="s">
        <v>66</v>
      </c>
      <c r="L498" s="1" t="s">
        <v>67</v>
      </c>
      <c r="M498" s="2" t="s">
        <v>898</v>
      </c>
    </row>
    <row r="499" spans="1:14" ht="14.4" x14ac:dyDescent="0.3">
      <c r="A499" s="28" t="str">
        <f>HYPERLINK("https://www.google.com/search?q=Prioniturus verticalis&amp;tbm=isch")</f>
        <v>https://www.google.com/search?q=Prioniturus verticalis&amp;tbm=isch</v>
      </c>
      <c r="B499" s="29" t="str">
        <f>HYPERLINK("https://www.xeno-canto.org/species/Prioniturus-verticalis")</f>
        <v>https://www.xeno-canto.org/species/Prioniturus-verticalis</v>
      </c>
      <c r="C499" s="30" t="str">
        <f>HYPERLINK("https://ebird.org/species/bwrtai1")</f>
        <v>https://ebird.org/species/bwrtai1</v>
      </c>
      <c r="D499" s="31" t="str">
        <f>HYPERLINK("https://www.hbw.com/species/Sulu-Racquet-tail-Prioniturus-verticalis")</f>
        <v>https://www.hbw.com/species/Sulu-Racquet-tail-Prioniturus-verticalis</v>
      </c>
      <c r="E499" s="32" t="str">
        <f>HYPERLINK("https://www.iucnredlist.org/search?query=Prioniturus verticalis&amp;searchType=species")</f>
        <v>https://www.iucnredlist.org/search?query=Prioniturus verticalis&amp;searchType=species</v>
      </c>
      <c r="F499" s="2">
        <v>395</v>
      </c>
      <c r="G499" s="27" t="s">
        <v>1164</v>
      </c>
      <c r="H499" s="90" t="s">
        <v>1174</v>
      </c>
      <c r="I499" s="94" t="s">
        <v>1175</v>
      </c>
      <c r="J499" s="1" t="s">
        <v>65</v>
      </c>
      <c r="K499" s="1" t="s">
        <v>85</v>
      </c>
      <c r="L499" s="1" t="s">
        <v>85</v>
      </c>
      <c r="M499" s="2" t="s">
        <v>68</v>
      </c>
    </row>
    <row r="500" spans="1:14" ht="14.4" x14ac:dyDescent="0.3">
      <c r="A500" s="28" t="str">
        <f>HYPERLINK("https://www.google.com/search?q=Prioniturus luconensis&amp;tbm=isch")</f>
        <v>https://www.google.com/search?q=Prioniturus luconensis&amp;tbm=isch</v>
      </c>
      <c r="B500" s="29" t="str">
        <f>HYPERLINK("https://www.xeno-canto.org/species/Prioniturus-luconensis")</f>
        <v>https://www.xeno-canto.org/species/Prioniturus-luconensis</v>
      </c>
      <c r="C500" s="30" t="str">
        <f>HYPERLINK("https://ebird.org/species/grrtai1")</f>
        <v>https://ebird.org/species/grrtai1</v>
      </c>
      <c r="D500" s="31" t="str">
        <f>HYPERLINK("https://www.hbw.com/species/Green-Racquet-tail-Prioniturus-luconensis")</f>
        <v>https://www.hbw.com/species/Green-Racquet-tail-Prioniturus-luconensis</v>
      </c>
      <c r="E500" s="32" t="str">
        <f>HYPERLINK("https://www.iucnredlist.org/search?query=Prioniturus luconensis&amp;searchType=species")</f>
        <v>https://www.iucnredlist.org/search?query=Prioniturus luconensis&amp;searchType=species</v>
      </c>
      <c r="F500" s="2">
        <v>396</v>
      </c>
      <c r="G500" s="27" t="s">
        <v>1164</v>
      </c>
      <c r="H500" s="86" t="s">
        <v>1176</v>
      </c>
      <c r="I500" s="94" t="s">
        <v>1177</v>
      </c>
      <c r="J500" s="1" t="s">
        <v>65</v>
      </c>
      <c r="K500" s="1" t="s">
        <v>67</v>
      </c>
      <c r="L500" s="1" t="s">
        <v>85</v>
      </c>
      <c r="M500" s="2" t="s">
        <v>68</v>
      </c>
    </row>
    <row r="501" spans="1:14" ht="14.4" x14ac:dyDescent="0.3">
      <c r="A501" s="28" t="str">
        <f>HYPERLINK("https://www.google.com/search?q=Prioniturus discurus&amp;tbm=isch")</f>
        <v>https://www.google.com/search?q=Prioniturus discurus&amp;tbm=isch</v>
      </c>
      <c r="B501" s="29" t="str">
        <f>HYPERLINK("https://www.xeno-canto.org/species/Prioniturus-discurus")</f>
        <v>https://www.xeno-canto.org/species/Prioniturus-discurus</v>
      </c>
      <c r="C501" s="30" t="str">
        <f>HYPERLINK("https://ebird.org/species/bcrtai1")</f>
        <v>https://ebird.org/species/bcrtai1</v>
      </c>
      <c r="D501" s="31" t="str">
        <f>HYPERLINK("https://www.hbw.com/species/Blue-crowned-Racquet-tail-Prioniturus-discurus")</f>
        <v>https://www.hbw.com/species/Blue-crowned-Racquet-tail-Prioniturus-discurus</v>
      </c>
      <c r="E501" s="32" t="str">
        <f>HYPERLINK("https://www.iucnredlist.org/search?query=Prioniturus discurus&amp;searchType=species")</f>
        <v>https://www.iucnredlist.org/search?query=Prioniturus discurus&amp;searchType=species</v>
      </c>
      <c r="F501" s="2">
        <v>397</v>
      </c>
      <c r="G501" s="27" t="s">
        <v>1164</v>
      </c>
      <c r="H501" s="86" t="s">
        <v>1178</v>
      </c>
      <c r="I501" s="94" t="s">
        <v>1179</v>
      </c>
      <c r="J501" s="1" t="s">
        <v>65</v>
      </c>
      <c r="L501" s="1" t="s">
        <v>130</v>
      </c>
      <c r="M501" s="2" t="s">
        <v>68</v>
      </c>
    </row>
    <row r="502" spans="1:14" ht="20.399999999999999" x14ac:dyDescent="0.3">
      <c r="A502" s="28" t="str">
        <f>HYPERLINK("https://www.google.com/search?q=Tanygnathus megalorynchos&amp;tbm=isch")</f>
        <v>https://www.google.com/search?q=Tanygnathus megalorynchos&amp;tbm=isch</v>
      </c>
      <c r="B502" s="29" t="str">
        <f>HYPERLINK("https://www.xeno-canto.org/species/Tanygnathus-megalorynchos")</f>
        <v>https://www.xeno-canto.org/species/Tanygnathus-megalorynchos</v>
      </c>
      <c r="C502" s="30" t="str">
        <f>HYPERLINK("https://ebird.org/species/grbpar1")</f>
        <v>https://ebird.org/species/grbpar1</v>
      </c>
      <c r="D502" s="31" t="str">
        <f>HYPERLINK("https://www.hbw.com/species/Great-billed-Parrot-Tanygnathus-megalorynchos")</f>
        <v>https://www.hbw.com/species/Great-billed-Parrot-Tanygnathus-megalorynchos</v>
      </c>
      <c r="E502" s="32" t="str">
        <f>HYPERLINK("https://www.iucnredlist.org/search?query=Tanygnathus megalorynchos&amp;searchType=species")</f>
        <v>https://www.iucnredlist.org/search?query=Tanygnathus megalorynchos&amp;searchType=species</v>
      </c>
      <c r="F502" s="2">
        <v>398</v>
      </c>
      <c r="G502" s="27" t="s">
        <v>1164</v>
      </c>
      <c r="H502" s="83" t="s">
        <v>1180</v>
      </c>
      <c r="I502" s="92" t="s">
        <v>1181</v>
      </c>
      <c r="J502" s="1" t="s">
        <v>15</v>
      </c>
      <c r="M502" s="2" t="s">
        <v>1182</v>
      </c>
      <c r="N502" s="2" t="s">
        <v>1183</v>
      </c>
    </row>
    <row r="503" spans="1:14" ht="14.4" x14ac:dyDescent="0.3">
      <c r="A503" s="28" t="str">
        <f>HYPERLINK("https://www.google.com/search?q=Tanygnathus lucionensis&amp;tbm=isch")</f>
        <v>https://www.google.com/search?q=Tanygnathus lucionensis&amp;tbm=isch</v>
      </c>
      <c r="B503" s="29" t="str">
        <f>HYPERLINK("https://www.xeno-canto.org/species/Tanygnathus-lucionensis")</f>
        <v>https://www.xeno-canto.org/species/Tanygnathus-lucionensis</v>
      </c>
      <c r="C503" s="30" t="str">
        <f>HYPERLINK("https://ebird.org/species/blnpar1")</f>
        <v>https://ebird.org/species/blnpar1</v>
      </c>
      <c r="D503" s="31" t="str">
        <f>HYPERLINK("https://www.hbw.com/species/Blue-naped-Parrot-Tanygnathus-lucionensis")</f>
        <v>https://www.hbw.com/species/Blue-naped-Parrot-Tanygnathus-lucionensis</v>
      </c>
      <c r="E503" s="32" t="str">
        <f>HYPERLINK("https://www.iucnredlist.org/search?query=Tanygnathus lucionensis&amp;searchType=species")</f>
        <v>https://www.iucnredlist.org/search?query=Tanygnathus lucionensis&amp;searchType=species</v>
      </c>
      <c r="F503" s="2">
        <v>399</v>
      </c>
      <c r="G503" s="27" t="s">
        <v>1164</v>
      </c>
      <c r="H503" s="84" t="s">
        <v>1184</v>
      </c>
      <c r="I503" s="92" t="s">
        <v>1185</v>
      </c>
      <c r="J503" s="1" t="s">
        <v>732</v>
      </c>
      <c r="K503" s="1" t="s">
        <v>58</v>
      </c>
      <c r="L503" s="1" t="s">
        <v>85</v>
      </c>
      <c r="M503" s="2" t="s">
        <v>68</v>
      </c>
    </row>
    <row r="504" spans="1:14" ht="14.4" x14ac:dyDescent="0.3">
      <c r="A504" s="28" t="str">
        <f>HYPERLINK("https://www.google.com/search?q=Tanygnathus sumatranus&amp;tbm=isch")</f>
        <v>https://www.google.com/search?q=Tanygnathus sumatranus&amp;tbm=isch</v>
      </c>
      <c r="B504" s="29" t="str">
        <f>HYPERLINK("https://www.xeno-canto.org/species/Tanygnathus-sumatranus")</f>
        <v>https://www.xeno-canto.org/species/Tanygnathus-sumatranus</v>
      </c>
      <c r="C504" s="30" t="str">
        <f>HYPERLINK("https://ebird.org/species/azrpar1")</f>
        <v>https://ebird.org/species/azrpar1</v>
      </c>
      <c r="D504" s="31" t="str">
        <f>HYPERLINK("https://www.hbw.com/species/Blue-backed-Parrot-Tanygnathus-sumatranus")</f>
        <v>https://www.hbw.com/species/Blue-backed-Parrot-Tanygnathus-sumatranus</v>
      </c>
      <c r="E504" s="32" t="str">
        <f>HYPERLINK("https://www.iucnredlist.org/search?query=Tanygnathus sumatranus&amp;searchType=species")</f>
        <v>https://www.iucnredlist.org/search?query=Tanygnathus sumatranus&amp;searchType=species</v>
      </c>
      <c r="F504" s="2">
        <v>400</v>
      </c>
      <c r="G504" s="27" t="s">
        <v>1164</v>
      </c>
      <c r="H504" s="84" t="s">
        <v>1186</v>
      </c>
      <c r="I504" s="92" t="s">
        <v>1187</v>
      </c>
      <c r="J504" s="1" t="s">
        <v>15</v>
      </c>
      <c r="L504" s="1" t="s">
        <v>85</v>
      </c>
      <c r="M504" s="2" t="s">
        <v>1188</v>
      </c>
    </row>
    <row r="505" spans="1:14" ht="30.6" x14ac:dyDescent="0.3">
      <c r="A505" s="28" t="str">
        <f>HYPERLINK("https://www.google.com/search?q=Psittacula krameri&amp;tbm=isch")</f>
        <v>https://www.google.com/search?q=Psittacula krameri&amp;tbm=isch</v>
      </c>
      <c r="B505" s="29" t="str">
        <f>HYPERLINK("https://www.xeno-canto.org/species/Psittacula-krameri")</f>
        <v>https://www.xeno-canto.org/species/Psittacula-krameri</v>
      </c>
      <c r="C505" s="30" t="str">
        <f>HYPERLINK("https://ebird.org/species/rorpar")</f>
        <v>https://ebird.org/species/rorpar</v>
      </c>
      <c r="D505" s="31" t="str">
        <f>HYPERLINK("https://www.hbw.com/species/Rose-ringed-Parakeet-Psittacula-krameri")</f>
        <v>https://www.hbw.com/species/Rose-ringed-Parakeet-Psittacula-krameri</v>
      </c>
      <c r="E505" s="32" t="str">
        <f>HYPERLINK("https://www.iucnredlist.org/search?query=Psittacula krameri&amp;searchType=species")</f>
        <v>https://www.iucnredlist.org/search?query=Psittacula krameri&amp;searchType=species</v>
      </c>
      <c r="F505" s="2">
        <v>401</v>
      </c>
      <c r="G505" s="27" t="s">
        <v>1164</v>
      </c>
      <c r="H505" s="88" t="s">
        <v>1189</v>
      </c>
      <c r="I505" s="95" t="s">
        <v>1190</v>
      </c>
      <c r="J505" s="1" t="s">
        <v>107</v>
      </c>
      <c r="M505" s="2" t="s">
        <v>1191</v>
      </c>
      <c r="N505" s="2" t="s">
        <v>1192</v>
      </c>
    </row>
    <row r="506" spans="1:14" ht="14.4" x14ac:dyDescent="0.3">
      <c r="A506" s="28" t="str">
        <f>HYPERLINK("https://www.google.com/search?q=Trichoglossus johnstoniae&amp;tbm=isch")</f>
        <v>https://www.google.com/search?q=Trichoglossus johnstoniae&amp;tbm=isch</v>
      </c>
      <c r="B506" s="29" t="str">
        <f>HYPERLINK("https://www.xeno-canto.org/species/Trichoglossus-johnstoniae")</f>
        <v>https://www.xeno-canto.org/species/Trichoglossus-johnstoniae</v>
      </c>
      <c r="C506" s="30" t="str">
        <f>HYPERLINK("https://ebird.org/species/minlor1")</f>
        <v>https://ebird.org/species/minlor1</v>
      </c>
      <c r="D506" s="31" t="str">
        <f>HYPERLINK("https://www.hbw.com/species/Mindanao-Lorikeet-Trichoglossus-johnstoniae")</f>
        <v>https://www.hbw.com/species/Mindanao-Lorikeet-Trichoglossus-johnstoniae</v>
      </c>
      <c r="E506" s="32" t="str">
        <f>HYPERLINK("https://www.iucnredlist.org/search?query=Trichoglossus johnstoniae&amp;searchType=species")</f>
        <v>https://www.iucnredlist.org/search?query=Trichoglossus johnstoniae&amp;searchType=species</v>
      </c>
      <c r="F506" s="2">
        <v>402</v>
      </c>
      <c r="G506" s="27" t="s">
        <v>1164</v>
      </c>
      <c r="H506" s="86" t="s">
        <v>1193</v>
      </c>
      <c r="I506" s="94" t="s">
        <v>1194</v>
      </c>
      <c r="J506" s="1" t="s">
        <v>65</v>
      </c>
      <c r="K506" s="1" t="s">
        <v>58</v>
      </c>
      <c r="L506" s="1" t="s">
        <v>66</v>
      </c>
      <c r="M506" s="2" t="s">
        <v>68</v>
      </c>
    </row>
    <row r="507" spans="1:14" ht="14.4" x14ac:dyDescent="0.3">
      <c r="A507" s="28" t="str">
        <f>HYPERLINK("https://www.google.com/search?q=Bolbopsittacus lunulatus&amp;tbm=isch")</f>
        <v>https://www.google.com/search?q=Bolbopsittacus lunulatus&amp;tbm=isch</v>
      </c>
      <c r="B507" s="29" t="str">
        <f>HYPERLINK("https://www.xeno-canto.org/species/Bolbopsittacus-lunulatus")</f>
        <v>https://www.xeno-canto.org/species/Bolbopsittacus-lunulatus</v>
      </c>
      <c r="C507" s="30" t="str">
        <f>HYPERLINK("https://ebird.org/species/guaiab1")</f>
        <v>https://ebird.org/species/guaiab1</v>
      </c>
      <c r="D507" s="31" t="str">
        <f>HYPERLINK("https://www.hbw.com/species/Guaiabero-Bolbopsittacus-lunulatus")</f>
        <v>https://www.hbw.com/species/Guaiabero-Bolbopsittacus-lunulatus</v>
      </c>
      <c r="E507" s="32" t="str">
        <f>HYPERLINK("https://www.iucnredlist.org/search?query=Bolbopsittacus lunulatus&amp;searchType=species")</f>
        <v>https://www.iucnredlist.org/search?query=Bolbopsittacus lunulatus&amp;searchType=species</v>
      </c>
      <c r="F507" s="2">
        <v>403</v>
      </c>
      <c r="G507" s="27" t="s">
        <v>1164</v>
      </c>
      <c r="H507" s="86" t="s">
        <v>1195</v>
      </c>
      <c r="I507" s="94" t="s">
        <v>1196</v>
      </c>
      <c r="J507" s="1" t="s">
        <v>65</v>
      </c>
      <c r="M507" s="2" t="s">
        <v>68</v>
      </c>
    </row>
    <row r="508" spans="1:14" ht="14.4" x14ac:dyDescent="0.3">
      <c r="A508" s="28" t="str">
        <f>HYPERLINK("https://www.google.com/search?q=Loriculus philippensis&amp;tbm=isch")</f>
        <v>https://www.google.com/search?q=Loriculus philippensis&amp;tbm=isch</v>
      </c>
      <c r="B508" s="29" t="str">
        <f>HYPERLINK("https://www.xeno-canto.org/species/Loriculus-philippensis")</f>
        <v>https://www.xeno-canto.org/species/Loriculus-philippensis</v>
      </c>
      <c r="C508" s="30" t="str">
        <f>HYPERLINK("https://ebird.org/species/phihap1")</f>
        <v>https://ebird.org/species/phihap1</v>
      </c>
      <c r="D508" s="31" t="str">
        <f>HYPERLINK("https://www.hbw.com/species/Philippine-Hanging-parrot-Loriculus-philippensis")</f>
        <v>https://www.hbw.com/species/Philippine-Hanging-parrot-Loriculus-philippensis</v>
      </c>
      <c r="E508" s="32" t="str">
        <f>HYPERLINK("https://www.iucnredlist.org/search?query=Loriculus philippensis&amp;searchType=species")</f>
        <v>https://www.iucnredlist.org/search?query=Loriculus philippensis&amp;searchType=species</v>
      </c>
      <c r="F508" s="2">
        <v>404</v>
      </c>
      <c r="G508" s="27" t="s">
        <v>1164</v>
      </c>
      <c r="H508" s="86" t="s">
        <v>2666</v>
      </c>
      <c r="I508" s="94" t="s">
        <v>1198</v>
      </c>
      <c r="J508" s="1" t="s">
        <v>65</v>
      </c>
      <c r="L508" s="1" t="s">
        <v>85</v>
      </c>
      <c r="M508" s="2" t="s">
        <v>68</v>
      </c>
    </row>
    <row r="509" spans="1:14" ht="20.399999999999999" x14ac:dyDescent="0.3">
      <c r="A509" s="28" t="str">
        <f>HYPERLINK("https://www.google.com/search?q=Loriculus camiguinensis&amp;tbm=isch")</f>
        <v>https://www.google.com/search?q=Loriculus camiguinensis&amp;tbm=isch</v>
      </c>
      <c r="B509" s="29" t="str">
        <f>HYPERLINK("https://www.xeno-canto.org/species/Loriculus-camiguinensis")</f>
        <v>https://www.xeno-canto.org/species/Loriculus-camiguinensis</v>
      </c>
      <c r="C509" s="30" t="str">
        <f>HYPERLINK("https://ebird.org/species/camhap1")</f>
        <v>https://ebird.org/species/camhap1</v>
      </c>
      <c r="D509" s="31" t="str">
        <f>HYPERLINK("https://www.hbw.com/species/Camiguin-Hanging-Parrot-Loriculus-camiguinensis")</f>
        <v>https://www.hbw.com/species/Camiguin-Hanging-Parrot-Loriculus-camiguinensis</v>
      </c>
      <c r="E509" s="32" t="str">
        <f>HYPERLINK("https://www.iucnredlist.org/search?query=Loriculus camiguinensis&amp;searchType=species")</f>
        <v>https://www.iucnredlist.org/search?query=Loriculus camiguinensis&amp;searchType=species</v>
      </c>
      <c r="F509" s="2">
        <v>405</v>
      </c>
      <c r="G509" s="27" t="s">
        <v>1164</v>
      </c>
      <c r="H509" s="89" t="s">
        <v>1199</v>
      </c>
      <c r="I509" s="96" t="s">
        <v>1200</v>
      </c>
      <c r="J509" s="1" t="s">
        <v>65</v>
      </c>
      <c r="K509" s="1" t="s">
        <v>732</v>
      </c>
      <c r="M509" s="2" t="s">
        <v>1201</v>
      </c>
      <c r="N509" s="2" t="s">
        <v>11337</v>
      </c>
    </row>
    <row r="510" spans="1:14" x14ac:dyDescent="0.3">
      <c r="A510" s="33"/>
      <c r="B510" s="34"/>
      <c r="C510" s="35"/>
      <c r="D510" s="36"/>
      <c r="E510" s="37"/>
    </row>
    <row r="511" spans="1:14" ht="12" x14ac:dyDescent="0.3">
      <c r="A511" s="33"/>
      <c r="B511" s="34"/>
      <c r="C511" s="35"/>
      <c r="D511" s="36"/>
      <c r="E511" s="37"/>
      <c r="H511" s="82" t="s">
        <v>1202</v>
      </c>
      <c r="I511" s="91" t="s">
        <v>1203</v>
      </c>
    </row>
    <row r="512" spans="1:14" ht="14.4" x14ac:dyDescent="0.3">
      <c r="A512" s="28" t="str">
        <f>HYPERLINK("https://www.google.com/search?q=Sarcophanops steerii&amp;tbm=isch")</f>
        <v>https://www.google.com/search?q=Sarcophanops steerii&amp;tbm=isch</v>
      </c>
      <c r="B512" s="29" t="str">
        <f>HYPERLINK("https://www.xeno-canto.org/species/Sarcophanops-steerii")</f>
        <v>https://www.xeno-canto.org/species/Sarcophanops-steerii</v>
      </c>
      <c r="C512" s="30" t="str">
        <f>HYPERLINK("https://ebird.org/species/watbro1")</f>
        <v>https://ebird.org/species/watbro1</v>
      </c>
      <c r="D512" s="31" t="str">
        <f>HYPERLINK("https://www.hbw.com/species/Mindanao-Wattled-Broadbill-Sarcophanops-steerii")</f>
        <v>https://www.hbw.com/species/Mindanao-Wattled-Broadbill-Sarcophanops-steerii</v>
      </c>
      <c r="E512" s="32" t="str">
        <f>HYPERLINK("https://www.iucnredlist.org/search?query=Sarcophanops steerii&amp;searchType=species")</f>
        <v>https://www.iucnredlist.org/search?query=Sarcophanops steerii&amp;searchType=species</v>
      </c>
      <c r="F512" s="2">
        <v>406</v>
      </c>
      <c r="G512" s="27" t="s">
        <v>1203</v>
      </c>
      <c r="H512" s="86" t="s">
        <v>1204</v>
      </c>
      <c r="I512" s="94" t="s">
        <v>1205</v>
      </c>
      <c r="J512" s="1" t="s">
        <v>65</v>
      </c>
      <c r="K512" s="1" t="s">
        <v>66</v>
      </c>
      <c r="L512" s="1" t="s">
        <v>66</v>
      </c>
      <c r="M512" s="2" t="s">
        <v>68</v>
      </c>
    </row>
    <row r="513" spans="1:14" ht="14.4" x14ac:dyDescent="0.3">
      <c r="A513" s="28" t="str">
        <f>HYPERLINK("https://www.google.com/search?q=Sarcophanops samarensis&amp;tbm=isch")</f>
        <v>https://www.google.com/search?q=Sarcophanops samarensis&amp;tbm=isch</v>
      </c>
      <c r="B513" s="29" t="str">
        <f>HYPERLINK("https://www.xeno-canto.org/species/Sarcophanops-samarensis")</f>
        <v>https://www.xeno-canto.org/species/Sarcophanops-samarensis</v>
      </c>
      <c r="C513" s="30" t="str">
        <f>HYPERLINK("https://ebird.org/species/visbro1")</f>
        <v>https://ebird.org/species/visbro1</v>
      </c>
      <c r="D513" s="31" t="str">
        <f>HYPERLINK("https://www.hbw.com/species/Visayan-Wattled-Broadbill-Sarcophanops-samarensis")</f>
        <v>https://www.hbw.com/species/Visayan-Wattled-Broadbill-Sarcophanops-samarensis</v>
      </c>
      <c r="E513" s="32" t="str">
        <f>HYPERLINK("https://www.iucnredlist.org/search?query=Sarcophanops samarensis&amp;searchType=species")</f>
        <v>https://www.iucnredlist.org/search?query=Sarcophanops samarensis&amp;searchType=species</v>
      </c>
      <c r="F513" s="2">
        <v>407</v>
      </c>
      <c r="G513" s="27" t="s">
        <v>1203</v>
      </c>
      <c r="H513" s="86" t="s">
        <v>1206</v>
      </c>
      <c r="I513" s="94" t="s">
        <v>1207</v>
      </c>
      <c r="J513" s="1" t="s">
        <v>65</v>
      </c>
      <c r="K513" s="1" t="s">
        <v>66</v>
      </c>
      <c r="L513" s="1" t="s">
        <v>66</v>
      </c>
      <c r="M513" s="2" t="s">
        <v>68</v>
      </c>
    </row>
    <row r="514" spans="1:14" x14ac:dyDescent="0.3">
      <c r="A514" s="33"/>
      <c r="B514" s="34"/>
      <c r="C514" s="35"/>
      <c r="D514" s="36"/>
      <c r="E514" s="37"/>
    </row>
    <row r="515" spans="1:14" ht="12" x14ac:dyDescent="0.3">
      <c r="A515" s="33"/>
      <c r="B515" s="34"/>
      <c r="C515" s="35"/>
      <c r="D515" s="36"/>
      <c r="E515" s="37"/>
      <c r="H515" s="82" t="s">
        <v>1208</v>
      </c>
      <c r="I515" s="91" t="s">
        <v>1209</v>
      </c>
    </row>
    <row r="516" spans="1:14" ht="14.4" x14ac:dyDescent="0.3">
      <c r="A516" s="28" t="str">
        <f>HYPERLINK("https://www.google.com/search?q=Erythropitta kochi&amp;tbm=isch")</f>
        <v>https://www.google.com/search?q=Erythropitta kochi&amp;tbm=isch</v>
      </c>
      <c r="B516" s="29" t="str">
        <f>HYPERLINK("https://www.xeno-canto.org/species/Erythropitta-kochi")</f>
        <v>https://www.xeno-canto.org/species/Erythropitta-kochi</v>
      </c>
      <c r="C516" s="30" t="str">
        <f>HYPERLINK("https://ebird.org/species/whipit1")</f>
        <v>https://ebird.org/species/whipit1</v>
      </c>
      <c r="D516" s="31" t="str">
        <f>HYPERLINK("https://www.hbw.com/species/Whiskered-Pitta-Erythropitta-kochi")</f>
        <v>https://www.hbw.com/species/Whiskered-Pitta-Erythropitta-kochi</v>
      </c>
      <c r="E516" s="32" t="str">
        <f>HYPERLINK("https://www.iucnredlist.org/search?query=Erythropitta kochi&amp;searchType=species")</f>
        <v>https://www.iucnredlist.org/search?query=Erythropitta kochi&amp;searchType=species</v>
      </c>
      <c r="F516" s="2">
        <v>408</v>
      </c>
      <c r="G516" s="27" t="s">
        <v>1209</v>
      </c>
      <c r="H516" s="86" t="s">
        <v>1210</v>
      </c>
      <c r="I516" s="94" t="s">
        <v>1211</v>
      </c>
      <c r="J516" s="1" t="s">
        <v>65</v>
      </c>
      <c r="K516" s="1" t="s">
        <v>58</v>
      </c>
      <c r="L516" s="1" t="s">
        <v>66</v>
      </c>
      <c r="M516" s="2" t="s">
        <v>68</v>
      </c>
    </row>
    <row r="517" spans="1:14" ht="14.4" x14ac:dyDescent="0.3">
      <c r="A517" s="28" t="str">
        <f>HYPERLINK("https://www.google.com/search?q=Erythropitta erythrogaster&amp;tbm=isch")</f>
        <v>https://www.google.com/search?q=Erythropitta erythrogaster&amp;tbm=isch</v>
      </c>
      <c r="B517" s="29" t="str">
        <f>HYPERLINK("https://www.xeno-canto.org/species/Erythropitta-erythrogaster")</f>
        <v>https://www.xeno-canto.org/species/Erythropitta-erythrogaster</v>
      </c>
      <c r="C517" s="30" t="str">
        <f>HYPERLINK("https://ebird.org/species/rebpit1")</f>
        <v>https://ebird.org/species/rebpit1</v>
      </c>
      <c r="D517" s="31" t="str">
        <f>HYPERLINK("https://www.hbw.com/species/Philippine-Pitta-Erythropitta-erythrogaster")</f>
        <v>https://www.hbw.com/species/Philippine-Pitta-Erythropitta-erythrogaster</v>
      </c>
      <c r="E517" s="32" t="str">
        <f>HYPERLINK("https://www.iucnredlist.org/search?query=Erythropitta erythrogaster&amp;searchType=species")</f>
        <v>https://www.iucnredlist.org/search?query=Erythropitta erythrogaster&amp;searchType=species</v>
      </c>
      <c r="F517" s="2">
        <v>409</v>
      </c>
      <c r="G517" s="27" t="s">
        <v>1209</v>
      </c>
      <c r="H517" s="84" t="s">
        <v>1212</v>
      </c>
      <c r="I517" s="92" t="s">
        <v>1213</v>
      </c>
      <c r="J517" s="1" t="s">
        <v>732</v>
      </c>
      <c r="M517" s="2" t="s">
        <v>1214</v>
      </c>
    </row>
    <row r="518" spans="1:14" ht="14.4" x14ac:dyDescent="0.3">
      <c r="A518" s="28" t="str">
        <f>HYPERLINK("https://www.google.com/search?q=Pitta sordida&amp;tbm=isch")</f>
        <v>https://www.google.com/search?q=Pitta sordida&amp;tbm=isch</v>
      </c>
      <c r="B518" s="29" t="str">
        <f>HYPERLINK("https://www.xeno-canto.org/species/Pitta-sordida")</f>
        <v>https://www.xeno-canto.org/species/Pitta-sordida</v>
      </c>
      <c r="C518" s="30" t="str">
        <f>HYPERLINK("https://ebird.org/species/hoopit2")</f>
        <v>https://ebird.org/species/hoopit2</v>
      </c>
      <c r="D518" s="31" t="str">
        <f>HYPERLINK("https://www.hbw.com/species/Western-Hooded-Pitta-Pitta-sordida")</f>
        <v>https://www.hbw.com/species/Western-Hooded-Pitta-Pitta-sordida</v>
      </c>
      <c r="E518" s="32" t="str">
        <f>HYPERLINK("https://www.iucnredlist.org/search?query=Pitta sordida&amp;searchType=species")</f>
        <v>https://www.iucnredlist.org/search?query=Pitta sordida&amp;searchType=species</v>
      </c>
      <c r="F518" s="2">
        <v>410</v>
      </c>
      <c r="G518" s="27" t="s">
        <v>1209</v>
      </c>
      <c r="H518" s="84" t="s">
        <v>1215</v>
      </c>
      <c r="I518" s="92" t="s">
        <v>1216</v>
      </c>
      <c r="J518" s="1" t="s">
        <v>15</v>
      </c>
      <c r="M518" s="2" t="s">
        <v>1217</v>
      </c>
    </row>
    <row r="519" spans="1:14" ht="14.4" x14ac:dyDescent="0.3">
      <c r="A519" s="28" t="str">
        <f>HYPERLINK("https://www.google.com/search?q=Pitta steerii&amp;tbm=isch")</f>
        <v>https://www.google.com/search?q=Pitta steerii&amp;tbm=isch</v>
      </c>
      <c r="B519" s="29" t="str">
        <f>HYPERLINK("https://www.xeno-canto.org/species/Pitta-steerii")</f>
        <v>https://www.xeno-canto.org/species/Pitta-steerii</v>
      </c>
      <c r="C519" s="30" t="str">
        <f>HYPERLINK("https://ebird.org/species/azbpit1")</f>
        <v>https://ebird.org/species/azbpit1</v>
      </c>
      <c r="D519" s="31" t="str">
        <f>HYPERLINK("https://www.hbw.com/species/Azure-breasted-Pitta-Pitta-steerii")</f>
        <v>https://www.hbw.com/species/Azure-breasted-Pitta-Pitta-steerii</v>
      </c>
      <c r="E519" s="32" t="str">
        <f>HYPERLINK("https://www.iucnredlist.org/search?query=Pitta steerii&amp;searchType=species")</f>
        <v>https://www.iucnredlist.org/search?query=Pitta steerii&amp;searchType=species</v>
      </c>
      <c r="F519" s="2">
        <v>411</v>
      </c>
      <c r="G519" s="27" t="s">
        <v>1209</v>
      </c>
      <c r="H519" s="86" t="s">
        <v>1218</v>
      </c>
      <c r="I519" s="94" t="s">
        <v>1219</v>
      </c>
      <c r="J519" s="1" t="s">
        <v>65</v>
      </c>
      <c r="K519" s="1" t="s">
        <v>66</v>
      </c>
      <c r="L519" s="1" t="s">
        <v>66</v>
      </c>
      <c r="M519" s="2" t="s">
        <v>68</v>
      </c>
    </row>
    <row r="520" spans="1:14" ht="40.799999999999997" x14ac:dyDescent="0.3">
      <c r="A520" s="28" t="str">
        <f>HYPERLINK("https://www.google.com/search?q=Pitta nympha&amp;tbm=isch")</f>
        <v>https://www.google.com/search?q=Pitta nympha&amp;tbm=isch</v>
      </c>
      <c r="B520" s="29" t="str">
        <f>HYPERLINK("https://www.xeno-canto.org/species/Pitta-nympha")</f>
        <v>https://www.xeno-canto.org/species/Pitta-nympha</v>
      </c>
      <c r="C520" s="30" t="str">
        <f>HYPERLINK("https://ebird.org/species/faipit1")</f>
        <v>https://ebird.org/species/faipit1</v>
      </c>
      <c r="D520" s="31" t="str">
        <f>HYPERLINK("https://www.hbw.com/species/Fairy-Pitta-Pitta-nympha")</f>
        <v>https://www.hbw.com/species/Fairy-Pitta-Pitta-nympha</v>
      </c>
      <c r="E520" s="32" t="str">
        <f>HYPERLINK("https://www.iucnredlist.org/search?query=Pitta nympha&amp;searchType=species")</f>
        <v>https://www.iucnredlist.org/search?query=Pitta nympha&amp;searchType=species</v>
      </c>
      <c r="F520" s="2">
        <v>412</v>
      </c>
      <c r="G520" s="27" t="s">
        <v>1209</v>
      </c>
      <c r="H520" s="85" t="s">
        <v>1220</v>
      </c>
      <c r="I520" s="93" t="s">
        <v>1221</v>
      </c>
      <c r="J520" s="1" t="s">
        <v>19</v>
      </c>
      <c r="K520" s="1" t="s">
        <v>66</v>
      </c>
      <c r="L520" s="1" t="s">
        <v>66</v>
      </c>
      <c r="M520" s="2" t="s">
        <v>1222</v>
      </c>
      <c r="N520" s="2" t="s">
        <v>1223</v>
      </c>
    </row>
    <row r="521" spans="1:14" ht="14.4" x14ac:dyDescent="0.3">
      <c r="A521" s="28" t="str">
        <f>HYPERLINK("https://www.google.com/search?q=Pitta moluccensis&amp;tbm=isch")</f>
        <v>https://www.google.com/search?q=Pitta moluccensis&amp;tbm=isch</v>
      </c>
      <c r="B521" s="29" t="str">
        <f>HYPERLINK("https://www.xeno-canto.org/species/Pitta-moluccensis")</f>
        <v>https://www.xeno-canto.org/species/Pitta-moluccensis</v>
      </c>
      <c r="C521" s="30" t="str">
        <f>HYPERLINK("https://ebird.org/species/blwpit1")</f>
        <v>https://ebird.org/species/blwpit1</v>
      </c>
      <c r="D521" s="31" t="str">
        <f>HYPERLINK("https://www.hbw.com/species/Blue-winged-Pitta-Pitta-moluccensis")</f>
        <v>https://www.hbw.com/species/Blue-winged-Pitta-Pitta-moluccensis</v>
      </c>
      <c r="E521" s="32" t="str">
        <f>HYPERLINK("https://www.iucnredlist.org/search?query=Pitta moluccensis&amp;searchType=species")</f>
        <v>https://www.iucnredlist.org/search?query=Pitta moluccensis&amp;searchType=species</v>
      </c>
      <c r="F521" s="2">
        <v>413</v>
      </c>
      <c r="G521" s="27" t="s">
        <v>1209</v>
      </c>
      <c r="H521" s="83" t="s">
        <v>1224</v>
      </c>
      <c r="I521" s="92" t="s">
        <v>1225</v>
      </c>
      <c r="J521" s="1" t="s">
        <v>19</v>
      </c>
      <c r="M521" s="2" t="s">
        <v>108</v>
      </c>
    </row>
    <row r="522" spans="1:14" x14ac:dyDescent="0.3">
      <c r="A522" s="33"/>
      <c r="B522" s="34"/>
      <c r="C522" s="35"/>
      <c r="D522" s="36"/>
      <c r="E522" s="37"/>
    </row>
    <row r="523" spans="1:14" ht="12" x14ac:dyDescent="0.3">
      <c r="A523" s="33"/>
      <c r="B523" s="34"/>
      <c r="C523" s="35"/>
      <c r="D523" s="36"/>
      <c r="E523" s="37"/>
      <c r="H523" s="82" t="s">
        <v>1226</v>
      </c>
      <c r="I523" s="91" t="s">
        <v>1227</v>
      </c>
    </row>
    <row r="524" spans="1:14" ht="20.399999999999999" x14ac:dyDescent="0.3">
      <c r="A524" s="28" t="str">
        <f>HYPERLINK("https://www.google.com/search?q=Gerygone sulphurea&amp;tbm=isch")</f>
        <v>https://www.google.com/search?q=Gerygone sulphurea&amp;tbm=isch</v>
      </c>
      <c r="B524" s="29" t="str">
        <f>HYPERLINK("https://www.xeno-canto.org/species/Gerygone-sulphurea")</f>
        <v>https://www.xeno-canto.org/species/Gerygone-sulphurea</v>
      </c>
      <c r="C524" s="30" t="str">
        <f>HYPERLINK("https://ebird.org/species/gobger1")</f>
        <v>https://ebird.org/species/gobger1</v>
      </c>
      <c r="D524" s="31" t="str">
        <f>HYPERLINK("https://www.hbw.com/species/Golden-bellied-Gerygone-Gerygone-sulphurea")</f>
        <v>https://www.hbw.com/species/Golden-bellied-Gerygone-Gerygone-sulphurea</v>
      </c>
      <c r="E524" s="32" t="str">
        <f>HYPERLINK("https://www.iucnredlist.org/search?query=Gerygone sulphurea&amp;searchType=species")</f>
        <v>https://www.iucnredlist.org/search?query=Gerygone sulphurea&amp;searchType=species</v>
      </c>
      <c r="F524" s="2">
        <v>414</v>
      </c>
      <c r="G524" s="27" t="s">
        <v>1227</v>
      </c>
      <c r="H524" s="84" t="s">
        <v>1228</v>
      </c>
      <c r="I524" s="92" t="s">
        <v>1229</v>
      </c>
      <c r="J524" s="1" t="s">
        <v>15</v>
      </c>
      <c r="M524" s="2" t="s">
        <v>1230</v>
      </c>
    </row>
    <row r="525" spans="1:14" x14ac:dyDescent="0.3">
      <c r="A525" s="33"/>
      <c r="B525" s="34"/>
      <c r="C525" s="35"/>
      <c r="D525" s="36"/>
      <c r="E525" s="37"/>
    </row>
    <row r="526" spans="1:14" ht="12" x14ac:dyDescent="0.3">
      <c r="A526" s="33"/>
      <c r="B526" s="34"/>
      <c r="C526" s="35"/>
      <c r="D526" s="36"/>
      <c r="E526" s="37"/>
      <c r="H526" s="82" t="s">
        <v>1231</v>
      </c>
      <c r="I526" s="91" t="s">
        <v>1232</v>
      </c>
    </row>
    <row r="527" spans="1:14" ht="20.399999999999999" x14ac:dyDescent="0.3">
      <c r="A527" s="28" t="str">
        <f>HYPERLINK("https://www.google.com/search?q=Artamus leucorynchus&amp;tbm=isch")</f>
        <v>https://www.google.com/search?q=Artamus leucorynchus&amp;tbm=isch</v>
      </c>
      <c r="B527" s="29" t="str">
        <f>HYPERLINK("https://www.xeno-canto.org/species/Artamus-leucorynchus")</f>
        <v>https://www.xeno-canto.org/species/Artamus-leucorynchus</v>
      </c>
      <c r="C527" s="30" t="str">
        <f>HYPERLINK("https://ebird.org/species/whbwoo4")</f>
        <v>https://ebird.org/species/whbwoo4</v>
      </c>
      <c r="D527" s="31" t="str">
        <f>HYPERLINK("https://www.hbw.com/species/White-breasted-Woodswallow-Artamus-leucoryn")</f>
        <v>https://www.hbw.com/species/White-breasted-Woodswallow-Artamus-leucoryn</v>
      </c>
      <c r="E527" s="32" t="str">
        <f>HYPERLINK("https://www.iucnredlist.org/search?query=Artamus leucorynchus&amp;searchType=species")</f>
        <v>https://www.iucnredlist.org/search?query=Artamus leucorynchus&amp;searchType=species</v>
      </c>
      <c r="F527" s="2">
        <v>415</v>
      </c>
      <c r="G527" s="27" t="s">
        <v>1232</v>
      </c>
      <c r="H527" s="84" t="s">
        <v>1233</v>
      </c>
      <c r="I527" s="92" t="s">
        <v>1234</v>
      </c>
      <c r="J527" s="1" t="s">
        <v>15</v>
      </c>
      <c r="M527" s="2" t="s">
        <v>1235</v>
      </c>
    </row>
    <row r="528" spans="1:14" x14ac:dyDescent="0.3">
      <c r="A528" s="33"/>
      <c r="B528" s="34"/>
      <c r="C528" s="35"/>
      <c r="D528" s="36"/>
      <c r="E528" s="37"/>
    </row>
    <row r="529" spans="1:14" ht="12" x14ac:dyDescent="0.3">
      <c r="A529" s="33"/>
      <c r="B529" s="34"/>
      <c r="C529" s="35"/>
      <c r="D529" s="36"/>
      <c r="E529" s="37"/>
      <c r="H529" s="82" t="s">
        <v>1236</v>
      </c>
      <c r="I529" s="91" t="s">
        <v>1237</v>
      </c>
    </row>
    <row r="530" spans="1:14" ht="14.4" x14ac:dyDescent="0.3">
      <c r="A530" s="28" t="str">
        <f>HYPERLINK("https://www.google.com/search?q=Aegithina tiphia&amp;tbm=isch")</f>
        <v>https://www.google.com/search?q=Aegithina tiphia&amp;tbm=isch</v>
      </c>
      <c r="B530" s="29" t="str">
        <f>HYPERLINK("https://www.xeno-canto.org/species/Aegithina-tiphia")</f>
        <v>https://www.xeno-canto.org/species/Aegithina-tiphia</v>
      </c>
      <c r="C530" s="30" t="str">
        <f>HYPERLINK("https://ebird.org/species/comior1")</f>
        <v>https://ebird.org/species/comior1</v>
      </c>
      <c r="D530" s="31" t="str">
        <f>HYPERLINK("https://www.hbw.com/species/Common-Iora-Aegithina-tiphia")</f>
        <v>https://www.hbw.com/species/Common-Iora-Aegithina-tiphia</v>
      </c>
      <c r="E530" s="32" t="str">
        <f>HYPERLINK("https://www.iucnredlist.org/search?query=Aegithina tiphia&amp;searchType=species")</f>
        <v>https://www.iucnredlist.org/search?query=Aegithina tiphia&amp;searchType=species</v>
      </c>
      <c r="F530" s="2">
        <v>416</v>
      </c>
      <c r="G530" s="27" t="s">
        <v>1237</v>
      </c>
      <c r="H530" s="84" t="s">
        <v>1238</v>
      </c>
      <c r="I530" s="92" t="s">
        <v>1239</v>
      </c>
      <c r="J530" s="1" t="s">
        <v>15</v>
      </c>
      <c r="M530" s="2" t="s">
        <v>43</v>
      </c>
    </row>
    <row r="531" spans="1:14" x14ac:dyDescent="0.3">
      <c r="A531" s="33"/>
      <c r="B531" s="34"/>
      <c r="C531" s="35"/>
      <c r="D531" s="36"/>
      <c r="E531" s="37"/>
    </row>
    <row r="532" spans="1:14" ht="12" x14ac:dyDescent="0.3">
      <c r="A532" s="33"/>
      <c r="B532" s="34"/>
      <c r="C532" s="35"/>
      <c r="D532" s="36"/>
      <c r="E532" s="37"/>
      <c r="H532" s="82" t="s">
        <v>1240</v>
      </c>
      <c r="I532" s="91" t="s">
        <v>1241</v>
      </c>
    </row>
    <row r="533" spans="1:14" ht="14.4" x14ac:dyDescent="0.3">
      <c r="A533" s="28" t="str">
        <f>HYPERLINK("https://www.google.com/search?q=Pericrocotus igneus&amp;tbm=isch")</f>
        <v>https://www.google.com/search?q=Pericrocotus igneus&amp;tbm=isch</v>
      </c>
      <c r="B533" s="29" t="str">
        <f>HYPERLINK("https://www.xeno-canto.org/species/Pericrocotus-igneus")</f>
        <v>https://www.xeno-canto.org/species/Pericrocotus-igneus</v>
      </c>
      <c r="C533" s="30" t="str">
        <f>HYPERLINK("https://ebird.org/species/fiemin1")</f>
        <v>https://ebird.org/species/fiemin1</v>
      </c>
      <c r="D533" s="31" t="str">
        <f>HYPERLINK("https://www.hbw.com/species/Fiery-Minivet-Pericrocotus-igneus")</f>
        <v>https://www.hbw.com/species/Fiery-Minivet-Pericrocotus-igneus</v>
      </c>
      <c r="E533" s="32" t="str">
        <f>HYPERLINK("https://www.iucnredlist.org/search?query=Pericrocotus igneus&amp;searchType=species")</f>
        <v>https://www.iucnredlist.org/search?query=Pericrocotus igneus&amp;searchType=species</v>
      </c>
      <c r="F533" s="2">
        <v>417</v>
      </c>
      <c r="G533" s="27" t="s">
        <v>1241</v>
      </c>
      <c r="H533" s="84" t="s">
        <v>1242</v>
      </c>
      <c r="I533" s="92" t="s">
        <v>1243</v>
      </c>
      <c r="J533" s="1" t="s">
        <v>15</v>
      </c>
      <c r="K533" s="1" t="s">
        <v>58</v>
      </c>
      <c r="L533" s="1" t="s">
        <v>66</v>
      </c>
      <c r="M533" s="2" t="s">
        <v>1244</v>
      </c>
    </row>
    <row r="534" spans="1:14" ht="14.4" x14ac:dyDescent="0.3">
      <c r="A534" s="28" t="str">
        <f>HYPERLINK("https://www.google.com/search?q=Pericrocotus speciosus&amp;tbm=isch")</f>
        <v>https://www.google.com/search?q=Pericrocotus speciosus&amp;tbm=isch</v>
      </c>
      <c r="B534" s="29" t="str">
        <f>HYPERLINK("https://www.xeno-canto.org/species/Pericrocotus-speciosus")</f>
        <v>https://www.xeno-canto.org/species/Pericrocotus-speciosus</v>
      </c>
      <c r="C534" s="30" t="str">
        <f>HYPERLINK("https://ebird.org/species/scamin1")</f>
        <v>https://ebird.org/species/scamin1</v>
      </c>
      <c r="D534" s="31" t="str">
        <f>HYPERLINK("https://www.hbw.com/species/Scarlet-Minivet-Pericrocotus-flammeus")</f>
        <v>https://www.hbw.com/species/Scarlet-Minivet-Pericrocotus-flammeus</v>
      </c>
      <c r="E534" s="32" t="str">
        <f>HYPERLINK("https://www.iucnredlist.org/search?query=Pericrocotus speciosus&amp;searchType=species")</f>
        <v>https://www.iucnredlist.org/search?query=Pericrocotus speciosus&amp;searchType=species</v>
      </c>
      <c r="F534" s="2">
        <v>418</v>
      </c>
      <c r="G534" s="27" t="s">
        <v>1241</v>
      </c>
      <c r="H534" s="84" t="s">
        <v>1245</v>
      </c>
      <c r="I534" s="92" t="s">
        <v>1246</v>
      </c>
      <c r="J534" s="1" t="s">
        <v>15</v>
      </c>
      <c r="M534" s="2" t="s">
        <v>1247</v>
      </c>
    </row>
    <row r="535" spans="1:14" ht="20.399999999999999" x14ac:dyDescent="0.3">
      <c r="A535" s="28" t="str">
        <f>HYPERLINK("https://www.google.com/search?q=Pericrocotus divaricatus&amp;tbm=isch")</f>
        <v>https://www.google.com/search?q=Pericrocotus divaricatus&amp;tbm=isch</v>
      </c>
      <c r="B535" s="29" t="str">
        <f>HYPERLINK("https://www.xeno-canto.org/species/Pericrocotus-divaricatus")</f>
        <v>https://www.xeno-canto.org/species/Pericrocotus-divaricatus</v>
      </c>
      <c r="C535" s="30" t="str">
        <f>HYPERLINK("https://ebird.org/species/ashmin1")</f>
        <v>https://ebird.org/species/ashmin1</v>
      </c>
      <c r="D535" s="31" t="str">
        <f>HYPERLINK("https://www.hbw.com/species/Ashy-Minivet-Pericrocotus-divaricatus")</f>
        <v>https://www.hbw.com/species/Ashy-Minivet-Pericrocotus-divaricatus</v>
      </c>
      <c r="E535" s="32" t="str">
        <f>HYPERLINK("https://www.iucnredlist.org/search?query=Pericrocotus divaricatus&amp;searchType=species")</f>
        <v>https://www.iucnredlist.org/search?query=Pericrocotus divaricatus&amp;searchType=species</v>
      </c>
      <c r="F535" s="2">
        <v>419</v>
      </c>
      <c r="G535" s="27" t="s">
        <v>1241</v>
      </c>
      <c r="H535" s="84" t="s">
        <v>1248</v>
      </c>
      <c r="I535" s="92" t="s">
        <v>1249</v>
      </c>
      <c r="J535" s="1" t="s">
        <v>50</v>
      </c>
      <c r="M535" s="2" t="s">
        <v>1250</v>
      </c>
    </row>
    <row r="536" spans="1:14" ht="14.4" x14ac:dyDescent="0.3">
      <c r="A536" s="28" t="str">
        <f>HYPERLINK("https://www.google.com/search?q=Coracina striata&amp;tbm=isch")</f>
        <v>https://www.google.com/search?q=Coracina striata&amp;tbm=isch</v>
      </c>
      <c r="B536" s="29" t="str">
        <f>HYPERLINK("https://www.xeno-canto.org/species/Coracina-striata")</f>
        <v>https://www.xeno-canto.org/species/Coracina-striata</v>
      </c>
      <c r="C536" s="30" t="str">
        <f>HYPERLINK("https://ebird.org/species/babcus1")</f>
        <v>https://ebird.org/species/babcus1</v>
      </c>
      <c r="D536" s="31" t="str">
        <f>HYPERLINK("https://www.hbw.com/species/Bar-bellied-Cuckooshrike-Coracina-striata")</f>
        <v>https://www.hbw.com/species/Bar-bellied-Cuckooshrike-Coracina-striata</v>
      </c>
      <c r="E536" s="32" t="str">
        <f>HYPERLINK("https://www.iucnredlist.org/search?query=Coracina striata&amp;searchType=species")</f>
        <v>https://www.iucnredlist.org/search?query=Coracina striata&amp;searchType=species</v>
      </c>
      <c r="F536" s="2">
        <v>420</v>
      </c>
      <c r="G536" s="27" t="s">
        <v>1241</v>
      </c>
      <c r="H536" s="84" t="s">
        <v>1251</v>
      </c>
      <c r="I536" s="92" t="s">
        <v>1252</v>
      </c>
      <c r="J536" s="1" t="s">
        <v>15</v>
      </c>
      <c r="M536" s="2" t="s">
        <v>1253</v>
      </c>
    </row>
    <row r="537" spans="1:14" ht="14.4" x14ac:dyDescent="0.3">
      <c r="A537" s="28" t="str">
        <f>HYPERLINK("https://www.google.com/search?q=Malindangia mcgregori&amp;tbm=isch")</f>
        <v>https://www.google.com/search?q=Malindangia mcgregori&amp;tbm=isch</v>
      </c>
      <c r="B537" s="29" t="str">
        <f>HYPERLINK("https://www.xeno-canto.org/species/Malindangia-mcgregori")</f>
        <v>https://www.xeno-canto.org/species/Malindangia-mcgregori</v>
      </c>
      <c r="C537" s="30" t="str">
        <f>HYPERLINK("https://ebird.org/species/mcgcus1")</f>
        <v>https://ebird.org/species/mcgcus1</v>
      </c>
      <c r="D537" s="31" t="str">
        <f>HYPERLINK("https://www.hbw.com/species/McGregor's-Cuckooshrike-Malindangia-mcgregori")</f>
        <v>https://www.hbw.com/species/McGregor's-Cuckooshrike-Malindangia-mcgregori</v>
      </c>
      <c r="E537" s="32" t="str">
        <f>HYPERLINK("https://www.iucnredlist.org/search?query=Malindangia mcgregori&amp;searchType=species")</f>
        <v>https://www.iucnredlist.org/search?query=Malindangia mcgregori&amp;searchType=species</v>
      </c>
      <c r="F537" s="2">
        <v>421</v>
      </c>
      <c r="G537" s="27" t="s">
        <v>1241</v>
      </c>
      <c r="H537" s="86" t="s">
        <v>1254</v>
      </c>
      <c r="I537" s="94" t="s">
        <v>1255</v>
      </c>
      <c r="J537" s="1" t="s">
        <v>65</v>
      </c>
      <c r="L537" s="1" t="s">
        <v>66</v>
      </c>
      <c r="M537" s="2" t="s">
        <v>68</v>
      </c>
    </row>
    <row r="538" spans="1:14" ht="14.4" x14ac:dyDescent="0.3">
      <c r="A538" s="28" t="str">
        <f>HYPERLINK("https://www.google.com/search?q=Edolisoma ostentum&amp;tbm=isch")</f>
        <v>https://www.google.com/search?q=Edolisoma ostentum&amp;tbm=isch</v>
      </c>
      <c r="B538" s="29" t="str">
        <f>HYPERLINK("https://www.xeno-canto.org/species/Edolisoma-ostentum")</f>
        <v>https://www.xeno-canto.org/species/Edolisoma-ostentum</v>
      </c>
      <c r="C538" s="30" t="str">
        <f>HYPERLINK("https://ebird.org/species/whwcus1")</f>
        <v>https://ebird.org/species/whwcus1</v>
      </c>
      <c r="D538" s="31" t="str">
        <f>HYPERLINK("https://www.hbw.com/species/White-winged-Cicadabird-Edolisoma-ostentum")</f>
        <v>https://www.hbw.com/species/White-winged-Cicadabird-Edolisoma-ostentum</v>
      </c>
      <c r="E538" s="32" t="str">
        <f>HYPERLINK("https://www.iucnredlist.org/search?query=Edolisoma ostentum&amp;searchType=species")</f>
        <v>https://www.iucnredlist.org/search?query=Edolisoma ostentum&amp;searchType=species</v>
      </c>
      <c r="F538" s="2">
        <v>422</v>
      </c>
      <c r="G538" s="27" t="s">
        <v>1241</v>
      </c>
      <c r="H538" s="86" t="s">
        <v>1256</v>
      </c>
      <c r="I538" s="94" t="s">
        <v>1257</v>
      </c>
      <c r="J538" s="1" t="s">
        <v>65</v>
      </c>
      <c r="K538" s="1" t="s">
        <v>66</v>
      </c>
      <c r="L538" s="1" t="s">
        <v>66</v>
      </c>
      <c r="M538" s="2" t="s">
        <v>68</v>
      </c>
    </row>
    <row r="539" spans="1:14" ht="14.4" x14ac:dyDescent="0.3">
      <c r="A539" s="28" t="str">
        <f>HYPERLINK("https://www.google.com/search?q=Edolisoma coerulescens&amp;tbm=isch")</f>
        <v>https://www.google.com/search?q=Edolisoma coerulescens&amp;tbm=isch</v>
      </c>
      <c r="B539" s="29" t="str">
        <f>HYPERLINK("https://www.xeno-canto.org/species/Edolisoma-coerulescens")</f>
        <v>https://www.xeno-canto.org/species/Edolisoma-coerulescens</v>
      </c>
      <c r="C539" s="30" t="str">
        <f>HYPERLINK("https://ebird.org/species/blacus1")</f>
        <v>https://ebird.org/species/blacus1</v>
      </c>
      <c r="D539" s="31" t="str">
        <f>HYPERLINK("https://www.hbw.com/species/Blackish-Cicadabird-Edolisoma-coerulescens")</f>
        <v>https://www.hbw.com/species/Blackish-Cicadabird-Edolisoma-coerulescens</v>
      </c>
      <c r="E539" s="32" t="str">
        <f>HYPERLINK("https://www.iucnredlist.org/search?query=Edolisoma coerulescens&amp;searchType=species")</f>
        <v>https://www.iucnredlist.org/search?query=Edolisoma coerulescens&amp;searchType=species</v>
      </c>
      <c r="F539" s="2">
        <v>423</v>
      </c>
      <c r="G539" s="27" t="s">
        <v>1241</v>
      </c>
      <c r="H539" s="86" t="s">
        <v>1258</v>
      </c>
      <c r="I539" s="94" t="s">
        <v>1259</v>
      </c>
      <c r="J539" s="1" t="s">
        <v>65</v>
      </c>
      <c r="M539" s="2" t="s">
        <v>68</v>
      </c>
    </row>
    <row r="540" spans="1:14" ht="14.4" x14ac:dyDescent="0.3">
      <c r="A540" s="28" t="str">
        <f>HYPERLINK("https://www.google.com/search?q=Edolisoma mindanense&amp;tbm=isch")</f>
        <v>https://www.google.com/search?q=Edolisoma mindanense&amp;tbm=isch</v>
      </c>
      <c r="B540" s="29" t="str">
        <f>HYPERLINK("https://www.xeno-canto.org/species/Edolisoma-mindanense")</f>
        <v>https://www.xeno-canto.org/species/Edolisoma-mindanense</v>
      </c>
      <c r="C540" s="30" t="str">
        <f>HYPERLINK("https://ebird.org/species/bkbcus1")</f>
        <v>https://ebird.org/species/bkbcus1</v>
      </c>
      <c r="D540" s="31" t="str">
        <f>HYPERLINK("https://www.hbw.com/species/Black-bibbed-Cicadabird-Edolisoma-mindanense")</f>
        <v>https://www.hbw.com/species/Black-bibbed-Cicadabird-Edolisoma-mindanense</v>
      </c>
      <c r="E540" s="32" t="str">
        <f>HYPERLINK("https://www.iucnredlist.org/search?query=Edolisoma mindanense&amp;searchType=species")</f>
        <v>https://www.iucnredlist.org/search?query=Edolisoma mindanense&amp;searchType=species</v>
      </c>
      <c r="F540" s="2">
        <v>424</v>
      </c>
      <c r="G540" s="27" t="s">
        <v>1241</v>
      </c>
      <c r="H540" s="86" t="s">
        <v>2699</v>
      </c>
      <c r="I540" s="94" t="s">
        <v>1261</v>
      </c>
      <c r="J540" s="1" t="s">
        <v>65</v>
      </c>
      <c r="K540" s="1" t="s">
        <v>66</v>
      </c>
      <c r="L540" s="1" t="s">
        <v>66</v>
      </c>
      <c r="M540" s="2" t="s">
        <v>68</v>
      </c>
    </row>
    <row r="541" spans="1:14" ht="14.4" x14ac:dyDescent="0.3">
      <c r="A541" s="28" t="str">
        <f>HYPERLINK("https://www.google.com/search?q=Lalage melanoleuca&amp;tbm=isch")</f>
        <v>https://www.google.com/search?q=Lalage melanoleuca&amp;tbm=isch</v>
      </c>
      <c r="B541" s="29" t="str">
        <f>HYPERLINK("https://www.xeno-canto.org/species/Lalage-melanoleuca")</f>
        <v>https://www.xeno-canto.org/species/Lalage-melanoleuca</v>
      </c>
      <c r="C541" s="30" t="str">
        <f>HYPERLINK("https://ebird.org/species/bawtri1")</f>
        <v>https://ebird.org/species/bawtri1</v>
      </c>
      <c r="D541" s="31" t="str">
        <f>HYPERLINK("https://www.hbw.com/species/Northern-Black-and-white-Triller-Lalage-melanoleuca")</f>
        <v>https://www.hbw.com/species/Northern-Black-and-white-Triller-Lalage-melanoleuca</v>
      </c>
      <c r="E541" s="32" t="str">
        <f>HYPERLINK("https://www.iucnredlist.org/search?query=Lalage melanoleuca&amp;searchType=species")</f>
        <v>https://www.iucnredlist.org/search?query=Lalage melanoleuca&amp;searchType=species</v>
      </c>
      <c r="F541" s="2">
        <v>425</v>
      </c>
      <c r="G541" s="27" t="s">
        <v>1241</v>
      </c>
      <c r="H541" s="86" t="s">
        <v>1262</v>
      </c>
      <c r="I541" s="94" t="s">
        <v>1263</v>
      </c>
      <c r="J541" s="1" t="s">
        <v>65</v>
      </c>
      <c r="M541" s="2" t="s">
        <v>68</v>
      </c>
    </row>
    <row r="542" spans="1:14" ht="14.4" x14ac:dyDescent="0.3">
      <c r="A542" s="28" t="str">
        <f>HYPERLINK("https://www.google.com/search?q=Lalage nigra&amp;tbm=isch")</f>
        <v>https://www.google.com/search?q=Lalage nigra&amp;tbm=isch</v>
      </c>
      <c r="B542" s="29" t="str">
        <f>HYPERLINK("https://www.xeno-canto.org/species/Lalage-nigra")</f>
        <v>https://www.xeno-canto.org/species/Lalage-nigra</v>
      </c>
      <c r="C542" s="30" t="str">
        <f>HYPERLINK("https://ebird.org/species/pietri1")</f>
        <v>https://ebird.org/species/pietri1</v>
      </c>
      <c r="D542" s="31" t="str">
        <f>HYPERLINK("https://www.hbw.com/species/Pied-Triller-Lalage-nigra")</f>
        <v>https://www.hbw.com/species/Pied-Triller-Lalage-nigra</v>
      </c>
      <c r="E542" s="32" t="str">
        <f>HYPERLINK("https://www.iucnredlist.org/search?query=Lalage nigra&amp;searchType=species")</f>
        <v>https://www.iucnredlist.org/search?query=Lalage nigra&amp;searchType=species</v>
      </c>
      <c r="F542" s="2">
        <v>426</v>
      </c>
      <c r="G542" s="27" t="s">
        <v>1241</v>
      </c>
      <c r="H542" s="84" t="s">
        <v>1264</v>
      </c>
      <c r="I542" s="92" t="s">
        <v>1265</v>
      </c>
      <c r="J542" s="1" t="s">
        <v>15</v>
      </c>
      <c r="M542" s="2" t="s">
        <v>1266</v>
      </c>
    </row>
    <row r="543" spans="1:14" ht="30.6" x14ac:dyDescent="0.3">
      <c r="A543" s="28" t="str">
        <f>HYPERLINK("https://www.google.com/search?q=Lalage melaschistos&amp;tbm=isch")</f>
        <v>https://www.google.com/search?q=Lalage melaschistos&amp;tbm=isch</v>
      </c>
      <c r="B543" s="29" t="str">
        <f>HYPERLINK("https://www.xeno-canto.org/species/Lalage-melaschistos")</f>
        <v>https://www.xeno-canto.org/species/Lalage-melaschistos</v>
      </c>
      <c r="C543" s="30" t="str">
        <f>HYPERLINK("https://ebird.org/species/bkwcus1")</f>
        <v>https://ebird.org/species/bkwcus1</v>
      </c>
      <c r="D543" s="31" t="str">
        <f>HYPERLINK("https://www.hbw.com/species/Black-winged-Cuckooshrike-Lalage-melaschistos")</f>
        <v>https://www.hbw.com/species/Black-winged-Cuckooshrike-Lalage-melaschistos</v>
      </c>
      <c r="E543" s="32" t="str">
        <f>HYPERLINK("https://www.iucnredlist.org/search?query=Lalage melaschistos&amp;searchType=species")</f>
        <v>https://www.iucnredlist.org/search?query=Lalage melaschistos&amp;searchType=species</v>
      </c>
      <c r="F543" s="2">
        <v>427</v>
      </c>
      <c r="G543" s="27" t="s">
        <v>1241</v>
      </c>
      <c r="H543" s="85" t="s">
        <v>1267</v>
      </c>
      <c r="I543" s="93" t="s">
        <v>1268</v>
      </c>
      <c r="J543" s="1" t="s">
        <v>19</v>
      </c>
      <c r="M543" s="2" t="s">
        <v>1269</v>
      </c>
      <c r="N543" s="2" t="s">
        <v>1270</v>
      </c>
    </row>
    <row r="544" spans="1:14" x14ac:dyDescent="0.3">
      <c r="A544" s="33"/>
      <c r="B544" s="34"/>
      <c r="C544" s="35"/>
      <c r="D544" s="36"/>
      <c r="E544" s="37"/>
    </row>
    <row r="545" spans="1:14" ht="12" x14ac:dyDescent="0.3">
      <c r="A545" s="33"/>
      <c r="B545" s="34"/>
      <c r="C545" s="35"/>
      <c r="D545" s="36"/>
      <c r="E545" s="37"/>
      <c r="H545" s="82" t="s">
        <v>1271</v>
      </c>
      <c r="I545" s="91" t="s">
        <v>1272</v>
      </c>
    </row>
    <row r="546" spans="1:14" ht="14.4" x14ac:dyDescent="0.3">
      <c r="A546" s="28" t="str">
        <f>HYPERLINK("https://www.google.com/search?q=Pachycephala cinerea&amp;tbm=isch")</f>
        <v>https://www.google.com/search?q=Pachycephala cinerea&amp;tbm=isch</v>
      </c>
      <c r="B546" s="29" t="str">
        <f>HYPERLINK("https://www.xeno-canto.org/species/Pachycephala-cinerea")</f>
        <v>https://www.xeno-canto.org/species/Pachycephala-cinerea</v>
      </c>
      <c r="C546" s="30" t="str">
        <f>HYPERLINK("https://ebird.org/species/manwhi1")</f>
        <v>https://ebird.org/species/manwhi1</v>
      </c>
      <c r="D546" s="31" t="str">
        <f>HYPERLINK("https://www.hbw.com/species/Mangrove-Whistler-Pachycephala-cinerea")</f>
        <v>https://www.hbw.com/species/Mangrove-Whistler-Pachycephala-cinerea</v>
      </c>
      <c r="E546" s="32" t="str">
        <f>HYPERLINK("https://www.iucnredlist.org/search?query=Pachycephala cinerea&amp;searchType=species")</f>
        <v>https://www.iucnredlist.org/search?query=Pachycephala cinerea&amp;searchType=species</v>
      </c>
      <c r="F546" s="2">
        <v>428</v>
      </c>
      <c r="G546" s="27" t="s">
        <v>1272</v>
      </c>
      <c r="H546" s="84" t="s">
        <v>1273</v>
      </c>
      <c r="I546" s="92" t="s">
        <v>1274</v>
      </c>
      <c r="J546" s="1" t="s">
        <v>15</v>
      </c>
      <c r="M546" s="2" t="s">
        <v>43</v>
      </c>
      <c r="N546" s="2" t="s">
        <v>123</v>
      </c>
    </row>
    <row r="547" spans="1:14" ht="14.4" x14ac:dyDescent="0.3">
      <c r="A547" s="28" t="str">
        <f>HYPERLINK("https://www.google.com/search?q=Pachycephala albiventris&amp;tbm=isch")</f>
        <v>https://www.google.com/search?q=Pachycephala albiventris&amp;tbm=isch</v>
      </c>
      <c r="B547" s="29" t="str">
        <f>HYPERLINK("https://www.xeno-canto.org/species/Pachycephala-albiventris")</f>
        <v>https://www.xeno-canto.org/species/Pachycephala-albiventris</v>
      </c>
      <c r="C547" s="30" t="str">
        <f>HYPERLINK("https://ebird.org/species/grbwhi1")</f>
        <v>https://ebird.org/species/grbwhi1</v>
      </c>
      <c r="D547" s="31" t="str">
        <f>HYPERLINK("https://www.hbw.com/species/Green-backed-Whistler-Pachycephala-albiventris")</f>
        <v>https://www.hbw.com/species/Green-backed-Whistler-Pachycephala-albiventris</v>
      </c>
      <c r="E547" s="32" t="str">
        <f>HYPERLINK("https://www.iucnredlist.org/search?query=Pachycephala albiventris&amp;searchType=species")</f>
        <v>https://www.iucnredlist.org/search?query=Pachycephala albiventris&amp;searchType=species</v>
      </c>
      <c r="F547" s="2">
        <v>429</v>
      </c>
      <c r="G547" s="27" t="s">
        <v>1272</v>
      </c>
      <c r="H547" s="86" t="s">
        <v>1275</v>
      </c>
      <c r="I547" s="94" t="s">
        <v>1276</v>
      </c>
      <c r="J547" s="1" t="s">
        <v>65</v>
      </c>
      <c r="M547" s="2" t="s">
        <v>68</v>
      </c>
      <c r="N547" s="2" t="s">
        <v>123</v>
      </c>
    </row>
    <row r="548" spans="1:14" ht="14.4" x14ac:dyDescent="0.3">
      <c r="A548" s="28" t="str">
        <f>HYPERLINK("https://www.google.com/search?q=Pachycephala homeyeri&amp;tbm=isch")</f>
        <v>https://www.google.com/search?q=Pachycephala homeyeri&amp;tbm=isch</v>
      </c>
      <c r="B548" s="29" t="str">
        <f>HYPERLINK("https://www.xeno-canto.org/species/Pachycephala-homeyeri")</f>
        <v>https://www.xeno-canto.org/species/Pachycephala-homeyeri</v>
      </c>
      <c r="C548" s="30" t="str">
        <f>HYPERLINK("https://ebird.org/species/whvwhi1")</f>
        <v>https://ebird.org/species/whvwhi1</v>
      </c>
      <c r="D548" s="31" t="str">
        <f>HYPERLINK("https://www.hbw.com/species/White-vented-Whistler-Pachycephala-homeyeri")</f>
        <v>https://www.hbw.com/species/White-vented-Whistler-Pachycephala-homeyeri</v>
      </c>
      <c r="E548" s="32" t="str">
        <f>HYPERLINK("https://www.iucnredlist.org/search?query=Pachycephala homeyeri&amp;searchType=species")</f>
        <v>https://www.iucnredlist.org/search?query=Pachycephala homeyeri&amp;searchType=species</v>
      </c>
      <c r="F548" s="2">
        <v>430</v>
      </c>
      <c r="G548" s="27" t="s">
        <v>1272</v>
      </c>
      <c r="H548" s="84" t="s">
        <v>1277</v>
      </c>
      <c r="I548" s="92" t="s">
        <v>1278</v>
      </c>
      <c r="J548" s="1" t="s">
        <v>732</v>
      </c>
      <c r="M548" s="2" t="s">
        <v>1279</v>
      </c>
      <c r="N548" s="2" t="s">
        <v>123</v>
      </c>
    </row>
    <row r="549" spans="1:14" ht="14.4" x14ac:dyDescent="0.3">
      <c r="A549" s="28" t="str">
        <f>HYPERLINK("https://www.google.com/search?q=Pachycephala philippinensis&amp;tbm=isch")</f>
        <v>https://www.google.com/search?q=Pachycephala philippinensis&amp;tbm=isch</v>
      </c>
      <c r="B549" s="29" t="str">
        <f>HYPERLINK("https://www.xeno-canto.org/species/Pachycephala-philippinensis")</f>
        <v>https://www.xeno-canto.org/species/Pachycephala-philippinensis</v>
      </c>
      <c r="C549" s="30" t="str">
        <f>HYPERLINK("https://ebird.org/species/yebwhi1")</f>
        <v>https://ebird.org/species/yebwhi1</v>
      </c>
      <c r="D549" s="31" t="str">
        <f>HYPERLINK("https://www.hbw.com/species/Yellow-bellied-Whistler-Pachycephala-philippinensis")</f>
        <v>https://www.hbw.com/species/Yellow-bellied-Whistler-Pachycephala-philippinensis</v>
      </c>
      <c r="E549" s="32" t="str">
        <f>HYPERLINK("https://www.iucnredlist.org/search?query=Pachycephala philippinensis&amp;searchType=species")</f>
        <v>https://www.iucnredlist.org/search?query=Pachycephala philippinensis&amp;searchType=species</v>
      </c>
      <c r="F549" s="2">
        <v>431</v>
      </c>
      <c r="G549" s="27" t="s">
        <v>1272</v>
      </c>
      <c r="H549" s="86" t="s">
        <v>1280</v>
      </c>
      <c r="I549" s="94" t="s">
        <v>1281</v>
      </c>
      <c r="J549" s="1" t="s">
        <v>65</v>
      </c>
      <c r="M549" s="2" t="s">
        <v>68</v>
      </c>
      <c r="N549" s="2" t="s">
        <v>123</v>
      </c>
    </row>
    <row r="550" spans="1:14" x14ac:dyDescent="0.3">
      <c r="A550" s="33"/>
      <c r="B550" s="34"/>
      <c r="C550" s="35"/>
      <c r="D550" s="36"/>
      <c r="E550" s="37"/>
    </row>
    <row r="551" spans="1:14" ht="12" x14ac:dyDescent="0.3">
      <c r="A551" s="33"/>
      <c r="B551" s="34"/>
      <c r="C551" s="35"/>
      <c r="D551" s="36"/>
      <c r="E551" s="37"/>
      <c r="H551" s="82" t="s">
        <v>1282</v>
      </c>
      <c r="I551" s="91" t="s">
        <v>1283</v>
      </c>
    </row>
    <row r="552" spans="1:14" ht="20.399999999999999" x14ac:dyDescent="0.3">
      <c r="A552" s="28" t="str">
        <f>HYPERLINK("https://www.google.com/search?q=Lanius tigrinus&amp;tbm=isch")</f>
        <v>https://www.google.com/search?q=Lanius tigrinus&amp;tbm=isch</v>
      </c>
      <c r="B552" s="29" t="str">
        <f>HYPERLINK("https://www.xeno-canto.org/species/Lanius-tigrinus")</f>
        <v>https://www.xeno-canto.org/species/Lanius-tigrinus</v>
      </c>
      <c r="C552" s="30" t="str">
        <f>HYPERLINK("https://ebird.org/species/tigshr1")</f>
        <v>https://ebird.org/species/tigshr1</v>
      </c>
      <c r="D552" s="31" t="str">
        <f>HYPERLINK("https://www.hbw.com/species/Tiger-Shrike-Lanius-tigrinus")</f>
        <v>https://www.hbw.com/species/Tiger-Shrike-Lanius-tigrinus</v>
      </c>
      <c r="E552" s="32" t="str">
        <f>HYPERLINK("https://www.iucnredlist.org/search?query=Lanius tigrinus&amp;searchType=species")</f>
        <v>https://www.iucnredlist.org/search?query=Lanius tigrinus&amp;searchType=species</v>
      </c>
      <c r="F552" s="2">
        <v>432</v>
      </c>
      <c r="G552" s="27" t="s">
        <v>1283</v>
      </c>
      <c r="H552" s="83" t="s">
        <v>1284</v>
      </c>
      <c r="I552" s="92" t="s">
        <v>1285</v>
      </c>
      <c r="J552" s="1" t="s">
        <v>19</v>
      </c>
      <c r="M552" s="2" t="s">
        <v>1286</v>
      </c>
      <c r="N552" s="2" t="s">
        <v>123</v>
      </c>
    </row>
    <row r="553" spans="1:14" ht="14.4" x14ac:dyDescent="0.3">
      <c r="A553" s="28" t="str">
        <f>HYPERLINK("https://www.google.com/search?q=Lanius cristatus&amp;tbm=isch")</f>
        <v>https://www.google.com/search?q=Lanius cristatus&amp;tbm=isch</v>
      </c>
      <c r="B553" s="29" t="str">
        <f>HYPERLINK("https://www.xeno-canto.org/species/Lanius-cristatus")</f>
        <v>https://www.xeno-canto.org/species/Lanius-cristatus</v>
      </c>
      <c r="C553" s="30" t="str">
        <f>HYPERLINK("https://ebird.org/species/brnshr")</f>
        <v>https://ebird.org/species/brnshr</v>
      </c>
      <c r="D553" s="31" t="str">
        <f>HYPERLINK("https://www.hbw.com/species/Brown-Shrike-Lanius-cristatus")</f>
        <v>https://www.hbw.com/species/Brown-Shrike-Lanius-cristatus</v>
      </c>
      <c r="E553" s="32" t="str">
        <f>HYPERLINK("https://www.iucnredlist.org/search?query=Lanius cristatus&amp;searchType=species")</f>
        <v>https://www.iucnredlist.org/search?query=Lanius cristatus&amp;searchType=species</v>
      </c>
      <c r="F553" s="2">
        <v>433</v>
      </c>
      <c r="G553" s="27" t="s">
        <v>1283</v>
      </c>
      <c r="H553" s="84" t="s">
        <v>1287</v>
      </c>
      <c r="I553" s="92" t="s">
        <v>1288</v>
      </c>
      <c r="J553" s="1" t="s">
        <v>50</v>
      </c>
      <c r="M553" s="2" t="s">
        <v>1011</v>
      </c>
    </row>
    <row r="554" spans="1:14" ht="20.399999999999999" x14ac:dyDescent="0.3">
      <c r="A554" s="28" t="str">
        <f>HYPERLINK("https://www.google.com/search?q=Lanius schach&amp;tbm=isch")</f>
        <v>https://www.google.com/search?q=Lanius schach&amp;tbm=isch</v>
      </c>
      <c r="B554" s="29" t="str">
        <f>HYPERLINK("https://www.xeno-canto.org/species/Lanius-schach")</f>
        <v>https://www.xeno-canto.org/species/Lanius-schach</v>
      </c>
      <c r="C554" s="30" t="str">
        <f>HYPERLINK("https://ebird.org/species/lotshr1")</f>
        <v>https://ebird.org/species/lotshr1</v>
      </c>
      <c r="D554" s="31" t="str">
        <f>HYPERLINK("https://www.hbw.com/species/Long-tailed-Shrike-Lanius-schach")</f>
        <v>https://www.hbw.com/species/Long-tailed-Shrike-Lanius-schach</v>
      </c>
      <c r="E554" s="32" t="str">
        <f>HYPERLINK("https://www.iucnredlist.org/search?query=Lanius schach&amp;searchType=species")</f>
        <v>https://www.iucnredlist.org/search?query=Lanius schach&amp;searchType=species</v>
      </c>
      <c r="F554" s="2">
        <v>434</v>
      </c>
      <c r="G554" s="27" t="s">
        <v>1283</v>
      </c>
      <c r="H554" s="84" t="s">
        <v>1289</v>
      </c>
      <c r="I554" s="92" t="s">
        <v>1290</v>
      </c>
      <c r="J554" s="1" t="s">
        <v>15</v>
      </c>
      <c r="M554" s="2" t="s">
        <v>1291</v>
      </c>
    </row>
    <row r="555" spans="1:14" ht="14.4" x14ac:dyDescent="0.3">
      <c r="A555" s="28" t="str">
        <f>HYPERLINK("https://www.google.com/search?q=Lanius validirostris&amp;tbm=isch")</f>
        <v>https://www.google.com/search?q=Lanius validirostris&amp;tbm=isch</v>
      </c>
      <c r="B555" s="29" t="str">
        <f>HYPERLINK("https://www.xeno-canto.org/species/Lanius-validirostris")</f>
        <v>https://www.xeno-canto.org/species/Lanius-validirostris</v>
      </c>
      <c r="C555" s="30" t="str">
        <f>HYPERLINK("https://ebird.org/species/gycshr1")</f>
        <v>https://ebird.org/species/gycshr1</v>
      </c>
      <c r="D555" s="31" t="str">
        <f>HYPERLINK("https://www.hbw.com/species/Mountain-Shrike-Lanius-validirostris")</f>
        <v>https://www.hbw.com/species/Mountain-Shrike-Lanius-validirostris</v>
      </c>
      <c r="E555" s="32" t="str">
        <f>HYPERLINK("https://www.iucnredlist.org/search?query=Lanius validirostris&amp;searchType=species")</f>
        <v>https://www.iucnredlist.org/search?query=Lanius validirostris&amp;searchType=species</v>
      </c>
      <c r="F555" s="2">
        <v>435</v>
      </c>
      <c r="G555" s="27" t="s">
        <v>1283</v>
      </c>
      <c r="H555" s="86" t="s">
        <v>1292</v>
      </c>
      <c r="I555" s="94" t="s">
        <v>1293</v>
      </c>
      <c r="J555" s="1" t="s">
        <v>65</v>
      </c>
      <c r="K555" s="1" t="s">
        <v>58</v>
      </c>
      <c r="L555" s="1" t="s">
        <v>66</v>
      </c>
      <c r="M555" s="2" t="s">
        <v>68</v>
      </c>
    </row>
    <row r="556" spans="1:14" x14ac:dyDescent="0.3">
      <c r="A556" s="33"/>
      <c r="B556" s="34"/>
      <c r="C556" s="35"/>
      <c r="D556" s="36"/>
      <c r="E556" s="37"/>
    </row>
    <row r="557" spans="1:14" ht="12" x14ac:dyDescent="0.3">
      <c r="A557" s="33"/>
      <c r="B557" s="34"/>
      <c r="C557" s="35"/>
      <c r="D557" s="36"/>
      <c r="E557" s="37"/>
      <c r="H557" s="82" t="s">
        <v>1294</v>
      </c>
      <c r="I557" s="91" t="s">
        <v>1295</v>
      </c>
    </row>
    <row r="558" spans="1:14" ht="20.399999999999999" x14ac:dyDescent="0.3">
      <c r="A558" s="28" t="str">
        <f>HYPERLINK("https://www.google.com/search?q=Oriolus xanthonotus&amp;tbm=isch")</f>
        <v>https://www.google.com/search?q=Oriolus xanthonotus&amp;tbm=isch</v>
      </c>
      <c r="B558" s="29" t="str">
        <f>HYPERLINK("https://www.xeno-canto.org/species/Oriolus-xanthonotus")</f>
        <v>https://www.xeno-canto.org/species/Oriolus-xanthonotus</v>
      </c>
      <c r="C558" s="30" t="str">
        <f>HYPERLINK("https://ebird.org/species/datori1")</f>
        <v>https://ebird.org/species/datori1</v>
      </c>
      <c r="D558" s="31" t="str">
        <f>HYPERLINK("https://www.hbw.com/species/Dark-throated-Oriole-Oriolus-xanthonotus")</f>
        <v>https://www.hbw.com/species/Dark-throated-Oriole-Oriolus-xanthonotus</v>
      </c>
      <c r="E558" s="32" t="str">
        <f>HYPERLINK("https://www.iucnredlist.org/search?query=Oriolus xanthonotus&amp;searchType=species")</f>
        <v>https://www.iucnredlist.org/search?query=Oriolus xanthonotus&amp;searchType=species</v>
      </c>
      <c r="F558" s="2">
        <v>436</v>
      </c>
      <c r="G558" s="27" t="s">
        <v>1295</v>
      </c>
      <c r="H558" s="84" t="s">
        <v>1296</v>
      </c>
      <c r="I558" s="92" t="s">
        <v>1297</v>
      </c>
      <c r="J558" s="1" t="s">
        <v>15</v>
      </c>
      <c r="K558" s="1" t="s">
        <v>58</v>
      </c>
      <c r="L558" s="1" t="s">
        <v>66</v>
      </c>
      <c r="M558" s="2" t="s">
        <v>1298</v>
      </c>
    </row>
    <row r="559" spans="1:14" ht="14.4" x14ac:dyDescent="0.3">
      <c r="A559" s="28" t="str">
        <f>HYPERLINK("https://www.google.com/search?q=Oriolus steerii&amp;tbm=isch")</f>
        <v>https://www.google.com/search?q=Oriolus steerii&amp;tbm=isch</v>
      </c>
      <c r="B559" s="29" t="str">
        <f>HYPERLINK("https://www.xeno-canto.org/species/Oriolus-steerii")</f>
        <v>https://www.xeno-canto.org/species/Oriolus-steerii</v>
      </c>
      <c r="C559" s="30" t="str">
        <f>HYPERLINK("https://ebird.org/species/phiori1")</f>
        <v>https://ebird.org/species/phiori1</v>
      </c>
      <c r="D559" s="31" t="str">
        <f>HYPERLINK("https://www.hbw.com/species/Philippine-Oriole-Oriolus-steerii")</f>
        <v>https://www.hbw.com/species/Philippine-Oriole-Oriolus-steerii</v>
      </c>
      <c r="E559" s="32" t="str">
        <f>HYPERLINK("https://www.iucnredlist.org/search?query=Oriolus steerii&amp;searchType=species")</f>
        <v>https://www.iucnredlist.org/search?query=Oriolus steerii&amp;searchType=species</v>
      </c>
      <c r="F559" s="2">
        <v>437</v>
      </c>
      <c r="G559" s="27" t="s">
        <v>1295</v>
      </c>
      <c r="H559" s="86" t="s">
        <v>1299</v>
      </c>
      <c r="I559" s="94" t="s">
        <v>1300</v>
      </c>
      <c r="J559" s="1" t="s">
        <v>65</v>
      </c>
      <c r="M559" s="2" t="s">
        <v>68</v>
      </c>
    </row>
    <row r="560" spans="1:14" ht="14.4" x14ac:dyDescent="0.3">
      <c r="A560" s="28" t="str">
        <f>HYPERLINK("https://www.google.com/search?q=Oriolus albiloris&amp;tbm=isch")</f>
        <v>https://www.google.com/search?q=Oriolus albiloris&amp;tbm=isch</v>
      </c>
      <c r="B560" s="29" t="str">
        <f>HYPERLINK("https://www.xeno-canto.org/species/Oriolus-albiloris")</f>
        <v>https://www.xeno-canto.org/species/Oriolus-albiloris</v>
      </c>
      <c r="C560" s="30" t="str">
        <f>HYPERLINK("https://ebird.org/species/whlori1")</f>
        <v>https://ebird.org/species/whlori1</v>
      </c>
      <c r="D560" s="31" t="str">
        <f>HYPERLINK("https://www.hbw.com/species/White-lored-Oriole-Oriolus-albiloris")</f>
        <v>https://www.hbw.com/species/White-lored-Oriole-Oriolus-albiloris</v>
      </c>
      <c r="E560" s="32" t="str">
        <f>HYPERLINK("https://www.iucnredlist.org/search?query=Oriolus albiloris&amp;searchType=species")</f>
        <v>https://www.iucnredlist.org/search?query=Oriolus albiloris&amp;searchType=species</v>
      </c>
      <c r="F560" s="2">
        <v>438</v>
      </c>
      <c r="G560" s="27" t="s">
        <v>1295</v>
      </c>
      <c r="H560" s="86" t="s">
        <v>1301</v>
      </c>
      <c r="I560" s="94" t="s">
        <v>1302</v>
      </c>
      <c r="J560" s="1" t="s">
        <v>65</v>
      </c>
      <c r="M560" s="2" t="s">
        <v>68</v>
      </c>
    </row>
    <row r="561" spans="1:14" ht="14.4" x14ac:dyDescent="0.3">
      <c r="A561" s="28" t="str">
        <f>HYPERLINK("https://www.google.com/search?q=Oriolus isabellae&amp;tbm=isch")</f>
        <v>https://www.google.com/search?q=Oriolus isabellae&amp;tbm=isch</v>
      </c>
      <c r="B561" s="29" t="str">
        <f>HYPERLINK("https://www.xeno-canto.org/species/Oriolus-isabellae")</f>
        <v>https://www.xeno-canto.org/species/Oriolus-isabellae</v>
      </c>
      <c r="C561" s="30" t="str">
        <f>HYPERLINK("https://ebird.org/species/isaori1")</f>
        <v>https://ebird.org/species/isaori1</v>
      </c>
      <c r="D561" s="31" t="str">
        <f>HYPERLINK("https://www.hbw.com/species/Isabela-Oriole-Oriolus-isabellae")</f>
        <v>https://www.hbw.com/species/Isabela-Oriole-Oriolus-isabellae</v>
      </c>
      <c r="E561" s="32" t="str">
        <f>HYPERLINK("https://www.iucnredlist.org/search?query=Oriolus isabellae&amp;searchType=species")</f>
        <v>https://www.iucnredlist.org/search?query=Oriolus isabellae&amp;searchType=species</v>
      </c>
      <c r="F561" s="2">
        <v>439</v>
      </c>
      <c r="G561" s="27" t="s">
        <v>1295</v>
      </c>
      <c r="H561" s="90" t="s">
        <v>1303</v>
      </c>
      <c r="I561" s="94" t="s">
        <v>1304</v>
      </c>
      <c r="J561" s="1" t="s">
        <v>65</v>
      </c>
      <c r="K561" s="1" t="s">
        <v>85</v>
      </c>
      <c r="L561" s="1" t="s">
        <v>85</v>
      </c>
      <c r="M561" s="2" t="s">
        <v>68</v>
      </c>
      <c r="N561" s="2" t="s">
        <v>123</v>
      </c>
    </row>
    <row r="562" spans="1:14" ht="14.4" x14ac:dyDescent="0.3">
      <c r="A562" s="28" t="str">
        <f>HYPERLINK("https://www.google.com/search?q=Oriolus chinensis&amp;tbm=isch")</f>
        <v>https://www.google.com/search?q=Oriolus chinensis&amp;tbm=isch</v>
      </c>
      <c r="B562" s="29" t="str">
        <f>HYPERLINK("https://www.xeno-canto.org/species/Oriolus-chinensis")</f>
        <v>https://www.xeno-canto.org/species/Oriolus-chinensis</v>
      </c>
      <c r="C562" s="30" t="str">
        <f>HYPERLINK("https://ebird.org/species/blnori1")</f>
        <v>https://ebird.org/species/blnori1</v>
      </c>
      <c r="D562" s="31" t="str">
        <f>HYPERLINK("https://www.hbw.com/species/Black-naped-Oriole-Oriolus-chinensis")</f>
        <v>https://www.hbw.com/species/Black-naped-Oriole-Oriolus-chinensis</v>
      </c>
      <c r="E562" s="32" t="str">
        <f>HYPERLINK("https://www.iucnredlist.org/search?query=Oriolus chinensis&amp;searchType=species")</f>
        <v>https://www.iucnredlist.org/search?query=Oriolus chinensis&amp;searchType=species</v>
      </c>
      <c r="F562" s="2">
        <v>440</v>
      </c>
      <c r="G562" s="27" t="s">
        <v>1295</v>
      </c>
      <c r="H562" s="84" t="s">
        <v>1305</v>
      </c>
      <c r="I562" s="92" t="s">
        <v>1306</v>
      </c>
      <c r="J562" s="1" t="s">
        <v>15</v>
      </c>
      <c r="M562" s="2" t="s">
        <v>43</v>
      </c>
    </row>
    <row r="563" spans="1:14" x14ac:dyDescent="0.3">
      <c r="A563" s="33"/>
      <c r="B563" s="34"/>
      <c r="C563" s="35"/>
      <c r="D563" s="36"/>
      <c r="E563" s="37"/>
    </row>
    <row r="564" spans="1:14" ht="12" x14ac:dyDescent="0.3">
      <c r="A564" s="33"/>
      <c r="B564" s="34"/>
      <c r="C564" s="35"/>
      <c r="D564" s="36"/>
      <c r="E564" s="37"/>
      <c r="H564" s="82" t="s">
        <v>1307</v>
      </c>
      <c r="I564" s="91" t="s">
        <v>1308</v>
      </c>
    </row>
    <row r="565" spans="1:14" ht="40.799999999999997" x14ac:dyDescent="0.3">
      <c r="A565" s="28" t="str">
        <f>HYPERLINK("https://www.google.com/search?q=Dicrurus macrocercus&amp;tbm=isch")</f>
        <v>https://www.google.com/search?q=Dicrurus macrocercus&amp;tbm=isch</v>
      </c>
      <c r="B565" s="29" t="str">
        <f>HYPERLINK("https://www.xeno-canto.org/species/Dicrurus-macrocercus")</f>
        <v>https://www.xeno-canto.org/species/Dicrurus-macrocercus</v>
      </c>
      <c r="C565" s="30" t="str">
        <f>HYPERLINK("https://ebird.org/species/bladro1")</f>
        <v>https://ebird.org/species/bladro1</v>
      </c>
      <c r="D565" s="31" t="str">
        <f>HYPERLINK("https://www.hbw.com/species/Black-Drongo-Dicrurus-macrocercus")</f>
        <v>https://www.hbw.com/species/Black-Drongo-Dicrurus-macrocercus</v>
      </c>
      <c r="E565" s="32" t="str">
        <f>HYPERLINK("https://www.iucnredlist.org/search?query=Dicrurus macrocercus&amp;searchType=species")</f>
        <v>https://www.iucnredlist.org/search?query=Dicrurus macrocercus&amp;searchType=species</v>
      </c>
      <c r="F565" s="2">
        <v>441</v>
      </c>
      <c r="G565" s="27" t="s">
        <v>1308</v>
      </c>
      <c r="H565" s="85" t="s">
        <v>1309</v>
      </c>
      <c r="I565" s="93" t="s">
        <v>1310</v>
      </c>
      <c r="J565" s="1" t="s">
        <v>19</v>
      </c>
      <c r="M565" s="2" t="s">
        <v>43</v>
      </c>
      <c r="N565" s="2" t="s">
        <v>11338</v>
      </c>
    </row>
    <row r="566" spans="1:14" ht="20.399999999999999" x14ac:dyDescent="0.3">
      <c r="A566" s="28" t="str">
        <f>HYPERLINK("https://www.google.com/search?q=Dicrurus leucophaeus&amp;tbm=isch")</f>
        <v>https://www.google.com/search?q=Dicrurus leucophaeus&amp;tbm=isch</v>
      </c>
      <c r="B566" s="29" t="str">
        <f>HYPERLINK("https://www.xeno-canto.org/species/Dicrurus-leucophaeus")</f>
        <v>https://www.xeno-canto.org/species/Dicrurus-leucophaeus</v>
      </c>
      <c r="C566" s="30" t="str">
        <f>HYPERLINK("https://ebird.org/species/ashdro1")</f>
        <v>https://ebird.org/species/ashdro1</v>
      </c>
      <c r="D566" s="31" t="str">
        <f>HYPERLINK("https://www.hbw.com/species/Ashy-Drongo-Dicrurus-leucophaeus")</f>
        <v>https://www.hbw.com/species/Ashy-Drongo-Dicrurus-leucophaeus</v>
      </c>
      <c r="E566" s="32" t="str">
        <f>HYPERLINK("https://www.iucnredlist.org/search?query=Dicrurus leucophaeus&amp;searchType=species")</f>
        <v>https://www.iucnredlist.org/search?query=Dicrurus leucophaeus&amp;searchType=species</v>
      </c>
      <c r="F566" s="2">
        <v>442</v>
      </c>
      <c r="G566" s="27" t="s">
        <v>1308</v>
      </c>
      <c r="H566" s="84" t="s">
        <v>1311</v>
      </c>
      <c r="I566" s="92" t="s">
        <v>1312</v>
      </c>
      <c r="J566" s="1" t="s">
        <v>236</v>
      </c>
      <c r="M566" s="2" t="s">
        <v>43</v>
      </c>
      <c r="N566" s="2" t="s">
        <v>11339</v>
      </c>
    </row>
    <row r="567" spans="1:14" ht="14.4" x14ac:dyDescent="0.3">
      <c r="A567" s="28" t="str">
        <f>HYPERLINK("https://www.google.com/search?q=Dicrurus annectens&amp;tbm=isch")</f>
        <v>https://www.google.com/search?q=Dicrurus annectens&amp;tbm=isch</v>
      </c>
      <c r="B567" s="29" t="str">
        <f>HYPERLINK("https://www.xeno-canto.org/species/Dicrurus-annectens")</f>
        <v>https://www.xeno-canto.org/species/Dicrurus-annectens</v>
      </c>
      <c r="C567" s="30" t="str">
        <f>HYPERLINK("https://ebird.org/species/crbdro1")</f>
        <v>https://ebird.org/species/crbdro1</v>
      </c>
      <c r="D567" s="31" t="str">
        <f>HYPERLINK("https://www.hbw.com/species/Crow-billed-Drongo-Dicrurus-annectens")</f>
        <v>https://www.hbw.com/species/Crow-billed-Drongo-Dicrurus-annectens</v>
      </c>
      <c r="E567" s="32" t="str">
        <f>HYPERLINK("https://www.iucnredlist.org/search?query=Dicrurus annectens&amp;searchType=species")</f>
        <v>https://www.iucnredlist.org/search?query=Dicrurus annectens&amp;searchType=species</v>
      </c>
      <c r="F567" s="2">
        <v>443</v>
      </c>
      <c r="G567" s="27" t="s">
        <v>1308</v>
      </c>
      <c r="H567" s="83" t="s">
        <v>1313</v>
      </c>
      <c r="I567" s="92" t="s">
        <v>1314</v>
      </c>
      <c r="J567" s="1" t="s">
        <v>19</v>
      </c>
      <c r="M567" s="2" t="s">
        <v>1315</v>
      </c>
    </row>
    <row r="568" spans="1:14" ht="14.4" x14ac:dyDescent="0.3">
      <c r="A568" s="28" t="str">
        <f>HYPERLINK("https://www.google.com/search?q=Dicrurus balicassius&amp;tbm=isch")</f>
        <v>https://www.google.com/search?q=Dicrurus balicassius&amp;tbm=isch</v>
      </c>
      <c r="B568" s="29" t="str">
        <f>HYPERLINK("https://www.xeno-canto.org/species/Dicrurus-balicassius")</f>
        <v>https://www.xeno-canto.org/species/Dicrurus-balicassius</v>
      </c>
      <c r="C568" s="30" t="str">
        <f>HYPERLINK("https://ebird.org/species/balica1")</f>
        <v>https://ebird.org/species/balica1</v>
      </c>
      <c r="D568" s="31" t="str">
        <f>HYPERLINK("https://www.hbw.com/species/Balicassiao-Dicrurus-balicassius")</f>
        <v>https://www.hbw.com/species/Balicassiao-Dicrurus-balicassius</v>
      </c>
      <c r="E568" s="32" t="str">
        <f>HYPERLINK("https://www.iucnredlist.org/search?query=Dicrurus balicassius&amp;searchType=species")</f>
        <v>https://www.iucnredlist.org/search?query=Dicrurus balicassius&amp;searchType=species</v>
      </c>
      <c r="F568" s="2">
        <v>444</v>
      </c>
      <c r="G568" s="27" t="s">
        <v>1308</v>
      </c>
      <c r="H568" s="86" t="s">
        <v>1316</v>
      </c>
      <c r="I568" s="94" t="s">
        <v>1317</v>
      </c>
      <c r="J568" s="1" t="s">
        <v>65</v>
      </c>
      <c r="M568" s="2" t="s">
        <v>68</v>
      </c>
    </row>
    <row r="569" spans="1:14" ht="20.399999999999999" x14ac:dyDescent="0.3">
      <c r="A569" s="28" t="str">
        <f>HYPERLINK("https://www.google.com/search?q=Dicrurus hottentottus&amp;tbm=isch")</f>
        <v>https://www.google.com/search?q=Dicrurus hottentottus&amp;tbm=isch</v>
      </c>
      <c r="B569" s="29" t="str">
        <f>HYPERLINK("https://www.xeno-canto.org/species/Dicrurus-hottentottus")</f>
        <v>https://www.xeno-canto.org/species/Dicrurus-hottentottus</v>
      </c>
      <c r="C569" s="30" t="str">
        <f>HYPERLINK("https://ebird.org/species/hacdro1")</f>
        <v>https://ebird.org/species/hacdro1</v>
      </c>
      <c r="D569" s="31" t="str">
        <f>HYPERLINK("https://www.hbw.com/species/Hair-crested-Drongo-Dicrurus-hottentottus")</f>
        <v>https://www.hbw.com/species/Hair-crested-Drongo-Dicrurus-hottentottus</v>
      </c>
      <c r="E569" s="32" t="str">
        <f>HYPERLINK("https://www.iucnredlist.org/search?query=Dicrurus hottentottus&amp;searchType=species")</f>
        <v>https://www.iucnredlist.org/search?query=Dicrurus hottentottus&amp;searchType=species</v>
      </c>
      <c r="F569" s="2">
        <v>445</v>
      </c>
      <c r="G569" s="27" t="s">
        <v>1308</v>
      </c>
      <c r="H569" s="84" t="s">
        <v>1318</v>
      </c>
      <c r="I569" s="92" t="s">
        <v>1319</v>
      </c>
      <c r="J569" s="1" t="s">
        <v>15</v>
      </c>
      <c r="M569" s="2" t="s">
        <v>1320</v>
      </c>
      <c r="N569" s="2" t="s">
        <v>123</v>
      </c>
    </row>
    <row r="570" spans="1:14" ht="14.4" x14ac:dyDescent="0.3">
      <c r="A570" s="28" t="str">
        <f>HYPERLINK("https://www.google.com/search?q=Dicrurus menagei&amp;tbm=isch")</f>
        <v>https://www.google.com/search?q=Dicrurus menagei&amp;tbm=isch</v>
      </c>
      <c r="B570" s="29" t="str">
        <f>HYPERLINK("https://www.xeno-canto.org/species/Dicrurus-menagei")</f>
        <v>https://www.xeno-canto.org/species/Dicrurus-menagei</v>
      </c>
      <c r="C570" s="30" t="str">
        <f>HYPERLINK("https://ebird.org/species/tabdro1")</f>
        <v>https://ebird.org/species/tabdro1</v>
      </c>
      <c r="D570" s="31" t="str">
        <f>HYPERLINK("https://www.hbw.com/species/Tablas-Drongo-Dicrurus-menagei")</f>
        <v>https://www.hbw.com/species/Tablas-Drongo-Dicrurus-menagei</v>
      </c>
      <c r="E570" s="32" t="str">
        <f>HYPERLINK("https://www.iucnredlist.org/search?query=Dicrurus menagei&amp;searchType=species")</f>
        <v>https://www.iucnredlist.org/search?query=Dicrurus menagei&amp;searchType=species</v>
      </c>
      <c r="F570" s="2">
        <v>446</v>
      </c>
      <c r="G570" s="27" t="s">
        <v>1308</v>
      </c>
      <c r="H570" s="86" t="s">
        <v>1321</v>
      </c>
      <c r="I570" s="94" t="s">
        <v>1322</v>
      </c>
      <c r="J570" s="1" t="s">
        <v>65</v>
      </c>
      <c r="K570" s="1" t="s">
        <v>67</v>
      </c>
      <c r="L570" s="1" t="s">
        <v>85</v>
      </c>
      <c r="M570" s="2" t="s">
        <v>1323</v>
      </c>
    </row>
    <row r="571" spans="1:14" x14ac:dyDescent="0.3">
      <c r="A571" s="33"/>
      <c r="B571" s="34"/>
      <c r="C571" s="35"/>
      <c r="D571" s="36"/>
      <c r="E571" s="37"/>
    </row>
    <row r="572" spans="1:14" ht="12" x14ac:dyDescent="0.3">
      <c r="A572" s="33"/>
      <c r="B572" s="34"/>
      <c r="C572" s="35"/>
      <c r="D572" s="36"/>
      <c r="E572" s="37"/>
      <c r="H572" s="82" t="s">
        <v>1324</v>
      </c>
      <c r="I572" s="91" t="s">
        <v>1325</v>
      </c>
    </row>
    <row r="573" spans="1:14" ht="14.4" x14ac:dyDescent="0.3">
      <c r="A573" s="28" t="str">
        <f>HYPERLINK("https://www.google.com/search?q=Rhipidura superciliaris&amp;tbm=isch")</f>
        <v>https://www.google.com/search?q=Rhipidura superciliaris&amp;tbm=isch</v>
      </c>
      <c r="B573" s="29" t="str">
        <f>HYPERLINK("https://www.xeno-canto.org/species/Rhipidura-superciliaris")</f>
        <v>https://www.xeno-canto.org/species/Rhipidura-superciliaris</v>
      </c>
      <c r="C573" s="30" t="str">
        <f>HYPERLINK("https://ebird.org/species/blufan1")</f>
        <v>https://ebird.org/species/blufan1</v>
      </c>
      <c r="D573" s="31" t="str">
        <f>HYPERLINK("https://www.hbw.com/species/Mindanao-Blue-Fantail-Rhipidura-superciliaris")</f>
        <v>https://www.hbw.com/species/Mindanao-Blue-Fantail-Rhipidura-superciliaris</v>
      </c>
      <c r="E573" s="32" t="str">
        <f>HYPERLINK("https://www.iucnredlist.org/search?query=Rhipidura superciliaris&amp;searchType=species")</f>
        <v>https://www.iucnredlist.org/search?query=Rhipidura superciliaris&amp;searchType=species</v>
      </c>
      <c r="F573" s="2">
        <v>447</v>
      </c>
      <c r="G573" s="27" t="s">
        <v>1325</v>
      </c>
      <c r="H573" s="86" t="s">
        <v>1326</v>
      </c>
      <c r="I573" s="94" t="s">
        <v>1327</v>
      </c>
      <c r="J573" s="1" t="s">
        <v>65</v>
      </c>
      <c r="M573" s="2" t="s">
        <v>68</v>
      </c>
    </row>
    <row r="574" spans="1:14" ht="14.4" x14ac:dyDescent="0.3">
      <c r="A574" s="28" t="str">
        <f>HYPERLINK("https://www.google.com/search?q=Rhipidura samarensis&amp;tbm=isch")</f>
        <v>https://www.google.com/search?q=Rhipidura samarensis&amp;tbm=isch</v>
      </c>
      <c r="B574" s="29" t="str">
        <f>HYPERLINK("https://www.xeno-canto.org/species/Rhipidura-samarensis")</f>
        <v>https://www.xeno-canto.org/species/Rhipidura-samarensis</v>
      </c>
      <c r="C574" s="30" t="str">
        <f>HYPERLINK("https://ebird.org/species/visblf1")</f>
        <v>https://ebird.org/species/visblf1</v>
      </c>
      <c r="D574" s="31" t="str">
        <f>HYPERLINK("https://www.hbw.com/species/Visayan-Blue-Fantail-Rhipidura-samarensis")</f>
        <v>https://www.hbw.com/species/Visayan-Blue-Fantail-Rhipidura-samarensis</v>
      </c>
      <c r="E574" s="32" t="str">
        <f>HYPERLINK("https://www.iucnredlist.org/search?query=Rhipidura samarensis&amp;searchType=species")</f>
        <v>https://www.iucnredlist.org/search?query=Rhipidura samarensis&amp;searchType=species</v>
      </c>
      <c r="F574" s="2">
        <v>448</v>
      </c>
      <c r="G574" s="27" t="s">
        <v>1325</v>
      </c>
      <c r="H574" s="86" t="s">
        <v>1328</v>
      </c>
      <c r="I574" s="94" t="s">
        <v>1329</v>
      </c>
      <c r="J574" s="1" t="s">
        <v>65</v>
      </c>
      <c r="M574" s="2" t="s">
        <v>1330</v>
      </c>
    </row>
    <row r="575" spans="1:14" ht="14.4" x14ac:dyDescent="0.3">
      <c r="A575" s="28" t="str">
        <f>HYPERLINK("https://www.google.com/search?q=Rhipidura cyaniceps&amp;tbm=isch")</f>
        <v>https://www.google.com/search?q=Rhipidura cyaniceps&amp;tbm=isch</v>
      </c>
      <c r="B575" s="29" t="str">
        <f>HYPERLINK("https://www.xeno-canto.org/species/Rhipidura-cyaniceps")</f>
        <v>https://www.xeno-canto.org/species/Rhipidura-cyaniceps</v>
      </c>
      <c r="C575" s="30" t="str">
        <f>HYPERLINK("https://ebird.org/species/blhfan1")</f>
        <v>https://ebird.org/species/blhfan1</v>
      </c>
      <c r="D575" s="31" t="str">
        <f>HYPERLINK("https://www.hbw.com/species/Blue-headed-Fantail-Rhipidura-cyaniceps")</f>
        <v>https://www.hbw.com/species/Blue-headed-Fantail-Rhipidura-cyaniceps</v>
      </c>
      <c r="E575" s="32" t="str">
        <f>HYPERLINK("https://www.iucnredlist.org/search?query=Rhipidura cyaniceps&amp;searchType=species")</f>
        <v>https://www.iucnredlist.org/search?query=Rhipidura cyaniceps&amp;searchType=species</v>
      </c>
      <c r="F575" s="2">
        <v>449</v>
      </c>
      <c r="G575" s="27" t="s">
        <v>1325</v>
      </c>
      <c r="H575" s="86" t="s">
        <v>1331</v>
      </c>
      <c r="I575" s="94" t="s">
        <v>1332</v>
      </c>
      <c r="J575" s="1" t="s">
        <v>65</v>
      </c>
      <c r="M575" s="2" t="s">
        <v>68</v>
      </c>
    </row>
    <row r="576" spans="1:14" ht="14.4" x14ac:dyDescent="0.3">
      <c r="A576" s="28" t="str">
        <f>HYPERLINK("https://www.google.com/search?q=Rhipidura sauli&amp;tbm=isch")</f>
        <v>https://www.google.com/search?q=Rhipidura sauli&amp;tbm=isch</v>
      </c>
      <c r="B576" s="29" t="str">
        <f>HYPERLINK("https://www.xeno-canto.org/species/Rhipidura-sauli")</f>
        <v>https://www.xeno-canto.org/species/Rhipidura-sauli</v>
      </c>
      <c r="C576" s="30" t="str">
        <f>HYPERLINK("https://ebird.org/species/tabfan1")</f>
        <v>https://ebird.org/species/tabfan1</v>
      </c>
      <c r="D576" s="31" t="str">
        <f>HYPERLINK("https://www.hbw.com/species/Tablas-Fantail-Rhipidura-sauli")</f>
        <v>https://www.hbw.com/species/Tablas-Fantail-Rhipidura-sauli</v>
      </c>
      <c r="E576" s="32" t="str">
        <f>HYPERLINK("https://www.iucnredlist.org/search?query=Rhipidura sauli&amp;searchType=species")</f>
        <v>https://www.iucnredlist.org/search?query=Rhipidura sauli&amp;searchType=species</v>
      </c>
      <c r="F576" s="2">
        <v>450</v>
      </c>
      <c r="G576" s="27" t="s">
        <v>1325</v>
      </c>
      <c r="H576" s="86" t="s">
        <v>1333</v>
      </c>
      <c r="I576" s="94" t="s">
        <v>1334</v>
      </c>
      <c r="J576" s="1" t="s">
        <v>65</v>
      </c>
      <c r="K576" s="1" t="s">
        <v>66</v>
      </c>
      <c r="L576" s="1" t="s">
        <v>67</v>
      </c>
      <c r="M576" s="2" t="s">
        <v>1335</v>
      </c>
    </row>
    <row r="577" spans="1:14" ht="20.399999999999999" x14ac:dyDescent="0.3">
      <c r="A577" s="28" t="str">
        <f>HYPERLINK("https://www.google.com/search?q=Rhipidura albiventris&amp;tbm=isch")</f>
        <v>https://www.google.com/search?q=Rhipidura albiventris&amp;tbm=isch</v>
      </c>
      <c r="B577" s="29" t="str">
        <f>HYPERLINK("https://www.xeno-canto.org/species/Rhipidura-albiventris")</f>
        <v>https://www.xeno-canto.org/species/Rhipidura-albiventris</v>
      </c>
      <c r="C577" s="30" t="str">
        <f>HYPERLINK("https://ebird.org/species/visfan1")</f>
        <v>https://ebird.org/species/visfan1</v>
      </c>
      <c r="D577" s="31" t="str">
        <f>HYPERLINK("https://www.hbw.com/species/Visayan-Fantail-Rhipidura-albiventris")</f>
        <v>https://www.hbw.com/species/Visayan-Fantail-Rhipidura-albiventris</v>
      </c>
      <c r="E577" s="32" t="str">
        <f>HYPERLINK("https://www.iucnredlist.org/search?query=Rhipidura albiventris&amp;searchType=species")</f>
        <v>https://www.iucnredlist.org/search?query=Rhipidura albiventris&amp;searchType=species</v>
      </c>
      <c r="F577" s="2">
        <v>451</v>
      </c>
      <c r="G577" s="27" t="s">
        <v>1325</v>
      </c>
      <c r="H577" s="86" t="s">
        <v>1336</v>
      </c>
      <c r="I577" s="94" t="s">
        <v>1337</v>
      </c>
      <c r="J577" s="1" t="s">
        <v>65</v>
      </c>
      <c r="M577" s="2" t="s">
        <v>1338</v>
      </c>
    </row>
    <row r="578" spans="1:14" ht="14.4" x14ac:dyDescent="0.3">
      <c r="A578" s="28" t="str">
        <f>HYPERLINK("https://www.google.com/search?q=Rhipidura nigritorquis&amp;tbm=isch")</f>
        <v>https://www.google.com/search?q=Rhipidura nigritorquis&amp;tbm=isch</v>
      </c>
      <c r="B578" s="29" t="str">
        <f>HYPERLINK("https://www.xeno-canto.org/species/Rhipidura-nigritorquis")</f>
        <v>https://www.xeno-canto.org/species/Rhipidura-nigritorquis</v>
      </c>
      <c r="C578" s="30" t="str">
        <f>HYPERLINK("https://ebird.org/species/phipif1")</f>
        <v>https://ebird.org/species/phipif1</v>
      </c>
      <c r="D578" s="31" t="str">
        <f>HYPERLINK("https://www.hbw.com/species/Philippine-Pied-Fantail-Rhipidura-nigritorquis")</f>
        <v>https://www.hbw.com/species/Philippine-Pied-Fantail-Rhipidura-nigritorquis</v>
      </c>
      <c r="E578" s="32" t="str">
        <f>HYPERLINK("https://www.iucnredlist.org/search?query=Rhipidura nigritorquis&amp;searchType=species")</f>
        <v>https://www.iucnredlist.org/search?query=Rhipidura nigritorquis&amp;searchType=species</v>
      </c>
      <c r="F578" s="2">
        <v>452</v>
      </c>
      <c r="G578" s="27" t="s">
        <v>1325</v>
      </c>
      <c r="H578" s="86" t="s">
        <v>1339</v>
      </c>
      <c r="I578" s="94" t="s">
        <v>1340</v>
      </c>
      <c r="J578" s="1" t="s">
        <v>65</v>
      </c>
      <c r="M578" s="2" t="s">
        <v>68</v>
      </c>
    </row>
    <row r="579" spans="1:14" ht="14.4" x14ac:dyDescent="0.3">
      <c r="A579" s="28" t="str">
        <f>HYPERLINK("https://www.google.com/search?q=Rhipidura nigrocinnamomea&amp;tbm=isch")</f>
        <v>https://www.google.com/search?q=Rhipidura nigrocinnamomea&amp;tbm=isch</v>
      </c>
      <c r="B579" s="29" t="str">
        <f>HYPERLINK("https://www.xeno-canto.org/species/Rhipidura-nigrocinnamomea")</f>
        <v>https://www.xeno-canto.org/species/Rhipidura-nigrocinnamomea</v>
      </c>
      <c r="C579" s="30" t="str">
        <f>HYPERLINK("https://ebird.org/species/bacfan1")</f>
        <v>https://ebird.org/species/bacfan1</v>
      </c>
      <c r="D579" s="31" t="str">
        <f>HYPERLINK("https://www.hbw.com/species/Black-and-cinnamon-Fantail-Rhipidura-nigrocinnamomea")</f>
        <v>https://www.hbw.com/species/Black-and-cinnamon-Fantail-Rhipidura-nigrocinnamomea</v>
      </c>
      <c r="E579" s="32" t="str">
        <f>HYPERLINK("https://www.iucnredlist.org/search?query=Rhipidura nigrocinnamomea&amp;searchType=species")</f>
        <v>https://www.iucnredlist.org/search?query=Rhipidura nigrocinnamomea&amp;searchType=species</v>
      </c>
      <c r="F579" s="2">
        <v>453</v>
      </c>
      <c r="G579" s="27" t="s">
        <v>1325</v>
      </c>
      <c r="H579" s="86" t="s">
        <v>1341</v>
      </c>
      <c r="I579" s="94" t="s">
        <v>1342</v>
      </c>
      <c r="J579" s="1" t="s">
        <v>65</v>
      </c>
      <c r="M579" s="2" t="s">
        <v>998</v>
      </c>
    </row>
    <row r="580" spans="1:14" x14ac:dyDescent="0.3">
      <c r="A580" s="33"/>
      <c r="B580" s="34"/>
      <c r="C580" s="35"/>
      <c r="D580" s="36"/>
      <c r="E580" s="37"/>
    </row>
    <row r="581" spans="1:14" ht="12" x14ac:dyDescent="0.3">
      <c r="A581" s="33"/>
      <c r="B581" s="34"/>
      <c r="C581" s="35"/>
      <c r="D581" s="36"/>
      <c r="E581" s="37"/>
      <c r="H581" s="82" t="s">
        <v>1343</v>
      </c>
      <c r="I581" s="91" t="s">
        <v>1344</v>
      </c>
    </row>
    <row r="582" spans="1:14" ht="14.4" x14ac:dyDescent="0.3">
      <c r="A582" s="28" t="str">
        <f>HYPERLINK("https://www.google.com/search?q=Hypothymis azurea&amp;tbm=isch")</f>
        <v>https://www.google.com/search?q=Hypothymis azurea&amp;tbm=isch</v>
      </c>
      <c r="B582" s="29" t="str">
        <f>HYPERLINK("https://www.xeno-canto.org/species/Hypothymis-azurea")</f>
        <v>https://www.xeno-canto.org/species/Hypothymis-azurea</v>
      </c>
      <c r="C582" s="30" t="str">
        <f>HYPERLINK("https://ebird.org/species/blnmon1")</f>
        <v>https://ebird.org/species/blnmon1</v>
      </c>
      <c r="D582" s="31" t="str">
        <f>HYPERLINK("https://www.hbw.com/species/Black-naped-Monarch-Hypothymis-azurea")</f>
        <v>https://www.hbw.com/species/Black-naped-Monarch-Hypothymis-azurea</v>
      </c>
      <c r="E582" s="32" t="str">
        <f>HYPERLINK("https://www.iucnredlist.org/search?query=Hypothymis azurea&amp;searchType=species")</f>
        <v>https://www.iucnredlist.org/search?query=Hypothymis azurea&amp;searchType=species</v>
      </c>
      <c r="F582" s="2">
        <v>454</v>
      </c>
      <c r="G582" s="27" t="s">
        <v>1344</v>
      </c>
      <c r="H582" s="84" t="s">
        <v>1345</v>
      </c>
      <c r="I582" s="92" t="s">
        <v>1346</v>
      </c>
      <c r="J582" s="1" t="s">
        <v>15</v>
      </c>
      <c r="M582" s="2" t="s">
        <v>836</v>
      </c>
    </row>
    <row r="583" spans="1:14" ht="14.4" x14ac:dyDescent="0.3">
      <c r="A583" s="28" t="str">
        <f>HYPERLINK("https://www.google.com/search?q=Hypothymis helenae&amp;tbm=isch")</f>
        <v>https://www.google.com/search?q=Hypothymis helenae&amp;tbm=isch</v>
      </c>
      <c r="B583" s="29" t="str">
        <f>HYPERLINK("https://www.xeno-canto.org/species/Hypothymis-helenae")</f>
        <v>https://www.xeno-canto.org/species/Hypothymis-helenae</v>
      </c>
      <c r="C583" s="30" t="str">
        <f>HYPERLINK("https://ebird.org/species/shcmon1")</f>
        <v>https://ebird.org/species/shcmon1</v>
      </c>
      <c r="D583" s="31" t="str">
        <f>HYPERLINK("https://www.hbw.com/species/Short-crested-Monarch-Hypothymis-helenae")</f>
        <v>https://www.hbw.com/species/Short-crested-Monarch-Hypothymis-helenae</v>
      </c>
      <c r="E583" s="32" t="str">
        <f>HYPERLINK("https://www.iucnredlist.org/search?query=Hypothymis helenae&amp;searchType=species")</f>
        <v>https://www.iucnredlist.org/search?query=Hypothymis helenae&amp;searchType=species</v>
      </c>
      <c r="F583" s="2">
        <v>455</v>
      </c>
      <c r="G583" s="27" t="s">
        <v>1344</v>
      </c>
      <c r="H583" s="86" t="s">
        <v>1347</v>
      </c>
      <c r="I583" s="94" t="s">
        <v>1348</v>
      </c>
      <c r="J583" s="1" t="s">
        <v>65</v>
      </c>
      <c r="K583" s="1" t="s">
        <v>58</v>
      </c>
      <c r="L583" s="1" t="s">
        <v>130</v>
      </c>
      <c r="M583" s="2" t="s">
        <v>68</v>
      </c>
    </row>
    <row r="584" spans="1:14" ht="14.4" x14ac:dyDescent="0.3">
      <c r="A584" s="28" t="str">
        <f>HYPERLINK("https://www.google.com/search?q=Hypothymis coelestis&amp;tbm=isch")</f>
        <v>https://www.google.com/search?q=Hypothymis coelestis&amp;tbm=isch</v>
      </c>
      <c r="B584" s="29" t="str">
        <f>HYPERLINK("https://www.xeno-canto.org/species/Hypothymis-coelestis")</f>
        <v>https://www.xeno-canto.org/species/Hypothymis-coelestis</v>
      </c>
      <c r="C584" s="30" t="str">
        <f>HYPERLINK("https://ebird.org/species/celmon1")</f>
        <v>https://ebird.org/species/celmon1</v>
      </c>
      <c r="D584" s="31" t="str">
        <f>HYPERLINK("https://www.hbw.com/species/Celestial-Monarch-Hypothymis-coelestis")</f>
        <v>https://www.hbw.com/species/Celestial-Monarch-Hypothymis-coelestis</v>
      </c>
      <c r="E584" s="32" t="str">
        <f>HYPERLINK("https://www.iucnredlist.org/search?query=Hypothymis coelestis&amp;searchType=species")</f>
        <v>https://www.iucnredlist.org/search?query=Hypothymis coelestis&amp;searchType=species</v>
      </c>
      <c r="F584" s="2">
        <v>456</v>
      </c>
      <c r="G584" s="27" t="s">
        <v>1344</v>
      </c>
      <c r="H584" s="86" t="s">
        <v>1349</v>
      </c>
      <c r="I584" s="94" t="s">
        <v>1350</v>
      </c>
      <c r="J584" s="1" t="s">
        <v>65</v>
      </c>
      <c r="K584" s="1" t="s">
        <v>66</v>
      </c>
      <c r="L584" s="1" t="s">
        <v>85</v>
      </c>
      <c r="M584" s="2" t="s">
        <v>68</v>
      </c>
    </row>
    <row r="585" spans="1:14" ht="20.399999999999999" x14ac:dyDescent="0.3">
      <c r="A585" s="28" t="str">
        <f>HYPERLINK("https://www.google.com/search?q=Terpsiphone incei&amp;tbm=isch")</f>
        <v>https://www.google.com/search?q=Terpsiphone incei&amp;tbm=isch</v>
      </c>
      <c r="B585" s="29" t="str">
        <f>HYPERLINK("https://www.xeno-canto.org/species/Terpsiphone-incei")</f>
        <v>https://www.xeno-canto.org/species/Terpsiphone-incei</v>
      </c>
      <c r="C585" s="30" t="str">
        <f>HYPERLINK("https://ebird.org/species/amupaf1")</f>
        <v>https://ebird.org/species/amupaf1</v>
      </c>
      <c r="D585" s="31" t="str">
        <f>HYPERLINK("https://www.hbw.com/species/Chinese-Paradise-flycatcher-Terpsiphone-incei")</f>
        <v>https://www.hbw.com/species/Chinese-Paradise-flycatcher-Terpsiphone-incei</v>
      </c>
      <c r="E585" s="32" t="str">
        <f>HYPERLINK("https://www.iucnredlist.org/search?query=Terpsiphone incei&amp;searchType=species")</f>
        <v>https://www.iucnredlist.org/search?query=Terpsiphone incei&amp;searchType=species</v>
      </c>
      <c r="F585" s="2">
        <v>457</v>
      </c>
      <c r="G585" s="27" t="s">
        <v>1344</v>
      </c>
      <c r="H585" s="85" t="s">
        <v>1351</v>
      </c>
      <c r="I585" s="93" t="s">
        <v>1352</v>
      </c>
      <c r="J585" s="1" t="s">
        <v>19</v>
      </c>
      <c r="M585" s="2" t="s">
        <v>1353</v>
      </c>
      <c r="N585" s="2" t="s">
        <v>11340</v>
      </c>
    </row>
    <row r="586" spans="1:14" ht="14.4" x14ac:dyDescent="0.3">
      <c r="A586" s="28" t="str">
        <f>HYPERLINK("https://www.google.com/search?q=Terpsiphone atrocaudata&amp;tbm=isch")</f>
        <v>https://www.google.com/search?q=Terpsiphone atrocaudata&amp;tbm=isch</v>
      </c>
      <c r="B586" s="29" t="str">
        <f>HYPERLINK("https://www.xeno-canto.org/species/Terpsiphone-atrocaudata")</f>
        <v>https://www.xeno-canto.org/species/Terpsiphone-atrocaudata</v>
      </c>
      <c r="C586" s="30" t="str">
        <f>HYPERLINK("https://ebird.org/species/japfly1")</f>
        <v>https://ebird.org/species/japfly1</v>
      </c>
      <c r="D586" s="31" t="str">
        <f>HYPERLINK("https://www.hbw.com/species/Japanese-Paradise-flycatcher-Terpsiphone-atrocaudata")</f>
        <v>https://www.hbw.com/species/Japanese-Paradise-flycatcher-Terpsiphone-atrocaudata</v>
      </c>
      <c r="E586" s="32" t="str">
        <f>HYPERLINK("https://www.iucnredlist.org/search?query=Terpsiphone atrocaudata&amp;searchType=species")</f>
        <v>https://www.iucnredlist.org/search?query=Terpsiphone atrocaudata&amp;searchType=species</v>
      </c>
      <c r="F586" s="2">
        <v>458</v>
      </c>
      <c r="G586" s="27" t="s">
        <v>1344</v>
      </c>
      <c r="H586" s="84" t="s">
        <v>1354</v>
      </c>
      <c r="I586" s="92" t="s">
        <v>1355</v>
      </c>
      <c r="J586" s="1" t="s">
        <v>236</v>
      </c>
      <c r="K586" s="1" t="s">
        <v>58</v>
      </c>
      <c r="L586" s="1" t="s">
        <v>66</v>
      </c>
      <c r="M586" s="2" t="s">
        <v>1356</v>
      </c>
    </row>
    <row r="587" spans="1:14" ht="14.4" x14ac:dyDescent="0.3">
      <c r="A587" s="28" t="str">
        <f>HYPERLINK("https://www.google.com/search?q=Terpsiphone cyanescens&amp;tbm=isch")</f>
        <v>https://www.google.com/search?q=Terpsiphone cyanescens&amp;tbm=isch</v>
      </c>
      <c r="B587" s="29" t="str">
        <f>HYPERLINK("https://www.xeno-canto.org/species/Terpsiphone-cyanescens")</f>
        <v>https://www.xeno-canto.org/species/Terpsiphone-cyanescens</v>
      </c>
      <c r="C587" s="30" t="str">
        <f>HYPERLINK("https://ebird.org/species/blpfly1")</f>
        <v>https://ebird.org/species/blpfly1</v>
      </c>
      <c r="D587" s="31" t="str">
        <f>HYPERLINK("https://www.hbw.com/species/Blue-Paradise-flycatcher-Terpsiphone-cyanescens")</f>
        <v>https://www.hbw.com/species/Blue-Paradise-flycatcher-Terpsiphone-cyanescens</v>
      </c>
      <c r="E587" s="32" t="str">
        <f>HYPERLINK("https://www.iucnredlist.org/search?query=Terpsiphone cyanescens&amp;searchType=species")</f>
        <v>https://www.iucnredlist.org/search?query=Terpsiphone cyanescens&amp;searchType=species</v>
      </c>
      <c r="F587" s="2">
        <v>459</v>
      </c>
      <c r="G587" s="27" t="s">
        <v>1344</v>
      </c>
      <c r="H587" s="86" t="s">
        <v>1357</v>
      </c>
      <c r="I587" s="94" t="s">
        <v>1358</v>
      </c>
      <c r="J587" s="1" t="s">
        <v>65</v>
      </c>
      <c r="M587" s="2" t="s">
        <v>68</v>
      </c>
    </row>
    <row r="588" spans="1:14" ht="14.4" x14ac:dyDescent="0.3">
      <c r="A588" s="28" t="str">
        <f>HYPERLINK("https://www.google.com/search?q=Terpsiphone cinnamomea&amp;tbm=isch")</f>
        <v>https://www.google.com/search?q=Terpsiphone cinnamomea&amp;tbm=isch</v>
      </c>
      <c r="B588" s="29" t="str">
        <f>HYPERLINK("https://www.xeno-canto.org/species/Terpsiphone-cinnamomea")</f>
        <v>https://www.xeno-canto.org/species/Terpsiphone-cinnamomea</v>
      </c>
      <c r="C588" s="30" t="str">
        <f>HYPERLINK("https://ebird.org/species/rupfly1")</f>
        <v>https://ebird.org/species/rupfly1</v>
      </c>
      <c r="D588" s="31" t="str">
        <f>HYPERLINK("https://www.hbw.com/species/Southern-Rufous-Paradise-flycatcher-Terpsiphone-cinnamomea")</f>
        <v>https://www.hbw.com/species/Southern-Rufous-Paradise-flycatcher-Terpsiphone-cinnamomea</v>
      </c>
      <c r="E588" s="32" t="str">
        <f>HYPERLINK("https://www.iucnredlist.org/search?query=Terpsiphone cinnamomea&amp;searchType=species")</f>
        <v>https://www.iucnredlist.org/search?query=Terpsiphone cinnamomea&amp;searchType=species</v>
      </c>
      <c r="F588" s="2">
        <v>460</v>
      </c>
      <c r="G588" s="27" t="s">
        <v>1344</v>
      </c>
      <c r="H588" s="84" t="s">
        <v>1359</v>
      </c>
      <c r="I588" s="92" t="s">
        <v>1360</v>
      </c>
      <c r="J588" s="1" t="s">
        <v>732</v>
      </c>
      <c r="M588" s="2" t="s">
        <v>68</v>
      </c>
    </row>
    <row r="589" spans="1:14" x14ac:dyDescent="0.3">
      <c r="A589" s="33"/>
      <c r="B589" s="34"/>
      <c r="C589" s="35"/>
      <c r="D589" s="36"/>
      <c r="E589" s="37"/>
    </row>
    <row r="590" spans="1:14" ht="12" x14ac:dyDescent="0.3">
      <c r="A590" s="33"/>
      <c r="B590" s="34"/>
      <c r="C590" s="35"/>
      <c r="D590" s="36"/>
      <c r="E590" s="37"/>
      <c r="H590" s="82" t="s">
        <v>1361</v>
      </c>
      <c r="I590" s="91" t="s">
        <v>1362</v>
      </c>
    </row>
    <row r="591" spans="1:14" ht="20.399999999999999" x14ac:dyDescent="0.3">
      <c r="A591" s="28" t="str">
        <f>HYPERLINK("https://www.google.com/search?q=Corvus enca&amp;tbm=isch")</f>
        <v>https://www.google.com/search?q=Corvus enca&amp;tbm=isch</v>
      </c>
      <c r="B591" s="29" t="str">
        <f>HYPERLINK("https://www.xeno-canto.org/species/Corvus-enca")</f>
        <v>https://www.xeno-canto.org/species/Corvus-enca</v>
      </c>
      <c r="C591" s="30" t="str">
        <f>HYPERLINK("https://ebird.org/species/slbcro1")</f>
        <v>https://ebird.org/species/slbcro1</v>
      </c>
      <c r="D591" s="31" t="str">
        <f>HYPERLINK("https://www.hbw.com/species/Slender-billed-Crow-Corvus-enca")</f>
        <v>https://www.hbw.com/species/Slender-billed-Crow-Corvus-enca</v>
      </c>
      <c r="E591" s="32" t="str">
        <f>HYPERLINK("https://www.iucnredlist.org/search?query=Corvus enca&amp;searchType=species")</f>
        <v>https://www.iucnredlist.org/search?query=Corvus enca&amp;searchType=species</v>
      </c>
      <c r="F591" s="2">
        <v>461</v>
      </c>
      <c r="G591" s="27" t="s">
        <v>1362</v>
      </c>
      <c r="H591" s="84" t="s">
        <v>1363</v>
      </c>
      <c r="I591" s="92" t="s">
        <v>1364</v>
      </c>
      <c r="J591" s="1" t="s">
        <v>15</v>
      </c>
      <c r="M591" s="2" t="s">
        <v>1365</v>
      </c>
    </row>
    <row r="592" spans="1:14" ht="20.399999999999999" x14ac:dyDescent="0.3">
      <c r="A592" s="28" t="str">
        <f>HYPERLINK("https://www.google.com/search?q=Corvus macrorhynchos&amp;tbm=isch")</f>
        <v>https://www.google.com/search?q=Corvus macrorhynchos&amp;tbm=isch</v>
      </c>
      <c r="B592" s="29" t="str">
        <f>HYPERLINK("https://www.xeno-canto.org/species/Corvus-macrorhynchos")</f>
        <v>https://www.xeno-canto.org/species/Corvus-macrorhynchos</v>
      </c>
      <c r="C592" s="30" t="str">
        <f>HYPERLINK("https://ebird.org/species/labcro1")</f>
        <v>https://ebird.org/species/labcro1</v>
      </c>
      <c r="D592" s="31" t="str">
        <f>HYPERLINK("https://www.hbw.com/species/Large-billed-Crow-Corvus-macrorhynchos")</f>
        <v>https://www.hbw.com/species/Large-billed-Crow-Corvus-macrorhynchos</v>
      </c>
      <c r="E592" s="32" t="str">
        <f>HYPERLINK("https://www.iucnredlist.org/search?query=Corvus macrorhynchos&amp;searchType=species")</f>
        <v>https://www.iucnredlist.org/search?query=Corvus macrorhynchos&amp;searchType=species</v>
      </c>
      <c r="F592" s="2">
        <v>462</v>
      </c>
      <c r="G592" s="27" t="s">
        <v>1362</v>
      </c>
      <c r="H592" s="84" t="s">
        <v>1366</v>
      </c>
      <c r="I592" s="92" t="s">
        <v>1367</v>
      </c>
      <c r="J592" s="1" t="s">
        <v>15</v>
      </c>
      <c r="M592" s="2" t="s">
        <v>1368</v>
      </c>
    </row>
    <row r="593" spans="1:14" x14ac:dyDescent="0.3">
      <c r="A593" s="33"/>
      <c r="B593" s="34"/>
      <c r="C593" s="35"/>
      <c r="D593" s="36"/>
      <c r="E593" s="37"/>
    </row>
    <row r="594" spans="1:14" ht="12" x14ac:dyDescent="0.3">
      <c r="A594" s="33"/>
      <c r="B594" s="34"/>
      <c r="C594" s="35"/>
      <c r="D594" s="36"/>
      <c r="E594" s="37"/>
      <c r="H594" s="82" t="s">
        <v>1369</v>
      </c>
      <c r="I594" s="91" t="s">
        <v>1370</v>
      </c>
    </row>
    <row r="595" spans="1:14" ht="30.6" x14ac:dyDescent="0.3">
      <c r="A595" s="28" t="str">
        <f>HYPERLINK("https://www.google.com/search?q=Bombycilla japonica&amp;tbm=isch")</f>
        <v>https://www.google.com/search?q=Bombycilla japonica&amp;tbm=isch</v>
      </c>
      <c r="B595" s="29" t="str">
        <f>HYPERLINK("https://www.xeno-canto.org/species/Bombycilla-japonica")</f>
        <v>https://www.xeno-canto.org/species/Bombycilla-japonica</v>
      </c>
      <c r="C595" s="30" t="str">
        <f>HYPERLINK("https://ebird.org/species/japwax1")</f>
        <v>https://ebird.org/species/japwax1</v>
      </c>
      <c r="D595" s="31" t="str">
        <f>HYPERLINK("https://www.hbw.com/species/Japanese-Waxwing-Bombycilla-japonica")</f>
        <v>https://www.hbw.com/species/Japanese-Waxwing-Bombycilla-japonica</v>
      </c>
      <c r="E595" s="32" t="str">
        <f>HYPERLINK("https://www.iucnredlist.org/search?query=Bombycilla japonica&amp;searchType=species")</f>
        <v>https://www.iucnredlist.org/search?query=Bombycilla japonica&amp;searchType=species</v>
      </c>
      <c r="F595" s="2">
        <v>463</v>
      </c>
      <c r="G595" s="27" t="s">
        <v>1370</v>
      </c>
      <c r="H595" s="85" t="s">
        <v>1371</v>
      </c>
      <c r="I595" s="93" t="s">
        <v>1372</v>
      </c>
      <c r="J595" s="1" t="s">
        <v>19</v>
      </c>
      <c r="K595" s="1" t="s">
        <v>58</v>
      </c>
      <c r="L595" s="1" t="s">
        <v>130</v>
      </c>
      <c r="M595" s="2" t="s">
        <v>270</v>
      </c>
      <c r="N595" s="2" t="s">
        <v>1373</v>
      </c>
    </row>
    <row r="596" spans="1:14" x14ac:dyDescent="0.3">
      <c r="A596" s="33"/>
      <c r="B596" s="34"/>
      <c r="C596" s="35"/>
      <c r="D596" s="36"/>
      <c r="E596" s="37"/>
    </row>
    <row r="597" spans="1:14" ht="12" x14ac:dyDescent="0.3">
      <c r="A597" s="33"/>
      <c r="B597" s="34"/>
      <c r="C597" s="35"/>
      <c r="D597" s="36"/>
      <c r="E597" s="37"/>
      <c r="H597" s="82" t="s">
        <v>1374</v>
      </c>
      <c r="I597" s="91" t="s">
        <v>1375</v>
      </c>
    </row>
    <row r="598" spans="1:14" ht="14.4" x14ac:dyDescent="0.3">
      <c r="A598" s="28" t="str">
        <f>HYPERLINK("https://www.google.com/search?q=Culicicapa helianthea&amp;tbm=isch")</f>
        <v>https://www.google.com/search?q=Culicicapa helianthea&amp;tbm=isch</v>
      </c>
      <c r="B598" s="29" t="str">
        <f>HYPERLINK("https://www.xeno-canto.org/species/Culicicapa-helianthea")</f>
        <v>https://www.xeno-canto.org/species/Culicicapa-helianthea</v>
      </c>
      <c r="C598" s="30" t="str">
        <f>HYPERLINK("https://ebird.org/species/citcaf1")</f>
        <v>https://ebird.org/species/citcaf1</v>
      </c>
      <c r="D598" s="31" t="str">
        <f>HYPERLINK("https://www.hbw.com/species/Citrine-Canary-flycatcher-Culicicapa-helianthea")</f>
        <v>https://www.hbw.com/species/Citrine-Canary-flycatcher-Culicicapa-helianthea</v>
      </c>
      <c r="E598" s="32" t="str">
        <f>HYPERLINK("https://www.iucnredlist.org/search?query=Culicicapa helianthea&amp;searchType=species")</f>
        <v>https://www.iucnredlist.org/search?query=Culicicapa helianthea&amp;searchType=species</v>
      </c>
      <c r="F598" s="2">
        <v>464</v>
      </c>
      <c r="G598" s="27" t="s">
        <v>1375</v>
      </c>
      <c r="H598" s="84" t="s">
        <v>1376</v>
      </c>
      <c r="I598" s="92" t="s">
        <v>1377</v>
      </c>
      <c r="J598" s="1" t="s">
        <v>15</v>
      </c>
      <c r="M598" s="2" t="s">
        <v>1378</v>
      </c>
    </row>
    <row r="599" spans="1:14" x14ac:dyDescent="0.3">
      <c r="A599" s="33"/>
      <c r="B599" s="34"/>
      <c r="C599" s="35"/>
      <c r="D599" s="36"/>
      <c r="E599" s="37"/>
    </row>
    <row r="600" spans="1:14" ht="12" x14ac:dyDescent="0.3">
      <c r="A600" s="33"/>
      <c r="B600" s="34"/>
      <c r="C600" s="35"/>
      <c r="D600" s="36"/>
      <c r="E600" s="37"/>
      <c r="H600" s="82" t="s">
        <v>1379</v>
      </c>
      <c r="I600" s="91" t="s">
        <v>1380</v>
      </c>
    </row>
    <row r="601" spans="1:14" ht="14.4" x14ac:dyDescent="0.3">
      <c r="A601" s="28" t="str">
        <f>HYPERLINK("https://www.google.com/search?q=Pardaliparus elegans&amp;tbm=isch")</f>
        <v>https://www.google.com/search?q=Pardaliparus elegans&amp;tbm=isch</v>
      </c>
      <c r="B601" s="29" t="str">
        <f>HYPERLINK("https://www.xeno-canto.org/species/Pardaliparus-elegans")</f>
        <v>https://www.xeno-canto.org/species/Pardaliparus-elegans</v>
      </c>
      <c r="C601" s="30" t="str">
        <f>HYPERLINK("https://ebird.org/species/eletit2")</f>
        <v>https://ebird.org/species/eletit2</v>
      </c>
      <c r="D601" s="31" t="str">
        <f>HYPERLINK("https://www.hbw.com/species/Elegant-Tit-Pardaliparus-elegans")</f>
        <v>https://www.hbw.com/species/Elegant-Tit-Pardaliparus-elegans</v>
      </c>
      <c r="E601" s="32" t="str">
        <f>HYPERLINK("https://www.iucnredlist.org/search?query=Pardaliparus elegans&amp;searchType=species")</f>
        <v>https://www.iucnredlist.org/search?query=Pardaliparus elegans&amp;searchType=species</v>
      </c>
      <c r="F601" s="2">
        <v>465</v>
      </c>
      <c r="G601" s="27" t="s">
        <v>1380</v>
      </c>
      <c r="H601" s="86" t="s">
        <v>1381</v>
      </c>
      <c r="I601" s="94" t="s">
        <v>1382</v>
      </c>
      <c r="J601" s="1" t="s">
        <v>65</v>
      </c>
      <c r="M601" s="2" t="s">
        <v>68</v>
      </c>
    </row>
    <row r="602" spans="1:14" ht="14.4" x14ac:dyDescent="0.3">
      <c r="A602" s="28" t="str">
        <f>HYPERLINK("https://www.google.com/search?q=Pardaliparus amabilis&amp;tbm=isch")</f>
        <v>https://www.google.com/search?q=Pardaliparus amabilis&amp;tbm=isch</v>
      </c>
      <c r="B602" s="29" t="str">
        <f>HYPERLINK("https://www.xeno-canto.org/species/Pardaliparus-amabilis")</f>
        <v>https://www.xeno-canto.org/species/Pardaliparus-amabilis</v>
      </c>
      <c r="C602" s="30" t="str">
        <f>HYPERLINK("https://ebird.org/species/paltit2")</f>
        <v>https://ebird.org/species/paltit2</v>
      </c>
      <c r="D602" s="31" t="str">
        <f>HYPERLINK("https://www.hbw.com/species/Palawan-Tit-Pardaliparus-amabilis")</f>
        <v>https://www.hbw.com/species/Palawan-Tit-Pardaliparus-amabilis</v>
      </c>
      <c r="E602" s="32" t="str">
        <f>HYPERLINK("https://www.iucnredlist.org/search?query=Pardaliparus amabilis&amp;searchType=species")</f>
        <v>https://www.iucnredlist.org/search?query=Pardaliparus amabilis&amp;searchType=species</v>
      </c>
      <c r="F602" s="2">
        <v>466</v>
      </c>
      <c r="G602" s="27" t="s">
        <v>1380</v>
      </c>
      <c r="H602" s="86" t="s">
        <v>1383</v>
      </c>
      <c r="I602" s="94" t="s">
        <v>1384</v>
      </c>
      <c r="J602" s="1" t="s">
        <v>65</v>
      </c>
      <c r="K602" s="1" t="s">
        <v>58</v>
      </c>
      <c r="L602" s="1" t="s">
        <v>130</v>
      </c>
      <c r="M602" s="2" t="s">
        <v>68</v>
      </c>
    </row>
    <row r="603" spans="1:14" ht="14.4" x14ac:dyDescent="0.3">
      <c r="A603" s="28" t="str">
        <f>HYPERLINK("https://www.google.com/search?q=Sittiparus semilarvatus&amp;tbm=isch")</f>
        <v>https://www.google.com/search?q=Sittiparus semilarvatus&amp;tbm=isch</v>
      </c>
      <c r="B603" s="29" t="str">
        <f>HYPERLINK("https://www.xeno-canto.org/species/Sittiparus-semilarvatus")</f>
        <v>https://www.xeno-canto.org/species/Sittiparus-semilarvatus</v>
      </c>
      <c r="C603" s="30" t="str">
        <f>HYPERLINK("https://ebird.org/species/whftit2")</f>
        <v>https://ebird.org/species/whftit2</v>
      </c>
      <c r="D603" s="31" t="str">
        <f>HYPERLINK("https://www.hbw.com/species/White-fronted-Tit-Sittiparus-semilarvatus")</f>
        <v>https://www.hbw.com/species/White-fronted-Tit-Sittiparus-semilarvatus</v>
      </c>
      <c r="E603" s="32" t="str">
        <f>HYPERLINK("https://www.iucnredlist.org/search?query=Sittiparus semilarvatus&amp;searchType=species")</f>
        <v>https://www.iucnredlist.org/search?query=Sittiparus semilarvatus&amp;searchType=species</v>
      </c>
      <c r="F603" s="2">
        <v>467</v>
      </c>
      <c r="G603" s="27" t="s">
        <v>1380</v>
      </c>
      <c r="H603" s="86" t="s">
        <v>1385</v>
      </c>
      <c r="I603" s="94" t="s">
        <v>1386</v>
      </c>
      <c r="J603" s="1" t="s">
        <v>65</v>
      </c>
      <c r="K603" s="1" t="s">
        <v>58</v>
      </c>
      <c r="L603" s="1" t="s">
        <v>130</v>
      </c>
      <c r="M603" s="2" t="s">
        <v>68</v>
      </c>
    </row>
    <row r="604" spans="1:14" x14ac:dyDescent="0.3">
      <c r="A604" s="33"/>
      <c r="B604" s="34"/>
      <c r="C604" s="35"/>
      <c r="D604" s="36"/>
      <c r="E604" s="37"/>
    </row>
    <row r="605" spans="1:14" ht="12" x14ac:dyDescent="0.3">
      <c r="A605" s="33"/>
      <c r="B605" s="34"/>
      <c r="C605" s="35"/>
      <c r="D605" s="36"/>
      <c r="E605" s="37"/>
      <c r="H605" s="82" t="s">
        <v>1387</v>
      </c>
      <c r="I605" s="91" t="s">
        <v>1388</v>
      </c>
    </row>
    <row r="606" spans="1:14" ht="14.4" x14ac:dyDescent="0.3">
      <c r="A606" s="28" t="str">
        <f>HYPERLINK("https://www.google.com/search?q=Mirafra javanica&amp;tbm=isch")</f>
        <v>https://www.google.com/search?q=Mirafra javanica&amp;tbm=isch</v>
      </c>
      <c r="B606" s="29" t="str">
        <f>HYPERLINK("https://www.xeno-canto.org/species/Mirafra-javanica")</f>
        <v>https://www.xeno-canto.org/species/Mirafra-javanica</v>
      </c>
      <c r="C606" s="30" t="str">
        <f>HYPERLINK("https://ebird.org/species/ausbus2")</f>
        <v>https://ebird.org/species/ausbus2</v>
      </c>
      <c r="D606" s="31" t="str">
        <f>HYPERLINK("https://www.hbw.com/species/Horsfield's-Bushlark-Mirafra-javanica")</f>
        <v>https://www.hbw.com/species/Horsfield's-Bushlark-Mirafra-javanica</v>
      </c>
      <c r="E606" s="32" t="str">
        <f>HYPERLINK("https://www.iucnredlist.org/search?query=Mirafra javanica&amp;searchType=species")</f>
        <v>https://www.iucnredlist.org/search?query=Mirafra javanica&amp;searchType=species</v>
      </c>
      <c r="F606" s="2">
        <v>468</v>
      </c>
      <c r="G606" s="27" t="s">
        <v>1388</v>
      </c>
      <c r="H606" s="84" t="s">
        <v>1389</v>
      </c>
      <c r="I606" s="92" t="s">
        <v>1390</v>
      </c>
      <c r="J606" s="1" t="s">
        <v>15</v>
      </c>
      <c r="M606" s="2" t="s">
        <v>1391</v>
      </c>
      <c r="N606" s="2" t="s">
        <v>123</v>
      </c>
    </row>
    <row r="607" spans="1:14" ht="14.4" x14ac:dyDescent="0.3">
      <c r="A607" s="28" t="str">
        <f>HYPERLINK("https://www.google.com/search?q=Alauda gulgula&amp;tbm=isch")</f>
        <v>https://www.google.com/search?q=Alauda gulgula&amp;tbm=isch</v>
      </c>
      <c r="B607" s="29" t="str">
        <f>HYPERLINK("https://www.xeno-canto.org/species/Alauda-gulgula")</f>
        <v>https://www.xeno-canto.org/species/Alauda-gulgula</v>
      </c>
      <c r="C607" s="30" t="str">
        <f>HYPERLINK("https://ebird.org/species/orisky1")</f>
        <v>https://ebird.org/species/orisky1</v>
      </c>
      <c r="D607" s="31" t="str">
        <f>HYPERLINK("https://www.hbw.com/species/Oriental-Skylark-Alauda-gulgula")</f>
        <v>https://www.hbw.com/species/Oriental-Skylark-Alauda-gulgula</v>
      </c>
      <c r="E607" s="32" t="str">
        <f>HYPERLINK("https://www.iucnredlist.org/search?query=Alauda gulgula&amp;searchType=species")</f>
        <v>https://www.iucnredlist.org/search?query=Alauda gulgula&amp;searchType=species</v>
      </c>
      <c r="F607" s="2">
        <v>469</v>
      </c>
      <c r="G607" s="27" t="s">
        <v>1388</v>
      </c>
      <c r="H607" s="84" t="s">
        <v>1392</v>
      </c>
      <c r="I607" s="92" t="s">
        <v>1393</v>
      </c>
      <c r="J607" s="1" t="s">
        <v>15</v>
      </c>
      <c r="M607" s="2" t="s">
        <v>1394</v>
      </c>
    </row>
    <row r="608" spans="1:14" x14ac:dyDescent="0.3">
      <c r="A608" s="33"/>
      <c r="B608" s="34"/>
      <c r="C608" s="35"/>
      <c r="D608" s="36"/>
      <c r="E608" s="37"/>
    </row>
    <row r="609" spans="1:14" ht="12" x14ac:dyDescent="0.3">
      <c r="A609" s="33"/>
      <c r="B609" s="34"/>
      <c r="C609" s="35"/>
      <c r="D609" s="36"/>
      <c r="E609" s="37"/>
      <c r="H609" s="82" t="s">
        <v>1395</v>
      </c>
      <c r="I609" s="91" t="s">
        <v>1396</v>
      </c>
    </row>
    <row r="610" spans="1:14" ht="14.4" x14ac:dyDescent="0.3">
      <c r="A610" s="28" t="str">
        <f>HYPERLINK("https://www.google.com/search?q=Pycnonotus atriceps&amp;tbm=isch")</f>
        <v>https://www.google.com/search?q=Pycnonotus atriceps&amp;tbm=isch</v>
      </c>
      <c r="B610" s="29" t="str">
        <f>HYPERLINK("https://www.xeno-canto.org/species/Pycnonotus-atriceps")</f>
        <v>https://www.xeno-canto.org/species/Pycnonotus-atriceps</v>
      </c>
      <c r="C610" s="30" t="str">
        <f>HYPERLINK("https://ebird.org/species/blhbul1")</f>
        <v>https://ebird.org/species/blhbul1</v>
      </c>
      <c r="D610" s="31" t="str">
        <f>HYPERLINK("https://www.hbw.com/species/Black-headed-Bulbul-Brachypodius-atriceps")</f>
        <v>https://www.hbw.com/species/Black-headed-Bulbul-Brachypodius-atriceps</v>
      </c>
      <c r="E610" s="32" t="str">
        <f>HYPERLINK("https://www.iucnredlist.org/search?query=Pycnonotus atriceps&amp;searchType=species")</f>
        <v>https://www.iucnredlist.org/search?query=Pycnonotus atriceps&amp;searchType=species</v>
      </c>
      <c r="F610" s="2">
        <v>470</v>
      </c>
      <c r="G610" s="27" t="s">
        <v>1396</v>
      </c>
      <c r="H610" s="84" t="s">
        <v>1397</v>
      </c>
      <c r="I610" s="92" t="s">
        <v>1398</v>
      </c>
      <c r="J610" s="1" t="s">
        <v>15</v>
      </c>
      <c r="M610" s="2" t="s">
        <v>43</v>
      </c>
    </row>
    <row r="611" spans="1:14" ht="14.4" x14ac:dyDescent="0.3">
      <c r="A611" s="28" t="str">
        <f>HYPERLINK("https://www.google.com/search?q=Pycnonotus urostictus&amp;tbm=isch")</f>
        <v>https://www.google.com/search?q=Pycnonotus urostictus&amp;tbm=isch</v>
      </c>
      <c r="B611" s="29" t="str">
        <f>HYPERLINK("https://www.xeno-canto.org/species/Pycnonotus-urostictus")</f>
        <v>https://www.xeno-canto.org/species/Pycnonotus-urostictus</v>
      </c>
      <c r="C611" s="30" t="str">
        <f>HYPERLINK("https://ebird.org/species/yewbul1")</f>
        <v>https://ebird.org/species/yewbul1</v>
      </c>
      <c r="D611" s="31" t="str">
        <f>HYPERLINK("https://www.hbw.com/species/Yellow-wattled-Bulbul-Poliolophus-urostictus")</f>
        <v>https://www.hbw.com/species/Yellow-wattled-Bulbul-Poliolophus-urostictus</v>
      </c>
      <c r="E611" s="32" t="str">
        <f>HYPERLINK("https://www.iucnredlist.org/search?query=Pycnonotus urostictus&amp;searchType=species")</f>
        <v>https://www.iucnredlist.org/search?query=Pycnonotus urostictus&amp;searchType=species</v>
      </c>
      <c r="F611" s="2">
        <v>471</v>
      </c>
      <c r="G611" s="27" t="s">
        <v>1396</v>
      </c>
      <c r="H611" s="86" t="s">
        <v>1399</v>
      </c>
      <c r="I611" s="94" t="s">
        <v>1400</v>
      </c>
      <c r="J611" s="1" t="s">
        <v>65</v>
      </c>
      <c r="M611" s="2" t="s">
        <v>68</v>
      </c>
    </row>
    <row r="612" spans="1:14" ht="14.4" x14ac:dyDescent="0.3">
      <c r="A612" s="28" t="str">
        <f>HYPERLINK("https://www.google.com/search?q=Pycnonotus goiavier&amp;tbm=isch")</f>
        <v>https://www.google.com/search?q=Pycnonotus goiavier&amp;tbm=isch</v>
      </c>
      <c r="B612" s="29" t="str">
        <f>HYPERLINK("https://www.xeno-canto.org/species/Pycnonotus-goiavier")</f>
        <v>https://www.xeno-canto.org/species/Pycnonotus-goiavier</v>
      </c>
      <c r="C612" s="30" t="str">
        <f>HYPERLINK("https://ebird.org/species/yevbul1")</f>
        <v>https://ebird.org/species/yevbul1</v>
      </c>
      <c r="D612" s="31" t="str">
        <f>HYPERLINK("https://www.hbw.com/species/Yellow-vented-Bulbul-Pycnonotus-goiavier")</f>
        <v>https://www.hbw.com/species/Yellow-vented-Bulbul-Pycnonotus-goiavier</v>
      </c>
      <c r="E612" s="32" t="str">
        <f>HYPERLINK("https://www.iucnredlist.org/search?query=Pycnonotus goiavier&amp;searchType=species")</f>
        <v>https://www.iucnredlist.org/search?query=Pycnonotus goiavier&amp;searchType=species</v>
      </c>
      <c r="F612" s="2">
        <v>472</v>
      </c>
      <c r="G612" s="27" t="s">
        <v>1396</v>
      </c>
      <c r="H612" s="84" t="s">
        <v>1401</v>
      </c>
      <c r="I612" s="92" t="s">
        <v>1402</v>
      </c>
      <c r="J612" s="1" t="s">
        <v>15</v>
      </c>
      <c r="M612" s="2" t="s">
        <v>1403</v>
      </c>
    </row>
    <row r="613" spans="1:14" ht="20.399999999999999" x14ac:dyDescent="0.3">
      <c r="A613" s="28" t="str">
        <f>HYPERLINK("https://www.google.com/search?q=Pycnonotus plumosus&amp;tbm=isch")</f>
        <v>https://www.google.com/search?q=Pycnonotus plumosus&amp;tbm=isch</v>
      </c>
      <c r="B613" s="29" t="str">
        <f>HYPERLINK("https://www.xeno-canto.org/species/Pycnonotus-plumosus")</f>
        <v>https://www.xeno-canto.org/species/Pycnonotus-plumosus</v>
      </c>
      <c r="C613" s="30" t="str">
        <f>HYPERLINK("https://ebird.org/species/olwbul1")</f>
        <v>https://ebird.org/species/olwbul1</v>
      </c>
      <c r="D613" s="31" t="str">
        <f>HYPERLINK("https://www.hbw.com/species/Olive-winged-Bulbul-Pycnonotus-plumosus")</f>
        <v>https://www.hbw.com/species/Olive-winged-Bulbul-Pycnonotus-plumosus</v>
      </c>
      <c r="E613" s="32" t="str">
        <f>HYPERLINK("https://www.iucnredlist.org/search?query=Pycnonotus plumosus&amp;searchType=species")</f>
        <v>https://www.iucnredlist.org/search?query=Pycnonotus plumosus&amp;searchType=species</v>
      </c>
      <c r="F613" s="2">
        <v>473</v>
      </c>
      <c r="G613" s="27" t="s">
        <v>1396</v>
      </c>
      <c r="H613" s="84" t="s">
        <v>1404</v>
      </c>
      <c r="I613" s="92" t="s">
        <v>1405</v>
      </c>
      <c r="J613" s="1" t="s">
        <v>15</v>
      </c>
      <c r="M613" s="2" t="s">
        <v>1406</v>
      </c>
    </row>
    <row r="614" spans="1:14" ht="14.4" x14ac:dyDescent="0.3">
      <c r="A614" s="28" t="str">
        <f>HYPERLINK("https://www.google.com/search?q=Pycnonotus cinereifrons&amp;tbm=isch")</f>
        <v>https://www.google.com/search?q=Pycnonotus cinereifrons&amp;tbm=isch</v>
      </c>
      <c r="B614" s="29" t="str">
        <f>HYPERLINK("https://www.xeno-canto.org/species/Pycnonotus-cinereifrons")</f>
        <v>https://www.xeno-canto.org/species/Pycnonotus-cinereifrons</v>
      </c>
      <c r="C614" s="30" t="str">
        <f>HYPERLINK("https://ebird.org/species/asfbul1")</f>
        <v>https://ebird.org/species/asfbul1</v>
      </c>
      <c r="D614" s="31" t="str">
        <f>HYPERLINK("https://www.hbw.com/species/Ashy-fronted-Bulbul-Pycnonotus-cinereifrons")</f>
        <v>https://www.hbw.com/species/Ashy-fronted-Bulbul-Pycnonotus-cinereifrons</v>
      </c>
      <c r="E614" s="32" t="str">
        <f>HYPERLINK("https://www.iucnredlist.org/search?query=Pycnonotus cinereifrons&amp;searchType=species")</f>
        <v>https://www.iucnredlist.org/search?query=Pycnonotus cinereifrons&amp;searchType=species</v>
      </c>
      <c r="F614" s="2">
        <v>474</v>
      </c>
      <c r="G614" s="27" t="s">
        <v>1396</v>
      </c>
      <c r="H614" s="86" t="s">
        <v>1407</v>
      </c>
      <c r="I614" s="94" t="s">
        <v>1408</v>
      </c>
      <c r="J614" s="1" t="s">
        <v>65</v>
      </c>
      <c r="M614" s="2" t="s">
        <v>1409</v>
      </c>
    </row>
    <row r="615" spans="1:14" ht="14.4" x14ac:dyDescent="0.3">
      <c r="A615" s="28" t="str">
        <f>HYPERLINK("https://www.google.com/search?q=Alophoixus frater&amp;tbm=isch")</f>
        <v>https://www.google.com/search?q=Alophoixus frater&amp;tbm=isch</v>
      </c>
      <c r="B615" s="29" t="str">
        <f>HYPERLINK("https://www.xeno-canto.org/species/Alophoixus-frater")</f>
        <v>https://www.xeno-canto.org/species/Alophoixus-frater</v>
      </c>
      <c r="C615" s="30" t="str">
        <f>HYPERLINK("https://ebird.org/species/gytbul1")</f>
        <v>https://ebird.org/species/gytbul1</v>
      </c>
      <c r="D615" s="31" t="str">
        <f>HYPERLINK("https://www.hbw.com/species/Palawan-Bulbul-Alophoixus-frater")</f>
        <v>https://www.hbw.com/species/Palawan-Bulbul-Alophoixus-frater</v>
      </c>
      <c r="E615" s="32" t="str">
        <f>HYPERLINK("https://www.iucnredlist.org/search?query=Alophoixus frater&amp;searchType=species")</f>
        <v>https://www.iucnredlist.org/search?query=Alophoixus frater&amp;searchType=species</v>
      </c>
      <c r="F615" s="2">
        <v>475</v>
      </c>
      <c r="G615" s="27" t="s">
        <v>1396</v>
      </c>
      <c r="H615" s="86" t="s">
        <v>1410</v>
      </c>
      <c r="I615" s="94" t="s">
        <v>1411</v>
      </c>
      <c r="J615" s="1" t="s">
        <v>65</v>
      </c>
      <c r="L615" s="1" t="s">
        <v>130</v>
      </c>
      <c r="M615" s="2" t="s">
        <v>1409</v>
      </c>
    </row>
    <row r="616" spans="1:14" ht="14.4" x14ac:dyDescent="0.3">
      <c r="A616" s="28" t="str">
        <f>HYPERLINK("https://www.google.com/search?q=Iole palawanensis&amp;tbm=isch")</f>
        <v>https://www.google.com/search?q=Iole palawanensis&amp;tbm=isch</v>
      </c>
      <c r="B616" s="29" t="str">
        <f>HYPERLINK("https://www.xeno-canto.org/species/Iole-palawanensis")</f>
        <v>https://www.xeno-canto.org/species/Iole-palawanensis</v>
      </c>
      <c r="C616" s="30" t="str">
        <f>HYPERLINK("https://ebird.org/species/subbul1")</f>
        <v>https://ebird.org/species/subbul1</v>
      </c>
      <c r="D616" s="31" t="str">
        <f>HYPERLINK("https://www.hbw.com/species/Sulphur-bellied-Bulbul-Iole-palawanensis")</f>
        <v>https://www.hbw.com/species/Sulphur-bellied-Bulbul-Iole-palawanensis</v>
      </c>
      <c r="E616" s="32" t="str">
        <f>HYPERLINK("https://www.iucnredlist.org/search?query=Iole palawanensis&amp;searchType=species")</f>
        <v>https://www.iucnredlist.org/search?query=Iole palawanensis&amp;searchType=species</v>
      </c>
      <c r="F616" s="2">
        <v>476</v>
      </c>
      <c r="G616" s="27" t="s">
        <v>1396</v>
      </c>
      <c r="H616" s="86" t="s">
        <v>1412</v>
      </c>
      <c r="I616" s="94" t="s">
        <v>1413</v>
      </c>
      <c r="J616" s="1" t="s">
        <v>65</v>
      </c>
      <c r="M616" s="2" t="s">
        <v>68</v>
      </c>
    </row>
    <row r="617" spans="1:14" ht="20.399999999999999" x14ac:dyDescent="0.3">
      <c r="A617" s="28" t="str">
        <f>HYPERLINK("https://www.google.com/search?q=Hypsipetes leucocephalus&amp;tbm=isch")</f>
        <v>https://www.google.com/search?q=Hypsipetes leucocephalus&amp;tbm=isch</v>
      </c>
      <c r="B617" s="29" t="str">
        <f>HYPERLINK("https://www.xeno-canto.org/species/Hypsipetes-leucocephalus")</f>
        <v>https://www.xeno-canto.org/species/Hypsipetes-leucocephalus</v>
      </c>
      <c r="C617" s="30" t="str">
        <f>HYPERLINK("https://ebird.org/species/blabul1")</f>
        <v>https://ebird.org/species/blabul1</v>
      </c>
      <c r="D617" s="31" t="str">
        <f>HYPERLINK("https://www.hbw.com/species/Black-Bulbul-Hypsipetes-leucocephalus")</f>
        <v>https://www.hbw.com/species/Black-Bulbul-Hypsipetes-leucocephalus</v>
      </c>
      <c r="E617" s="32" t="str">
        <f>HYPERLINK("https://www.iucnredlist.org/search?query=Hypsipetes leucocephalus&amp;searchType=species")</f>
        <v>https://www.iucnredlist.org/search?query=Hypsipetes leucocephalus&amp;searchType=species</v>
      </c>
      <c r="F617" s="2">
        <v>477</v>
      </c>
      <c r="G617" s="27" t="s">
        <v>1396</v>
      </c>
      <c r="H617" s="85" t="s">
        <v>1414</v>
      </c>
      <c r="I617" s="93" t="s">
        <v>1415</v>
      </c>
      <c r="J617" s="1" t="s">
        <v>19</v>
      </c>
      <c r="M617" s="2" t="s">
        <v>43</v>
      </c>
      <c r="N617" s="2" t="s">
        <v>11341</v>
      </c>
    </row>
    <row r="618" spans="1:14" ht="14.4" x14ac:dyDescent="0.3">
      <c r="A618" s="28" t="str">
        <f>HYPERLINK("https://www.google.com/search?q=Hypsipetes philippinus&amp;tbm=isch")</f>
        <v>https://www.google.com/search?q=Hypsipetes philippinus&amp;tbm=isch</v>
      </c>
      <c r="B618" s="29" t="str">
        <f>HYPERLINK("https://www.xeno-canto.org/species/Hypsipetes-philippinus")</f>
        <v>https://www.xeno-canto.org/species/Hypsipetes-philippinus</v>
      </c>
      <c r="C618" s="30" t="str">
        <f>HYPERLINK("https://ebird.org/species/phibul1")</f>
        <v>https://ebird.org/species/phibul1</v>
      </c>
      <c r="D618" s="31" t="str">
        <f>HYPERLINK("https://www.hbw.com/species/Philippine-Bulbul-Hypsipetes-philippinus")</f>
        <v>https://www.hbw.com/species/Philippine-Bulbul-Hypsipetes-philippinus</v>
      </c>
      <c r="E618" s="32" t="str">
        <f>HYPERLINK("https://www.iucnredlist.org/search?query=Hypsipetes philippinus&amp;searchType=species")</f>
        <v>https://www.iucnredlist.org/search?query=Hypsipetes philippinus&amp;searchType=species</v>
      </c>
      <c r="F618" s="2">
        <v>478</v>
      </c>
      <c r="G618" s="27" t="s">
        <v>1396</v>
      </c>
      <c r="H618" s="86" t="s">
        <v>1416</v>
      </c>
      <c r="I618" s="94" t="s">
        <v>1417</v>
      </c>
      <c r="J618" s="1" t="s">
        <v>65</v>
      </c>
      <c r="M618" s="2" t="s">
        <v>68</v>
      </c>
    </row>
    <row r="619" spans="1:14" ht="14.4" x14ac:dyDescent="0.3">
      <c r="A619" s="28" t="str">
        <f>HYPERLINK("https://www.google.com/search?q=Hypsipetes mindorensis&amp;tbm=isch")</f>
        <v>https://www.google.com/search?q=Hypsipetes mindorensis&amp;tbm=isch</v>
      </c>
      <c r="B619" s="29" t="str">
        <f>HYPERLINK("https://www.xeno-canto.org/species/Hypsipetes-mindorensis")</f>
        <v>https://www.xeno-canto.org/species/Hypsipetes-mindorensis</v>
      </c>
      <c r="C619" s="30" t="str">
        <f>HYPERLINK("https://ebird.org/species/minbul1")</f>
        <v>https://ebird.org/species/minbul1</v>
      </c>
      <c r="D619" s="31" t="str">
        <f>HYPERLINK("https://www.hbw.com/species/Mindoro-Bulbul-Hypsipetes-mindorensis")</f>
        <v>https://www.hbw.com/species/Mindoro-Bulbul-Hypsipetes-mindorensis</v>
      </c>
      <c r="E619" s="32" t="str">
        <f>HYPERLINK("https://www.iucnredlist.org/search?query=Hypsipetes mindorensis&amp;searchType=species")</f>
        <v>https://www.iucnredlist.org/search?query=Hypsipetes mindorensis&amp;searchType=species</v>
      </c>
      <c r="F619" s="2">
        <v>479</v>
      </c>
      <c r="G619" s="27" t="s">
        <v>1396</v>
      </c>
      <c r="H619" s="86" t="s">
        <v>1418</v>
      </c>
      <c r="I619" s="94" t="s">
        <v>1419</v>
      </c>
      <c r="J619" s="1" t="s">
        <v>65</v>
      </c>
      <c r="M619" s="2" t="s">
        <v>1420</v>
      </c>
    </row>
    <row r="620" spans="1:14" ht="14.4" x14ac:dyDescent="0.3">
      <c r="A620" s="28" t="str">
        <f>HYPERLINK("https://www.google.com/search?q=Hypsipetes guimarasensis&amp;tbm=isch")</f>
        <v>https://www.google.com/search?q=Hypsipetes guimarasensis&amp;tbm=isch</v>
      </c>
      <c r="B620" s="29" t="str">
        <f>HYPERLINK("https://www.xeno-canto.org/species/Hypsipetes-guimarasensis")</f>
        <v>https://www.xeno-canto.org/species/Hypsipetes-guimarasensis</v>
      </c>
      <c r="C620" s="30" t="str">
        <f>HYPERLINK("https://ebird.org/species/visbul1")</f>
        <v>https://ebird.org/species/visbul1</v>
      </c>
      <c r="D620" s="31" t="str">
        <f>HYPERLINK("https://www.hbw.com/species/Visayan-Bulbul-Hypsipetes-guimarasensis")</f>
        <v>https://www.hbw.com/species/Visayan-Bulbul-Hypsipetes-guimarasensis</v>
      </c>
      <c r="E620" s="32" t="str">
        <f>HYPERLINK("https://www.iucnredlist.org/search?query=Hypsipetes guimarasensis&amp;searchType=species")</f>
        <v>https://www.iucnredlist.org/search?query=Hypsipetes guimarasensis&amp;searchType=species</v>
      </c>
      <c r="F620" s="2">
        <v>480</v>
      </c>
      <c r="G620" s="27" t="s">
        <v>1396</v>
      </c>
      <c r="H620" s="86" t="s">
        <v>1421</v>
      </c>
      <c r="I620" s="94" t="s">
        <v>1422</v>
      </c>
      <c r="J620" s="1" t="s">
        <v>65</v>
      </c>
      <c r="M620" s="2" t="s">
        <v>1423</v>
      </c>
    </row>
    <row r="621" spans="1:14" ht="14.4" x14ac:dyDescent="0.3">
      <c r="A621" s="28" t="str">
        <f>HYPERLINK("https://www.google.com/search?q=Hypsipetes rufigularis&amp;tbm=isch")</f>
        <v>https://www.google.com/search?q=Hypsipetes rufigularis&amp;tbm=isch</v>
      </c>
      <c r="B621" s="29" t="str">
        <f>HYPERLINK("https://www.xeno-canto.org/species/Hypsipetes-rufigularis")</f>
        <v>https://www.xeno-canto.org/species/Hypsipetes-rufigularis</v>
      </c>
      <c r="C621" s="30" t="str">
        <f>HYPERLINK("https://ebird.org/species/zambul1")</f>
        <v>https://ebird.org/species/zambul1</v>
      </c>
      <c r="D621" s="31" t="str">
        <f>HYPERLINK("https://www.hbw.com/species/Zamboanga-Bulbul-Hypsipetes-rufigularis")</f>
        <v>https://www.hbw.com/species/Zamboanga-Bulbul-Hypsipetes-rufigularis</v>
      </c>
      <c r="E621" s="32" t="str">
        <f>HYPERLINK("https://www.iucnredlist.org/search?query=Hypsipetes rufigularis&amp;searchType=species")</f>
        <v>https://www.iucnredlist.org/search?query=Hypsipetes rufigularis&amp;searchType=species</v>
      </c>
      <c r="F621" s="2">
        <v>481</v>
      </c>
      <c r="G621" s="27" t="s">
        <v>1396</v>
      </c>
      <c r="H621" s="86" t="s">
        <v>1424</v>
      </c>
      <c r="I621" s="94" t="s">
        <v>1425</v>
      </c>
      <c r="J621" s="1" t="s">
        <v>65</v>
      </c>
      <c r="K621" s="1" t="s">
        <v>58</v>
      </c>
      <c r="L621" s="1" t="s">
        <v>66</v>
      </c>
      <c r="M621" s="2" t="s">
        <v>68</v>
      </c>
      <c r="N621" s="2" t="s">
        <v>123</v>
      </c>
    </row>
    <row r="622" spans="1:14" ht="14.4" x14ac:dyDescent="0.3">
      <c r="A622" s="28" t="str">
        <f>HYPERLINK("https://www.google.com/search?q=Hypsipetes siquijorensis&amp;tbm=isch")</f>
        <v>https://www.google.com/search?q=Hypsipetes siquijorensis&amp;tbm=isch</v>
      </c>
      <c r="B622" s="29" t="str">
        <f>HYPERLINK("https://www.xeno-canto.org/species/Hypsipetes-siquijorensis")</f>
        <v>https://www.xeno-canto.org/species/Hypsipetes-siquijorensis</v>
      </c>
      <c r="C622" s="30" t="str">
        <f>HYPERLINK("https://ebird.org/species/stbbul1")</f>
        <v>https://ebird.org/species/stbbul1</v>
      </c>
      <c r="D622" s="31" t="str">
        <f>HYPERLINK("https://www.hbw.com/species/Streak-breasted-Bulbul-Hypsipetes-siquijorensis")</f>
        <v>https://www.hbw.com/species/Streak-breasted-Bulbul-Hypsipetes-siquijorensis</v>
      </c>
      <c r="E622" s="32" t="str">
        <f>HYPERLINK("https://www.iucnredlist.org/search?query=Hypsipetes siquijorensis&amp;searchType=species")</f>
        <v>https://www.iucnredlist.org/search?query=Hypsipetes siquijorensis&amp;searchType=species</v>
      </c>
      <c r="F622" s="2">
        <v>482</v>
      </c>
      <c r="G622" s="27" t="s">
        <v>1396</v>
      </c>
      <c r="H622" s="86" t="s">
        <v>1426</v>
      </c>
      <c r="I622" s="94" t="s">
        <v>1427</v>
      </c>
      <c r="J622" s="1" t="s">
        <v>65</v>
      </c>
      <c r="K622" s="1" t="s">
        <v>67</v>
      </c>
      <c r="L622" s="1" t="s">
        <v>85</v>
      </c>
      <c r="M622" s="2" t="s">
        <v>68</v>
      </c>
      <c r="N622" s="2" t="s">
        <v>123</v>
      </c>
    </row>
    <row r="623" spans="1:14" ht="14.4" x14ac:dyDescent="0.3">
      <c r="A623" s="28" t="str">
        <f>HYPERLINK("https://www.google.com/search?q=Hypsipetes everetti&amp;tbm=isch")</f>
        <v>https://www.google.com/search?q=Hypsipetes everetti&amp;tbm=isch</v>
      </c>
      <c r="B623" s="29" t="str">
        <f>HYPERLINK("https://www.xeno-canto.org/species/Hypsipetes-everetti")</f>
        <v>https://www.xeno-canto.org/species/Hypsipetes-everetti</v>
      </c>
      <c r="C623" s="30" t="str">
        <f>HYPERLINK("https://ebird.org/species/yelbul1")</f>
        <v>https://ebird.org/species/yelbul1</v>
      </c>
      <c r="D623" s="31" t="str">
        <f>HYPERLINK("https://www.hbw.com/species/Yellowish-Bulbul-Hypsipetes-everetti")</f>
        <v>https://www.hbw.com/species/Yellowish-Bulbul-Hypsipetes-everetti</v>
      </c>
      <c r="E623" s="32" t="str">
        <f>HYPERLINK("https://www.iucnredlist.org/search?query=Hypsipetes everetti&amp;searchType=species")</f>
        <v>https://www.iucnredlist.org/search?query=Hypsipetes everetti&amp;searchType=species</v>
      </c>
      <c r="F623" s="2">
        <v>483</v>
      </c>
      <c r="G623" s="27" t="s">
        <v>1396</v>
      </c>
      <c r="H623" s="86" t="s">
        <v>1428</v>
      </c>
      <c r="I623" s="94" t="s">
        <v>1429</v>
      </c>
      <c r="J623" s="1" t="s">
        <v>65</v>
      </c>
      <c r="M623" s="2" t="s">
        <v>68</v>
      </c>
      <c r="N623" s="2" t="s">
        <v>123</v>
      </c>
    </row>
    <row r="624" spans="1:14" ht="14.4" x14ac:dyDescent="0.3">
      <c r="A624" s="28" t="str">
        <f>HYPERLINK("https://www.google.com/search?q=Hypsipetes amaurotis&amp;tbm=isch")</f>
        <v>https://www.google.com/search?q=Hypsipetes amaurotis&amp;tbm=isch</v>
      </c>
      <c r="B624" s="29" t="str">
        <f>HYPERLINK("https://www.xeno-canto.org/species/Hypsipetes-amaurotis")</f>
        <v>https://www.xeno-canto.org/species/Hypsipetes-amaurotis</v>
      </c>
      <c r="C624" s="30" t="str">
        <f>HYPERLINK("https://ebird.org/species/brebul1")</f>
        <v>https://ebird.org/species/brebul1</v>
      </c>
      <c r="D624" s="31" t="str">
        <f>HYPERLINK("https://www.hbw.com/species/Brown-eared-Bulbul-Hypsipetes-amaurotis")</f>
        <v>https://www.hbw.com/species/Brown-eared-Bulbul-Hypsipetes-amaurotis</v>
      </c>
      <c r="E624" s="32" t="str">
        <f>HYPERLINK("https://www.iucnredlist.org/search?query=Hypsipetes amaurotis&amp;searchType=species")</f>
        <v>https://www.iucnredlist.org/search?query=Hypsipetes amaurotis&amp;searchType=species</v>
      </c>
      <c r="F624" s="2">
        <v>484</v>
      </c>
      <c r="G624" s="27" t="s">
        <v>1396</v>
      </c>
      <c r="H624" s="84" t="s">
        <v>1430</v>
      </c>
      <c r="I624" s="92" t="s">
        <v>1431</v>
      </c>
      <c r="J624" s="1" t="s">
        <v>15</v>
      </c>
      <c r="M624" s="2" t="s">
        <v>1432</v>
      </c>
      <c r="N624" s="2" t="s">
        <v>123</v>
      </c>
    </row>
    <row r="625" spans="1:13" x14ac:dyDescent="0.3">
      <c r="A625" s="33"/>
      <c r="B625" s="34"/>
      <c r="C625" s="35"/>
      <c r="D625" s="36"/>
      <c r="E625" s="37"/>
    </row>
    <row r="626" spans="1:13" ht="12" x14ac:dyDescent="0.3">
      <c r="A626" s="33"/>
      <c r="B626" s="34"/>
      <c r="C626" s="35"/>
      <c r="D626" s="36"/>
      <c r="E626" s="37"/>
      <c r="H626" s="82" t="s">
        <v>1433</v>
      </c>
      <c r="I626" s="91" t="s">
        <v>1434</v>
      </c>
    </row>
    <row r="627" spans="1:13" ht="14.4" x14ac:dyDescent="0.3">
      <c r="A627" s="28" t="str">
        <f>HYPERLINK("https://www.google.com/search?q=Riparia chinensis&amp;tbm=isch")</f>
        <v>https://www.google.com/search?q=Riparia chinensis&amp;tbm=isch</v>
      </c>
      <c r="B627" s="29" t="str">
        <f>HYPERLINK("https://www.xeno-canto.org/species/Riparia-chinensis")</f>
        <v>https://www.xeno-canto.org/species/Riparia-chinensis</v>
      </c>
      <c r="C627" s="30" t="str">
        <f>HYPERLINK("https://ebird.org/species/gytmar1")</f>
        <v>https://ebird.org/species/gytmar1</v>
      </c>
      <c r="D627" s="31" t="str">
        <f>HYPERLINK("https://www.hbw.com/species/Asian-Plain-Martin-Riparia-chinensis")</f>
        <v>https://www.hbw.com/species/Asian-Plain-Martin-Riparia-chinensis</v>
      </c>
      <c r="E627" s="32" t="str">
        <f>HYPERLINK("https://www.iucnredlist.org/search?query=Riparia chinensis&amp;searchType=species")</f>
        <v>https://www.iucnredlist.org/search?query=Riparia chinensis&amp;searchType=species</v>
      </c>
      <c r="F627" s="2">
        <v>485</v>
      </c>
      <c r="G627" s="27" t="s">
        <v>1434</v>
      </c>
      <c r="H627" s="84" t="s">
        <v>1435</v>
      </c>
      <c r="I627" s="92" t="s">
        <v>1436</v>
      </c>
      <c r="J627" s="1" t="s">
        <v>15</v>
      </c>
      <c r="M627" s="2" t="s">
        <v>1437</v>
      </c>
    </row>
    <row r="628" spans="1:13" ht="14.4" x14ac:dyDescent="0.3">
      <c r="A628" s="28" t="str">
        <f>HYPERLINK("https://www.google.com/search?q=Riparia riparia&amp;tbm=isch")</f>
        <v>https://www.google.com/search?q=Riparia riparia&amp;tbm=isch</v>
      </c>
      <c r="B628" s="29" t="str">
        <f>HYPERLINK("https://www.xeno-canto.org/species/Riparia-riparia")</f>
        <v>https://www.xeno-canto.org/species/Riparia-riparia</v>
      </c>
      <c r="C628" s="30" t="str">
        <f>HYPERLINK("https://ebird.org/species/banswa")</f>
        <v>https://ebird.org/species/banswa</v>
      </c>
      <c r="D628" s="31" t="str">
        <f>HYPERLINK("https://www.hbw.com/species/Collared-Sand-Martin-Riparia-riparia")</f>
        <v>https://www.hbw.com/species/Collared-Sand-Martin-Riparia-riparia</v>
      </c>
      <c r="E628" s="32" t="str">
        <f>HYPERLINK("https://www.iucnredlist.org/search?query=Riparia riparia&amp;searchType=species")</f>
        <v>https://www.iucnredlist.org/search?query=Riparia riparia&amp;searchType=species</v>
      </c>
      <c r="F628" s="2">
        <v>486</v>
      </c>
      <c r="G628" s="27" t="s">
        <v>1434</v>
      </c>
      <c r="H628" s="84" t="s">
        <v>1438</v>
      </c>
      <c r="I628" s="92" t="s">
        <v>1439</v>
      </c>
      <c r="J628" s="1" t="s">
        <v>50</v>
      </c>
      <c r="M628" s="2" t="s">
        <v>201</v>
      </c>
    </row>
    <row r="629" spans="1:13" ht="14.4" x14ac:dyDescent="0.3">
      <c r="A629" s="28" t="str">
        <f>HYPERLINK("https://www.google.com/search?q=Hirundo rustica&amp;tbm=isch")</f>
        <v>https://www.google.com/search?q=Hirundo rustica&amp;tbm=isch</v>
      </c>
      <c r="B629" s="29" t="str">
        <f>HYPERLINK("https://www.xeno-canto.org/species/Hirundo-rustica")</f>
        <v>https://www.xeno-canto.org/species/Hirundo-rustica</v>
      </c>
      <c r="C629" s="30" t="str">
        <f>HYPERLINK("https://ebird.org/species/barswa")</f>
        <v>https://ebird.org/species/barswa</v>
      </c>
      <c r="D629" s="31" t="str">
        <f>HYPERLINK("https://www.hbw.com/species/Barn-Swallow-Hirundo-rustica")</f>
        <v>https://www.hbw.com/species/Barn-Swallow-Hirundo-rustica</v>
      </c>
      <c r="E629" s="32" t="str">
        <f>HYPERLINK("https://www.iucnredlist.org/search?query=Hirundo rustica&amp;searchType=species")</f>
        <v>https://www.iucnredlist.org/search?query=Hirundo rustica&amp;searchType=species</v>
      </c>
      <c r="F629" s="2">
        <v>487</v>
      </c>
      <c r="G629" s="27" t="s">
        <v>1434</v>
      </c>
      <c r="H629" s="84" t="s">
        <v>1440</v>
      </c>
      <c r="I629" s="92" t="s">
        <v>1441</v>
      </c>
      <c r="J629" s="1" t="s">
        <v>50</v>
      </c>
      <c r="M629" s="2" t="s">
        <v>201</v>
      </c>
    </row>
    <row r="630" spans="1:13" ht="20.399999999999999" x14ac:dyDescent="0.3">
      <c r="A630" s="28" t="str">
        <f>HYPERLINK("https://www.google.com/search?q=Hirundo tahitica&amp;tbm=isch")</f>
        <v>https://www.google.com/search?q=Hirundo tahitica&amp;tbm=isch</v>
      </c>
      <c r="B630" s="29" t="str">
        <f>HYPERLINK("https://www.xeno-canto.org/species/Hirundo-tahitica")</f>
        <v>https://www.xeno-canto.org/species/Hirundo-tahitica</v>
      </c>
      <c r="C630" s="30" t="str">
        <f>HYPERLINK("https://ebird.org/species/pacswa1")</f>
        <v>https://ebird.org/species/pacswa1</v>
      </c>
      <c r="D630" s="31" t="str">
        <f>HYPERLINK("https://www.hbw.com/species/House-Swallow-Hirundo-javanica")</f>
        <v>https://www.hbw.com/species/House-Swallow-Hirundo-javanica</v>
      </c>
      <c r="E630" s="32" t="str">
        <f>HYPERLINK("https://www.iucnredlist.org/search?query=Hirundo tahitica&amp;searchType=species")</f>
        <v>https://www.iucnredlist.org/search?query=Hirundo tahitica&amp;searchType=species</v>
      </c>
      <c r="F630" s="2">
        <v>488</v>
      </c>
      <c r="G630" s="27" t="s">
        <v>1434</v>
      </c>
      <c r="H630" s="84" t="s">
        <v>1442</v>
      </c>
      <c r="I630" s="92" t="s">
        <v>1443</v>
      </c>
      <c r="J630" s="1" t="s">
        <v>15</v>
      </c>
      <c r="M630" s="2" t="s">
        <v>1444</v>
      </c>
    </row>
    <row r="631" spans="1:13" ht="14.4" x14ac:dyDescent="0.3">
      <c r="A631" s="28" t="str">
        <f>HYPERLINK("https://www.google.com/search?q=Delichon dasypus&amp;tbm=isch")</f>
        <v>https://www.google.com/search?q=Delichon dasypus&amp;tbm=isch</v>
      </c>
      <c r="B631" s="29" t="str">
        <f>HYPERLINK("https://www.xeno-canto.org/species/Delichon-dasypus")</f>
        <v>https://www.xeno-canto.org/species/Delichon-dasypus</v>
      </c>
      <c r="C631" s="30" t="str">
        <f>HYPERLINK("https://ebird.org/species/ashmar1")</f>
        <v>https://ebird.org/species/ashmar1</v>
      </c>
      <c r="D631" s="31" t="str">
        <f>HYPERLINK("https://www.hbw.com/species/Asian-House-Martin-Delichon-dasypus")</f>
        <v>https://www.hbw.com/species/Asian-House-Martin-Delichon-dasypus</v>
      </c>
      <c r="E631" s="32" t="str">
        <f>HYPERLINK("https://www.iucnredlist.org/search?query=Delichon dasypus&amp;searchType=species")</f>
        <v>https://www.iucnredlist.org/search?query=Delichon dasypus&amp;searchType=species</v>
      </c>
      <c r="F631" s="2">
        <v>489</v>
      </c>
      <c r="G631" s="27" t="s">
        <v>1434</v>
      </c>
      <c r="H631" s="83" t="s">
        <v>1445</v>
      </c>
      <c r="I631" s="92" t="s">
        <v>1446</v>
      </c>
      <c r="J631" s="1" t="s">
        <v>19</v>
      </c>
      <c r="M631" s="2" t="s">
        <v>1447</v>
      </c>
    </row>
    <row r="632" spans="1:13" ht="14.4" x14ac:dyDescent="0.3">
      <c r="A632" s="28" t="str">
        <f>HYPERLINK("https://www.google.com/search?q=Cecropis striolata&amp;tbm=isch")</f>
        <v>https://www.google.com/search?q=Cecropis striolata&amp;tbm=isch</v>
      </c>
      <c r="B632" s="29" t="str">
        <f>HYPERLINK("https://www.xeno-canto.org/species/Cecropis-striolata")</f>
        <v>https://www.xeno-canto.org/species/Cecropis-striolata</v>
      </c>
      <c r="C632" s="30" t="str">
        <f>HYPERLINK("https://ebird.org/species/strswa2")</f>
        <v>https://ebird.org/species/strswa2</v>
      </c>
      <c r="D632" s="31" t="str">
        <f>HYPERLINK("https://www.hbw.com/species/Red-rumped-Swallow-Cecropis-daurica")</f>
        <v>https://www.hbw.com/species/Red-rumped-Swallow-Cecropis-daurica</v>
      </c>
      <c r="E632" s="32" t="str">
        <f>HYPERLINK("https://www.iucnredlist.org/search?query=Cecropis striolata&amp;searchType=species")</f>
        <v>https://www.iucnredlist.org/search?query=Cecropis striolata&amp;searchType=species</v>
      </c>
      <c r="F632" s="2">
        <v>490</v>
      </c>
      <c r="G632" s="27" t="s">
        <v>1434</v>
      </c>
      <c r="H632" s="84" t="s">
        <v>1448</v>
      </c>
      <c r="I632" s="92" t="s">
        <v>1449</v>
      </c>
      <c r="J632" s="1" t="s">
        <v>15</v>
      </c>
      <c r="M632" s="2" t="s">
        <v>43</v>
      </c>
    </row>
    <row r="633" spans="1:13" x14ac:dyDescent="0.3">
      <c r="A633" s="33"/>
      <c r="B633" s="34"/>
      <c r="C633" s="35"/>
      <c r="D633" s="36"/>
      <c r="E633" s="37"/>
    </row>
    <row r="634" spans="1:13" ht="12" x14ac:dyDescent="0.3">
      <c r="A634" s="33"/>
      <c r="B634" s="34"/>
      <c r="C634" s="35"/>
      <c r="D634" s="36"/>
      <c r="E634" s="37"/>
      <c r="H634" s="82" t="s">
        <v>1450</v>
      </c>
      <c r="I634" s="91" t="s">
        <v>1451</v>
      </c>
    </row>
    <row r="635" spans="1:13" ht="14.4" x14ac:dyDescent="0.3">
      <c r="A635" s="28" t="str">
        <f>HYPERLINK("https://www.google.com/search?q=Phyllergates cucullatus&amp;tbm=isch")</f>
        <v>https://www.google.com/search?q=Phyllergates cucullatus&amp;tbm=isch</v>
      </c>
      <c r="B635" s="29" t="str">
        <f>HYPERLINK("https://www.xeno-canto.org/species/Phyllergates-cucullatus")</f>
        <v>https://www.xeno-canto.org/species/Phyllergates-cucullatus</v>
      </c>
      <c r="C635" s="30" t="str">
        <f>HYPERLINK("https://ebird.org/species/moutai2")</f>
        <v>https://ebird.org/species/moutai2</v>
      </c>
      <c r="D635" s="31" t="str">
        <f>HYPERLINK("https://www.hbw.com/species/Mountain-Tailorbird-Phyllergates-cucullatus")</f>
        <v>https://www.hbw.com/species/Mountain-Tailorbird-Phyllergates-cucullatus</v>
      </c>
      <c r="E635" s="32" t="str">
        <f>HYPERLINK("https://www.iucnredlist.org/search?query=Phyllergates cucullatus&amp;searchType=species")</f>
        <v>https://www.iucnredlist.org/search?query=Phyllergates cucullatus&amp;searchType=species</v>
      </c>
      <c r="F635" s="2">
        <v>491</v>
      </c>
      <c r="G635" s="27" t="s">
        <v>1451</v>
      </c>
      <c r="H635" s="84" t="s">
        <v>1452</v>
      </c>
      <c r="I635" s="92" t="s">
        <v>1453</v>
      </c>
      <c r="J635" s="1" t="s">
        <v>15</v>
      </c>
      <c r="M635" s="2" t="s">
        <v>954</v>
      </c>
    </row>
    <row r="636" spans="1:13" ht="14.4" x14ac:dyDescent="0.3">
      <c r="A636" s="28" t="str">
        <f>HYPERLINK("https://www.google.com/search?q=Phyllergates heterolaemus&amp;tbm=isch")</f>
        <v>https://www.google.com/search?q=Phyllergates heterolaemus&amp;tbm=isch</v>
      </c>
      <c r="B636" s="29" t="str">
        <f>HYPERLINK("https://www.xeno-canto.org/species/Phyllergates-heterolaemus")</f>
        <v>https://www.xeno-canto.org/species/Phyllergates-heterolaemus</v>
      </c>
      <c r="C636" s="30" t="str">
        <f>HYPERLINK("https://ebird.org/species/ruhtai2")</f>
        <v>https://ebird.org/species/ruhtai2</v>
      </c>
      <c r="D636" s="31" t="str">
        <f>HYPERLINK("https://www.hbw.com/species/Rufous-headed-Tailorbird-Phyllergates-heterolaemus")</f>
        <v>https://www.hbw.com/species/Rufous-headed-Tailorbird-Phyllergates-heterolaemus</v>
      </c>
      <c r="E636" s="32" t="str">
        <f>HYPERLINK("https://www.iucnredlist.org/search?query=Phyllergates heterolaemus&amp;searchType=species")</f>
        <v>https://www.iucnredlist.org/search?query=Phyllergates heterolaemus&amp;searchType=species</v>
      </c>
      <c r="F636" s="2">
        <v>492</v>
      </c>
      <c r="G636" s="27" t="s">
        <v>1451</v>
      </c>
      <c r="H636" s="86" t="s">
        <v>1454</v>
      </c>
      <c r="I636" s="94" t="s">
        <v>1455</v>
      </c>
      <c r="J636" s="1" t="s">
        <v>65</v>
      </c>
      <c r="M636" s="2" t="s">
        <v>998</v>
      </c>
    </row>
    <row r="637" spans="1:13" ht="14.4" x14ac:dyDescent="0.3">
      <c r="A637" s="28" t="str">
        <f>HYPERLINK("https://www.google.com/search?q=Horornis seebohmi&amp;tbm=isch")</f>
        <v>https://www.google.com/search?q=Horornis seebohmi&amp;tbm=isch</v>
      </c>
      <c r="B637" s="29" t="str">
        <f>HYPERLINK("https://www.xeno-canto.org/species/Horornis-seebohmi")</f>
        <v>https://www.xeno-canto.org/species/Horornis-seebohmi</v>
      </c>
      <c r="C637" s="30" t="str">
        <f>HYPERLINK("https://ebird.org/species/phbwar1")</f>
        <v>https://ebird.org/species/phbwar1</v>
      </c>
      <c r="D637" s="31" t="str">
        <f>HYPERLINK("https://www.hbw.com/species/Philippine-Bush-warbler-Horornis-seebohmi")</f>
        <v>https://www.hbw.com/species/Philippine-Bush-warbler-Horornis-seebohmi</v>
      </c>
      <c r="E637" s="32" t="str">
        <f>HYPERLINK("https://www.iucnredlist.org/search?query=Horornis seebohmi&amp;searchType=species")</f>
        <v>https://www.iucnredlist.org/search?query=Horornis seebohmi&amp;searchType=species</v>
      </c>
      <c r="F637" s="2">
        <v>493</v>
      </c>
      <c r="G637" s="27" t="s">
        <v>1451</v>
      </c>
      <c r="H637" s="86" t="s">
        <v>1456</v>
      </c>
      <c r="I637" s="94" t="s">
        <v>1457</v>
      </c>
      <c r="J637" s="1" t="s">
        <v>65</v>
      </c>
      <c r="M637" s="2" t="s">
        <v>68</v>
      </c>
    </row>
    <row r="638" spans="1:13" ht="20.399999999999999" x14ac:dyDescent="0.3">
      <c r="A638" s="28" t="str">
        <f>HYPERLINK("https://www.google.com/search?q=Horornis diphone&amp;tbm=isch")</f>
        <v>https://www.google.com/search?q=Horornis diphone&amp;tbm=isch</v>
      </c>
      <c r="B638" s="29" t="str">
        <f>HYPERLINK("https://www.xeno-canto.org/species/Horornis-diphone")</f>
        <v>https://www.xeno-canto.org/species/Horornis-diphone</v>
      </c>
      <c r="C638" s="30" t="str">
        <f>HYPERLINK("https://ebird.org/species/jabwar")</f>
        <v>https://ebird.org/species/jabwar</v>
      </c>
      <c r="D638" s="31" t="str">
        <f>HYPERLINK("https://www.hbw.com/species/Japanese-Bush-Warbler-Horornis-diphone")</f>
        <v>https://www.hbw.com/species/Japanese-Bush-Warbler-Horornis-diphone</v>
      </c>
      <c r="E638" s="32" t="str">
        <f>HYPERLINK("https://www.iucnredlist.org/search?query=Horornis diphone&amp;searchType=species")</f>
        <v>https://www.iucnredlist.org/search?query=Horornis diphone&amp;searchType=species</v>
      </c>
      <c r="F638" s="2">
        <v>494</v>
      </c>
      <c r="G638" s="27" t="s">
        <v>1451</v>
      </c>
      <c r="H638" s="83" t="s">
        <v>1458</v>
      </c>
      <c r="I638" s="92" t="s">
        <v>1459</v>
      </c>
      <c r="J638" s="1" t="s">
        <v>50</v>
      </c>
      <c r="M638" s="2" t="s">
        <v>1460</v>
      </c>
    </row>
    <row r="639" spans="1:13" ht="14.4" x14ac:dyDescent="0.3">
      <c r="A639" s="28" t="str">
        <f>HYPERLINK("https://www.google.com/search?q=Horornis canturians&amp;tbm=isch")</f>
        <v>https://www.google.com/search?q=Horornis canturians&amp;tbm=isch</v>
      </c>
      <c r="B639" s="29" t="str">
        <f>HYPERLINK("https://www.xeno-canto.org/species/Horornis-canturians")</f>
        <v>https://www.xeno-canto.org/species/Horornis-canturians</v>
      </c>
      <c r="C639" s="30" t="str">
        <f>HYPERLINK("https://ebird.org/species/manbuw1")</f>
        <v>https://ebird.org/species/manbuw1</v>
      </c>
      <c r="D639" s="31" t="str">
        <f>HYPERLINK("https://www.hbw.com/species/Korean-Bush-warbler-Horornis-canturians")</f>
        <v>https://www.hbw.com/species/Korean-Bush-warbler-Horornis-canturians</v>
      </c>
      <c r="E639" s="32" t="str">
        <f>HYPERLINK("https://www.iucnredlist.org/search?query=Horornis canturians&amp;searchType=species")</f>
        <v>https://www.iucnredlist.org/search?query=Horornis canturians&amp;searchType=species</v>
      </c>
      <c r="F639" s="2">
        <v>495</v>
      </c>
      <c r="G639" s="27" t="s">
        <v>1451</v>
      </c>
      <c r="H639" s="83" t="s">
        <v>1461</v>
      </c>
      <c r="I639" s="92" t="s">
        <v>1462</v>
      </c>
      <c r="J639" s="1" t="s">
        <v>50</v>
      </c>
      <c r="M639" s="2" t="s">
        <v>1463</v>
      </c>
    </row>
    <row r="640" spans="1:13" ht="20.399999999999999" x14ac:dyDescent="0.3">
      <c r="A640" s="28" t="str">
        <f>HYPERLINK("https://www.google.com/search?q=Horornis vulcanius&amp;tbm=isch")</f>
        <v>https://www.google.com/search?q=Horornis vulcanius&amp;tbm=isch</v>
      </c>
      <c r="B640" s="29" t="str">
        <f>HYPERLINK("https://www.xeno-canto.org/species/Horornis-vulcanius")</f>
        <v>https://www.xeno-canto.org/species/Horornis-vulcanius</v>
      </c>
      <c r="C640" s="30" t="str">
        <f>HYPERLINK("https://ebird.org/species/subwar4")</f>
        <v>https://ebird.org/species/subwar4</v>
      </c>
      <c r="D640" s="31" t="str">
        <f>HYPERLINK("https://www.hbw.com/species/Sunda-Bush-Warbler-Horornis-vulcanius")</f>
        <v>https://www.hbw.com/species/Sunda-Bush-Warbler-Horornis-vulcanius</v>
      </c>
      <c r="E640" s="32" t="str">
        <f>HYPERLINK("https://www.iucnredlist.org/search?query=Horornis vulcanius&amp;searchType=species")</f>
        <v>https://www.iucnredlist.org/search?query=Horornis vulcanius&amp;searchType=species</v>
      </c>
      <c r="F640" s="2">
        <v>496</v>
      </c>
      <c r="G640" s="27" t="s">
        <v>1451</v>
      </c>
      <c r="H640" s="84" t="s">
        <v>1464</v>
      </c>
      <c r="I640" s="92" t="s">
        <v>1465</v>
      </c>
      <c r="J640" s="1" t="s">
        <v>15</v>
      </c>
      <c r="M640" s="2" t="s">
        <v>1466</v>
      </c>
    </row>
    <row r="641" spans="1:14" ht="30.6" x14ac:dyDescent="0.3">
      <c r="A641" s="28" t="str">
        <f>HYPERLINK("https://www.google.com/search?q=Urosphena squameiceps&amp;tbm=isch")</f>
        <v>https://www.google.com/search?q=Urosphena squameiceps&amp;tbm=isch</v>
      </c>
      <c r="B641" s="29" t="str">
        <f>HYPERLINK("https://www.xeno-canto.org/species/Urosphena-squameiceps")</f>
        <v>https://www.xeno-canto.org/species/Urosphena-squameiceps</v>
      </c>
      <c r="C641" s="30" t="str">
        <f>HYPERLINK("https://ebird.org/species/asistu1")</f>
        <v>https://ebird.org/species/asistu1</v>
      </c>
      <c r="D641" s="31" t="str">
        <f>HYPERLINK("https://www.hbw.com/species/Asian-Stubtail-Urosphena-squameiceps")</f>
        <v>https://www.hbw.com/species/Asian-Stubtail-Urosphena-squameiceps</v>
      </c>
      <c r="E641" s="32" t="str">
        <f>HYPERLINK("https://www.iucnredlist.org/search?query=Urosphena squameiceps&amp;searchType=species")</f>
        <v>https://www.iucnredlist.org/search?query=Urosphena squameiceps&amp;searchType=species</v>
      </c>
      <c r="F641" s="2">
        <v>497</v>
      </c>
      <c r="G641" s="27" t="s">
        <v>1451</v>
      </c>
      <c r="H641" s="85" t="s">
        <v>1467</v>
      </c>
      <c r="I641" s="93" t="s">
        <v>1468</v>
      </c>
      <c r="J641" s="1" t="s">
        <v>19</v>
      </c>
      <c r="M641" s="2" t="s">
        <v>1469</v>
      </c>
      <c r="N641" s="2" t="s">
        <v>11342</v>
      </c>
    </row>
    <row r="642" spans="1:14" x14ac:dyDescent="0.3">
      <c r="A642" s="33"/>
      <c r="B642" s="34"/>
      <c r="C642" s="35"/>
      <c r="D642" s="36"/>
      <c r="E642" s="37"/>
    </row>
    <row r="643" spans="1:14" ht="12" x14ac:dyDescent="0.3">
      <c r="A643" s="33"/>
      <c r="B643" s="34"/>
      <c r="C643" s="35"/>
      <c r="D643" s="36"/>
      <c r="E643" s="37"/>
      <c r="H643" s="82" t="s">
        <v>1470</v>
      </c>
      <c r="I643" s="91" t="s">
        <v>1471</v>
      </c>
    </row>
    <row r="644" spans="1:14" ht="30.6" x14ac:dyDescent="0.3">
      <c r="A644" s="28" t="str">
        <f>HYPERLINK("https://www.google.com/search?q=Phylloscopus inornatus&amp;tbm=isch")</f>
        <v>https://www.google.com/search?q=Phylloscopus inornatus&amp;tbm=isch</v>
      </c>
      <c r="B644" s="29" t="str">
        <f>HYPERLINK("https://www.xeno-canto.org/species/Phylloscopus-inornatus")</f>
        <v>https://www.xeno-canto.org/species/Phylloscopus-inornatus</v>
      </c>
      <c r="C644" s="30" t="str">
        <f>HYPERLINK("https://ebird.org/species/yebwar3")</f>
        <v>https://ebird.org/species/yebwar3</v>
      </c>
      <c r="D644" s="31" t="str">
        <f>HYPERLINK("https://www.hbw.com/species/Yellow-browed-Warbler-Phylloscopus-inornatus")</f>
        <v>https://www.hbw.com/species/Yellow-browed-Warbler-Phylloscopus-inornatus</v>
      </c>
      <c r="E644" s="32" t="str">
        <f>HYPERLINK("https://www.iucnredlist.org/search?query=Phylloscopus inornatus&amp;searchType=species")</f>
        <v>https://www.iucnredlist.org/search?query=Phylloscopus inornatus&amp;searchType=species</v>
      </c>
      <c r="F644" s="2">
        <v>498</v>
      </c>
      <c r="G644" s="27" t="s">
        <v>1471</v>
      </c>
      <c r="H644" s="85" t="s">
        <v>1472</v>
      </c>
      <c r="I644" s="93" t="s">
        <v>1473</v>
      </c>
      <c r="J644" s="1" t="s">
        <v>19</v>
      </c>
      <c r="M644" s="2" t="s">
        <v>1474</v>
      </c>
      <c r="N644" s="2" t="s">
        <v>11343</v>
      </c>
    </row>
    <row r="645" spans="1:14" ht="20.399999999999999" x14ac:dyDescent="0.3">
      <c r="A645" s="28" t="str">
        <f>HYPERLINK("https://www.google.com/search?q=Phylloscopus schwarzi&amp;tbm=isch")</f>
        <v>https://www.google.com/search?q=Phylloscopus schwarzi&amp;tbm=isch</v>
      </c>
      <c r="B645" s="29" t="str">
        <f>HYPERLINK("https://www.xeno-canto.org/species/Phylloscopus-schwarzi")</f>
        <v>https://www.xeno-canto.org/species/Phylloscopus-schwarzi</v>
      </c>
      <c r="C645" s="30" t="str">
        <f>HYPERLINK("https://ebird.org/species/radwar1")</f>
        <v>https://ebird.org/species/radwar1</v>
      </c>
      <c r="D645" s="31" t="str">
        <f>HYPERLINK("https://www.hbw.com/species/Radde's-Warbler-Phylloscopus-schwarzi")</f>
        <v>https://www.hbw.com/species/Radde's-Warbler-Phylloscopus-schwarzi</v>
      </c>
      <c r="E645" s="32" t="str">
        <f>HYPERLINK("https://www.iucnredlist.org/search?query=Phylloscopus schwarzi&amp;searchType=species")</f>
        <v>https://www.iucnredlist.org/search?query=Phylloscopus schwarzi&amp;searchType=species</v>
      </c>
      <c r="F645" s="2">
        <v>499</v>
      </c>
      <c r="G645" s="27" t="s">
        <v>1471</v>
      </c>
      <c r="H645" s="83" t="s">
        <v>1475</v>
      </c>
      <c r="I645" s="92" t="s">
        <v>1476</v>
      </c>
      <c r="J645" s="1" t="s">
        <v>19</v>
      </c>
      <c r="M645" s="2" t="s">
        <v>1477</v>
      </c>
    </row>
    <row r="646" spans="1:14" ht="14.4" x14ac:dyDescent="0.3">
      <c r="A646" s="28" t="str">
        <f>HYPERLINK("https://www.google.com/search?q=Phylloscopus fuscatus&amp;tbm=isch")</f>
        <v>https://www.google.com/search?q=Phylloscopus fuscatus&amp;tbm=isch</v>
      </c>
      <c r="B646" s="29" t="str">
        <f>HYPERLINK("https://www.xeno-canto.org/species/Phylloscopus-fuscatus")</f>
        <v>https://www.xeno-canto.org/species/Phylloscopus-fuscatus</v>
      </c>
      <c r="C646" s="30" t="str">
        <f>HYPERLINK("https://ebird.org/species/duswar")</f>
        <v>https://ebird.org/species/duswar</v>
      </c>
      <c r="D646" s="31" t="str">
        <f>HYPERLINK("https://www.hbw.com/species/Dusky-Warbler-Phylloscopus-fuscatus")</f>
        <v>https://www.hbw.com/species/Dusky-Warbler-Phylloscopus-fuscatus</v>
      </c>
      <c r="E646" s="32" t="str">
        <f>HYPERLINK("https://www.iucnredlist.org/search?query=Phylloscopus fuscatus&amp;searchType=species")</f>
        <v>https://www.iucnredlist.org/search?query=Phylloscopus fuscatus&amp;searchType=species</v>
      </c>
      <c r="F646" s="2">
        <v>500</v>
      </c>
      <c r="G646" s="27" t="s">
        <v>1471</v>
      </c>
      <c r="H646" s="83" t="s">
        <v>1478</v>
      </c>
      <c r="I646" s="92" t="s">
        <v>1479</v>
      </c>
      <c r="J646" s="1" t="s">
        <v>19</v>
      </c>
      <c r="M646" s="2" t="s">
        <v>1480</v>
      </c>
    </row>
    <row r="647" spans="1:14" ht="40.799999999999997" x14ac:dyDescent="0.3">
      <c r="A647" s="28" t="str">
        <f>HYPERLINK("https://www.google.com/search?q=Phylloscopus trochilus&amp;tbm=isch")</f>
        <v>https://www.google.com/search?q=Phylloscopus trochilus&amp;tbm=isch</v>
      </c>
      <c r="B647" s="29" t="str">
        <f>HYPERLINK("https://www.xeno-canto.org/species/Phylloscopus-trochilus")</f>
        <v>https://www.xeno-canto.org/species/Phylloscopus-trochilus</v>
      </c>
      <c r="C647" s="30" t="str">
        <f>HYPERLINK("https://ebird.org/species/wlwwar")</f>
        <v>https://ebird.org/species/wlwwar</v>
      </c>
      <c r="D647" s="31" t="str">
        <f>HYPERLINK("https://www.hbw.com/species/Willow-Warbler-Phylloscopus-trochilus")</f>
        <v>https://www.hbw.com/species/Willow-Warbler-Phylloscopus-trochilus</v>
      </c>
      <c r="E647" s="32" t="str">
        <f>HYPERLINK("https://www.iucnredlist.org/search?query=Phylloscopus trochilus&amp;searchType=species")</f>
        <v>https://www.iucnredlist.org/search?query=Phylloscopus trochilus&amp;searchType=species</v>
      </c>
      <c r="F647" s="2">
        <v>501</v>
      </c>
      <c r="G647" s="27" t="s">
        <v>1471</v>
      </c>
      <c r="H647" s="85" t="s">
        <v>1481</v>
      </c>
      <c r="I647" s="93" t="s">
        <v>1482</v>
      </c>
      <c r="J647" s="1" t="s">
        <v>19</v>
      </c>
      <c r="M647" s="2" t="s">
        <v>92</v>
      </c>
      <c r="N647" s="2" t="s">
        <v>1483</v>
      </c>
    </row>
    <row r="648" spans="1:14" ht="14.4" x14ac:dyDescent="0.3">
      <c r="A648" s="28" t="str">
        <f>HYPERLINK("https://www.google.com/search?q=Phylloscopus ijimae&amp;tbm=isch")</f>
        <v>https://www.google.com/search?q=Phylloscopus ijimae&amp;tbm=isch</v>
      </c>
      <c r="B648" s="29" t="str">
        <f>HYPERLINK("https://www.xeno-canto.org/species/Phylloscopus-ijimae")</f>
        <v>https://www.xeno-canto.org/species/Phylloscopus-ijimae</v>
      </c>
      <c r="C648" s="30" t="str">
        <f>HYPERLINK("https://ebird.org/species/ijlwar1")</f>
        <v>https://ebird.org/species/ijlwar1</v>
      </c>
      <c r="D648" s="31" t="str">
        <f>HYPERLINK("https://www.hbw.com/species/Ijima's-Leaf-warbler-Phylloscopus-ijimae")</f>
        <v>https://www.hbw.com/species/Ijima's-Leaf-warbler-Phylloscopus-ijimae</v>
      </c>
      <c r="E648" s="32" t="str">
        <f>HYPERLINK("https://www.iucnredlist.org/search?query=Phylloscopus ijimae&amp;searchType=species")</f>
        <v>https://www.iucnredlist.org/search?query=Phylloscopus ijimae&amp;searchType=species</v>
      </c>
      <c r="F648" s="2">
        <v>502</v>
      </c>
      <c r="G648" s="27" t="s">
        <v>1471</v>
      </c>
      <c r="H648" s="83" t="s">
        <v>1484</v>
      </c>
      <c r="I648" s="92" t="s">
        <v>1485</v>
      </c>
      <c r="J648" s="1" t="s">
        <v>19</v>
      </c>
      <c r="K648" s="1" t="s">
        <v>66</v>
      </c>
      <c r="L648" s="1" t="s">
        <v>66</v>
      </c>
      <c r="M648" s="2" t="s">
        <v>1486</v>
      </c>
    </row>
    <row r="649" spans="1:14" ht="14.4" x14ac:dyDescent="0.3">
      <c r="A649" s="28" t="str">
        <f>HYPERLINK("https://www.google.com/search?q=Phylloscopus olivaceus&amp;tbm=isch")</f>
        <v>https://www.google.com/search?q=Phylloscopus olivaceus&amp;tbm=isch</v>
      </c>
      <c r="B649" s="29" t="str">
        <f>HYPERLINK("https://www.xeno-canto.org/species/Phylloscopus-olivaceus")</f>
        <v>https://www.xeno-canto.org/species/Phylloscopus-olivaceus</v>
      </c>
      <c r="C649" s="30" t="str">
        <f>HYPERLINK("https://ebird.org/species/phlwar1")</f>
        <v>https://ebird.org/species/phlwar1</v>
      </c>
      <c r="D649" s="31" t="str">
        <f>HYPERLINK("https://www.hbw.com/species/Philippine-Leaf-warbler-Phylloscopus-olivaceus")</f>
        <v>https://www.hbw.com/species/Philippine-Leaf-warbler-Phylloscopus-olivaceus</v>
      </c>
      <c r="E649" s="32" t="str">
        <f>HYPERLINK("https://www.iucnredlist.org/search?query=Phylloscopus olivaceus&amp;searchType=species")</f>
        <v>https://www.iucnredlist.org/search?query=Phylloscopus olivaceus&amp;searchType=species</v>
      </c>
      <c r="F649" s="2">
        <v>503</v>
      </c>
      <c r="G649" s="27" t="s">
        <v>1471</v>
      </c>
      <c r="H649" s="86" t="s">
        <v>1487</v>
      </c>
      <c r="I649" s="94" t="s">
        <v>1488</v>
      </c>
      <c r="J649" s="1" t="s">
        <v>65</v>
      </c>
      <c r="M649" s="2" t="s">
        <v>68</v>
      </c>
    </row>
    <row r="650" spans="1:14" ht="14.4" x14ac:dyDescent="0.3">
      <c r="A650" s="28" t="str">
        <f>HYPERLINK("https://www.google.com/search?q=Phylloscopus cebuensis&amp;tbm=isch")</f>
        <v>https://www.google.com/search?q=Phylloscopus cebuensis&amp;tbm=isch</v>
      </c>
      <c r="B650" s="29" t="str">
        <f>HYPERLINK("https://www.xeno-canto.org/species/Phylloscopus-cebuensis")</f>
        <v>https://www.xeno-canto.org/species/Phylloscopus-cebuensis</v>
      </c>
      <c r="C650" s="30" t="str">
        <f>HYPERLINK("https://ebird.org/species/letwar1")</f>
        <v>https://ebird.org/species/letwar1</v>
      </c>
      <c r="D650" s="31" t="str">
        <f>HYPERLINK("https://www.hbw.com/species/Lemon-throated-Leaf-warbler-Phylloscopus-cebuensis")</f>
        <v>https://www.hbw.com/species/Lemon-throated-Leaf-warbler-Phylloscopus-cebuensis</v>
      </c>
      <c r="E650" s="32" t="str">
        <f>HYPERLINK("https://www.iucnredlist.org/search?query=Phylloscopus cebuensis&amp;searchType=species")</f>
        <v>https://www.iucnredlist.org/search?query=Phylloscopus cebuensis&amp;searchType=species</v>
      </c>
      <c r="F650" s="2">
        <v>504</v>
      </c>
      <c r="G650" s="27" t="s">
        <v>1471</v>
      </c>
      <c r="H650" s="86" t="s">
        <v>1489</v>
      </c>
      <c r="I650" s="94" t="s">
        <v>1490</v>
      </c>
      <c r="J650" s="1" t="s">
        <v>65</v>
      </c>
      <c r="M650" s="2" t="s">
        <v>68</v>
      </c>
    </row>
    <row r="651" spans="1:14" ht="14.4" x14ac:dyDescent="0.3">
      <c r="A651" s="28" t="str">
        <f>HYPERLINK("https://www.google.com/search?q=Phylloscopus xanthodryas&amp;tbm=isch")</f>
        <v>https://www.google.com/search?q=Phylloscopus xanthodryas&amp;tbm=isch</v>
      </c>
      <c r="B651" s="29" t="str">
        <f>HYPERLINK("https://www.xeno-canto.org/species/Phylloscopus-xanthodryas")</f>
        <v>https://www.xeno-canto.org/species/Phylloscopus-xanthodryas</v>
      </c>
      <c r="C651" s="30" t="str">
        <f>HYPERLINK("https://ebird.org/species/arcwar3")</f>
        <v>https://ebird.org/species/arcwar3</v>
      </c>
      <c r="D651" s="31" t="str">
        <f>HYPERLINK("https://www.hbw.com/species/Japanese-Leaf-warbler-Phylloscopus-xanthodryas")</f>
        <v>https://www.hbw.com/species/Japanese-Leaf-warbler-Phylloscopus-xanthodryas</v>
      </c>
      <c r="E651" s="32" t="str">
        <f>HYPERLINK("https://www.iucnredlist.org/search?query=Phylloscopus xanthodryas&amp;searchType=species")</f>
        <v>https://www.iucnredlist.org/search?query=Phylloscopus xanthodryas&amp;searchType=species</v>
      </c>
      <c r="F651" s="2">
        <v>505</v>
      </c>
      <c r="G651" s="27" t="s">
        <v>1471</v>
      </c>
      <c r="H651" s="84" t="s">
        <v>1491</v>
      </c>
      <c r="I651" s="92" t="s">
        <v>1492</v>
      </c>
      <c r="J651" s="1" t="s">
        <v>50</v>
      </c>
      <c r="M651" s="2" t="s">
        <v>1493</v>
      </c>
    </row>
    <row r="652" spans="1:14" ht="20.399999999999999" x14ac:dyDescent="0.3">
      <c r="A652" s="28" t="str">
        <f>HYPERLINK("https://www.google.com/search?q=Phylloscopus examinandus&amp;tbm=isch")</f>
        <v>https://www.google.com/search?q=Phylloscopus examinandus&amp;tbm=isch</v>
      </c>
      <c r="B652" s="29" t="str">
        <f>HYPERLINK("https://www.xeno-canto.org/species/Phylloscopus-examinandus")</f>
        <v>https://www.xeno-canto.org/species/Phylloscopus-examinandus</v>
      </c>
      <c r="C652" s="30" t="str">
        <f>HYPERLINK("https://ebird.org/species/arcwar2")</f>
        <v>https://ebird.org/species/arcwar2</v>
      </c>
      <c r="D652" s="31" t="str">
        <f>HYPERLINK("https://www.hbw.com/species/Kamchatka-Leaf-warbler-Phylloscopus-examinandus")</f>
        <v>https://www.hbw.com/species/Kamchatka-Leaf-warbler-Phylloscopus-examinandus</v>
      </c>
      <c r="E652" s="32" t="str">
        <f>HYPERLINK("https://www.iucnredlist.org/search?query=Phylloscopus examinandus&amp;searchType=species")</f>
        <v>https://www.iucnredlist.org/search?query=Phylloscopus examinandus&amp;searchType=species</v>
      </c>
      <c r="F652" s="2">
        <v>506</v>
      </c>
      <c r="G652" s="27" t="s">
        <v>1471</v>
      </c>
      <c r="H652" s="84" t="s">
        <v>1494</v>
      </c>
      <c r="I652" s="92" t="s">
        <v>1495</v>
      </c>
      <c r="J652" s="1" t="s">
        <v>50</v>
      </c>
      <c r="M652" s="2" t="s">
        <v>1496</v>
      </c>
    </row>
    <row r="653" spans="1:14" ht="14.4" x14ac:dyDescent="0.3">
      <c r="A653" s="28" t="str">
        <f>HYPERLINK("https://www.google.com/search?q=Phylloscopus borealis&amp;tbm=isch")</f>
        <v>https://www.google.com/search?q=Phylloscopus borealis&amp;tbm=isch</v>
      </c>
      <c r="B653" s="29" t="str">
        <f>HYPERLINK("https://www.xeno-canto.org/species/Phylloscopus-borealis")</f>
        <v>https://www.xeno-canto.org/species/Phylloscopus-borealis</v>
      </c>
      <c r="C653" s="30" t="str">
        <f>HYPERLINK("https://ebird.org/species/arcwar1")</f>
        <v>https://ebird.org/species/arcwar1</v>
      </c>
      <c r="D653" s="31" t="str">
        <f>HYPERLINK("https://www.hbw.com/species/Arctic-Warbler-Phylloscopus-borealis")</f>
        <v>https://www.hbw.com/species/Arctic-Warbler-Phylloscopus-borealis</v>
      </c>
      <c r="E653" s="32" t="str">
        <f>HYPERLINK("https://www.iucnredlist.org/search?query=Phylloscopus borealis&amp;searchType=species")</f>
        <v>https://www.iucnredlist.org/search?query=Phylloscopus borealis&amp;searchType=species</v>
      </c>
      <c r="F653" s="2">
        <v>507</v>
      </c>
      <c r="G653" s="27" t="s">
        <v>1471</v>
      </c>
      <c r="H653" s="84" t="s">
        <v>1497</v>
      </c>
      <c r="I653" s="92" t="s">
        <v>1498</v>
      </c>
      <c r="J653" s="1" t="s">
        <v>50</v>
      </c>
      <c r="M653" s="2" t="s">
        <v>1499</v>
      </c>
    </row>
    <row r="654" spans="1:14" ht="20.399999999999999" x14ac:dyDescent="0.3">
      <c r="A654" s="28" t="str">
        <f>HYPERLINK("https://www.google.com/search?q=Phylloscopus montis&amp;tbm=isch")</f>
        <v>https://www.google.com/search?q=Phylloscopus montis&amp;tbm=isch</v>
      </c>
      <c r="B654" s="29" t="str">
        <f>HYPERLINK("https://www.xeno-canto.org/species/Phylloscopus-montis")</f>
        <v>https://www.xeno-canto.org/species/Phylloscopus-montis</v>
      </c>
      <c r="C654" s="30" t="str">
        <f>HYPERLINK("https://ebird.org/species/yebwar2")</f>
        <v>https://ebird.org/species/yebwar2</v>
      </c>
      <c r="D654" s="31" t="str">
        <f>HYPERLINK("https://www.hbw.com/species/Yellow-breasted-Warbler-Phylloscopus-montis")</f>
        <v>https://www.hbw.com/species/Yellow-breasted-Warbler-Phylloscopus-montis</v>
      </c>
      <c r="E654" s="32" t="str">
        <f>HYPERLINK("https://www.iucnredlist.org/search?query=Phylloscopus montis&amp;searchType=species")</f>
        <v>https://www.iucnredlist.org/search?query=Phylloscopus montis&amp;searchType=species</v>
      </c>
      <c r="F654" s="2">
        <v>508</v>
      </c>
      <c r="G654" s="27" t="s">
        <v>1471</v>
      </c>
      <c r="H654" s="84" t="s">
        <v>1500</v>
      </c>
      <c r="I654" s="92" t="s">
        <v>1501</v>
      </c>
      <c r="J654" s="1" t="s">
        <v>15</v>
      </c>
      <c r="M654" s="2" t="s">
        <v>1502</v>
      </c>
    </row>
    <row r="655" spans="1:14" ht="14.4" x14ac:dyDescent="0.3">
      <c r="A655" s="28" t="str">
        <f>HYPERLINK("https://www.google.com/search?q=Phylloscopus nigrorum&amp;tbm=isch")</f>
        <v>https://www.google.com/search?q=Phylloscopus nigrorum&amp;tbm=isch</v>
      </c>
      <c r="B655" s="29" t="str">
        <f>HYPERLINK("https://www.xeno-canto.org/species/Phylloscopus-nigrorum")</f>
        <v>https://www.xeno-canto.org/species/Phylloscopus-nigrorum</v>
      </c>
      <c r="C655" s="30" t="str">
        <f>HYPERLINK("https://ebird.org/species/mouwar2")</f>
        <v>https://ebird.org/species/mouwar2</v>
      </c>
      <c r="D655" s="31" t="str">
        <f>HYPERLINK("https://www.hbw.com/species/Negros-Leaf-Warbler-Phylloscopus-nigrorum")</f>
        <v>https://www.hbw.com/species/Negros-Leaf-Warbler-Phylloscopus-nigrorum</v>
      </c>
      <c r="E655" s="32" t="str">
        <f>HYPERLINK("https://www.iucnredlist.org/search?query=Phylloscopus nigrorum&amp;searchType=species")</f>
        <v>https://www.iucnredlist.org/search?query=Phylloscopus nigrorum&amp;searchType=species</v>
      </c>
      <c r="F655" s="2">
        <v>509</v>
      </c>
      <c r="G655" s="27" t="s">
        <v>1471</v>
      </c>
      <c r="H655" s="86" t="s">
        <v>1503</v>
      </c>
      <c r="I655" s="94" t="s">
        <v>1504</v>
      </c>
      <c r="J655" s="1" t="s">
        <v>65</v>
      </c>
      <c r="M655" s="2" t="s">
        <v>68</v>
      </c>
    </row>
    <row r="656" spans="1:14" x14ac:dyDescent="0.3">
      <c r="A656" s="33"/>
      <c r="B656" s="34"/>
      <c r="C656" s="35"/>
      <c r="D656" s="36"/>
      <c r="E656" s="37"/>
    </row>
    <row r="657" spans="1:14" ht="12" x14ac:dyDescent="0.3">
      <c r="A657" s="33"/>
      <c r="B657" s="34"/>
      <c r="C657" s="35"/>
      <c r="D657" s="36"/>
      <c r="E657" s="37"/>
      <c r="H657" s="82" t="s">
        <v>1505</v>
      </c>
      <c r="I657" s="91" t="s">
        <v>1506</v>
      </c>
    </row>
    <row r="658" spans="1:14" ht="20.399999999999999" x14ac:dyDescent="0.3">
      <c r="A658" s="28" t="str">
        <f>HYPERLINK("https://www.google.com/search?q=Acrocephalus orientalis&amp;tbm=isch")</f>
        <v>https://www.google.com/search?q=Acrocephalus orientalis&amp;tbm=isch</v>
      </c>
      <c r="B658" s="29" t="str">
        <f>HYPERLINK("https://www.xeno-canto.org/species/Acrocephalus-orientalis")</f>
        <v>https://www.xeno-canto.org/species/Acrocephalus-orientalis</v>
      </c>
      <c r="C658" s="30" t="str">
        <f>HYPERLINK("https://ebird.org/species/orrwar1")</f>
        <v>https://ebird.org/species/orrwar1</v>
      </c>
      <c r="D658" s="31" t="str">
        <f>HYPERLINK("https://www.hbw.com/species/Oriental-Reed-warbler-Acrocephalus-orientalis")</f>
        <v>https://www.hbw.com/species/Oriental-Reed-warbler-Acrocephalus-orientalis</v>
      </c>
      <c r="E658" s="32" t="str">
        <f>HYPERLINK("https://www.iucnredlist.org/search?query=Acrocephalus orientalis&amp;searchType=species")</f>
        <v>https://www.iucnredlist.org/search?query=Acrocephalus orientalis&amp;searchType=species</v>
      </c>
      <c r="F658" s="2">
        <v>510</v>
      </c>
      <c r="G658" s="27" t="s">
        <v>1506</v>
      </c>
      <c r="H658" s="84" t="s">
        <v>1507</v>
      </c>
      <c r="I658" s="92" t="s">
        <v>1508</v>
      </c>
      <c r="J658" s="1" t="s">
        <v>50</v>
      </c>
      <c r="M658" s="2" t="s">
        <v>1509</v>
      </c>
    </row>
    <row r="659" spans="1:14" ht="14.4" x14ac:dyDescent="0.3">
      <c r="A659" s="28" t="str">
        <f>HYPERLINK("https://www.google.com/search?q=Acrocephalus stentoreus&amp;tbm=isch")</f>
        <v>https://www.google.com/search?q=Acrocephalus stentoreus&amp;tbm=isch</v>
      </c>
      <c r="B659" s="29" t="str">
        <f>HYPERLINK("https://www.xeno-canto.org/species/Acrocephalus-stentoreus")</f>
        <v>https://www.xeno-canto.org/species/Acrocephalus-stentoreus</v>
      </c>
      <c r="C659" s="30" t="str">
        <f>HYPERLINK("https://ebird.org/species/clrwar1")</f>
        <v>https://ebird.org/species/clrwar1</v>
      </c>
      <c r="D659" s="31" t="str">
        <f>HYPERLINK("https://www.hbw.com/species/Clamorous-Reed-Warbler-Acrocephalus-stentoreus")</f>
        <v>https://www.hbw.com/species/Clamorous-Reed-Warbler-Acrocephalus-stentoreus</v>
      </c>
      <c r="E659" s="32" t="str">
        <f>HYPERLINK("https://www.iucnredlist.org/search?query=Acrocephalus stentoreus&amp;searchType=species")</f>
        <v>https://www.iucnredlist.org/search?query=Acrocephalus stentoreus&amp;searchType=species</v>
      </c>
      <c r="F659" s="2">
        <v>511</v>
      </c>
      <c r="G659" s="27" t="s">
        <v>1506</v>
      </c>
      <c r="H659" s="84" t="s">
        <v>2033</v>
      </c>
      <c r="I659" s="92" t="s">
        <v>2034</v>
      </c>
      <c r="J659" s="1" t="s">
        <v>15</v>
      </c>
      <c r="M659" s="2" t="s">
        <v>488</v>
      </c>
    </row>
    <row r="660" spans="1:14" ht="30.6" x14ac:dyDescent="0.3">
      <c r="A660" s="28" t="str">
        <f>HYPERLINK("https://www.google.com/search?q=Acrocephalus bistrigiceps&amp;tbm=isch")</f>
        <v>https://www.google.com/search?q=Acrocephalus bistrigiceps&amp;tbm=isch</v>
      </c>
      <c r="B660" s="29" t="str">
        <f>HYPERLINK("https://www.xeno-canto.org/species/Acrocephalus-bistrigiceps")</f>
        <v>https://www.xeno-canto.org/species/Acrocephalus-bistrigiceps</v>
      </c>
      <c r="C660" s="30" t="str">
        <f>HYPERLINK("https://ebird.org/species/bbrwar1")</f>
        <v>https://ebird.org/species/bbrwar1</v>
      </c>
      <c r="D660" s="31" t="str">
        <f>HYPERLINK("https://www.hbw.com/species/Black-browed-Reed-warbler-Acrocephalus-bistrigiceps")</f>
        <v>https://www.hbw.com/species/Black-browed-Reed-warbler-Acrocephalus-bistrigiceps</v>
      </c>
      <c r="E660" s="32" t="str">
        <f>HYPERLINK("https://www.iucnredlist.org/search?query=Acrocephalus bistrigiceps&amp;searchType=species")</f>
        <v>https://www.iucnredlist.org/search?query=Acrocephalus bistrigiceps&amp;searchType=species</v>
      </c>
      <c r="F660" s="2">
        <v>512</v>
      </c>
      <c r="G660" s="27" t="s">
        <v>1506</v>
      </c>
      <c r="H660" s="85" t="s">
        <v>1510</v>
      </c>
      <c r="I660" s="93" t="s">
        <v>1511</v>
      </c>
      <c r="J660" s="1" t="s">
        <v>19</v>
      </c>
      <c r="M660" s="2" t="s">
        <v>1512</v>
      </c>
      <c r="N660" s="2" t="s">
        <v>11344</v>
      </c>
    </row>
    <row r="661" spans="1:14" ht="14.4" x14ac:dyDescent="0.3">
      <c r="A661" s="28" t="str">
        <f>HYPERLINK("https://www.google.com/search?q=Acrocephalus sorghophilus&amp;tbm=isch")</f>
        <v>https://www.google.com/search?q=Acrocephalus sorghophilus&amp;tbm=isch</v>
      </c>
      <c r="B661" s="29" t="str">
        <f>HYPERLINK("https://www.xeno-canto.org/species/Acrocephalus-sorghophilus")</f>
        <v>https://www.xeno-canto.org/species/Acrocephalus-sorghophilus</v>
      </c>
      <c r="C661" s="30" t="str">
        <f>HYPERLINK("https://ebird.org/species/strwar1")</f>
        <v>https://ebird.org/species/strwar1</v>
      </c>
      <c r="D661" s="31" t="str">
        <f>HYPERLINK("https://www.hbw.com/species/Streaked-Reed-warbler-Acrocephalus-sorghophilus")</f>
        <v>https://www.hbw.com/species/Streaked-Reed-warbler-Acrocephalus-sorghophilus</v>
      </c>
      <c r="E661" s="32" t="str">
        <f>HYPERLINK("https://www.iucnredlist.org/search?query=Acrocephalus sorghophilus&amp;searchType=species")</f>
        <v>https://www.iucnredlist.org/search?query=Acrocephalus sorghophilus&amp;searchType=species</v>
      </c>
      <c r="F661" s="2">
        <v>513</v>
      </c>
      <c r="G661" s="27" t="s">
        <v>1506</v>
      </c>
      <c r="H661" s="83" t="s">
        <v>1513</v>
      </c>
      <c r="I661" s="92" t="s">
        <v>1514</v>
      </c>
      <c r="J661" s="1" t="s">
        <v>50</v>
      </c>
      <c r="K661" s="1" t="s">
        <v>67</v>
      </c>
      <c r="L661" s="1" t="s">
        <v>85</v>
      </c>
      <c r="M661" s="2" t="s">
        <v>1515</v>
      </c>
    </row>
    <row r="662" spans="1:14" x14ac:dyDescent="0.3">
      <c r="A662" s="33"/>
      <c r="B662" s="34"/>
      <c r="C662" s="35"/>
      <c r="D662" s="36"/>
      <c r="E662" s="37"/>
    </row>
    <row r="663" spans="1:14" ht="12" x14ac:dyDescent="0.3">
      <c r="A663" s="33"/>
      <c r="B663" s="34"/>
      <c r="C663" s="35"/>
      <c r="D663" s="36"/>
      <c r="E663" s="37"/>
      <c r="H663" s="82" t="s">
        <v>1516</v>
      </c>
      <c r="I663" s="91" t="s">
        <v>1517</v>
      </c>
    </row>
    <row r="664" spans="1:14" ht="20.399999999999999" x14ac:dyDescent="0.3">
      <c r="A664" s="28" t="str">
        <f>HYPERLINK("https://www.google.com/search?q=Robsonius rabori&amp;tbm=isch")</f>
        <v>https://www.google.com/search?q=Robsonius rabori&amp;tbm=isch</v>
      </c>
      <c r="B664" s="29" t="str">
        <f>HYPERLINK("https://www.xeno-canto.org/species/Robsonius-rabori")</f>
        <v>https://www.xeno-canto.org/species/Robsonius-rabori</v>
      </c>
      <c r="C664" s="30" t="str">
        <f>HYPERLINK("https://ebird.org/species/luzwrb1")</f>
        <v>https://ebird.org/species/luzwrb1</v>
      </c>
      <c r="D664" s="31" t="str">
        <f>HYPERLINK("https://www.hbw.com/species/Cordillera-Ground-warbler-Robsonius-rabori")</f>
        <v>https://www.hbw.com/species/Cordillera-Ground-warbler-Robsonius-rabori</v>
      </c>
      <c r="E664" s="32" t="str">
        <f>HYPERLINK("https://www.iucnredlist.org/search?query=Robsonius rabori&amp;searchType=species")</f>
        <v>https://www.iucnredlist.org/search?query=Robsonius rabori&amp;searchType=species</v>
      </c>
      <c r="F664" s="2">
        <v>514</v>
      </c>
      <c r="G664" s="27" t="s">
        <v>1517</v>
      </c>
      <c r="H664" s="86" t="s">
        <v>1518</v>
      </c>
      <c r="I664" s="94" t="s">
        <v>1519</v>
      </c>
      <c r="J664" s="1" t="s">
        <v>65</v>
      </c>
      <c r="K664" s="1" t="s">
        <v>66</v>
      </c>
      <c r="L664" s="1" t="s">
        <v>66</v>
      </c>
      <c r="M664" s="2" t="s">
        <v>1520</v>
      </c>
    </row>
    <row r="665" spans="1:14" ht="14.4" x14ac:dyDescent="0.3">
      <c r="A665" s="28" t="str">
        <f>HYPERLINK("https://www.google.com/search?q=Robsonius thompsoni&amp;tbm=isch")</f>
        <v>https://www.google.com/search?q=Robsonius thompsoni&amp;tbm=isch</v>
      </c>
      <c r="B665" s="29" t="str">
        <f>HYPERLINK("https://www.xeno-canto.org/species/Robsonius-thompsoni")</f>
        <v>https://www.xeno-canto.org/species/Robsonius-thompsoni</v>
      </c>
      <c r="C665" s="30" t="str">
        <f>HYPERLINK("https://ebird.org/species/simgrw1")</f>
        <v>https://ebird.org/species/simgrw1</v>
      </c>
      <c r="D665" s="31" t="str">
        <f>HYPERLINK("https://www.hbw.com/species/Sierra-Madre-Ground-warbler-Robsonius-thompsoni")</f>
        <v>https://www.hbw.com/species/Sierra-Madre-Ground-warbler-Robsonius-thompsoni</v>
      </c>
      <c r="E665" s="32" t="str">
        <f>HYPERLINK("https://www.iucnredlist.org/search?query=Robsonius thompsoni&amp;searchType=species")</f>
        <v>https://www.iucnredlist.org/search?query=Robsonius thompsoni&amp;searchType=species</v>
      </c>
      <c r="F665" s="2">
        <v>515</v>
      </c>
      <c r="G665" s="27" t="s">
        <v>1517</v>
      </c>
      <c r="H665" s="89" t="s">
        <v>1521</v>
      </c>
      <c r="I665" s="96" t="s">
        <v>1522</v>
      </c>
      <c r="J665" s="1" t="s">
        <v>65</v>
      </c>
      <c r="L665" s="1" t="s">
        <v>130</v>
      </c>
      <c r="M665" s="2" t="s">
        <v>1523</v>
      </c>
      <c r="N665" s="2" t="s">
        <v>11345</v>
      </c>
    </row>
    <row r="666" spans="1:14" ht="14.4" x14ac:dyDescent="0.3">
      <c r="A666" s="28" t="str">
        <f>HYPERLINK("https://www.google.com/search?q=Robsonius sorsogonensis&amp;tbm=isch")</f>
        <v>https://www.google.com/search?q=Robsonius sorsogonensis&amp;tbm=isch</v>
      </c>
      <c r="B666" s="29" t="str">
        <f>HYPERLINK("https://www.xeno-canto.org/species/Robsonius-sorsogonensis")</f>
        <v>https://www.xeno-canto.org/species/Robsonius-sorsogonensis</v>
      </c>
      <c r="C666" s="30" t="str">
        <f>HYPERLINK("https://ebird.org/species/gybbab2")</f>
        <v>https://ebird.org/species/gybbab2</v>
      </c>
      <c r="D666" s="31" t="str">
        <f>HYPERLINK("https://www.hbw.com/species/Bicol-Ground-warbler-Robsonius-sorsogonensis")</f>
        <v>https://www.hbw.com/species/Bicol-Ground-warbler-Robsonius-sorsogonensis</v>
      </c>
      <c r="E666" s="32" t="str">
        <f>HYPERLINK("https://www.iucnredlist.org/search?query=Robsonius sorsogonensis&amp;searchType=species")</f>
        <v>https://www.iucnredlist.org/search?query=Robsonius sorsogonensis&amp;searchType=species</v>
      </c>
      <c r="F666" s="2">
        <v>516</v>
      </c>
      <c r="G666" s="27" t="s">
        <v>1517</v>
      </c>
      <c r="H666" s="86" t="s">
        <v>1524</v>
      </c>
      <c r="I666" s="94" t="s">
        <v>1525</v>
      </c>
      <c r="J666" s="1" t="s">
        <v>65</v>
      </c>
      <c r="K666" s="1" t="s">
        <v>58</v>
      </c>
      <c r="L666" s="1" t="s">
        <v>66</v>
      </c>
      <c r="M666" s="2" t="s">
        <v>1526</v>
      </c>
    </row>
    <row r="667" spans="1:14" ht="20.399999999999999" x14ac:dyDescent="0.3">
      <c r="A667" s="28" t="str">
        <f>HYPERLINK("https://www.google.com/search?q=Helopsaltes fasciolatus&amp;tbm=isch")</f>
        <v>https://www.google.com/search?q=Helopsaltes fasciolatus&amp;tbm=isch</v>
      </c>
      <c r="B667" s="29" t="str">
        <f>HYPERLINK("https://www.xeno-canto.org/species/Helopsaltes-fasciolatus")</f>
        <v>https://www.xeno-canto.org/species/Helopsaltes-fasciolatus</v>
      </c>
      <c r="C667" s="30" t="str">
        <f>HYPERLINK("https://ebird.org/species/grgwar1")</f>
        <v>https://ebird.org/species/grgwar1</v>
      </c>
      <c r="D667" s="31" t="str">
        <f>HYPERLINK("https://www.hbw.com/species/Gray's-Grasshopper-warbler-Locustella-fasciolata")</f>
        <v>https://www.hbw.com/species/Gray's-Grasshopper-warbler-Locustella-fasciolata</v>
      </c>
      <c r="E667" s="32" t="str">
        <f>HYPERLINK("https://www.iucnredlist.org/search?query=Helopsaltes fasciolatus&amp;searchType=species")</f>
        <v>https://www.iucnredlist.org/search?query=Helopsaltes fasciolatus&amp;searchType=species</v>
      </c>
      <c r="F667" s="2">
        <v>517</v>
      </c>
      <c r="G667" s="27" t="s">
        <v>1517</v>
      </c>
      <c r="H667" s="83" t="s">
        <v>1527</v>
      </c>
      <c r="I667" s="92" t="s">
        <v>1528</v>
      </c>
      <c r="J667" s="1" t="s">
        <v>50</v>
      </c>
      <c r="M667" s="2" t="s">
        <v>1529</v>
      </c>
      <c r="N667" s="2" t="s">
        <v>123</v>
      </c>
    </row>
    <row r="668" spans="1:14" ht="20.399999999999999" x14ac:dyDescent="0.3">
      <c r="A668" s="28" t="str">
        <f>HYPERLINK("https://www.google.com/search?q=Helopsaltes certhiola&amp;tbm=isch")</f>
        <v>https://www.google.com/search?q=Helopsaltes certhiola&amp;tbm=isch</v>
      </c>
      <c r="B668" s="29" t="str">
        <f>HYPERLINK("https://www.xeno-canto.org/species/Helopsaltes-certhiola")</f>
        <v>https://www.xeno-canto.org/species/Helopsaltes-certhiola</v>
      </c>
      <c r="C668" s="30" t="str">
        <f>HYPERLINK("https://ebird.org/species/pagwar1")</f>
        <v>https://ebird.org/species/pagwar1</v>
      </c>
      <c r="D668" s="31" t="str">
        <f>HYPERLINK("https://www.hbw.com/species/Pallas's-Grasshopper-warbler-Locustella-certhiola")</f>
        <v>https://www.hbw.com/species/Pallas's-Grasshopper-warbler-Locustella-certhiola</v>
      </c>
      <c r="E668" s="32" t="str">
        <f>HYPERLINK("https://www.iucnredlist.org/search?query=Helopsaltes certhiola&amp;searchType=species")</f>
        <v>https://www.iucnredlist.org/search?query=Helopsaltes certhiola&amp;searchType=species</v>
      </c>
      <c r="F668" s="2">
        <v>518</v>
      </c>
      <c r="G668" s="27" t="s">
        <v>1517</v>
      </c>
      <c r="H668" s="85" t="s">
        <v>1530</v>
      </c>
      <c r="I668" s="93" t="s">
        <v>1531</v>
      </c>
      <c r="J668" s="1" t="s">
        <v>19</v>
      </c>
      <c r="M668" s="2" t="s">
        <v>1011</v>
      </c>
      <c r="N668" s="2" t="s">
        <v>11346</v>
      </c>
    </row>
    <row r="669" spans="1:14" ht="14.4" x14ac:dyDescent="0.3">
      <c r="A669" s="28" t="str">
        <f>HYPERLINK("https://www.google.com/search?q=Helopsaltes ochotensis&amp;tbm=isch")</f>
        <v>https://www.google.com/search?q=Helopsaltes ochotensis&amp;tbm=isch</v>
      </c>
      <c r="B669" s="29" t="str">
        <f>HYPERLINK("https://www.xeno-canto.org/species/Helopsaltes-ochotensis")</f>
        <v>https://www.xeno-canto.org/species/Helopsaltes-ochotensis</v>
      </c>
      <c r="C669" s="30" t="str">
        <f>HYPERLINK("https://ebird.org/species/migwar")</f>
        <v>https://ebird.org/species/migwar</v>
      </c>
      <c r="D669" s="31" t="str">
        <f>HYPERLINK("https://www.hbw.com/species/Middendorff's-Grasshopper-warbler-Locustella-ochotensis")</f>
        <v>https://www.hbw.com/species/Middendorff's-Grasshopper-warbler-Locustella-ochotensis</v>
      </c>
      <c r="E669" s="32" t="str">
        <f>HYPERLINK("https://www.iucnredlist.org/search?query=Helopsaltes ochotensis&amp;searchType=species")</f>
        <v>https://www.iucnredlist.org/search?query=Helopsaltes ochotensis&amp;searchType=species</v>
      </c>
      <c r="F669" s="2">
        <v>519</v>
      </c>
      <c r="G669" s="27" t="s">
        <v>1517</v>
      </c>
      <c r="H669" s="84" t="s">
        <v>1532</v>
      </c>
      <c r="I669" s="92" t="s">
        <v>1533</v>
      </c>
      <c r="J669" s="1" t="s">
        <v>50</v>
      </c>
      <c r="M669" s="2" t="s">
        <v>1534</v>
      </c>
    </row>
    <row r="670" spans="1:14" ht="14.4" x14ac:dyDescent="0.3">
      <c r="A670" s="28" t="str">
        <f>HYPERLINK("https://www.google.com/search?q=Locustella lanceolata&amp;tbm=isch")</f>
        <v>https://www.google.com/search?q=Locustella lanceolata&amp;tbm=isch</v>
      </c>
      <c r="B670" s="29" t="str">
        <f>HYPERLINK("https://www.xeno-canto.org/species/Locustella-lanceolata")</f>
        <v>https://www.xeno-canto.org/species/Locustella-lanceolata</v>
      </c>
      <c r="C670" s="30" t="str">
        <f>HYPERLINK("https://ebird.org/species/lanwar")</f>
        <v>https://ebird.org/species/lanwar</v>
      </c>
      <c r="D670" s="31" t="str">
        <f>HYPERLINK("https://www.hbw.com/species/Lanceolated-Warbler-Locustella-lanceolata")</f>
        <v>https://www.hbw.com/species/Lanceolated-Warbler-Locustella-lanceolata</v>
      </c>
      <c r="E670" s="32" t="str">
        <f>HYPERLINK("https://www.iucnredlist.org/search?query=Locustella lanceolata&amp;searchType=species")</f>
        <v>https://www.iucnredlist.org/search?query=Locustella lanceolata&amp;searchType=species</v>
      </c>
      <c r="F670" s="2">
        <v>520</v>
      </c>
      <c r="G670" s="27" t="s">
        <v>1517</v>
      </c>
      <c r="H670" s="84" t="s">
        <v>1535</v>
      </c>
      <c r="I670" s="92" t="s">
        <v>1536</v>
      </c>
      <c r="J670" s="1" t="s">
        <v>50</v>
      </c>
      <c r="M670" s="2" t="s">
        <v>1537</v>
      </c>
      <c r="N670" s="2" t="s">
        <v>123</v>
      </c>
    </row>
    <row r="671" spans="1:14" ht="14.4" x14ac:dyDescent="0.3">
      <c r="A671" s="28" t="str">
        <f>HYPERLINK("https://www.google.com/search?q=Locustella caudata&amp;tbm=isch")</f>
        <v>https://www.google.com/search?q=Locustella caudata&amp;tbm=isch</v>
      </c>
      <c r="B671" s="29" t="str">
        <f>HYPERLINK("https://www.xeno-canto.org/species/Locustella-caudata")</f>
        <v>https://www.xeno-canto.org/species/Locustella-caudata</v>
      </c>
      <c r="C671" s="30" t="str">
        <f>HYPERLINK("https://ebird.org/species/ltbwar1")</f>
        <v>https://ebird.org/species/ltbwar1</v>
      </c>
      <c r="D671" s="31" t="str">
        <f>HYPERLINK("https://www.hbw.com/species/Long-tailed-Grasshopper-warbler-Locustella-caudata")</f>
        <v>https://www.hbw.com/species/Long-tailed-Grasshopper-warbler-Locustella-caudata</v>
      </c>
      <c r="E671" s="32" t="str">
        <f>HYPERLINK("https://www.iucnredlist.org/search?query=Locustella caudata&amp;searchType=species")</f>
        <v>https://www.iucnredlist.org/search?query=Locustella caudata&amp;searchType=species</v>
      </c>
      <c r="F671" s="2">
        <v>521</v>
      </c>
      <c r="G671" s="27" t="s">
        <v>1517</v>
      </c>
      <c r="H671" s="86" t="s">
        <v>1538</v>
      </c>
      <c r="I671" s="94" t="s">
        <v>1539</v>
      </c>
      <c r="J671" s="1" t="s">
        <v>65</v>
      </c>
      <c r="M671" s="2" t="s">
        <v>68</v>
      </c>
    </row>
    <row r="672" spans="1:14" ht="14.4" x14ac:dyDescent="0.3">
      <c r="A672" s="28" t="str">
        <f>HYPERLINK("https://www.google.com/search?q=Locustella seebohmi&amp;tbm=isch")</f>
        <v>https://www.google.com/search?q=Locustella seebohmi&amp;tbm=isch</v>
      </c>
      <c r="B672" s="29" t="str">
        <f>HYPERLINK("https://www.xeno-canto.org/species/Locustella-seebohmi")</f>
        <v>https://www.xeno-canto.org/species/Locustella-seebohmi</v>
      </c>
      <c r="C672" s="30" t="str">
        <f>HYPERLINK("https://ebird.org/species/benbuw1")</f>
        <v>https://ebird.org/species/benbuw1</v>
      </c>
      <c r="D672" s="31" t="str">
        <f>HYPERLINK("https://www.hbw.com/species/Benguet-Grasshopper-warbler-Locustella-seebohmi")</f>
        <v>https://www.hbw.com/species/Benguet-Grasshopper-warbler-Locustella-seebohmi</v>
      </c>
      <c r="E672" s="32" t="str">
        <f>HYPERLINK("https://www.iucnredlist.org/search?query=Locustella seebohmi&amp;searchType=species")</f>
        <v>https://www.iucnredlist.org/search?query=Locustella seebohmi&amp;searchType=species</v>
      </c>
      <c r="F672" s="2">
        <v>522</v>
      </c>
      <c r="G672" s="27" t="s">
        <v>1517</v>
      </c>
      <c r="H672" s="90" t="s">
        <v>1540</v>
      </c>
      <c r="I672" s="94" t="s">
        <v>1541</v>
      </c>
      <c r="J672" s="1" t="s">
        <v>65</v>
      </c>
      <c r="M672" s="2" t="s">
        <v>68</v>
      </c>
    </row>
    <row r="673" spans="1:13" ht="14.4" x14ac:dyDescent="0.3">
      <c r="A673" s="28" t="str">
        <f>HYPERLINK("https://www.google.com/search?q=Cincloramphus timoriensis&amp;tbm=isch")</f>
        <v>https://www.google.com/search?q=Cincloramphus timoriensis&amp;tbm=isch</v>
      </c>
      <c r="B673" s="29" t="str">
        <f>HYPERLINK("https://www.xeno-canto.org/species/Cincloramphus-timoriensis")</f>
        <v>https://www.xeno-canto.org/species/Cincloramphus-timoriensis</v>
      </c>
      <c r="C673" s="30" t="str">
        <f>HYPERLINK("https://ebird.org/species/tawgra1")</f>
        <v>https://ebird.org/species/tawgra1</v>
      </c>
      <c r="D673" s="31" t="str">
        <f>HYPERLINK("https://www.hbw.com/species/Tawny-Grassbird-Cincloramphus-timoriensis")</f>
        <v>https://www.hbw.com/species/Tawny-Grassbird-Cincloramphus-timoriensis</v>
      </c>
      <c r="E673" s="32" t="str">
        <f>HYPERLINK("https://www.iucnredlist.org/search?query=Cincloramphus timoriensis&amp;searchType=species")</f>
        <v>https://www.iucnredlist.org/search?query=Cincloramphus timoriensis&amp;searchType=species</v>
      </c>
      <c r="F673" s="2">
        <v>523</v>
      </c>
      <c r="G673" s="27" t="s">
        <v>1517</v>
      </c>
      <c r="H673" s="84" t="s">
        <v>1542</v>
      </c>
      <c r="I673" s="92" t="s">
        <v>1543</v>
      </c>
      <c r="J673" s="1" t="s">
        <v>15</v>
      </c>
      <c r="M673" s="2" t="s">
        <v>401</v>
      </c>
    </row>
    <row r="674" spans="1:13" ht="14.4" x14ac:dyDescent="0.3">
      <c r="A674" s="28" t="str">
        <f>HYPERLINK("https://www.google.com/search?q=Megalurus palustris&amp;tbm=isch")</f>
        <v>https://www.google.com/search?q=Megalurus palustris&amp;tbm=isch</v>
      </c>
      <c r="B674" s="29" t="str">
        <f>HYPERLINK("https://www.xeno-canto.org/species/Megalurus-palustris")</f>
        <v>https://www.xeno-canto.org/species/Megalurus-palustris</v>
      </c>
      <c r="C674" s="30" t="str">
        <f>HYPERLINK("https://ebird.org/species/strgra1")</f>
        <v>https://ebird.org/species/strgra1</v>
      </c>
      <c r="D674" s="31" t="str">
        <f>HYPERLINK("https://www.hbw.com/species/Striated-Grassbird-Megalurus-palustris")</f>
        <v>https://www.hbw.com/species/Striated-Grassbird-Megalurus-palustris</v>
      </c>
      <c r="E674" s="32" t="str">
        <f>HYPERLINK("https://www.iucnredlist.org/search?query=Megalurus palustris&amp;searchType=species")</f>
        <v>https://www.iucnredlist.org/search?query=Megalurus palustris&amp;searchType=species</v>
      </c>
      <c r="F674" s="2">
        <v>524</v>
      </c>
      <c r="G674" s="27" t="s">
        <v>1517</v>
      </c>
      <c r="H674" s="84" t="s">
        <v>1544</v>
      </c>
      <c r="I674" s="92" t="s">
        <v>1545</v>
      </c>
      <c r="J674" s="1" t="s">
        <v>15</v>
      </c>
      <c r="M674" s="2" t="s">
        <v>43</v>
      </c>
    </row>
    <row r="675" spans="1:13" x14ac:dyDescent="0.3">
      <c r="A675" s="33"/>
      <c r="B675" s="34"/>
      <c r="C675" s="35"/>
      <c r="D675" s="36"/>
      <c r="E675" s="37"/>
    </row>
    <row r="676" spans="1:13" ht="12" x14ac:dyDescent="0.3">
      <c r="A676" s="33"/>
      <c r="B676" s="34"/>
      <c r="C676" s="35"/>
      <c r="D676" s="36"/>
      <c r="E676" s="37"/>
      <c r="H676" s="82" t="s">
        <v>1546</v>
      </c>
      <c r="I676" s="91" t="s">
        <v>1547</v>
      </c>
    </row>
    <row r="677" spans="1:13" ht="14.4" x14ac:dyDescent="0.3">
      <c r="A677" s="28" t="str">
        <f>HYPERLINK("https://www.google.com/search?q=Cisticola juncidis&amp;tbm=isch")</f>
        <v>https://www.google.com/search?q=Cisticola juncidis&amp;tbm=isch</v>
      </c>
      <c r="B677" s="29" t="str">
        <f>HYPERLINK("https://www.xeno-canto.org/species/Cisticola-juncidis")</f>
        <v>https://www.xeno-canto.org/species/Cisticola-juncidis</v>
      </c>
      <c r="C677" s="30" t="str">
        <f>HYPERLINK("https://ebird.org/species/zitcis1")</f>
        <v>https://ebird.org/species/zitcis1</v>
      </c>
      <c r="D677" s="31" t="str">
        <f>HYPERLINK("https://www.hbw.com/species/Zitting-Cisticola-Cisticola-juncidis")</f>
        <v>https://www.hbw.com/species/Zitting-Cisticola-Cisticola-juncidis</v>
      </c>
      <c r="E677" s="32" t="str">
        <f>HYPERLINK("https://www.iucnredlist.org/search?query=Cisticola juncidis&amp;searchType=species")</f>
        <v>https://www.iucnredlist.org/search?query=Cisticola juncidis&amp;searchType=species</v>
      </c>
      <c r="F677" s="2">
        <v>525</v>
      </c>
      <c r="G677" s="27" t="s">
        <v>1547</v>
      </c>
      <c r="H677" s="84" t="s">
        <v>1548</v>
      </c>
      <c r="I677" s="92" t="s">
        <v>1549</v>
      </c>
      <c r="J677" s="1" t="s">
        <v>15</v>
      </c>
      <c r="M677" s="2" t="s">
        <v>1550</v>
      </c>
    </row>
    <row r="678" spans="1:13" ht="14.4" x14ac:dyDescent="0.3">
      <c r="A678" s="28" t="str">
        <f>HYPERLINK("https://www.google.com/search?q=Cisticola exilis&amp;tbm=isch")</f>
        <v>https://www.google.com/search?q=Cisticola exilis&amp;tbm=isch</v>
      </c>
      <c r="B678" s="29" t="str">
        <f>HYPERLINK("https://www.xeno-canto.org/species/Cisticola-exilis")</f>
        <v>https://www.xeno-canto.org/species/Cisticola-exilis</v>
      </c>
      <c r="C678" s="30" t="str">
        <f>HYPERLINK("https://ebird.org/species/gohcis1")</f>
        <v>https://ebird.org/species/gohcis1</v>
      </c>
      <c r="D678" s="31" t="str">
        <f>HYPERLINK("https://www.hbw.com/species/Golden-headed-Cisticola-Cisticola-exilis")</f>
        <v>https://www.hbw.com/species/Golden-headed-Cisticola-Cisticola-exilis</v>
      </c>
      <c r="E678" s="32" t="str">
        <f>HYPERLINK("https://www.iucnredlist.org/search?query=Cisticola exilis&amp;searchType=species")</f>
        <v>https://www.iucnredlist.org/search?query=Cisticola exilis&amp;searchType=species</v>
      </c>
      <c r="F678" s="2">
        <v>526</v>
      </c>
      <c r="G678" s="27" t="s">
        <v>1547</v>
      </c>
      <c r="H678" s="84" t="s">
        <v>1551</v>
      </c>
      <c r="I678" s="92" t="s">
        <v>1552</v>
      </c>
      <c r="J678" s="1" t="s">
        <v>15</v>
      </c>
      <c r="M678" s="2" t="s">
        <v>119</v>
      </c>
    </row>
    <row r="679" spans="1:13" x14ac:dyDescent="0.3">
      <c r="A679" s="33"/>
      <c r="B679" s="34"/>
      <c r="C679" s="35"/>
      <c r="D679" s="36"/>
      <c r="E679" s="37"/>
    </row>
    <row r="680" spans="1:13" ht="12" x14ac:dyDescent="0.3">
      <c r="A680" s="33"/>
      <c r="B680" s="34"/>
      <c r="C680" s="35"/>
      <c r="D680" s="36"/>
      <c r="E680" s="37"/>
      <c r="H680" s="82" t="s">
        <v>1546</v>
      </c>
      <c r="I680" s="91" t="s">
        <v>1553</v>
      </c>
    </row>
    <row r="681" spans="1:13" ht="14.4" x14ac:dyDescent="0.3">
      <c r="A681" s="28" t="str">
        <f>HYPERLINK("https://www.google.com/search?q=Micromacronus leytensis&amp;tbm=isch")</f>
        <v>https://www.google.com/search?q=Micromacronus leytensis&amp;tbm=isch</v>
      </c>
      <c r="B681" s="29" t="str">
        <f>HYPERLINK("https://www.xeno-canto.org/species/Micromacronus-leytensis")</f>
        <v>https://www.xeno-canto.org/species/Micromacronus-leytensis</v>
      </c>
      <c r="C681" s="30" t="str">
        <f>HYPERLINK("https://ebird.org/species/mitbab1")</f>
        <v>https://ebird.org/species/mitbab1</v>
      </c>
      <c r="D681" s="31" t="str">
        <f>HYPERLINK("https://www.hbw.com/species/Visayan-Miniature-Babbler-Micromacronus-leytensis")</f>
        <v>https://www.hbw.com/species/Visayan-Miniature-Babbler-Micromacronus-leytensis</v>
      </c>
      <c r="E681" s="32" t="str">
        <f>HYPERLINK("https://www.iucnredlist.org/search?query=Micromacronus leytensis&amp;searchType=species")</f>
        <v>https://www.iucnredlist.org/search?query=Micromacronus leytensis&amp;searchType=species</v>
      </c>
      <c r="F681" s="2">
        <v>527</v>
      </c>
      <c r="G681" s="27" t="s">
        <v>1553</v>
      </c>
      <c r="H681" s="90" t="s">
        <v>1554</v>
      </c>
      <c r="I681" s="94" t="s">
        <v>1555</v>
      </c>
      <c r="J681" s="1" t="s">
        <v>65</v>
      </c>
      <c r="K681" s="1" t="s">
        <v>406</v>
      </c>
      <c r="L681" s="1" t="s">
        <v>66</v>
      </c>
      <c r="M681" s="2" t="s">
        <v>1556</v>
      </c>
    </row>
    <row r="682" spans="1:13" ht="14.4" x14ac:dyDescent="0.3">
      <c r="A682" s="28" t="str">
        <f>HYPERLINK("https://www.google.com/search?q=Micromacronus sordidus&amp;tbm=isch")</f>
        <v>https://www.google.com/search?q=Micromacronus sordidus&amp;tbm=isch</v>
      </c>
      <c r="B682" s="29" t="str">
        <f>HYPERLINK("https://www.xeno-canto.org/species/Micromacronus-sordidus")</f>
        <v>https://www.xeno-canto.org/species/Micromacronus-sordidus</v>
      </c>
      <c r="C682" s="30" t="str">
        <f>HYPERLINK("https://ebird.org/species/minmib1")</f>
        <v>https://ebird.org/species/minmib1</v>
      </c>
      <c r="D682" s="31" t="str">
        <f>HYPERLINK("https://www.hbw.com/species/Mindanao-Miniature-Babbler-Micromacronus-sordidus")</f>
        <v>https://www.hbw.com/species/Mindanao-Miniature-Babbler-Micromacronus-sordidus</v>
      </c>
      <c r="E682" s="32" t="str">
        <f>HYPERLINK("https://www.iucnredlist.org/search?query=Micromacronus sordidus&amp;searchType=species")</f>
        <v>https://www.iucnredlist.org/search?query=Micromacronus sordidus&amp;searchType=species</v>
      </c>
      <c r="F682" s="2">
        <v>528</v>
      </c>
      <c r="G682" s="27" t="s">
        <v>1553</v>
      </c>
      <c r="H682" s="90" t="s">
        <v>1557</v>
      </c>
      <c r="I682" s="94" t="s">
        <v>1558</v>
      </c>
      <c r="J682" s="1" t="s">
        <v>65</v>
      </c>
      <c r="K682" s="1" t="s">
        <v>58</v>
      </c>
      <c r="M682" s="2" t="s">
        <v>1167</v>
      </c>
    </row>
    <row r="683" spans="1:13" x14ac:dyDescent="0.3">
      <c r="A683" s="33"/>
      <c r="B683" s="34"/>
      <c r="C683" s="35"/>
      <c r="D683" s="36"/>
      <c r="E683" s="37"/>
    </row>
    <row r="684" spans="1:13" ht="12" x14ac:dyDescent="0.3">
      <c r="A684" s="33"/>
      <c r="B684" s="34"/>
      <c r="C684" s="35"/>
      <c r="D684" s="36"/>
      <c r="E684" s="37"/>
      <c r="H684" s="82" t="s">
        <v>1546</v>
      </c>
      <c r="I684" s="91" t="s">
        <v>1547</v>
      </c>
    </row>
    <row r="685" spans="1:13" ht="14.4" x14ac:dyDescent="0.3">
      <c r="A685" s="28" t="str">
        <f>HYPERLINK("https://www.google.com/search?q=Orthotomus castaneiceps&amp;tbm=isch")</f>
        <v>https://www.google.com/search?q=Orthotomus castaneiceps&amp;tbm=isch</v>
      </c>
      <c r="B685" s="29" t="str">
        <f>HYPERLINK("https://www.xeno-canto.org/species/Orthotomus-castaneiceps")</f>
        <v>https://www.xeno-canto.org/species/Orthotomus-castaneiceps</v>
      </c>
      <c r="C685" s="30" t="str">
        <f>HYPERLINK("https://ebird.org/species/phitai1")</f>
        <v>https://ebird.org/species/phitai1</v>
      </c>
      <c r="D685" s="31" t="str">
        <f>HYPERLINK("https://www.hbw.com/species/Chestnut-crowned-Tailorbird-Orthotomus-castaneiceps")</f>
        <v>https://www.hbw.com/species/Chestnut-crowned-Tailorbird-Orthotomus-castaneiceps</v>
      </c>
      <c r="E685" s="32" t="str">
        <f>HYPERLINK("https://www.iucnredlist.org/search?query=Orthotomus castaneiceps&amp;searchType=species")</f>
        <v>https://www.iucnredlist.org/search?query=Orthotomus castaneiceps&amp;searchType=species</v>
      </c>
      <c r="F685" s="2">
        <v>529</v>
      </c>
      <c r="G685" s="27" t="s">
        <v>1547</v>
      </c>
      <c r="H685" s="86" t="s">
        <v>1559</v>
      </c>
      <c r="I685" s="94" t="s">
        <v>1560</v>
      </c>
      <c r="J685" s="1" t="s">
        <v>65</v>
      </c>
      <c r="M685" s="2" t="s">
        <v>68</v>
      </c>
    </row>
    <row r="686" spans="1:13" ht="14.4" x14ac:dyDescent="0.3">
      <c r="A686" s="28" t="str">
        <f>HYPERLINK("https://www.google.com/search?q=Orthotomus chloronotus&amp;tbm=isch")</f>
        <v>https://www.google.com/search?q=Orthotomus chloronotus&amp;tbm=isch</v>
      </c>
      <c r="B686" s="29" t="str">
        <f>HYPERLINK("https://www.xeno-canto.org/species/Orthotomus-chloronotus")</f>
        <v>https://www.xeno-canto.org/species/Orthotomus-chloronotus</v>
      </c>
      <c r="C686" s="30" t="str">
        <f>HYPERLINK("https://ebird.org/species/gnbtai1")</f>
        <v>https://ebird.org/species/gnbtai1</v>
      </c>
      <c r="D686" s="31" t="str">
        <f>HYPERLINK("https://www.hbw.com/species/Green-backed-Tailorbird-Orthotomus-chloronotus")</f>
        <v>https://www.hbw.com/species/Green-backed-Tailorbird-Orthotomus-chloronotus</v>
      </c>
      <c r="E686" s="32" t="str">
        <f>HYPERLINK("https://www.iucnredlist.org/search?query=Orthotomus chloronotus&amp;searchType=species")</f>
        <v>https://www.iucnredlist.org/search?query=Orthotomus chloronotus&amp;searchType=species</v>
      </c>
      <c r="F686" s="2">
        <v>530</v>
      </c>
      <c r="G686" s="27" t="s">
        <v>1547</v>
      </c>
      <c r="H686" s="86" t="s">
        <v>1561</v>
      </c>
      <c r="I686" s="94" t="s">
        <v>1562</v>
      </c>
      <c r="J686" s="1" t="s">
        <v>65</v>
      </c>
      <c r="M686" s="2" t="s">
        <v>1563</v>
      </c>
    </row>
    <row r="687" spans="1:13" ht="14.4" x14ac:dyDescent="0.3">
      <c r="A687" s="28" t="str">
        <f>HYPERLINK("https://www.google.com/search?q=Orthotomus frontalis&amp;tbm=isch")</f>
        <v>https://www.google.com/search?q=Orthotomus frontalis&amp;tbm=isch</v>
      </c>
      <c r="B687" s="29" t="str">
        <f>HYPERLINK("https://www.xeno-canto.org/species/Orthotomus-frontalis")</f>
        <v>https://www.xeno-canto.org/species/Orthotomus-frontalis</v>
      </c>
      <c r="C687" s="30" t="str">
        <f>HYPERLINK("https://ebird.org/species/ruftai1")</f>
        <v>https://ebird.org/species/ruftai1</v>
      </c>
      <c r="D687" s="31" t="str">
        <f>HYPERLINK("https://www.hbw.com/species/Rufous-fronted-Tailorbird-Orthotomus-frontalis")</f>
        <v>https://www.hbw.com/species/Rufous-fronted-Tailorbird-Orthotomus-frontalis</v>
      </c>
      <c r="E687" s="32" t="str">
        <f>HYPERLINK("https://www.iucnredlist.org/search?query=Orthotomus frontalis&amp;searchType=species")</f>
        <v>https://www.iucnredlist.org/search?query=Orthotomus frontalis&amp;searchType=species</v>
      </c>
      <c r="F687" s="2">
        <v>531</v>
      </c>
      <c r="G687" s="27" t="s">
        <v>1547</v>
      </c>
      <c r="H687" s="86" t="s">
        <v>1564</v>
      </c>
      <c r="I687" s="94" t="s">
        <v>1565</v>
      </c>
      <c r="J687" s="1" t="s">
        <v>65</v>
      </c>
      <c r="M687" s="2" t="s">
        <v>998</v>
      </c>
    </row>
    <row r="688" spans="1:13" ht="14.4" x14ac:dyDescent="0.3">
      <c r="A688" s="28" t="str">
        <f>HYPERLINK("https://www.google.com/search?q=Orthotomus derbianus&amp;tbm=isch")</f>
        <v>https://www.google.com/search?q=Orthotomus derbianus&amp;tbm=isch</v>
      </c>
      <c r="B688" s="29" t="str">
        <f>HYPERLINK("https://www.xeno-canto.org/species/Orthotomus-derbianus")</f>
        <v>https://www.xeno-canto.org/species/Orthotomus-derbianus</v>
      </c>
      <c r="C688" s="30" t="str">
        <f>HYPERLINK("https://ebird.org/species/gybtai1")</f>
        <v>https://ebird.org/species/gybtai1</v>
      </c>
      <c r="D688" s="31" t="str">
        <f>HYPERLINK("https://www.hbw.com/species/Grey-backed-Tailorbird-Orthotomus-derbianus")</f>
        <v>https://www.hbw.com/species/Grey-backed-Tailorbird-Orthotomus-derbianus</v>
      </c>
      <c r="E688" s="32" t="str">
        <f>HYPERLINK("https://www.iucnredlist.org/search?query=Orthotomus derbianus&amp;searchType=species")</f>
        <v>https://www.iucnredlist.org/search?query=Orthotomus derbianus&amp;searchType=species</v>
      </c>
      <c r="F688" s="2">
        <v>532</v>
      </c>
      <c r="G688" s="27" t="s">
        <v>1547</v>
      </c>
      <c r="H688" s="86" t="s">
        <v>1566</v>
      </c>
      <c r="I688" s="94" t="s">
        <v>1567</v>
      </c>
      <c r="J688" s="1" t="s">
        <v>65</v>
      </c>
      <c r="M688" s="2" t="s">
        <v>68</v>
      </c>
    </row>
    <row r="689" spans="1:13" ht="14.4" x14ac:dyDescent="0.3">
      <c r="A689" s="28" t="str">
        <f>HYPERLINK("https://www.google.com/search?q=Orthotomus sericeus&amp;tbm=isch")</f>
        <v>https://www.google.com/search?q=Orthotomus sericeus&amp;tbm=isch</v>
      </c>
      <c r="B689" s="29" t="str">
        <f>HYPERLINK("https://www.xeno-canto.org/species/Orthotomus-sericeus")</f>
        <v>https://www.xeno-canto.org/species/Orthotomus-sericeus</v>
      </c>
      <c r="C689" s="30" t="str">
        <f>HYPERLINK("https://ebird.org/species/ruttai1")</f>
        <v>https://ebird.org/species/ruttai1</v>
      </c>
      <c r="D689" s="31" t="str">
        <f>HYPERLINK("https://www.hbw.com/species/Rufous-tailed-Tailorbird-Orthotomus-sericeus")</f>
        <v>https://www.hbw.com/species/Rufous-tailed-Tailorbird-Orthotomus-sericeus</v>
      </c>
      <c r="E689" s="32" t="str">
        <f>HYPERLINK("https://www.iucnredlist.org/search?query=Orthotomus sericeus&amp;searchType=species")</f>
        <v>https://www.iucnredlist.org/search?query=Orthotomus sericeus&amp;searchType=species</v>
      </c>
      <c r="F689" s="2">
        <v>533</v>
      </c>
      <c r="G689" s="27" t="s">
        <v>1547</v>
      </c>
      <c r="H689" s="84" t="s">
        <v>1568</v>
      </c>
      <c r="I689" s="92" t="s">
        <v>1569</v>
      </c>
      <c r="J689" s="1" t="s">
        <v>15</v>
      </c>
      <c r="M689" s="2" t="s">
        <v>1266</v>
      </c>
    </row>
    <row r="690" spans="1:13" ht="14.4" x14ac:dyDescent="0.3">
      <c r="A690" s="28" t="str">
        <f>HYPERLINK("https://www.google.com/search?q=Orthotomus ruficeps&amp;tbm=isch")</f>
        <v>https://www.google.com/search?q=Orthotomus ruficeps&amp;tbm=isch</v>
      </c>
      <c r="B690" s="29" t="str">
        <f>HYPERLINK("https://www.xeno-canto.org/species/Orthotomus-ruficeps")</f>
        <v>https://www.xeno-canto.org/species/Orthotomus-ruficeps</v>
      </c>
      <c r="C690" s="30" t="str">
        <f>HYPERLINK("https://ebird.org/species/ashtai1")</f>
        <v>https://ebird.org/species/ashtai1</v>
      </c>
      <c r="D690" s="31" t="str">
        <f>HYPERLINK("https://www.hbw.com/species/Ashy-Tailorbird-Orthotomus-ruficeps")</f>
        <v>https://www.hbw.com/species/Ashy-Tailorbird-Orthotomus-ruficeps</v>
      </c>
      <c r="E690" s="32" t="str">
        <f>HYPERLINK("https://www.iucnredlist.org/search?query=Orthotomus ruficeps&amp;searchType=species")</f>
        <v>https://www.iucnredlist.org/search?query=Orthotomus ruficeps&amp;searchType=species</v>
      </c>
      <c r="F690" s="2">
        <v>534</v>
      </c>
      <c r="G690" s="27" t="s">
        <v>1547</v>
      </c>
      <c r="H690" s="84" t="s">
        <v>1570</v>
      </c>
      <c r="I690" s="92" t="s">
        <v>1571</v>
      </c>
      <c r="J690" s="1" t="s">
        <v>15</v>
      </c>
      <c r="M690" s="2" t="s">
        <v>1266</v>
      </c>
    </row>
    <row r="691" spans="1:13" ht="14.4" x14ac:dyDescent="0.3">
      <c r="A691" s="28" t="str">
        <f>HYPERLINK("https://www.google.com/search?q=Orthotomus cinereiceps&amp;tbm=isch")</f>
        <v>https://www.google.com/search?q=Orthotomus cinereiceps&amp;tbm=isch</v>
      </c>
      <c r="B691" s="29" t="str">
        <f>HYPERLINK("https://www.xeno-canto.org/species/Orthotomus-cinereiceps")</f>
        <v>https://www.xeno-canto.org/species/Orthotomus-cinereiceps</v>
      </c>
      <c r="C691" s="30" t="str">
        <f>HYPERLINK("https://ebird.org/species/whetai1")</f>
        <v>https://ebird.org/species/whetai1</v>
      </c>
      <c r="D691" s="31" t="str">
        <f>HYPERLINK("https://www.hbw.com/species/White-eared-Tailorbird-Orthotomus-cinereiceps")</f>
        <v>https://www.hbw.com/species/White-eared-Tailorbird-Orthotomus-cinereiceps</v>
      </c>
      <c r="E691" s="32" t="str">
        <f>HYPERLINK("https://www.iucnredlist.org/search?query=Orthotomus cinereiceps&amp;searchType=species")</f>
        <v>https://www.iucnredlist.org/search?query=Orthotomus cinereiceps&amp;searchType=species</v>
      </c>
      <c r="F691" s="2">
        <v>535</v>
      </c>
      <c r="G691" s="27" t="s">
        <v>1547</v>
      </c>
      <c r="H691" s="86" t="s">
        <v>1572</v>
      </c>
      <c r="I691" s="94" t="s">
        <v>1573</v>
      </c>
      <c r="J691" s="1" t="s">
        <v>65</v>
      </c>
      <c r="M691" s="2" t="s">
        <v>68</v>
      </c>
    </row>
    <row r="692" spans="1:13" ht="14.4" x14ac:dyDescent="0.3">
      <c r="A692" s="28" t="str">
        <f>HYPERLINK("https://www.google.com/search?q=Orthotomus nigriceps&amp;tbm=isch")</f>
        <v>https://www.google.com/search?q=Orthotomus nigriceps&amp;tbm=isch</v>
      </c>
      <c r="B692" s="29" t="str">
        <f>HYPERLINK("https://www.xeno-canto.org/species/Orthotomus-nigriceps")</f>
        <v>https://www.xeno-canto.org/species/Orthotomus-nigriceps</v>
      </c>
      <c r="C692" s="30" t="str">
        <f>HYPERLINK("https://ebird.org/species/whbtai1")</f>
        <v>https://ebird.org/species/whbtai1</v>
      </c>
      <c r="D692" s="31" t="str">
        <f>HYPERLINK("https://www.hbw.com/species/Black-headed-Tailorbird-Orthotomus-nigriceps")</f>
        <v>https://www.hbw.com/species/Black-headed-Tailorbird-Orthotomus-nigriceps</v>
      </c>
      <c r="E692" s="32" t="str">
        <f>HYPERLINK("https://www.iucnredlist.org/search?query=Orthotomus nigriceps&amp;searchType=species")</f>
        <v>https://www.iucnredlist.org/search?query=Orthotomus nigriceps&amp;searchType=species</v>
      </c>
      <c r="F692" s="2">
        <v>536</v>
      </c>
      <c r="G692" s="27" t="s">
        <v>1547</v>
      </c>
      <c r="H692" s="86" t="s">
        <v>1574</v>
      </c>
      <c r="I692" s="94" t="s">
        <v>1575</v>
      </c>
      <c r="J692" s="1" t="s">
        <v>65</v>
      </c>
      <c r="M692" s="2" t="s">
        <v>68</v>
      </c>
    </row>
    <row r="693" spans="1:13" ht="14.4" x14ac:dyDescent="0.3">
      <c r="A693" s="28" t="str">
        <f>HYPERLINK("https://www.google.com/search?q=Orthotomus samarensis&amp;tbm=isch")</f>
        <v>https://www.google.com/search?q=Orthotomus samarensis&amp;tbm=isch</v>
      </c>
      <c r="B693" s="29" t="str">
        <f>HYPERLINK("https://www.xeno-canto.org/species/Orthotomus-samarensis")</f>
        <v>https://www.xeno-canto.org/species/Orthotomus-samarensis</v>
      </c>
      <c r="C693" s="30" t="str">
        <f>HYPERLINK("https://ebird.org/species/yebtai1")</f>
        <v>https://ebird.org/species/yebtai1</v>
      </c>
      <c r="D693" s="31" t="str">
        <f>HYPERLINK("https://www.hbw.com/species/Yellow-breasted-Tailorbird-Orthotomus-samarensis")</f>
        <v>https://www.hbw.com/species/Yellow-breasted-Tailorbird-Orthotomus-samarensis</v>
      </c>
      <c r="E693" s="32" t="str">
        <f>HYPERLINK("https://www.iucnredlist.org/search?query=Orthotomus samarensis&amp;searchType=species")</f>
        <v>https://www.iucnredlist.org/search?query=Orthotomus samarensis&amp;searchType=species</v>
      </c>
      <c r="F693" s="2">
        <v>537</v>
      </c>
      <c r="G693" s="27" t="s">
        <v>1547</v>
      </c>
      <c r="H693" s="86" t="s">
        <v>1576</v>
      </c>
      <c r="I693" s="94" t="s">
        <v>1577</v>
      </c>
      <c r="J693" s="1" t="s">
        <v>65</v>
      </c>
      <c r="K693" s="1" t="s">
        <v>58</v>
      </c>
      <c r="L693" s="1" t="s">
        <v>130</v>
      </c>
      <c r="M693" s="2" t="s">
        <v>68</v>
      </c>
    </row>
    <row r="694" spans="1:13" x14ac:dyDescent="0.3">
      <c r="A694" s="33"/>
      <c r="B694" s="34"/>
      <c r="C694" s="35"/>
      <c r="D694" s="36"/>
      <c r="E694" s="37"/>
    </row>
    <row r="695" spans="1:13" ht="12" x14ac:dyDescent="0.3">
      <c r="A695" s="33"/>
      <c r="B695" s="34"/>
      <c r="C695" s="35"/>
      <c r="D695" s="36"/>
      <c r="E695" s="37"/>
      <c r="H695" s="82" t="s">
        <v>1578</v>
      </c>
      <c r="I695" s="91" t="s">
        <v>1553</v>
      </c>
    </row>
    <row r="696" spans="1:13" ht="20.399999999999999" x14ac:dyDescent="0.3">
      <c r="A696" s="28" t="str">
        <f>HYPERLINK("https://www.google.com/search?q=Macronus gularis&amp;tbm=isch")</f>
        <v>https://www.google.com/search?q=Macronus gularis&amp;tbm=isch</v>
      </c>
      <c r="B696" s="29" t="str">
        <f>HYPERLINK("https://www.xeno-canto.org/species/Macronus-gularis")</f>
        <v>https://www.xeno-canto.org/species/Macronus-gularis</v>
      </c>
      <c r="C696" s="30" t="str">
        <f>HYPERLINK("https://ebird.org/species/sttbab1")</f>
        <v>https://ebird.org/species/sttbab1</v>
      </c>
      <c r="D696" s="31" t="str">
        <f>HYPERLINK("https://www.hbw.com/species/Pin-striped-Tit-babbler-Mixornis-gularis")</f>
        <v>https://www.hbw.com/species/Pin-striped-Tit-babbler-Mixornis-gularis</v>
      </c>
      <c r="E696" s="32" t="str">
        <f>HYPERLINK("https://www.iucnredlist.org/search?query=Macronus gularis&amp;searchType=species")</f>
        <v>https://www.iucnredlist.org/search?query=Macronus gularis&amp;searchType=species</v>
      </c>
      <c r="F696" s="2">
        <v>538</v>
      </c>
      <c r="G696" s="27" t="s">
        <v>1553</v>
      </c>
      <c r="H696" s="84" t="s">
        <v>1579</v>
      </c>
      <c r="I696" s="92" t="s">
        <v>1580</v>
      </c>
      <c r="J696" s="1" t="s">
        <v>15</v>
      </c>
      <c r="M696" s="2" t="s">
        <v>1581</v>
      </c>
    </row>
    <row r="697" spans="1:13" ht="14.4" x14ac:dyDescent="0.3">
      <c r="A697" s="28" t="str">
        <f>HYPERLINK("https://www.google.com/search?q=Macronus bornensis&amp;tbm=isch")</f>
        <v>https://www.google.com/search?q=Macronus bornensis&amp;tbm=isch</v>
      </c>
      <c r="B697" s="29" t="str">
        <f>HYPERLINK("https://www.xeno-canto.org/species/Macronus-bornensis")</f>
        <v>https://www.xeno-canto.org/species/Macronus-bornensis</v>
      </c>
      <c r="C697" s="30" t="str">
        <f>HYPERLINK("https://ebird.org/species/bostib1")</f>
        <v>https://ebird.org/species/bostib1</v>
      </c>
      <c r="D697" s="31" t="str">
        <f>HYPERLINK("https://www.hbw.com/species/Bold-striped-Tit-babbler-Mixornis-bornensis")</f>
        <v>https://www.hbw.com/species/Bold-striped-Tit-babbler-Mixornis-bornensis</v>
      </c>
      <c r="E697" s="32" t="str">
        <f>HYPERLINK("https://www.iucnredlist.org/search?query=Macronus bornensis&amp;searchType=species")</f>
        <v>https://www.iucnredlist.org/search?query=Macronus bornensis&amp;searchType=species</v>
      </c>
      <c r="F697" s="2">
        <v>539</v>
      </c>
      <c r="G697" s="27" t="s">
        <v>1553</v>
      </c>
      <c r="H697" s="84" t="s">
        <v>1582</v>
      </c>
      <c r="I697" s="92" t="s">
        <v>1583</v>
      </c>
      <c r="J697" s="1" t="s">
        <v>15</v>
      </c>
      <c r="M697" s="2" t="s">
        <v>1584</v>
      </c>
    </row>
    <row r="698" spans="1:13" ht="14.4" x14ac:dyDescent="0.3">
      <c r="A698" s="28" t="str">
        <f>HYPERLINK("https://www.google.com/search?q=Macronus striaticeps&amp;tbm=isch")</f>
        <v>https://www.google.com/search?q=Macronus striaticeps&amp;tbm=isch</v>
      </c>
      <c r="B698" s="29" t="str">
        <f>HYPERLINK("https://www.xeno-canto.org/species/Macronus-striaticeps")</f>
        <v>https://www.xeno-canto.org/species/Macronus-striaticeps</v>
      </c>
      <c r="C698" s="30" t="str">
        <f>HYPERLINK("https://ebird.org/species/brtbab1")</f>
        <v>https://ebird.org/species/brtbab1</v>
      </c>
      <c r="D698" s="31" t="str">
        <f>HYPERLINK("https://www.hbw.com/species/Brown-Tit-babbler-Macronus-striaticeps")</f>
        <v>https://www.hbw.com/species/Brown-Tit-babbler-Macronus-striaticeps</v>
      </c>
      <c r="E698" s="32" t="str">
        <f>HYPERLINK("https://www.iucnredlist.org/search?query=Macronus striaticeps&amp;searchType=species")</f>
        <v>https://www.iucnredlist.org/search?query=Macronus striaticeps&amp;searchType=species</v>
      </c>
      <c r="F698" s="2">
        <v>540</v>
      </c>
      <c r="G698" s="27" t="s">
        <v>1553</v>
      </c>
      <c r="H698" s="86" t="s">
        <v>1585</v>
      </c>
      <c r="I698" s="94" t="s">
        <v>1586</v>
      </c>
      <c r="J698" s="1" t="s">
        <v>65</v>
      </c>
      <c r="M698" s="2" t="s">
        <v>68</v>
      </c>
    </row>
    <row r="699" spans="1:13" x14ac:dyDescent="0.3">
      <c r="A699" s="33"/>
      <c r="B699" s="34"/>
      <c r="C699" s="35"/>
      <c r="D699" s="36"/>
      <c r="E699" s="37"/>
    </row>
    <row r="700" spans="1:13" ht="12" x14ac:dyDescent="0.3">
      <c r="A700" s="33"/>
      <c r="B700" s="34"/>
      <c r="C700" s="35"/>
      <c r="D700" s="36"/>
      <c r="E700" s="37"/>
      <c r="H700" s="82" t="s">
        <v>1587</v>
      </c>
      <c r="I700" s="91" t="s">
        <v>1588</v>
      </c>
    </row>
    <row r="701" spans="1:13" ht="14.4" x14ac:dyDescent="0.3">
      <c r="A701" s="28" t="str">
        <f>HYPERLINK("https://www.google.com/search?q=Ptilocichla mindanensis&amp;tbm=isch")</f>
        <v>https://www.google.com/search?q=Ptilocichla mindanensis&amp;tbm=isch</v>
      </c>
      <c r="B701" s="29" t="str">
        <f>HYPERLINK("https://www.xeno-canto.org/species/Ptilocichla-mindanensis")</f>
        <v>https://www.xeno-canto.org/species/Ptilocichla-mindanensis</v>
      </c>
      <c r="C701" s="30" t="str">
        <f>HYPERLINK("https://ebird.org/species/stwbab2")</f>
        <v>https://ebird.org/species/stwbab2</v>
      </c>
      <c r="D701" s="31" t="str">
        <f>HYPERLINK("https://www.hbw.com/species/Striated-Wren-babbler-Ptilocichla-mindanensis")</f>
        <v>https://www.hbw.com/species/Striated-Wren-babbler-Ptilocichla-mindanensis</v>
      </c>
      <c r="E701" s="32" t="str">
        <f>HYPERLINK("https://www.iucnredlist.org/search?query=Ptilocichla mindanensis&amp;searchType=species")</f>
        <v>https://www.iucnredlist.org/search?query=Ptilocichla mindanensis&amp;searchType=species</v>
      </c>
      <c r="F701" s="2">
        <v>541</v>
      </c>
      <c r="G701" s="27" t="s">
        <v>1588</v>
      </c>
      <c r="H701" s="86" t="s">
        <v>1589</v>
      </c>
      <c r="I701" s="94" t="s">
        <v>1590</v>
      </c>
      <c r="J701" s="1" t="s">
        <v>65</v>
      </c>
      <c r="M701" s="2" t="s">
        <v>68</v>
      </c>
    </row>
    <row r="702" spans="1:13" ht="14.4" x14ac:dyDescent="0.3">
      <c r="A702" s="28" t="str">
        <f>HYPERLINK("https://www.google.com/search?q=Ptilocichla falcata&amp;tbm=isch")</f>
        <v>https://www.google.com/search?q=Ptilocichla falcata&amp;tbm=isch</v>
      </c>
      <c r="B702" s="29" t="str">
        <f>HYPERLINK("https://www.xeno-canto.org/species/Ptilocichla-falcata")</f>
        <v>https://www.xeno-canto.org/species/Ptilocichla-falcata</v>
      </c>
      <c r="C702" s="30" t="str">
        <f>HYPERLINK("https://ebird.org/species/fawbab1")</f>
        <v>https://ebird.org/species/fawbab1</v>
      </c>
      <c r="D702" s="31" t="str">
        <f>HYPERLINK("https://www.hbw.com/species/Falcated-Wren-babbler-Ptilocichla-falcata")</f>
        <v>https://www.hbw.com/species/Falcated-Wren-babbler-Ptilocichla-falcata</v>
      </c>
      <c r="E702" s="32" t="str">
        <f>HYPERLINK("https://www.iucnredlist.org/search?query=Ptilocichla falcata&amp;searchType=species")</f>
        <v>https://www.iucnredlist.org/search?query=Ptilocichla falcata&amp;searchType=species</v>
      </c>
      <c r="F702" s="2">
        <v>542</v>
      </c>
      <c r="G702" s="27" t="s">
        <v>1588</v>
      </c>
      <c r="H702" s="86" t="s">
        <v>1591</v>
      </c>
      <c r="I702" s="94" t="s">
        <v>1592</v>
      </c>
      <c r="J702" s="1" t="s">
        <v>65</v>
      </c>
      <c r="K702" s="1" t="s">
        <v>66</v>
      </c>
      <c r="L702" s="1" t="s">
        <v>66</v>
      </c>
      <c r="M702" s="2" t="s">
        <v>68</v>
      </c>
    </row>
    <row r="703" spans="1:13" ht="14.4" x14ac:dyDescent="0.3">
      <c r="A703" s="28" t="str">
        <f>HYPERLINK("https://www.google.com/search?q=Malacocincla cinereiceps&amp;tbm=isch")</f>
        <v>https://www.google.com/search?q=Malacocincla cinereiceps&amp;tbm=isch</v>
      </c>
      <c r="B703" s="29" t="str">
        <f>HYPERLINK("https://www.xeno-canto.org/species/Malacocincla-cinereiceps")</f>
        <v>https://www.xeno-canto.org/species/Malacocincla-cinereiceps</v>
      </c>
      <c r="C703" s="30" t="str">
        <f>HYPERLINK("https://ebird.org/species/ashbab1")</f>
        <v>https://ebird.org/species/ashbab1</v>
      </c>
      <c r="D703" s="31" t="str">
        <f>HYPERLINK("https://www.hbw.com/species/Ashy-headed-Babbler-Trichastoma-cinereiceps")</f>
        <v>https://www.hbw.com/species/Ashy-headed-Babbler-Trichastoma-cinereiceps</v>
      </c>
      <c r="E703" s="32" t="str">
        <f>HYPERLINK("https://www.iucnredlist.org/search?query=Malacocincla cinereiceps&amp;searchType=species")</f>
        <v>https://www.iucnredlist.org/search?query=Malacocincla cinereiceps&amp;searchType=species</v>
      </c>
      <c r="F703" s="2">
        <v>543</v>
      </c>
      <c r="G703" s="27" t="s">
        <v>1588</v>
      </c>
      <c r="H703" s="86" t="s">
        <v>1593</v>
      </c>
      <c r="I703" s="94" t="s">
        <v>1594</v>
      </c>
      <c r="J703" s="1" t="s">
        <v>65</v>
      </c>
      <c r="M703" s="2" t="s">
        <v>68</v>
      </c>
    </row>
    <row r="704" spans="1:13" ht="14.4" x14ac:dyDescent="0.3">
      <c r="A704" s="28" t="str">
        <f>HYPERLINK("https://www.google.com/search?q=Malacopteron palawanense&amp;tbm=isch")</f>
        <v>https://www.google.com/search?q=Malacopteron palawanense&amp;tbm=isch</v>
      </c>
      <c r="B704" s="29" t="str">
        <f>HYPERLINK("https://www.xeno-canto.org/species/Malacopteron-palawanense")</f>
        <v>https://www.xeno-canto.org/species/Malacopteron-palawanense</v>
      </c>
      <c r="C704" s="30" t="str">
        <f>HYPERLINK("https://ebird.org/species/palbab1")</f>
        <v>https://ebird.org/species/palbab1</v>
      </c>
      <c r="D704" s="31" t="str">
        <f>HYPERLINK("https://www.hbw.com/species/Melodious-Babbler-Malacopteron-palawanense")</f>
        <v>https://www.hbw.com/species/Melodious-Babbler-Malacopteron-palawanense</v>
      </c>
      <c r="E704" s="32" t="str">
        <f>HYPERLINK("https://www.iucnredlist.org/search?query=Malacopteron palawanense&amp;searchType=species")</f>
        <v>https://www.iucnredlist.org/search?query=Malacopteron palawanense&amp;searchType=species</v>
      </c>
      <c r="F704" s="2">
        <v>544</v>
      </c>
      <c r="G704" s="27" t="s">
        <v>1588</v>
      </c>
      <c r="H704" s="86" t="s">
        <v>1595</v>
      </c>
      <c r="I704" s="94" t="s">
        <v>1596</v>
      </c>
      <c r="J704" s="1" t="s">
        <v>65</v>
      </c>
      <c r="K704" s="1" t="s">
        <v>58</v>
      </c>
      <c r="L704" s="1" t="s">
        <v>130</v>
      </c>
      <c r="M704" s="2" t="s">
        <v>68</v>
      </c>
    </row>
    <row r="705" spans="1:13" x14ac:dyDescent="0.3">
      <c r="A705" s="33"/>
      <c r="B705" s="34"/>
      <c r="C705" s="35"/>
      <c r="D705" s="36"/>
      <c r="E705" s="37"/>
    </row>
    <row r="706" spans="1:13" ht="12" x14ac:dyDescent="0.3">
      <c r="A706" s="33"/>
      <c r="B706" s="34"/>
      <c r="C706" s="35"/>
      <c r="D706" s="36"/>
      <c r="E706" s="37"/>
      <c r="H706" s="82" t="s">
        <v>1597</v>
      </c>
      <c r="I706" s="91" t="s">
        <v>1598</v>
      </c>
    </row>
    <row r="707" spans="1:13" ht="14.4" x14ac:dyDescent="0.3">
      <c r="A707" s="28" t="str">
        <f>HYPERLINK("https://www.google.com/search?q=Zosterornis whiteheadi&amp;tbm=isch")</f>
        <v>https://www.google.com/search?q=Zosterornis whiteheadi&amp;tbm=isch</v>
      </c>
      <c r="B707" s="29" t="str">
        <f>HYPERLINK("https://www.xeno-canto.org/species/Zosterornis-whiteheadi")</f>
        <v>https://www.xeno-canto.org/species/Zosterornis-whiteheadi</v>
      </c>
      <c r="C707" s="30" t="str">
        <f>HYPERLINK("https://ebird.org/species/chfbab1")</f>
        <v>https://ebird.org/species/chfbab1</v>
      </c>
      <c r="D707" s="31" t="str">
        <f>HYPERLINK("https://www.hbw.com/species/Chestnut-faced-Babbler-Zosterornis-whiteheadi")</f>
        <v>https://www.hbw.com/species/Chestnut-faced-Babbler-Zosterornis-whiteheadi</v>
      </c>
      <c r="E707" s="32" t="str">
        <f>HYPERLINK("https://www.iucnredlist.org/search?query=Zosterornis whiteheadi&amp;searchType=species")</f>
        <v>https://www.iucnredlist.org/search?query=Zosterornis whiteheadi&amp;searchType=species</v>
      </c>
      <c r="F707" s="2">
        <v>545</v>
      </c>
      <c r="G707" s="27" t="s">
        <v>1598</v>
      </c>
      <c r="H707" s="86" t="s">
        <v>1599</v>
      </c>
      <c r="I707" s="94" t="s">
        <v>1600</v>
      </c>
      <c r="J707" s="1" t="s">
        <v>65</v>
      </c>
      <c r="M707" s="2" t="s">
        <v>68</v>
      </c>
    </row>
    <row r="708" spans="1:13" ht="14.4" x14ac:dyDescent="0.3">
      <c r="A708" s="28" t="str">
        <f>HYPERLINK("https://www.google.com/search?q=Zosterornis striatus&amp;tbm=isch")</f>
        <v>https://www.google.com/search?q=Zosterornis striatus&amp;tbm=isch</v>
      </c>
      <c r="B708" s="29" t="str">
        <f>HYPERLINK("https://www.xeno-canto.org/species/Zosterornis-striatus")</f>
        <v>https://www.xeno-canto.org/species/Zosterornis-striatus</v>
      </c>
      <c r="C708" s="30" t="str">
        <f>HYPERLINK("https://ebird.org/species/lusbab1")</f>
        <v>https://ebird.org/species/lusbab1</v>
      </c>
      <c r="D708" s="31" t="str">
        <f>HYPERLINK("https://www.hbw.com/species/Luzon-Striped-Babbler-Zosterornis-striatus")</f>
        <v>https://www.hbw.com/species/Luzon-Striped-Babbler-Zosterornis-striatus</v>
      </c>
      <c r="E708" s="32" t="str">
        <f>HYPERLINK("https://www.iucnredlist.org/search?query=Zosterornis striatus&amp;searchType=species")</f>
        <v>https://www.iucnredlist.org/search?query=Zosterornis striatus&amp;searchType=species</v>
      </c>
      <c r="F708" s="2">
        <v>546</v>
      </c>
      <c r="G708" s="27" t="s">
        <v>1598</v>
      </c>
      <c r="H708" s="86" t="s">
        <v>1601</v>
      </c>
      <c r="I708" s="94" t="s">
        <v>1602</v>
      </c>
      <c r="J708" s="1" t="s">
        <v>65</v>
      </c>
      <c r="K708" s="1" t="s">
        <v>58</v>
      </c>
      <c r="L708" s="1" t="s">
        <v>66</v>
      </c>
      <c r="M708" s="2" t="s">
        <v>68</v>
      </c>
    </row>
    <row r="709" spans="1:13" ht="14.4" x14ac:dyDescent="0.3">
      <c r="A709" s="28" t="str">
        <f>HYPERLINK("https://www.google.com/search?q=Zosterornis latistriatus&amp;tbm=isch")</f>
        <v>https://www.google.com/search?q=Zosterornis latistriatus&amp;tbm=isch</v>
      </c>
      <c r="B709" s="29" t="str">
        <f>HYPERLINK("https://www.xeno-canto.org/species/Zosterornis-latistriatus")</f>
        <v>https://www.xeno-canto.org/species/Zosterornis-latistriatus</v>
      </c>
      <c r="C709" s="30" t="str">
        <f>HYPERLINK("https://ebird.org/species/pasbab2")</f>
        <v>https://ebird.org/species/pasbab2</v>
      </c>
      <c r="D709" s="31" t="str">
        <f>HYPERLINK("https://www.hbw.com/species/Panay-Striped-Babbler-Zosterornis-latistriatus")</f>
        <v>https://www.hbw.com/species/Panay-Striped-Babbler-Zosterornis-latistriatus</v>
      </c>
      <c r="E709" s="32" t="str">
        <f>HYPERLINK("https://www.iucnredlist.org/search?query=Zosterornis latistriatus&amp;searchType=species")</f>
        <v>https://www.iucnredlist.org/search?query=Zosterornis latistriatus&amp;searchType=species</v>
      </c>
      <c r="F709" s="2">
        <v>547</v>
      </c>
      <c r="G709" s="27" t="s">
        <v>1598</v>
      </c>
      <c r="H709" s="86" t="s">
        <v>1603</v>
      </c>
      <c r="I709" s="94" t="s">
        <v>1604</v>
      </c>
      <c r="J709" s="1" t="s">
        <v>65</v>
      </c>
      <c r="K709" s="1" t="s">
        <v>58</v>
      </c>
      <c r="L709" s="1" t="s">
        <v>66</v>
      </c>
      <c r="M709" s="2" t="s">
        <v>68</v>
      </c>
    </row>
    <row r="710" spans="1:13" ht="14.4" x14ac:dyDescent="0.3">
      <c r="A710" s="28" t="str">
        <f>HYPERLINK("https://www.google.com/search?q=Zosterornis nigrorum&amp;tbm=isch")</f>
        <v>https://www.google.com/search?q=Zosterornis nigrorum&amp;tbm=isch</v>
      </c>
      <c r="B710" s="29" t="str">
        <f>HYPERLINK("https://www.xeno-canto.org/species/Zosterornis-nigrorum")</f>
        <v>https://www.xeno-canto.org/species/Zosterornis-nigrorum</v>
      </c>
      <c r="C710" s="30" t="str">
        <f>HYPERLINK("https://ebird.org/species/nesbab1")</f>
        <v>https://ebird.org/species/nesbab1</v>
      </c>
      <c r="D710" s="31" t="str">
        <f>HYPERLINK("https://www.hbw.com/species/Negros-Striped-Babbler-Zosterornis-nigrorum")</f>
        <v>https://www.hbw.com/species/Negros-Striped-Babbler-Zosterornis-nigrorum</v>
      </c>
      <c r="E710" s="32" t="str">
        <f>HYPERLINK("https://www.iucnredlist.org/search?query=Zosterornis nigrorum&amp;searchType=species")</f>
        <v>https://www.iucnredlist.org/search?query=Zosterornis nigrorum&amp;searchType=species</v>
      </c>
      <c r="F710" s="2">
        <v>548</v>
      </c>
      <c r="G710" s="27" t="s">
        <v>1598</v>
      </c>
      <c r="H710" s="90" t="s">
        <v>1605</v>
      </c>
      <c r="I710" s="94" t="s">
        <v>1606</v>
      </c>
      <c r="J710" s="1" t="s">
        <v>65</v>
      </c>
      <c r="K710" s="1" t="s">
        <v>67</v>
      </c>
      <c r="L710" s="1" t="s">
        <v>67</v>
      </c>
      <c r="M710" s="2" t="s">
        <v>68</v>
      </c>
    </row>
    <row r="711" spans="1:13" ht="14.4" x14ac:dyDescent="0.3">
      <c r="A711" s="28" t="str">
        <f>HYPERLINK("https://www.google.com/search?q=Zosterornis hypogrammicus&amp;tbm=isch")</f>
        <v>https://www.google.com/search?q=Zosterornis hypogrammicus&amp;tbm=isch</v>
      </c>
      <c r="B711" s="29" t="str">
        <f>HYPERLINK("https://www.xeno-canto.org/species/Zosterornis-hypogrammicus")</f>
        <v>https://www.xeno-canto.org/species/Zosterornis-hypogrammicus</v>
      </c>
      <c r="C711" s="30" t="str">
        <f>HYPERLINK("https://ebird.org/species/pasbab1")</f>
        <v>https://ebird.org/species/pasbab1</v>
      </c>
      <c r="D711" s="31" t="str">
        <f>HYPERLINK("https://www.hbw.com/species/Palawan-Striped-Babbler-Zosterornis-hypogrammicus")</f>
        <v>https://www.hbw.com/species/Palawan-Striped-Babbler-Zosterornis-hypogrammicus</v>
      </c>
      <c r="E711" s="32" t="str">
        <f>HYPERLINK("https://www.iucnredlist.org/search?query=Zosterornis hypogrammicus&amp;searchType=species")</f>
        <v>https://www.iucnredlist.org/search?query=Zosterornis hypogrammicus&amp;searchType=species</v>
      </c>
      <c r="F711" s="2">
        <v>549</v>
      </c>
      <c r="G711" s="27" t="s">
        <v>1598</v>
      </c>
      <c r="H711" s="86" t="s">
        <v>1607</v>
      </c>
      <c r="I711" s="94" t="s">
        <v>1608</v>
      </c>
      <c r="J711" s="1" t="s">
        <v>65</v>
      </c>
      <c r="K711" s="1" t="s">
        <v>58</v>
      </c>
      <c r="L711" s="1" t="s">
        <v>130</v>
      </c>
      <c r="M711" s="2" t="s">
        <v>68</v>
      </c>
    </row>
    <row r="712" spans="1:13" ht="14.4" x14ac:dyDescent="0.3">
      <c r="A712" s="28" t="str">
        <f>HYPERLINK("https://www.google.com/search?q=Dasycrotapha speciosa&amp;tbm=isch")</f>
        <v>https://www.google.com/search?q=Dasycrotapha speciosa&amp;tbm=isch</v>
      </c>
      <c r="B712" s="29" t="str">
        <f>HYPERLINK("https://www.xeno-canto.org/species/Dasycrotapha-speciosa")</f>
        <v>https://www.xeno-canto.org/species/Dasycrotapha-speciosa</v>
      </c>
      <c r="C712" s="30" t="str">
        <f>HYPERLINK("https://ebird.org/species/fltbab1")</f>
        <v>https://ebird.org/species/fltbab1</v>
      </c>
      <c r="D712" s="31" t="str">
        <f>HYPERLINK("https://www.hbw.com/species/Flame-templed-Babbler-Dasycrotapha-speciosa")</f>
        <v>https://www.hbw.com/species/Flame-templed-Babbler-Dasycrotapha-speciosa</v>
      </c>
      <c r="E712" s="32" t="str">
        <f>HYPERLINK("https://www.iucnredlist.org/search?query=Dasycrotapha speciosa&amp;searchType=species")</f>
        <v>https://www.iucnredlist.org/search?query=Dasycrotapha speciosa&amp;searchType=species</v>
      </c>
      <c r="F712" s="2">
        <v>550</v>
      </c>
      <c r="G712" s="27" t="s">
        <v>1598</v>
      </c>
      <c r="H712" s="86" t="s">
        <v>1609</v>
      </c>
      <c r="I712" s="94" t="s">
        <v>1610</v>
      </c>
      <c r="J712" s="1" t="s">
        <v>65</v>
      </c>
      <c r="K712" s="1" t="s">
        <v>67</v>
      </c>
      <c r="L712" s="1" t="s">
        <v>67</v>
      </c>
      <c r="M712" s="2" t="s">
        <v>68</v>
      </c>
    </row>
    <row r="713" spans="1:13" ht="14.4" x14ac:dyDescent="0.3">
      <c r="A713" s="28" t="str">
        <f>HYPERLINK("https://www.google.com/search?q=Dasycrotapha plateni&amp;tbm=isch")</f>
        <v>https://www.google.com/search?q=Dasycrotapha plateni&amp;tbm=isch</v>
      </c>
      <c r="B713" s="29" t="str">
        <f>HYPERLINK("https://www.xeno-canto.org/species/Dasycrotapha-plateni")</f>
        <v>https://www.xeno-canto.org/species/Dasycrotapha-plateni</v>
      </c>
      <c r="C713" s="30" t="str">
        <f>HYPERLINK("https://ebird.org/species/pygbab1")</f>
        <v>https://ebird.org/species/pygbab1</v>
      </c>
      <c r="D713" s="31" t="str">
        <f>HYPERLINK("https://www.hbw.com/species/Mindanao-Pygmy-Babbler-Dasycrotapha-plateni")</f>
        <v>https://www.hbw.com/species/Mindanao-Pygmy-Babbler-Dasycrotapha-plateni</v>
      </c>
      <c r="E713" s="32" t="str">
        <f>HYPERLINK("https://www.iucnredlist.org/search?query=Dasycrotapha plateni&amp;searchType=species")</f>
        <v>https://www.iucnredlist.org/search?query=Dasycrotapha plateni&amp;searchType=species</v>
      </c>
      <c r="F713" s="2">
        <v>551</v>
      </c>
      <c r="G713" s="27" t="s">
        <v>1598</v>
      </c>
      <c r="H713" s="86" t="s">
        <v>1611</v>
      </c>
      <c r="I713" s="94" t="s">
        <v>1612</v>
      </c>
      <c r="J713" s="1" t="s">
        <v>65</v>
      </c>
      <c r="K713" s="1" t="s">
        <v>58</v>
      </c>
      <c r="L713" s="1" t="s">
        <v>130</v>
      </c>
      <c r="M713" s="2" t="s">
        <v>1167</v>
      </c>
    </row>
    <row r="714" spans="1:13" ht="14.4" x14ac:dyDescent="0.3">
      <c r="A714" s="28" t="str">
        <f>HYPERLINK("https://www.google.com/search?q=Dasycrotapha pygmaea&amp;tbm=isch")</f>
        <v>https://www.google.com/search?q=Dasycrotapha pygmaea&amp;tbm=isch</v>
      </c>
      <c r="B714" s="29" t="str">
        <f>HYPERLINK("https://www.xeno-canto.org/species/Dasycrotapha-pygmaea")</f>
        <v>https://www.xeno-canto.org/species/Dasycrotapha-pygmaea</v>
      </c>
      <c r="C714" s="30" t="str">
        <f>HYPERLINK("https://ebird.org/species/vispyb1")</f>
        <v>https://ebird.org/species/vispyb1</v>
      </c>
      <c r="D714" s="31" t="str">
        <f>HYPERLINK("https://www.hbw.com/species/Visayan-Pygmy-Babbler-Dasycrotapha-pygmaea")</f>
        <v>https://www.hbw.com/species/Visayan-Pygmy-Babbler-Dasycrotapha-pygmaea</v>
      </c>
      <c r="E714" s="32" t="str">
        <f>HYPERLINK("https://www.iucnredlist.org/search?query=Dasycrotapha pygmaea&amp;searchType=species")</f>
        <v>https://www.iucnredlist.org/search?query=Dasycrotapha pygmaea&amp;searchType=species</v>
      </c>
      <c r="F714" s="2">
        <v>552</v>
      </c>
      <c r="G714" s="27" t="s">
        <v>1598</v>
      </c>
      <c r="H714" s="86" t="s">
        <v>1613</v>
      </c>
      <c r="I714" s="94" t="s">
        <v>1614</v>
      </c>
      <c r="J714" s="1" t="s">
        <v>65</v>
      </c>
      <c r="K714" s="1" t="s">
        <v>58</v>
      </c>
      <c r="L714" s="1" t="s">
        <v>130</v>
      </c>
      <c r="M714" s="2" t="s">
        <v>1556</v>
      </c>
    </row>
    <row r="715" spans="1:13" ht="14.4" x14ac:dyDescent="0.3">
      <c r="A715" s="28" t="str">
        <f>HYPERLINK("https://www.google.com/search?q=Sterrhoptilus dennistouni&amp;tbm=isch")</f>
        <v>https://www.google.com/search?q=Sterrhoptilus dennistouni&amp;tbm=isch</v>
      </c>
      <c r="B715" s="29" t="str">
        <f>HYPERLINK("https://www.xeno-canto.org/species/Sterrhoptilus-dennistouni")</f>
        <v>https://www.xeno-canto.org/species/Sterrhoptilus-dennistouni</v>
      </c>
      <c r="C715" s="30" t="str">
        <f>HYPERLINK("https://ebird.org/species/gocbab1")</f>
        <v>https://ebird.org/species/gocbab1</v>
      </c>
      <c r="D715" s="31" t="str">
        <f>HYPERLINK("https://www.hbw.com/species/Golden-crowned-Babbler-Sterrhoptilus-dennistouni")</f>
        <v>https://www.hbw.com/species/Golden-crowned-Babbler-Sterrhoptilus-dennistouni</v>
      </c>
      <c r="E715" s="32" t="str">
        <f>HYPERLINK("https://www.iucnredlist.org/search?query=Sterrhoptilus dennistouni&amp;searchType=species")</f>
        <v>https://www.iucnredlist.org/search?query=Sterrhoptilus dennistouni&amp;searchType=species</v>
      </c>
      <c r="F715" s="2">
        <v>553</v>
      </c>
      <c r="G715" s="27" t="s">
        <v>1598</v>
      </c>
      <c r="H715" s="86" t="s">
        <v>1615</v>
      </c>
      <c r="I715" s="94" t="s">
        <v>1616</v>
      </c>
      <c r="J715" s="1" t="s">
        <v>65</v>
      </c>
      <c r="K715" s="1" t="s">
        <v>58</v>
      </c>
      <c r="L715" s="1" t="s">
        <v>130</v>
      </c>
      <c r="M715" s="2" t="s">
        <v>68</v>
      </c>
    </row>
    <row r="716" spans="1:13" ht="14.4" x14ac:dyDescent="0.3">
      <c r="A716" s="28" t="str">
        <f>HYPERLINK("https://www.google.com/search?q=Sterrhoptilus nigrocapitatus&amp;tbm=isch")</f>
        <v>https://www.google.com/search?q=Sterrhoptilus nigrocapitatus&amp;tbm=isch</v>
      </c>
      <c r="B716" s="29" t="str">
        <f>HYPERLINK("https://www.xeno-canto.org/species/Sterrhoptilus-nigrocapitatus")</f>
        <v>https://www.xeno-canto.org/species/Sterrhoptilus-nigrocapitatus</v>
      </c>
      <c r="C716" s="30" t="str">
        <f>HYPERLINK("https://ebird.org/species/blcbab3")</f>
        <v>https://ebird.org/species/blcbab3</v>
      </c>
      <c r="D716" s="31" t="str">
        <f>HYPERLINK("https://www.hbw.com/species/Black-crowned-Babbler-Sterrhoptilus-nigrocapitatus")</f>
        <v>https://www.hbw.com/species/Black-crowned-Babbler-Sterrhoptilus-nigrocapitatus</v>
      </c>
      <c r="E716" s="32" t="str">
        <f>HYPERLINK("https://www.iucnredlist.org/search?query=Sterrhoptilus nigrocapitatus&amp;searchType=species")</f>
        <v>https://www.iucnredlist.org/search?query=Sterrhoptilus nigrocapitatus&amp;searchType=species</v>
      </c>
      <c r="F716" s="2">
        <v>554</v>
      </c>
      <c r="G716" s="27" t="s">
        <v>1598</v>
      </c>
      <c r="H716" s="86" t="s">
        <v>1617</v>
      </c>
      <c r="I716" s="94" t="s">
        <v>1618</v>
      </c>
      <c r="J716" s="1" t="s">
        <v>65</v>
      </c>
      <c r="M716" s="2" t="s">
        <v>68</v>
      </c>
    </row>
    <row r="717" spans="1:13" ht="14.4" x14ac:dyDescent="0.3">
      <c r="A717" s="28" t="str">
        <f>HYPERLINK("https://www.google.com/search?q=Sterrhoptilus capitalis&amp;tbm=isch")</f>
        <v>https://www.google.com/search?q=Sterrhoptilus capitalis&amp;tbm=isch</v>
      </c>
      <c r="B717" s="29" t="str">
        <f>HYPERLINK("https://www.xeno-canto.org/species/Sterrhoptilus-capitalis")</f>
        <v>https://www.xeno-canto.org/species/Sterrhoptilus-capitalis</v>
      </c>
      <c r="C717" s="30" t="str">
        <f>HYPERLINK("https://ebird.org/species/rucbab3")</f>
        <v>https://ebird.org/species/rucbab3</v>
      </c>
      <c r="D717" s="31" t="str">
        <f>HYPERLINK("https://www.hbw.com/species/Rusty-crowned-Babbler-Sterrhoptilus-capitalis")</f>
        <v>https://www.hbw.com/species/Rusty-crowned-Babbler-Sterrhoptilus-capitalis</v>
      </c>
      <c r="E717" s="32" t="str">
        <f>HYPERLINK("https://www.iucnredlist.org/search?query=Sterrhoptilus capitalis&amp;searchType=species")</f>
        <v>https://www.iucnredlist.org/search?query=Sterrhoptilus capitalis&amp;searchType=species</v>
      </c>
      <c r="F717" s="2">
        <v>555</v>
      </c>
      <c r="G717" s="27" t="s">
        <v>1598</v>
      </c>
      <c r="H717" s="86" t="s">
        <v>1619</v>
      </c>
      <c r="I717" s="94" t="s">
        <v>1620</v>
      </c>
      <c r="J717" s="1" t="s">
        <v>65</v>
      </c>
      <c r="M717" s="2" t="s">
        <v>68</v>
      </c>
    </row>
    <row r="718" spans="1:13" ht="14.4" x14ac:dyDescent="0.3">
      <c r="A718" s="28" t="str">
        <f>HYPERLINK("https://www.google.com/search?q=Lophozosterops goodfellowi&amp;tbm=isch")</f>
        <v>https://www.google.com/search?q=Lophozosterops goodfellowi&amp;tbm=isch</v>
      </c>
      <c r="B718" s="29" t="str">
        <f>HYPERLINK("https://www.xeno-canto.org/species/Lophozosterops-goodfellowi")</f>
        <v>https://www.xeno-canto.org/species/Lophozosterops-goodfellowi</v>
      </c>
      <c r="C718" s="30" t="str">
        <f>HYPERLINK("https://ebird.org/species/minwhe1")</f>
        <v>https://ebird.org/species/minwhe1</v>
      </c>
      <c r="D718" s="31" t="str">
        <f>HYPERLINK("https://www.hbw.com/species/Mindanao-White-eye-Heleia-goodfellowi")</f>
        <v>https://www.hbw.com/species/Mindanao-White-eye-Heleia-goodfellowi</v>
      </c>
      <c r="E718" s="32" t="str">
        <f>HYPERLINK("https://www.iucnredlist.org/search?query=Lophozosterops goodfellowi&amp;searchType=species")</f>
        <v>https://www.iucnredlist.org/search?query=Lophozosterops goodfellowi&amp;searchType=species</v>
      </c>
      <c r="F718" s="2">
        <v>556</v>
      </c>
      <c r="G718" s="27" t="s">
        <v>1598</v>
      </c>
      <c r="H718" s="86" t="s">
        <v>1621</v>
      </c>
      <c r="I718" s="94" t="s">
        <v>1622</v>
      </c>
      <c r="J718" s="1" t="s">
        <v>65</v>
      </c>
      <c r="M718" s="2" t="s">
        <v>68</v>
      </c>
    </row>
    <row r="719" spans="1:13" ht="20.399999999999999" x14ac:dyDescent="0.3">
      <c r="A719" s="28" t="str">
        <f>HYPERLINK("https://www.google.com/search?q=Zosterops japonicus&amp;tbm=isch")</f>
        <v>https://www.google.com/search?q=Zosterops japonicus&amp;tbm=isch</v>
      </c>
      <c r="B719" s="29" t="str">
        <f>HYPERLINK("https://www.xeno-canto.org/species/Zosterops-japonicus")</f>
        <v>https://www.xeno-canto.org/species/Zosterops-japonicus</v>
      </c>
      <c r="C719" s="30" t="str">
        <f>HYPERLINK("https://ebird.org/species/jaweye")</f>
        <v>https://ebird.org/species/jaweye</v>
      </c>
      <c r="D719" s="31" t="str">
        <f>HYPERLINK("https://www.hbw.com/species/Mountain-White-eye-Zosterops-montanus")</f>
        <v>https://www.hbw.com/species/Mountain-White-eye-Zosterops-montanus</v>
      </c>
      <c r="E719" s="32" t="str">
        <f>HYPERLINK("https://www.iucnredlist.org/search?query=Zosterops japonicus&amp;searchType=species")</f>
        <v>https://www.iucnredlist.org/search?query=Zosterops japonicus&amp;searchType=species</v>
      </c>
      <c r="F719" s="2">
        <v>557</v>
      </c>
      <c r="G719" s="27" t="s">
        <v>1598</v>
      </c>
      <c r="H719" s="84" t="s">
        <v>1623</v>
      </c>
      <c r="I719" s="92" t="s">
        <v>1624</v>
      </c>
      <c r="J719" s="1" t="s">
        <v>15</v>
      </c>
      <c r="M719" s="2" t="s">
        <v>1625</v>
      </c>
    </row>
    <row r="720" spans="1:13" ht="14.4" x14ac:dyDescent="0.3">
      <c r="A720" s="28" t="str">
        <f>HYPERLINK("https://www.google.com/search?q=Zosterops meyeni&amp;tbm=isch")</f>
        <v>https://www.google.com/search?q=Zosterops meyeni&amp;tbm=isch</v>
      </c>
      <c r="B720" s="29" t="str">
        <f>HYPERLINK("https://www.xeno-canto.org/species/Zosterops-meyeni")</f>
        <v>https://www.xeno-canto.org/species/Zosterops-meyeni</v>
      </c>
      <c r="C720" s="30" t="str">
        <f>HYPERLINK("https://ebird.org/species/loweye2")</f>
        <v>https://ebird.org/species/loweye2</v>
      </c>
      <c r="D720" s="31" t="str">
        <f>HYPERLINK("https://www.hbw.com/species/Lowland-White-eye-Zosterops-meyeni")</f>
        <v>https://www.hbw.com/species/Lowland-White-eye-Zosterops-meyeni</v>
      </c>
      <c r="E720" s="32" t="str">
        <f>HYPERLINK("https://www.iucnredlist.org/search?query=Zosterops meyeni&amp;searchType=species")</f>
        <v>https://www.iucnredlist.org/search?query=Zosterops meyeni&amp;searchType=species</v>
      </c>
      <c r="F720" s="2">
        <v>558</v>
      </c>
      <c r="G720" s="27" t="s">
        <v>1598</v>
      </c>
      <c r="H720" s="84" t="s">
        <v>1626</v>
      </c>
      <c r="I720" s="92" t="s">
        <v>1627</v>
      </c>
      <c r="J720" s="1" t="s">
        <v>732</v>
      </c>
      <c r="M720" s="2" t="s">
        <v>1628</v>
      </c>
    </row>
    <row r="721" spans="1:14" ht="14.4" x14ac:dyDescent="0.3">
      <c r="A721" s="28" t="str">
        <f>HYPERLINK("https://www.google.com/search?q=Zosterops everetti&amp;tbm=isch")</f>
        <v>https://www.google.com/search?q=Zosterops everetti&amp;tbm=isch</v>
      </c>
      <c r="B721" s="29" t="str">
        <f>HYPERLINK("https://www.xeno-canto.org/species/Zosterops-everetti")</f>
        <v>https://www.xeno-canto.org/species/Zosterops-everetti</v>
      </c>
      <c r="C721" s="30" t="str">
        <f>HYPERLINK("https://ebird.org/species/evweye1")</f>
        <v>https://ebird.org/species/evweye1</v>
      </c>
      <c r="D721" s="31" t="str">
        <f>HYPERLINK("https://www.hbw.com/species/Everett's-White-eye-Zosterops-everetti")</f>
        <v>https://www.hbw.com/species/Everett's-White-eye-Zosterops-everetti</v>
      </c>
      <c r="E721" s="32" t="str">
        <f>HYPERLINK("https://www.iucnredlist.org/search?query=Zosterops everetti&amp;searchType=species")</f>
        <v>https://www.iucnredlist.org/search?query=Zosterops everetti&amp;searchType=species</v>
      </c>
      <c r="F721" s="2">
        <v>559</v>
      </c>
      <c r="G721" s="27" t="s">
        <v>1598</v>
      </c>
      <c r="H721" s="84" t="s">
        <v>1629</v>
      </c>
      <c r="I721" s="92" t="s">
        <v>1630</v>
      </c>
      <c r="J721" s="1" t="s">
        <v>732</v>
      </c>
      <c r="M721" s="2" t="s">
        <v>1631</v>
      </c>
    </row>
    <row r="722" spans="1:14" ht="14.4" x14ac:dyDescent="0.3">
      <c r="A722" s="28" t="str">
        <f>HYPERLINK("https://www.google.com/search?q=Zosterops nigrorum&amp;tbm=isch")</f>
        <v>https://www.google.com/search?q=Zosterops nigrorum&amp;tbm=isch</v>
      </c>
      <c r="B722" s="29" t="str">
        <f>HYPERLINK("https://www.xeno-canto.org/species/Zosterops-nigrorum")</f>
        <v>https://www.xeno-canto.org/species/Zosterops-nigrorum</v>
      </c>
      <c r="C722" s="30" t="str">
        <f>HYPERLINK("https://ebird.org/species/yelwhe1")</f>
        <v>https://ebird.org/species/yelwhe1</v>
      </c>
      <c r="D722" s="31" t="str">
        <f>HYPERLINK("https://www.hbw.com/species/Yellowish-White-eye-Zosterops-nigrorum")</f>
        <v>https://www.hbw.com/species/Yellowish-White-eye-Zosterops-nigrorum</v>
      </c>
      <c r="E722" s="32" t="str">
        <f>HYPERLINK("https://www.iucnredlist.org/search?query=Zosterops nigrorum&amp;searchType=species")</f>
        <v>https://www.iucnredlist.org/search?query=Zosterops nigrorum&amp;searchType=species</v>
      </c>
      <c r="F722" s="2">
        <v>560</v>
      </c>
      <c r="G722" s="27" t="s">
        <v>1598</v>
      </c>
      <c r="H722" s="86" t="s">
        <v>1632</v>
      </c>
      <c r="I722" s="94" t="s">
        <v>1633</v>
      </c>
      <c r="J722" s="1" t="s">
        <v>65</v>
      </c>
      <c r="M722" s="2" t="s">
        <v>68</v>
      </c>
    </row>
    <row r="723" spans="1:14" x14ac:dyDescent="0.3">
      <c r="A723" s="33"/>
      <c r="B723" s="34"/>
      <c r="C723" s="35"/>
      <c r="D723" s="36"/>
      <c r="E723" s="37"/>
    </row>
    <row r="724" spans="1:14" ht="12" x14ac:dyDescent="0.3">
      <c r="A724" s="33"/>
      <c r="B724" s="34"/>
      <c r="C724" s="35"/>
      <c r="D724" s="36"/>
      <c r="E724" s="37"/>
      <c r="H724" s="82" t="s">
        <v>1634</v>
      </c>
      <c r="I724" s="91" t="s">
        <v>1635</v>
      </c>
    </row>
    <row r="725" spans="1:14" ht="14.4" x14ac:dyDescent="0.3">
      <c r="A725" s="28" t="str">
        <f>HYPERLINK("https://www.google.com/search?q=Irena puella&amp;tbm=isch")</f>
        <v>https://www.google.com/search?q=Irena puella&amp;tbm=isch</v>
      </c>
      <c r="B725" s="29" t="str">
        <f>HYPERLINK("https://www.xeno-canto.org/species/Irena-puella")</f>
        <v>https://www.xeno-canto.org/species/Irena-puella</v>
      </c>
      <c r="C725" s="30" t="str">
        <f>HYPERLINK("https://ebird.org/species/asfblu1")</f>
        <v>https://ebird.org/species/asfblu1</v>
      </c>
      <c r="D725" s="31" t="str">
        <f>HYPERLINK("https://www.hbw.com/species/Palawan-Fairy-bluebird-Irena-tweeddalii")</f>
        <v>https://www.hbw.com/species/Palawan-Fairy-bluebird-Irena-tweeddalii</v>
      </c>
      <c r="E725" s="32" t="str">
        <f>HYPERLINK("https://www.iucnredlist.org/search?query=Irena puella&amp;searchType=species")</f>
        <v>https://www.iucnredlist.org/search?query=Irena puella&amp;searchType=species</v>
      </c>
      <c r="F725" s="2">
        <v>561</v>
      </c>
      <c r="G725" s="27" t="s">
        <v>1635</v>
      </c>
      <c r="H725" s="84" t="s">
        <v>1636</v>
      </c>
      <c r="I725" s="92" t="s">
        <v>1637</v>
      </c>
      <c r="J725" s="1" t="s">
        <v>15</v>
      </c>
      <c r="K725" s="1" t="s">
        <v>58</v>
      </c>
      <c r="M725" s="2" t="s">
        <v>43</v>
      </c>
      <c r="N725" s="2" t="s">
        <v>123</v>
      </c>
    </row>
    <row r="726" spans="1:14" ht="14.4" x14ac:dyDescent="0.3">
      <c r="A726" s="28" t="str">
        <f>HYPERLINK("https://www.google.com/search?q=Irena cyanogastra&amp;tbm=isch")</f>
        <v>https://www.google.com/search?q=Irena cyanogastra&amp;tbm=isch</v>
      </c>
      <c r="B726" s="29" t="str">
        <f>HYPERLINK("https://www.xeno-canto.org/species/Irena-cyanogastra")</f>
        <v>https://www.xeno-canto.org/species/Irena-cyanogastra</v>
      </c>
      <c r="C726" s="30" t="str">
        <f>HYPERLINK("https://ebird.org/species/phifab1")</f>
        <v>https://ebird.org/species/phifab1</v>
      </c>
      <c r="D726" s="31" t="str">
        <f>HYPERLINK("https://www.hbw.com/species/Philippine-Fairy-bluebird-Irena-cyanogastra")</f>
        <v>https://www.hbw.com/species/Philippine-Fairy-bluebird-Irena-cyanogastra</v>
      </c>
      <c r="E726" s="32" t="str">
        <f>HYPERLINK("https://www.iucnredlist.org/search?query=Irena cyanogastra&amp;searchType=species")</f>
        <v>https://www.iucnredlist.org/search?query=Irena cyanogastra&amp;searchType=species</v>
      </c>
      <c r="F726" s="2">
        <v>562</v>
      </c>
      <c r="G726" s="27" t="s">
        <v>1635</v>
      </c>
      <c r="H726" s="86" t="s">
        <v>1638</v>
      </c>
      <c r="I726" s="94" t="s">
        <v>1639</v>
      </c>
      <c r="J726" s="1" t="s">
        <v>65</v>
      </c>
      <c r="K726" s="1" t="s">
        <v>58</v>
      </c>
      <c r="M726" s="2" t="s">
        <v>68</v>
      </c>
    </row>
    <row r="727" spans="1:14" x14ac:dyDescent="0.3">
      <c r="A727" s="33"/>
      <c r="B727" s="34"/>
      <c r="C727" s="35"/>
      <c r="D727" s="36"/>
      <c r="E727" s="37"/>
    </row>
    <row r="728" spans="1:14" ht="12" x14ac:dyDescent="0.3">
      <c r="A728" s="33"/>
      <c r="B728" s="34"/>
      <c r="C728" s="35"/>
      <c r="D728" s="36"/>
      <c r="E728" s="37"/>
      <c r="H728" s="82" t="s">
        <v>1640</v>
      </c>
      <c r="I728" s="91" t="s">
        <v>1641</v>
      </c>
    </row>
    <row r="729" spans="1:14" ht="14.4" x14ac:dyDescent="0.3">
      <c r="A729" s="28" t="str">
        <f>HYPERLINK("https://www.google.com/search?q=Sitta frontalis&amp;tbm=isch")</f>
        <v>https://www.google.com/search?q=Sitta frontalis&amp;tbm=isch</v>
      </c>
      <c r="B729" s="29" t="str">
        <f>HYPERLINK("https://www.xeno-canto.org/species/Sitta-frontalis")</f>
        <v>https://www.xeno-canto.org/species/Sitta-frontalis</v>
      </c>
      <c r="C729" s="30" t="str">
        <f>HYPERLINK("https://ebird.org/species/vefnut1")</f>
        <v>https://ebird.org/species/vefnut1</v>
      </c>
      <c r="D729" s="31" t="str">
        <f>HYPERLINK("https://www.hbw.com/species/Velvet-fronted-Nuthatch-Sitta-frontalis")</f>
        <v>https://www.hbw.com/species/Velvet-fronted-Nuthatch-Sitta-frontalis</v>
      </c>
      <c r="E729" s="32" t="str">
        <f>HYPERLINK("https://www.iucnredlist.org/search?query=Sitta frontalis&amp;searchType=species")</f>
        <v>https://www.iucnredlist.org/search?query=Sitta frontalis&amp;searchType=species</v>
      </c>
      <c r="F729" s="2">
        <v>563</v>
      </c>
      <c r="G729" s="27" t="s">
        <v>1641</v>
      </c>
      <c r="H729" s="84" t="s">
        <v>1642</v>
      </c>
      <c r="I729" s="92" t="s">
        <v>1643</v>
      </c>
      <c r="J729" s="1" t="s">
        <v>15</v>
      </c>
      <c r="M729" s="2" t="s">
        <v>43</v>
      </c>
    </row>
    <row r="730" spans="1:14" ht="14.4" x14ac:dyDescent="0.3">
      <c r="A730" s="28" t="str">
        <f>HYPERLINK("https://www.google.com/search?q=Sitta oenochlamys&amp;tbm=isch")</f>
        <v>https://www.google.com/search?q=Sitta oenochlamys&amp;tbm=isch</v>
      </c>
      <c r="B730" s="29" t="str">
        <f>HYPERLINK("https://www.xeno-canto.org/species/Sitta-oenochlamys")</f>
        <v>https://www.xeno-canto.org/species/Sitta-oenochlamys</v>
      </c>
      <c r="C730" s="30" t="str">
        <f>HYPERLINK("https://ebird.org/species/subnut1")</f>
        <v>https://ebird.org/species/subnut1</v>
      </c>
      <c r="D730" s="31" t="str">
        <f>HYPERLINK("https://www.hbw.com/species/Sulphur-billed-Nuthatch-Sitta-oenochlamys")</f>
        <v>https://www.hbw.com/species/Sulphur-billed-Nuthatch-Sitta-oenochlamys</v>
      </c>
      <c r="E730" s="32" t="str">
        <f>HYPERLINK("https://www.iucnredlist.org/search?query=Sitta oenochlamys&amp;searchType=species")</f>
        <v>https://www.iucnredlist.org/search?query=Sitta oenochlamys&amp;searchType=species</v>
      </c>
      <c r="F730" s="2">
        <v>564</v>
      </c>
      <c r="G730" s="27" t="s">
        <v>1641</v>
      </c>
      <c r="H730" s="86" t="s">
        <v>1644</v>
      </c>
      <c r="I730" s="94" t="s">
        <v>1645</v>
      </c>
      <c r="J730" s="1" t="s">
        <v>65</v>
      </c>
      <c r="M730" s="2" t="s">
        <v>68</v>
      </c>
    </row>
    <row r="731" spans="1:14" x14ac:dyDescent="0.3">
      <c r="A731" s="33"/>
      <c r="B731" s="34"/>
      <c r="C731" s="35"/>
      <c r="D731" s="36"/>
      <c r="E731" s="37"/>
    </row>
    <row r="732" spans="1:14" ht="12" x14ac:dyDescent="0.3">
      <c r="A732" s="33"/>
      <c r="B732" s="34"/>
      <c r="C732" s="35"/>
      <c r="D732" s="36"/>
      <c r="E732" s="37"/>
      <c r="H732" s="82" t="s">
        <v>1646</v>
      </c>
      <c r="I732" s="91" t="s">
        <v>1647</v>
      </c>
    </row>
    <row r="733" spans="1:14" ht="14.4" x14ac:dyDescent="0.3">
      <c r="A733" s="28" t="str">
        <f>HYPERLINK("https://www.google.com/search?q=Aplonis panayensis&amp;tbm=isch")</f>
        <v>https://www.google.com/search?q=Aplonis panayensis&amp;tbm=isch</v>
      </c>
      <c r="B733" s="29" t="str">
        <f>HYPERLINK("https://www.xeno-canto.org/species/Aplonis-panayensis")</f>
        <v>https://www.xeno-canto.org/species/Aplonis-panayensis</v>
      </c>
      <c r="C733" s="30" t="str">
        <f>HYPERLINK("https://ebird.org/species/asgsta1")</f>
        <v>https://ebird.org/species/asgsta1</v>
      </c>
      <c r="D733" s="31" t="str">
        <f>HYPERLINK("https://www.hbw.com/species/Asian-Glossy-Starling-Aplonis-panayensis")</f>
        <v>https://www.hbw.com/species/Asian-Glossy-Starling-Aplonis-panayensis</v>
      </c>
      <c r="E733" s="32" t="str">
        <f>HYPERLINK("https://www.iucnredlist.org/search?query=Aplonis panayensis&amp;searchType=species")</f>
        <v>https://www.iucnredlist.org/search?query=Aplonis panayensis&amp;searchType=species</v>
      </c>
      <c r="F733" s="2">
        <v>565</v>
      </c>
      <c r="G733" s="27" t="s">
        <v>1647</v>
      </c>
      <c r="H733" s="84" t="s">
        <v>1648</v>
      </c>
      <c r="I733" s="92" t="s">
        <v>1649</v>
      </c>
      <c r="J733" s="1" t="s">
        <v>15</v>
      </c>
      <c r="M733" s="2" t="s">
        <v>43</v>
      </c>
    </row>
    <row r="734" spans="1:14" ht="20.399999999999999" x14ac:dyDescent="0.3">
      <c r="A734" s="28" t="str">
        <f>HYPERLINK("https://www.google.com/search?q=Aplonis minor&amp;tbm=isch")</f>
        <v>https://www.google.com/search?q=Aplonis minor&amp;tbm=isch</v>
      </c>
      <c r="B734" s="29" t="str">
        <f>HYPERLINK("https://www.xeno-canto.org/species/Aplonis-minor")</f>
        <v>https://www.xeno-canto.org/species/Aplonis-minor</v>
      </c>
      <c r="C734" s="30" t="str">
        <f>HYPERLINK("https://ebird.org/species/shtsta1")</f>
        <v>https://ebird.org/species/shtsta1</v>
      </c>
      <c r="D734" s="31" t="str">
        <f>HYPERLINK("https://www.hbw.com/species/Short-tailed-Starling-Aplonis-minor")</f>
        <v>https://www.hbw.com/species/Short-tailed-Starling-Aplonis-minor</v>
      </c>
      <c r="E734" s="32" t="str">
        <f>HYPERLINK("https://www.iucnredlist.org/search?query=Aplonis minor&amp;searchType=species")</f>
        <v>https://www.iucnredlist.org/search?query=Aplonis minor&amp;searchType=species</v>
      </c>
      <c r="F734" s="2">
        <v>566</v>
      </c>
      <c r="G734" s="27" t="s">
        <v>1647</v>
      </c>
      <c r="H734" s="84" t="s">
        <v>1650</v>
      </c>
      <c r="I734" s="92" t="s">
        <v>1651</v>
      </c>
      <c r="J734" s="1" t="s">
        <v>15</v>
      </c>
      <c r="M734" s="2" t="s">
        <v>1652</v>
      </c>
    </row>
    <row r="735" spans="1:14" ht="14.4" x14ac:dyDescent="0.3">
      <c r="A735" s="28" t="str">
        <f>HYPERLINK("https://www.google.com/search?q=Basilornis mirandus&amp;tbm=isch")</f>
        <v>https://www.google.com/search?q=Basilornis mirandus&amp;tbm=isch</v>
      </c>
      <c r="B735" s="29" t="str">
        <f>HYPERLINK("https://www.xeno-canto.org/species/Basilornis-mirandus")</f>
        <v>https://www.xeno-canto.org/species/Basilornis-mirandus</v>
      </c>
      <c r="C735" s="30" t="str">
        <f>HYPERLINK("https://ebird.org/species/apomyn2")</f>
        <v>https://ebird.org/species/apomyn2</v>
      </c>
      <c r="D735" s="31" t="str">
        <f>HYPERLINK("https://www.hbw.com/species/Apo-Myna-Goodfellowia-miranda")</f>
        <v>https://www.hbw.com/species/Apo-Myna-Goodfellowia-miranda</v>
      </c>
      <c r="E735" s="32" t="str">
        <f>HYPERLINK("https://www.iucnredlist.org/search?query=Basilornis mirandus&amp;searchType=species")</f>
        <v>https://www.iucnredlist.org/search?query=Basilornis mirandus&amp;searchType=species</v>
      </c>
      <c r="F735" s="2">
        <v>567</v>
      </c>
      <c r="G735" s="27" t="s">
        <v>1647</v>
      </c>
      <c r="H735" s="86" t="s">
        <v>1653</v>
      </c>
      <c r="I735" s="94" t="s">
        <v>1654</v>
      </c>
      <c r="J735" s="1" t="s">
        <v>65</v>
      </c>
      <c r="K735" s="1" t="s">
        <v>58</v>
      </c>
      <c r="L735" s="1" t="s">
        <v>66</v>
      </c>
      <c r="M735" s="2" t="s">
        <v>68</v>
      </c>
    </row>
    <row r="736" spans="1:14" ht="14.4" x14ac:dyDescent="0.3">
      <c r="A736" s="28" t="str">
        <f>HYPERLINK("https://www.google.com/search?q=Sarcops calvus&amp;tbm=isch")</f>
        <v>https://www.google.com/search?q=Sarcops calvus&amp;tbm=isch</v>
      </c>
      <c r="B736" s="29" t="str">
        <f>HYPERLINK("https://www.xeno-canto.org/species/Sarcops-calvus")</f>
        <v>https://www.xeno-canto.org/species/Sarcops-calvus</v>
      </c>
      <c r="C736" s="30" t="str">
        <f>HYPERLINK("https://ebird.org/species/coleto1")</f>
        <v>https://ebird.org/species/coleto1</v>
      </c>
      <c r="D736" s="31" t="str">
        <f>HYPERLINK("https://www.hbw.com/species/Coleto-Sarcops-calvus")</f>
        <v>https://www.hbw.com/species/Coleto-Sarcops-calvus</v>
      </c>
      <c r="E736" s="32" t="str">
        <f>HYPERLINK("https://www.iucnredlist.org/search?query=Sarcops calvus&amp;searchType=species")</f>
        <v>https://www.iucnredlist.org/search?query=Sarcops calvus&amp;searchType=species</v>
      </c>
      <c r="F736" s="2">
        <v>568</v>
      </c>
      <c r="G736" s="27" t="s">
        <v>1647</v>
      </c>
      <c r="H736" s="84" t="s">
        <v>1655</v>
      </c>
      <c r="I736" s="92" t="s">
        <v>1656</v>
      </c>
      <c r="J736" s="1" t="s">
        <v>732</v>
      </c>
      <c r="M736" s="2" t="s">
        <v>68</v>
      </c>
    </row>
    <row r="737" spans="1:14" ht="14.4" x14ac:dyDescent="0.3">
      <c r="A737" s="28" t="str">
        <f>HYPERLINK("https://www.google.com/search?q=Gracula religiosa&amp;tbm=isch")</f>
        <v>https://www.google.com/search?q=Gracula religiosa&amp;tbm=isch</v>
      </c>
      <c r="B737" s="29" t="str">
        <f>HYPERLINK("https://www.xeno-canto.org/species/Gracula-religiosa")</f>
        <v>https://www.xeno-canto.org/species/Gracula-religiosa</v>
      </c>
      <c r="C737" s="30" t="str">
        <f>HYPERLINK("https://ebird.org/species/hilmyn")</f>
        <v>https://ebird.org/species/hilmyn</v>
      </c>
      <c r="D737" s="31" t="str">
        <f>HYPERLINK("https://www.hbw.com/species/Common-Hill-Myna-Gracula-religiosa")</f>
        <v>https://www.hbw.com/species/Common-Hill-Myna-Gracula-religiosa</v>
      </c>
      <c r="E737" s="32" t="str">
        <f>HYPERLINK("https://www.iucnredlist.org/search?query=Gracula religiosa&amp;searchType=species")</f>
        <v>https://www.iucnredlist.org/search?query=Gracula religiosa&amp;searchType=species</v>
      </c>
      <c r="F737" s="2">
        <v>569</v>
      </c>
      <c r="G737" s="27" t="s">
        <v>1647</v>
      </c>
      <c r="H737" s="84" t="s">
        <v>1657</v>
      </c>
      <c r="I737" s="92" t="s">
        <v>1658</v>
      </c>
      <c r="J737" s="1" t="s">
        <v>15</v>
      </c>
      <c r="L737" s="1" t="s">
        <v>66</v>
      </c>
      <c r="M737" s="2" t="s">
        <v>43</v>
      </c>
    </row>
    <row r="738" spans="1:14" ht="14.4" x14ac:dyDescent="0.3">
      <c r="A738" s="28" t="str">
        <f>HYPERLINK("https://www.google.com/search?q=Acridotheres cristatellus&amp;tbm=isch")</f>
        <v>https://www.google.com/search?q=Acridotheres cristatellus&amp;tbm=isch</v>
      </c>
      <c r="B738" s="29" t="str">
        <f>HYPERLINK("https://www.xeno-canto.org/species/Acridotheres-cristatellus")</f>
        <v>https://www.xeno-canto.org/species/Acridotheres-cristatellus</v>
      </c>
      <c r="C738" s="30" t="str">
        <f>HYPERLINK("https://ebird.org/species/cremyn")</f>
        <v>https://ebird.org/species/cremyn</v>
      </c>
      <c r="D738" s="31" t="str">
        <f>HYPERLINK("https://www.hbw.com/species/Crested-Myna-Acridotheres-cristatellus")</f>
        <v>https://www.hbw.com/species/Crested-Myna-Acridotheres-cristatellus</v>
      </c>
      <c r="E738" s="32" t="str">
        <f>HYPERLINK("https://www.iucnredlist.org/search?query=Acridotheres cristatellus&amp;searchType=species")</f>
        <v>https://www.iucnredlist.org/search?query=Acridotheres cristatellus&amp;searchType=species</v>
      </c>
      <c r="F738" s="2">
        <v>570</v>
      </c>
      <c r="G738" s="27" t="s">
        <v>1647</v>
      </c>
      <c r="H738" s="88" t="s">
        <v>1659</v>
      </c>
      <c r="I738" s="95" t="s">
        <v>1660</v>
      </c>
      <c r="J738" s="1" t="s">
        <v>107</v>
      </c>
      <c r="M738" s="2" t="s">
        <v>1661</v>
      </c>
      <c r="N738" s="2" t="s">
        <v>1662</v>
      </c>
    </row>
    <row r="739" spans="1:14" ht="14.4" x14ac:dyDescent="0.3">
      <c r="A739" s="28" t="str">
        <f>HYPERLINK("https://www.google.com/search?q=Spodiopsar sericeus&amp;tbm=isch")</f>
        <v>https://www.google.com/search?q=Spodiopsar sericeus&amp;tbm=isch</v>
      </c>
      <c r="B739" s="29" t="str">
        <f>HYPERLINK("https://www.xeno-canto.org/species/Spodiopsar-sericeus")</f>
        <v>https://www.xeno-canto.org/species/Spodiopsar-sericeus</v>
      </c>
      <c r="C739" s="30" t="str">
        <f>HYPERLINK("https://ebird.org/species/rebsta1")</f>
        <v>https://ebird.org/species/rebsta1</v>
      </c>
      <c r="D739" s="31" t="str">
        <f>HYPERLINK("https://www.hbw.com/species/Red-billed-Starling-Spodiopsar-sericeus")</f>
        <v>https://www.hbw.com/species/Red-billed-Starling-Spodiopsar-sericeus</v>
      </c>
      <c r="E739" s="32" t="str">
        <f>HYPERLINK("https://www.iucnredlist.org/search?query=Spodiopsar sericeus&amp;searchType=species")</f>
        <v>https://www.iucnredlist.org/search?query=Spodiopsar sericeus&amp;searchType=species</v>
      </c>
      <c r="F739" s="2">
        <v>571</v>
      </c>
      <c r="G739" s="27" t="s">
        <v>1647</v>
      </c>
      <c r="H739" s="83" t="s">
        <v>1663</v>
      </c>
      <c r="I739" s="92" t="s">
        <v>1664</v>
      </c>
      <c r="J739" s="1" t="s">
        <v>19</v>
      </c>
      <c r="M739" s="2" t="s">
        <v>1665</v>
      </c>
    </row>
    <row r="740" spans="1:14" ht="20.399999999999999" x14ac:dyDescent="0.3">
      <c r="A740" s="28" t="str">
        <f>HYPERLINK("https://www.google.com/search?q=Spodiopsar cineraceus&amp;tbm=isch")</f>
        <v>https://www.google.com/search?q=Spodiopsar cineraceus&amp;tbm=isch</v>
      </c>
      <c r="B740" s="29" t="str">
        <f>HYPERLINK("https://www.xeno-canto.org/species/Spodiopsar-cineraceus")</f>
        <v>https://www.xeno-canto.org/species/Spodiopsar-cineraceus</v>
      </c>
      <c r="C740" s="30" t="str">
        <f>HYPERLINK("https://ebird.org/species/whcsta1")</f>
        <v>https://ebird.org/species/whcsta1</v>
      </c>
      <c r="D740" s="31" t="str">
        <f>HYPERLINK("https://www.hbw.com/species/White-cheeked-Starling-Spodiopsar-cineraceus")</f>
        <v>https://www.hbw.com/species/White-cheeked-Starling-Spodiopsar-cineraceus</v>
      </c>
      <c r="E740" s="32" t="str">
        <f>HYPERLINK("https://www.iucnredlist.org/search?query=Spodiopsar cineraceus&amp;searchType=species")</f>
        <v>https://www.iucnredlist.org/search?query=Spodiopsar cineraceus&amp;searchType=species</v>
      </c>
      <c r="F740" s="2">
        <v>572</v>
      </c>
      <c r="G740" s="27" t="s">
        <v>1647</v>
      </c>
      <c r="H740" s="83" t="s">
        <v>1666</v>
      </c>
      <c r="I740" s="92" t="s">
        <v>1667</v>
      </c>
      <c r="J740" s="1" t="s">
        <v>19</v>
      </c>
      <c r="M740" s="2" t="s">
        <v>1668</v>
      </c>
    </row>
    <row r="741" spans="1:14" ht="30.6" x14ac:dyDescent="0.3">
      <c r="A741" s="28" t="str">
        <f>HYPERLINK("https://www.google.com/search?q=Agropsar sturninus&amp;tbm=isch")</f>
        <v>https://www.google.com/search?q=Agropsar sturninus&amp;tbm=isch</v>
      </c>
      <c r="B741" s="29" t="str">
        <f>HYPERLINK("https://www.xeno-canto.org/species/Agropsar-sturninus")</f>
        <v>https://www.xeno-canto.org/species/Agropsar-sturninus</v>
      </c>
      <c r="C741" s="30" t="str">
        <f>HYPERLINK("https://ebird.org/species/dausta1")</f>
        <v>https://ebird.org/species/dausta1</v>
      </c>
      <c r="D741" s="31" t="str">
        <f>HYPERLINK("https://www.hbw.com/species/Purple-backed-Starling-Agropsar-sturninus")</f>
        <v>https://www.hbw.com/species/Purple-backed-Starling-Agropsar-sturninus</v>
      </c>
      <c r="E741" s="32" t="str">
        <f>HYPERLINK("https://www.iucnredlist.org/search?query=Agropsar sturninus&amp;searchType=species")</f>
        <v>https://www.iucnredlist.org/search?query=Agropsar sturninus&amp;searchType=species</v>
      </c>
      <c r="F741" s="2">
        <v>573</v>
      </c>
      <c r="G741" s="27" t="s">
        <v>1647</v>
      </c>
      <c r="H741" s="85" t="s">
        <v>1669</v>
      </c>
      <c r="I741" s="93" t="s">
        <v>1670</v>
      </c>
      <c r="J741" s="1" t="s">
        <v>19</v>
      </c>
      <c r="M741" s="2" t="s">
        <v>1671</v>
      </c>
      <c r="N741" s="2" t="s">
        <v>11347</v>
      </c>
    </row>
    <row r="742" spans="1:14" ht="14.4" x14ac:dyDescent="0.3">
      <c r="A742" s="28" t="str">
        <f>HYPERLINK("https://www.google.com/search?q=Agropsar philippensis&amp;tbm=isch")</f>
        <v>https://www.google.com/search?q=Agropsar philippensis&amp;tbm=isch</v>
      </c>
      <c r="B742" s="29" t="str">
        <f>HYPERLINK("https://www.xeno-canto.org/species/Agropsar-philippensis")</f>
        <v>https://www.xeno-canto.org/species/Agropsar-philippensis</v>
      </c>
      <c r="C742" s="30" t="str">
        <f>HYPERLINK("https://ebird.org/species/chcsta1")</f>
        <v>https://ebird.org/species/chcsta1</v>
      </c>
      <c r="D742" s="31" t="str">
        <f>HYPERLINK("https://www.hbw.com/species/Chestnut-cheeked-Starling-Agropsar-philippensis")</f>
        <v>https://www.hbw.com/species/Chestnut-cheeked-Starling-Agropsar-philippensis</v>
      </c>
      <c r="E742" s="32" t="str">
        <f>HYPERLINK("https://www.iucnredlist.org/search?query=Agropsar philippensis&amp;searchType=species")</f>
        <v>https://www.iucnredlist.org/search?query=Agropsar philippensis&amp;searchType=species</v>
      </c>
      <c r="F742" s="2">
        <v>574</v>
      </c>
      <c r="G742" s="27" t="s">
        <v>1647</v>
      </c>
      <c r="H742" s="84" t="s">
        <v>1672</v>
      </c>
      <c r="I742" s="92" t="s">
        <v>1673</v>
      </c>
      <c r="J742" s="1" t="s">
        <v>50</v>
      </c>
      <c r="M742" s="2" t="s">
        <v>1674</v>
      </c>
    </row>
    <row r="743" spans="1:14" ht="14.4" x14ac:dyDescent="0.3">
      <c r="A743" s="28" t="str">
        <f>HYPERLINK("https://www.google.com/search?q=Sturnia sinensis&amp;tbm=isch")</f>
        <v>https://www.google.com/search?q=Sturnia sinensis&amp;tbm=isch</v>
      </c>
      <c r="B743" s="29" t="str">
        <f>HYPERLINK("https://www.xeno-canto.org/species/Sturnia-sinensis")</f>
        <v>https://www.xeno-canto.org/species/Sturnia-sinensis</v>
      </c>
      <c r="C743" s="30" t="str">
        <f>HYPERLINK("https://ebird.org/species/whssta2")</f>
        <v>https://ebird.org/species/whssta2</v>
      </c>
      <c r="D743" s="31" t="str">
        <f>HYPERLINK("https://www.hbw.com/species/White-shouldered-Starling-Sturnia-sinensis")</f>
        <v>https://www.hbw.com/species/White-shouldered-Starling-Sturnia-sinensis</v>
      </c>
      <c r="E743" s="32" t="str">
        <f>HYPERLINK("https://www.iucnredlist.org/search?query=Sturnia sinensis&amp;searchType=species")</f>
        <v>https://www.iucnredlist.org/search?query=Sturnia sinensis&amp;searchType=species</v>
      </c>
      <c r="F743" s="2">
        <v>575</v>
      </c>
      <c r="G743" s="27" t="s">
        <v>1647</v>
      </c>
      <c r="H743" s="84" t="s">
        <v>1675</v>
      </c>
      <c r="I743" s="92" t="s">
        <v>1676</v>
      </c>
      <c r="J743" s="1" t="s">
        <v>50</v>
      </c>
      <c r="M743" s="2" t="s">
        <v>1677</v>
      </c>
    </row>
    <row r="744" spans="1:14" ht="30.6" x14ac:dyDescent="0.3">
      <c r="A744" s="28" t="str">
        <f>HYPERLINK("https://www.google.com/search?q=Pastor roseus&amp;tbm=isch")</f>
        <v>https://www.google.com/search?q=Pastor roseus&amp;tbm=isch</v>
      </c>
      <c r="B744" s="29" t="str">
        <f>HYPERLINK("https://www.xeno-canto.org/species/Pastor-roseus")</f>
        <v>https://www.xeno-canto.org/species/Pastor-roseus</v>
      </c>
      <c r="C744" s="30" t="str">
        <f>HYPERLINK("https://ebird.org/species/rossta2")</f>
        <v>https://ebird.org/species/rossta2</v>
      </c>
      <c r="D744" s="31" t="str">
        <f>HYPERLINK("https://www.hbw.com/species/Rosy-Starling-Pastor-roseus")</f>
        <v>https://www.hbw.com/species/Rosy-Starling-Pastor-roseus</v>
      </c>
      <c r="E744" s="32" t="str">
        <f>HYPERLINK("https://www.iucnredlist.org/search?query=Pastor roseus&amp;searchType=species")</f>
        <v>https://www.iucnredlist.org/search?query=Pastor roseus&amp;searchType=species</v>
      </c>
      <c r="F744" s="2">
        <v>576</v>
      </c>
      <c r="G744" s="27" t="s">
        <v>1647</v>
      </c>
      <c r="H744" s="85" t="s">
        <v>1678</v>
      </c>
      <c r="I744" s="93" t="s">
        <v>1679</v>
      </c>
      <c r="J744" s="1" t="s">
        <v>19</v>
      </c>
      <c r="M744" s="2" t="s">
        <v>1680</v>
      </c>
      <c r="N744" s="2" t="s">
        <v>11348</v>
      </c>
    </row>
    <row r="745" spans="1:14" ht="30.6" x14ac:dyDescent="0.3">
      <c r="A745" s="28" t="str">
        <f>HYPERLINK("https://www.google.com/search?q=Sturnus vulgaris&amp;tbm=isch")</f>
        <v>https://www.google.com/search?q=Sturnus vulgaris&amp;tbm=isch</v>
      </c>
      <c r="B745" s="29" t="str">
        <f>HYPERLINK("https://www.xeno-canto.org/species/Sturnus-vulgaris")</f>
        <v>https://www.xeno-canto.org/species/Sturnus-vulgaris</v>
      </c>
      <c r="C745" s="30" t="str">
        <f>HYPERLINK("https://ebird.org/species/eursta")</f>
        <v>https://ebird.org/species/eursta</v>
      </c>
      <c r="D745" s="31" t="str">
        <f>HYPERLINK("https://www.hbw.com/species/Common-Starling-Sturnus-vulgaris")</f>
        <v>https://www.hbw.com/species/Common-Starling-Sturnus-vulgaris</v>
      </c>
      <c r="E745" s="32" t="str">
        <f>HYPERLINK("https://www.iucnredlist.org/search?query=Sturnus vulgaris&amp;searchType=species")</f>
        <v>https://www.iucnredlist.org/search?query=Sturnus vulgaris&amp;searchType=species</v>
      </c>
      <c r="F745" s="2">
        <v>577</v>
      </c>
      <c r="G745" s="27" t="s">
        <v>1647</v>
      </c>
      <c r="H745" s="85" t="s">
        <v>1681</v>
      </c>
      <c r="I745" s="93" t="s">
        <v>1682</v>
      </c>
      <c r="J745" s="1" t="s">
        <v>19</v>
      </c>
      <c r="M745" s="2" t="s">
        <v>1683</v>
      </c>
      <c r="N745" s="2" t="s">
        <v>11349</v>
      </c>
    </row>
    <row r="746" spans="1:14" ht="14.4" x14ac:dyDescent="0.3">
      <c r="A746" s="28" t="str">
        <f>HYPERLINK("https://www.google.com/search?q=Rhabdornis mystacalis&amp;tbm=isch")</f>
        <v>https://www.google.com/search?q=Rhabdornis mystacalis&amp;tbm=isch</v>
      </c>
      <c r="B746" s="29" t="str">
        <f>HYPERLINK("https://www.xeno-canto.org/species/Rhabdornis-mystacalis")</f>
        <v>https://www.xeno-canto.org/species/Rhabdornis-mystacalis</v>
      </c>
      <c r="C746" s="30" t="str">
        <f>HYPERLINK("https://ebird.org/species/stsrha2")</f>
        <v>https://ebird.org/species/stsrha2</v>
      </c>
      <c r="D746" s="31" t="str">
        <f>HYPERLINK("https://www.hbw.com/species/Stripe-headed-Rhabdornis-Rhabdornis-mystacalis")</f>
        <v>https://www.hbw.com/species/Stripe-headed-Rhabdornis-Rhabdornis-mystacalis</v>
      </c>
      <c r="E746" s="32" t="str">
        <f>HYPERLINK("https://www.iucnredlist.org/search?query=Rhabdornis mystacalis&amp;searchType=species")</f>
        <v>https://www.iucnredlist.org/search?query=Rhabdornis mystacalis&amp;searchType=species</v>
      </c>
      <c r="F746" s="2">
        <v>578</v>
      </c>
      <c r="G746" s="27" t="s">
        <v>1647</v>
      </c>
      <c r="H746" s="86" t="s">
        <v>1684</v>
      </c>
      <c r="I746" s="94" t="s">
        <v>1685</v>
      </c>
      <c r="J746" s="1" t="s">
        <v>65</v>
      </c>
      <c r="M746" s="2" t="s">
        <v>68</v>
      </c>
    </row>
    <row r="747" spans="1:14" ht="14.4" x14ac:dyDescent="0.3">
      <c r="A747" s="28" t="str">
        <f>HYPERLINK("https://www.google.com/search?q=Rhabdornis inornatus&amp;tbm=isch")</f>
        <v>https://www.google.com/search?q=Rhabdornis inornatus&amp;tbm=isch</v>
      </c>
      <c r="B747" s="29" t="str">
        <f>HYPERLINK("https://www.xeno-canto.org/species/Rhabdornis-inornatus")</f>
        <v>https://www.xeno-canto.org/species/Rhabdornis-inornatus</v>
      </c>
      <c r="C747" s="30" t="str">
        <f>HYPERLINK("https://ebird.org/species/stbrha1")</f>
        <v>https://ebird.org/species/stbrha1</v>
      </c>
      <c r="D747" s="31" t="str">
        <f>HYPERLINK("https://www.hbw.com/species/Stripe-breasted-Rhabdornis-Rhabdornis-inornatus")</f>
        <v>https://www.hbw.com/species/Stripe-breasted-Rhabdornis-Rhabdornis-inornatus</v>
      </c>
      <c r="E747" s="32" t="str">
        <f>HYPERLINK("https://www.iucnredlist.org/search?query=Rhabdornis inornatus&amp;searchType=species")</f>
        <v>https://www.iucnredlist.org/search?query=Rhabdornis inornatus&amp;searchType=species</v>
      </c>
      <c r="F747" s="2">
        <v>579</v>
      </c>
      <c r="G747" s="27" t="s">
        <v>1647</v>
      </c>
      <c r="H747" s="86" t="s">
        <v>1686</v>
      </c>
      <c r="I747" s="94" t="s">
        <v>1687</v>
      </c>
      <c r="J747" s="1" t="s">
        <v>65</v>
      </c>
      <c r="M747" s="2" t="s">
        <v>68</v>
      </c>
    </row>
    <row r="748" spans="1:14" ht="14.4" x14ac:dyDescent="0.3">
      <c r="A748" s="28" t="str">
        <f>HYPERLINK("https://www.google.com/search?q=Rhabdornis grandis&amp;tbm=isch")</f>
        <v>https://www.google.com/search?q=Rhabdornis grandis&amp;tbm=isch</v>
      </c>
      <c r="B748" s="29" t="str">
        <f>HYPERLINK("https://www.xeno-canto.org/species/Rhabdornis-grandis")</f>
        <v>https://www.xeno-canto.org/species/Rhabdornis-grandis</v>
      </c>
      <c r="C748" s="30" t="str">
        <f>HYPERLINK("https://ebird.org/species/lobrha1")</f>
        <v>https://ebird.org/species/lobrha1</v>
      </c>
      <c r="D748" s="31" t="str">
        <f>HYPERLINK("https://www.hbw.com/species/Grand-Rhabdornis-Rhabdornis-grandis")</f>
        <v>https://www.hbw.com/species/Grand-Rhabdornis-Rhabdornis-grandis</v>
      </c>
      <c r="E748" s="32" t="str">
        <f>HYPERLINK("https://www.iucnredlist.org/search?query=Rhabdornis grandis&amp;searchType=species")</f>
        <v>https://www.iucnredlist.org/search?query=Rhabdornis grandis&amp;searchType=species</v>
      </c>
      <c r="F748" s="2">
        <v>580</v>
      </c>
      <c r="G748" s="27" t="s">
        <v>1647</v>
      </c>
      <c r="H748" s="86" t="s">
        <v>1688</v>
      </c>
      <c r="I748" s="94" t="s">
        <v>1689</v>
      </c>
      <c r="J748" s="1" t="s">
        <v>65</v>
      </c>
      <c r="M748" s="2" t="s">
        <v>68</v>
      </c>
      <c r="N748" s="2" t="s">
        <v>123</v>
      </c>
    </row>
    <row r="749" spans="1:14" x14ac:dyDescent="0.3">
      <c r="A749" s="33"/>
      <c r="B749" s="34"/>
      <c r="C749" s="35"/>
      <c r="D749" s="36"/>
      <c r="E749" s="37"/>
    </row>
    <row r="750" spans="1:14" ht="12" x14ac:dyDescent="0.3">
      <c r="A750" s="33"/>
      <c r="B750" s="34"/>
      <c r="C750" s="35"/>
      <c r="D750" s="36"/>
      <c r="E750" s="37"/>
      <c r="H750" s="82" t="s">
        <v>1690</v>
      </c>
      <c r="I750" s="91" t="s">
        <v>1691</v>
      </c>
    </row>
    <row r="751" spans="1:14" ht="14.4" x14ac:dyDescent="0.3">
      <c r="A751" s="28" t="str">
        <f>HYPERLINK("https://www.google.com/search?q=Geokichla interpres&amp;tbm=isch")</f>
        <v>https://www.google.com/search?q=Geokichla interpres&amp;tbm=isch</v>
      </c>
      <c r="B751" s="29" t="str">
        <f>HYPERLINK("https://www.xeno-canto.org/species/Geokichla-interpres")</f>
        <v>https://www.xeno-canto.org/species/Geokichla-interpres</v>
      </c>
      <c r="C751" s="30" t="str">
        <f>HYPERLINK("https://ebird.org/species/chcthr1")</f>
        <v>https://ebird.org/species/chcthr1</v>
      </c>
      <c r="D751" s="31" t="str">
        <f>HYPERLINK("https://www.hbw.com/species/Chestnut-capped-Thrush-Geokichla-interpres")</f>
        <v>https://www.hbw.com/species/Chestnut-capped-Thrush-Geokichla-interpres</v>
      </c>
      <c r="E751" s="32" t="str">
        <f>HYPERLINK("https://www.iucnredlist.org/search?query=Geokichla interpres&amp;searchType=species")</f>
        <v>https://www.iucnredlist.org/search?query=Geokichla interpres&amp;searchType=species</v>
      </c>
      <c r="F751" s="2">
        <v>581</v>
      </c>
      <c r="G751" s="27" t="s">
        <v>1691</v>
      </c>
      <c r="H751" s="84" t="s">
        <v>1692</v>
      </c>
      <c r="I751" s="92" t="s">
        <v>1693</v>
      </c>
      <c r="J751" s="1" t="s">
        <v>15</v>
      </c>
      <c r="K751" s="1" t="s">
        <v>58</v>
      </c>
      <c r="M751" s="2" t="s">
        <v>1694</v>
      </c>
    </row>
    <row r="752" spans="1:14" ht="14.4" x14ac:dyDescent="0.3">
      <c r="A752" s="28" t="str">
        <f>HYPERLINK("https://www.google.com/search?q=Geokichla cinerea&amp;tbm=isch")</f>
        <v>https://www.google.com/search?q=Geokichla cinerea&amp;tbm=isch</v>
      </c>
      <c r="B752" s="29" t="str">
        <f>HYPERLINK("https://www.xeno-canto.org/species/Geokichla-cinerea")</f>
        <v>https://www.xeno-canto.org/species/Geokichla-cinerea</v>
      </c>
      <c r="C752" s="30" t="str">
        <f>HYPERLINK("https://ebird.org/species/ashthr1")</f>
        <v>https://ebird.org/species/ashthr1</v>
      </c>
      <c r="D752" s="31" t="str">
        <f>HYPERLINK("https://www.hbw.com/species/Ashy-Thrush-Geokichla-cinerea")</f>
        <v>https://www.hbw.com/species/Ashy-Thrush-Geokichla-cinerea</v>
      </c>
      <c r="E752" s="32" t="str">
        <f>HYPERLINK("https://www.iucnredlist.org/search?query=Geokichla cinerea&amp;searchType=species")</f>
        <v>https://www.iucnredlist.org/search?query=Geokichla cinerea&amp;searchType=species</v>
      </c>
      <c r="F752" s="2">
        <v>582</v>
      </c>
      <c r="G752" s="27" t="s">
        <v>1691</v>
      </c>
      <c r="H752" s="86" t="s">
        <v>1695</v>
      </c>
      <c r="I752" s="94" t="s">
        <v>1696</v>
      </c>
      <c r="J752" s="1" t="s">
        <v>65</v>
      </c>
      <c r="K752" s="1" t="s">
        <v>66</v>
      </c>
      <c r="L752" s="1" t="s">
        <v>66</v>
      </c>
      <c r="M752" s="2" t="s">
        <v>68</v>
      </c>
    </row>
    <row r="753" spans="1:14" ht="30.6" x14ac:dyDescent="0.3">
      <c r="A753" s="28" t="str">
        <f>HYPERLINK("https://www.google.com/search?q=Geokichla sibirica&amp;tbm=isch")</f>
        <v>https://www.google.com/search?q=Geokichla sibirica&amp;tbm=isch</v>
      </c>
      <c r="B753" s="29" t="str">
        <f>HYPERLINK("https://www.xeno-canto.org/species/Geokichla-sibirica")</f>
        <v>https://www.xeno-canto.org/species/Geokichla-sibirica</v>
      </c>
      <c r="C753" s="30" t="str">
        <f>HYPERLINK("https://ebird.org/species/sibthr1")</f>
        <v>https://ebird.org/species/sibthr1</v>
      </c>
      <c r="D753" s="31" t="str">
        <f>HYPERLINK("https://www.hbw.com/species/Siberian-Thrush-Geokichla-sibirica")</f>
        <v>https://www.hbw.com/species/Siberian-Thrush-Geokichla-sibirica</v>
      </c>
      <c r="E753" s="32" t="str">
        <f>HYPERLINK("https://www.iucnredlist.org/search?query=Geokichla sibirica&amp;searchType=species")</f>
        <v>https://www.iucnredlist.org/search?query=Geokichla sibirica&amp;searchType=species</v>
      </c>
      <c r="F753" s="2">
        <v>583</v>
      </c>
      <c r="G753" s="27" t="s">
        <v>1691</v>
      </c>
      <c r="H753" s="85" t="s">
        <v>1697</v>
      </c>
      <c r="I753" s="93" t="s">
        <v>1698</v>
      </c>
      <c r="J753" s="1" t="s">
        <v>19</v>
      </c>
      <c r="M753" s="2" t="s">
        <v>1011</v>
      </c>
      <c r="N753" s="2" t="s">
        <v>11350</v>
      </c>
    </row>
    <row r="754" spans="1:14" ht="20.399999999999999" x14ac:dyDescent="0.3">
      <c r="A754" s="28" t="str">
        <f>HYPERLINK("https://www.google.com/search?q=Zoothera andromedae&amp;tbm=isch")</f>
        <v>https://www.google.com/search?q=Zoothera andromedae&amp;tbm=isch</v>
      </c>
      <c r="B754" s="29" t="str">
        <f>HYPERLINK("https://www.xeno-canto.org/species/Zoothera-andromedae")</f>
        <v>https://www.xeno-canto.org/species/Zoothera-andromedae</v>
      </c>
      <c r="C754" s="30" t="str">
        <f>HYPERLINK("https://ebird.org/species/sunthr1")</f>
        <v>https://ebird.org/species/sunthr1</v>
      </c>
      <c r="D754" s="31" t="str">
        <f>HYPERLINK("https://www.hbw.com/species/Sunda-Thrush-Zoothera-andromedae")</f>
        <v>https://www.hbw.com/species/Sunda-Thrush-Zoothera-andromedae</v>
      </c>
      <c r="E754" s="32" t="str">
        <f>HYPERLINK("https://www.iucnredlist.org/search?query=Zoothera andromedae&amp;searchType=species")</f>
        <v>https://www.iucnredlist.org/search?query=Zoothera andromedae&amp;searchType=species</v>
      </c>
      <c r="F754" s="2">
        <v>584</v>
      </c>
      <c r="G754" s="27" t="s">
        <v>1691</v>
      </c>
      <c r="H754" s="83" t="s">
        <v>1699</v>
      </c>
      <c r="I754" s="92" t="s">
        <v>1700</v>
      </c>
      <c r="J754" s="1" t="s">
        <v>15</v>
      </c>
      <c r="M754" s="2" t="s">
        <v>1701</v>
      </c>
    </row>
    <row r="755" spans="1:14" ht="14.4" x14ac:dyDescent="0.3">
      <c r="A755" s="28" t="str">
        <f>HYPERLINK("https://www.google.com/search?q=Zoothera aurea&amp;tbm=isch")</f>
        <v>https://www.google.com/search?q=Zoothera aurea&amp;tbm=isch</v>
      </c>
      <c r="B755" s="29" t="str">
        <f>HYPERLINK("https://www.xeno-canto.org/species/Zoothera-aurea")</f>
        <v>https://www.xeno-canto.org/species/Zoothera-aurea</v>
      </c>
      <c r="C755" s="30" t="str">
        <f>HYPERLINK("https://ebird.org/species/scathr2")</f>
        <v>https://ebird.org/species/scathr2</v>
      </c>
      <c r="D755" s="31" t="str">
        <f>HYPERLINK("https://www.hbw.com/species/White's-Thrush-Zoothera-aurea")</f>
        <v>https://www.hbw.com/species/White's-Thrush-Zoothera-aurea</v>
      </c>
      <c r="E755" s="32" t="str">
        <f>HYPERLINK("https://www.iucnredlist.org/search?query=Zoothera aurea&amp;searchType=species")</f>
        <v>https://www.iucnredlist.org/search?query=Zoothera aurea&amp;searchType=species</v>
      </c>
      <c r="F755" s="2">
        <v>585</v>
      </c>
      <c r="G755" s="27" t="s">
        <v>1691</v>
      </c>
      <c r="H755" s="84" t="s">
        <v>1702</v>
      </c>
      <c r="I755" s="92" t="s">
        <v>1703</v>
      </c>
      <c r="J755" s="1" t="s">
        <v>50</v>
      </c>
      <c r="M755" s="2" t="s">
        <v>1011</v>
      </c>
      <c r="N755" s="2" t="s">
        <v>11351</v>
      </c>
    </row>
    <row r="756" spans="1:14" ht="30.6" x14ac:dyDescent="0.3">
      <c r="A756" s="28" t="str">
        <f>HYPERLINK("https://www.google.com/search?q=Turdus mandarinus&amp;tbm=isch")</f>
        <v>https://www.google.com/search?q=Turdus mandarinus&amp;tbm=isch</v>
      </c>
      <c r="B756" s="29" t="str">
        <f>HYPERLINK("https://www.xeno-canto.org/species/Turdus-mandarinus")</f>
        <v>https://www.xeno-canto.org/species/Turdus-mandarinus</v>
      </c>
      <c r="C756" s="30" t="str">
        <f>HYPERLINK("https://ebird.org/species/chibla1")</f>
        <v>https://ebird.org/species/chibla1</v>
      </c>
      <c r="D756" s="31" t="str">
        <f>HYPERLINK("https://www.hbw.com/species/Chinese-Blackbird-Turdus-mandarinus")</f>
        <v>https://www.hbw.com/species/Chinese-Blackbird-Turdus-mandarinus</v>
      </c>
      <c r="E756" s="32" t="str">
        <f>HYPERLINK("https://www.iucnredlist.org/search?query=Turdus mandarinus&amp;searchType=species")</f>
        <v>https://www.iucnredlist.org/search?query=Turdus mandarinus&amp;searchType=species</v>
      </c>
      <c r="F756" s="2">
        <v>586</v>
      </c>
      <c r="G756" s="27" t="s">
        <v>1691</v>
      </c>
      <c r="H756" s="85" t="s">
        <v>1704</v>
      </c>
      <c r="I756" s="93" t="s">
        <v>1705</v>
      </c>
      <c r="J756" s="1" t="s">
        <v>19</v>
      </c>
      <c r="M756" s="2" t="s">
        <v>1706</v>
      </c>
      <c r="N756" s="2" t="s">
        <v>11352</v>
      </c>
    </row>
    <row r="757" spans="1:14" ht="20.399999999999999" x14ac:dyDescent="0.3">
      <c r="A757" s="28" t="str">
        <f>HYPERLINK("https://www.google.com/search?q=Turdus poliocephalus&amp;tbm=isch")</f>
        <v>https://www.google.com/search?q=Turdus poliocephalus&amp;tbm=isch</v>
      </c>
      <c r="B757" s="29" t="str">
        <f>HYPERLINK("https://www.xeno-canto.org/species/Turdus-poliocephalus")</f>
        <v>https://www.xeno-canto.org/species/Turdus-poliocephalus</v>
      </c>
      <c r="C757" s="30" t="str">
        <f>HYPERLINK("https://ebird.org/species/islthr1")</f>
        <v>https://ebird.org/species/islthr1</v>
      </c>
      <c r="D757" s="31" t="str">
        <f>HYPERLINK("https://www.hbw.com/species/Island-Thrush-Turdus-poliocephalus")</f>
        <v>https://www.hbw.com/species/Island-Thrush-Turdus-poliocephalus</v>
      </c>
      <c r="E757" s="32" t="str">
        <f>HYPERLINK("https://www.iucnredlist.org/search?query=Turdus poliocephalus&amp;searchType=species")</f>
        <v>https://www.iucnredlist.org/search?query=Turdus poliocephalus&amp;searchType=species</v>
      </c>
      <c r="F757" s="2">
        <v>587</v>
      </c>
      <c r="G757" s="27" t="s">
        <v>1691</v>
      </c>
      <c r="H757" s="84" t="s">
        <v>1707</v>
      </c>
      <c r="I757" s="92" t="s">
        <v>1708</v>
      </c>
      <c r="J757" s="1" t="s">
        <v>15</v>
      </c>
      <c r="M757" s="2" t="s">
        <v>1709</v>
      </c>
    </row>
    <row r="758" spans="1:14" ht="14.4" x14ac:dyDescent="0.3">
      <c r="A758" s="28" t="str">
        <f>HYPERLINK("https://www.google.com/search?q=Turdus obscurus&amp;tbm=isch")</f>
        <v>https://www.google.com/search?q=Turdus obscurus&amp;tbm=isch</v>
      </c>
      <c r="B758" s="29" t="str">
        <f>HYPERLINK("https://www.xeno-canto.org/species/Turdus-obscurus")</f>
        <v>https://www.xeno-canto.org/species/Turdus-obscurus</v>
      </c>
      <c r="C758" s="30" t="str">
        <f>HYPERLINK("https://ebird.org/species/eyethr")</f>
        <v>https://ebird.org/species/eyethr</v>
      </c>
      <c r="D758" s="31" t="str">
        <f>HYPERLINK("https://www.hbw.com/species/Eyebrowed-Thrush-Turdus-obscurus")</f>
        <v>https://www.hbw.com/species/Eyebrowed-Thrush-Turdus-obscurus</v>
      </c>
      <c r="E758" s="32" t="str">
        <f>HYPERLINK("https://www.iucnredlist.org/search?query=Turdus obscurus&amp;searchType=species")</f>
        <v>https://www.iucnredlist.org/search?query=Turdus obscurus&amp;searchType=species</v>
      </c>
      <c r="F758" s="2">
        <v>588</v>
      </c>
      <c r="G758" s="27" t="s">
        <v>1691</v>
      </c>
      <c r="H758" s="84" t="s">
        <v>1710</v>
      </c>
      <c r="I758" s="92" t="s">
        <v>1711</v>
      </c>
      <c r="J758" s="1" t="s">
        <v>50</v>
      </c>
      <c r="M758" s="2" t="s">
        <v>1712</v>
      </c>
    </row>
    <row r="759" spans="1:14" ht="14.4" x14ac:dyDescent="0.3">
      <c r="A759" s="28" t="str">
        <f>HYPERLINK("https://www.google.com/search?q=Turdus pallidus&amp;tbm=isch")</f>
        <v>https://www.google.com/search?q=Turdus pallidus&amp;tbm=isch</v>
      </c>
      <c r="B759" s="29" t="str">
        <f>HYPERLINK("https://www.xeno-canto.org/species/Turdus-pallidus")</f>
        <v>https://www.xeno-canto.org/species/Turdus-pallidus</v>
      </c>
      <c r="C759" s="30" t="str">
        <f>HYPERLINK("https://ebird.org/species/palthr1")</f>
        <v>https://ebird.org/species/palthr1</v>
      </c>
      <c r="D759" s="31" t="str">
        <f>HYPERLINK("https://www.hbw.com/species/Pale-Thrush-Turdus-pallidus")</f>
        <v>https://www.hbw.com/species/Pale-Thrush-Turdus-pallidus</v>
      </c>
      <c r="E759" s="32" t="str">
        <f>HYPERLINK("https://www.iucnredlist.org/search?query=Turdus pallidus&amp;searchType=species")</f>
        <v>https://www.iucnredlist.org/search?query=Turdus pallidus&amp;searchType=species</v>
      </c>
      <c r="F759" s="2">
        <v>589</v>
      </c>
      <c r="G759" s="27" t="s">
        <v>1691</v>
      </c>
      <c r="H759" s="83" t="s">
        <v>1713</v>
      </c>
      <c r="I759" s="92" t="s">
        <v>1714</v>
      </c>
      <c r="J759" s="1" t="s">
        <v>19</v>
      </c>
      <c r="M759" s="2" t="s">
        <v>1715</v>
      </c>
    </row>
    <row r="760" spans="1:14" ht="14.4" x14ac:dyDescent="0.3">
      <c r="A760" s="28" t="str">
        <f>HYPERLINK("https://www.google.com/search?q=Turdus chrysolaus&amp;tbm=isch")</f>
        <v>https://www.google.com/search?q=Turdus chrysolaus&amp;tbm=isch</v>
      </c>
      <c r="B760" s="29" t="str">
        <f>HYPERLINK("https://www.xeno-canto.org/species/Turdus-chrysolaus")</f>
        <v>https://www.xeno-canto.org/species/Turdus-chrysolaus</v>
      </c>
      <c r="C760" s="30" t="str">
        <f>HYPERLINK("https://ebird.org/species/brhthr1")</f>
        <v>https://ebird.org/species/brhthr1</v>
      </c>
      <c r="D760" s="31" t="str">
        <f>HYPERLINK("https://www.hbw.com/species/Brown-headed-Thrush-Turdus-chrysolaus")</f>
        <v>https://www.hbw.com/species/Brown-headed-Thrush-Turdus-chrysolaus</v>
      </c>
      <c r="E760" s="32" t="str">
        <f>HYPERLINK("https://www.iucnredlist.org/search?query=Turdus chrysolaus&amp;searchType=species")</f>
        <v>https://www.iucnredlist.org/search?query=Turdus chrysolaus&amp;searchType=species</v>
      </c>
      <c r="F760" s="2">
        <v>590</v>
      </c>
      <c r="G760" s="27" t="s">
        <v>1691</v>
      </c>
      <c r="H760" s="84" t="s">
        <v>1716</v>
      </c>
      <c r="I760" s="92" t="s">
        <v>1717</v>
      </c>
      <c r="J760" s="1" t="s">
        <v>50</v>
      </c>
      <c r="M760" s="2" t="s">
        <v>1718</v>
      </c>
    </row>
    <row r="761" spans="1:14" ht="30.6" x14ac:dyDescent="0.3">
      <c r="A761" s="28" t="str">
        <f>HYPERLINK("https://www.google.com/search?q=Turdus eunomus&amp;tbm=isch")</f>
        <v>https://www.google.com/search?q=Turdus eunomus&amp;tbm=isch</v>
      </c>
      <c r="B761" s="29" t="str">
        <f>HYPERLINK("https://www.xeno-canto.org/species/Turdus-eunomus")</f>
        <v>https://www.xeno-canto.org/species/Turdus-eunomus</v>
      </c>
      <c r="C761" s="30" t="str">
        <f>HYPERLINK("https://ebird.org/species/dusthr2")</f>
        <v>https://ebird.org/species/dusthr2</v>
      </c>
      <c r="D761" s="31" t="str">
        <f>HYPERLINK("https://www.hbw.com/species/Dusky-Thrush-Turdus-eunomus")</f>
        <v>https://www.hbw.com/species/Dusky-Thrush-Turdus-eunomus</v>
      </c>
      <c r="E761" s="32" t="str">
        <f>HYPERLINK("https://www.iucnredlist.org/search?query=Turdus eunomus&amp;searchType=species")</f>
        <v>https://www.iucnredlist.org/search?query=Turdus eunomus&amp;searchType=species</v>
      </c>
      <c r="F761" s="2">
        <v>591</v>
      </c>
      <c r="G761" s="27" t="s">
        <v>1691</v>
      </c>
      <c r="H761" s="85" t="s">
        <v>1719</v>
      </c>
      <c r="I761" s="93" t="s">
        <v>1720</v>
      </c>
      <c r="J761" s="1" t="s">
        <v>19</v>
      </c>
      <c r="M761" s="2" t="s">
        <v>1721</v>
      </c>
      <c r="N761" s="2" t="s">
        <v>1722</v>
      </c>
    </row>
    <row r="762" spans="1:14" x14ac:dyDescent="0.3">
      <c r="A762" s="33"/>
      <c r="B762" s="34"/>
      <c r="C762" s="35"/>
      <c r="D762" s="36"/>
      <c r="E762" s="37"/>
    </row>
    <row r="763" spans="1:14" ht="12" x14ac:dyDescent="0.3">
      <c r="A763" s="33"/>
      <c r="B763" s="34"/>
      <c r="C763" s="35"/>
      <c r="D763" s="36"/>
      <c r="E763" s="37"/>
      <c r="H763" s="82" t="s">
        <v>1723</v>
      </c>
      <c r="I763" s="91" t="s">
        <v>1724</v>
      </c>
    </row>
    <row r="764" spans="1:14" ht="14.4" x14ac:dyDescent="0.3">
      <c r="A764" s="28" t="str">
        <f>HYPERLINK("https://www.google.com/search?q=Copsychus mindanensis&amp;tbm=isch")</f>
        <v>https://www.google.com/search?q=Copsychus mindanensis&amp;tbm=isch</v>
      </c>
      <c r="B764" s="29" t="str">
        <f>HYPERLINK("https://www.xeno-canto.org/species/Copsychus-mindanensis")</f>
        <v>https://www.xeno-canto.org/species/Copsychus-mindanensis</v>
      </c>
      <c r="C764" s="30" t="str">
        <f>HYPERLINK("https://ebird.org/species/phimar1")</f>
        <v>https://ebird.org/species/phimar1</v>
      </c>
      <c r="D764" s="31" t="str">
        <f>HYPERLINK("https://www.hbw.com/species/Philippine-Magpie-robin-Copsychus-mindanensis")</f>
        <v>https://www.hbw.com/species/Philippine-Magpie-robin-Copsychus-mindanensis</v>
      </c>
      <c r="E764" s="32" t="str">
        <f>HYPERLINK("https://www.iucnredlist.org/search?query=Copsychus mindanensis&amp;searchType=species")</f>
        <v>https://www.iucnredlist.org/search?query=Copsychus mindanensis&amp;searchType=species</v>
      </c>
      <c r="F764" s="2">
        <v>592</v>
      </c>
      <c r="G764" s="27" t="s">
        <v>1724</v>
      </c>
      <c r="H764" s="86" t="s">
        <v>1725</v>
      </c>
      <c r="I764" s="94" t="s">
        <v>1726</v>
      </c>
      <c r="J764" s="1" t="s">
        <v>65</v>
      </c>
      <c r="M764" s="2" t="s">
        <v>68</v>
      </c>
    </row>
    <row r="765" spans="1:14" ht="14.4" x14ac:dyDescent="0.3">
      <c r="A765" s="28" t="str">
        <f>HYPERLINK("https://www.google.com/search?q=Copsychus luzoniensis&amp;tbm=isch")</f>
        <v>https://www.google.com/search?q=Copsychus luzoniensis&amp;tbm=isch</v>
      </c>
      <c r="B765" s="29" t="str">
        <f>HYPERLINK("https://www.xeno-canto.org/species/Copsychus-luzoniensis")</f>
        <v>https://www.xeno-canto.org/species/Copsychus-luzoniensis</v>
      </c>
      <c r="C765" s="30" t="str">
        <f>HYPERLINK("https://ebird.org/species/whbsha1")</f>
        <v>https://ebird.org/species/whbsha1</v>
      </c>
      <c r="D765" s="31" t="str">
        <f>HYPERLINK("https://www.hbw.com/species/White-browed-Shama-Kittacincla-luzoniensis")</f>
        <v>https://www.hbw.com/species/White-browed-Shama-Kittacincla-luzoniensis</v>
      </c>
      <c r="E765" s="32" t="str">
        <f>HYPERLINK("https://www.iucnredlist.org/search?query=Copsychus luzoniensis&amp;searchType=species")</f>
        <v>https://www.iucnredlist.org/search?query=Copsychus luzoniensis&amp;searchType=species</v>
      </c>
      <c r="F765" s="2">
        <v>593</v>
      </c>
      <c r="G765" s="27" t="s">
        <v>1724</v>
      </c>
      <c r="H765" s="86" t="s">
        <v>1727</v>
      </c>
      <c r="I765" s="94" t="s">
        <v>1728</v>
      </c>
      <c r="J765" s="1" t="s">
        <v>65</v>
      </c>
      <c r="L765" s="1" t="s">
        <v>66</v>
      </c>
      <c r="M765" s="2" t="s">
        <v>68</v>
      </c>
    </row>
    <row r="766" spans="1:14" ht="14.4" x14ac:dyDescent="0.3">
      <c r="A766" s="28" t="str">
        <f>HYPERLINK("https://www.google.com/search?q=Copsychus niger&amp;tbm=isch")</f>
        <v>https://www.google.com/search?q=Copsychus niger&amp;tbm=isch</v>
      </c>
      <c r="B766" s="29" t="str">
        <f>HYPERLINK("https://www.xeno-canto.org/species/Copsychus-niger")</f>
        <v>https://www.xeno-canto.org/species/Copsychus-niger</v>
      </c>
      <c r="C766" s="30" t="str">
        <f>HYPERLINK("https://ebird.org/species/whvsha1")</f>
        <v>https://ebird.org/species/whvsha1</v>
      </c>
      <c r="D766" s="31" t="str">
        <f>HYPERLINK("https://www.hbw.com/species/White-vented-Shama-Kittacincla-nigra")</f>
        <v>https://www.hbw.com/species/White-vented-Shama-Kittacincla-nigra</v>
      </c>
      <c r="E766" s="32" t="str">
        <f>HYPERLINK("https://www.iucnredlist.org/search?query=Copsychus niger&amp;searchType=species")</f>
        <v>https://www.iucnredlist.org/search?query=Copsychus niger&amp;searchType=species</v>
      </c>
      <c r="F766" s="2">
        <v>594</v>
      </c>
      <c r="G766" s="27" t="s">
        <v>1724</v>
      </c>
      <c r="H766" s="86" t="s">
        <v>1729</v>
      </c>
      <c r="I766" s="94" t="s">
        <v>1730</v>
      </c>
      <c r="J766" s="1" t="s">
        <v>65</v>
      </c>
      <c r="M766" s="2" t="s">
        <v>68</v>
      </c>
    </row>
    <row r="767" spans="1:14" ht="14.4" x14ac:dyDescent="0.3">
      <c r="A767" s="28" t="str">
        <f>HYPERLINK("https://www.google.com/search?q=Copsychus cebuensis&amp;tbm=isch")</f>
        <v>https://www.google.com/search?q=Copsychus cebuensis&amp;tbm=isch</v>
      </c>
      <c r="B767" s="29" t="str">
        <f>HYPERLINK("https://www.xeno-canto.org/species/Copsychus-cebuensis")</f>
        <v>https://www.xeno-canto.org/species/Copsychus-cebuensis</v>
      </c>
      <c r="C767" s="30" t="str">
        <f>HYPERLINK("https://ebird.org/species/blasha1")</f>
        <v>https://ebird.org/species/blasha1</v>
      </c>
      <c r="D767" s="31" t="str">
        <f>HYPERLINK("https://www.hbw.com/species/Black-Shama-Kittacincla-cebuensis")</f>
        <v>https://www.hbw.com/species/Black-Shama-Kittacincla-cebuensis</v>
      </c>
      <c r="E767" s="32" t="str">
        <f>HYPERLINK("https://www.iucnredlist.org/search?query=Copsychus cebuensis&amp;searchType=species")</f>
        <v>https://www.iucnredlist.org/search?query=Copsychus cebuensis&amp;searchType=species</v>
      </c>
      <c r="F767" s="2">
        <v>595</v>
      </c>
      <c r="G767" s="27" t="s">
        <v>1724</v>
      </c>
      <c r="H767" s="86" t="s">
        <v>1731</v>
      </c>
      <c r="I767" s="94" t="s">
        <v>1732</v>
      </c>
      <c r="J767" s="1" t="s">
        <v>65</v>
      </c>
      <c r="K767" s="1" t="s">
        <v>67</v>
      </c>
      <c r="L767" s="1" t="s">
        <v>67</v>
      </c>
      <c r="M767" s="2" t="s">
        <v>68</v>
      </c>
    </row>
    <row r="768" spans="1:14" ht="14.4" x14ac:dyDescent="0.3">
      <c r="A768" s="28" t="str">
        <f>HYPERLINK("https://www.google.com/search?q=Muscicapa griseisticta&amp;tbm=isch")</f>
        <v>https://www.google.com/search?q=Muscicapa griseisticta&amp;tbm=isch</v>
      </c>
      <c r="B768" s="29" t="str">
        <f>HYPERLINK("https://www.xeno-canto.org/species/Muscicapa-griseisticta")</f>
        <v>https://www.xeno-canto.org/species/Muscicapa-griseisticta</v>
      </c>
      <c r="C768" s="30" t="str">
        <f>HYPERLINK("https://ebird.org/species/gysfly1")</f>
        <v>https://ebird.org/species/gysfly1</v>
      </c>
      <c r="D768" s="31" t="str">
        <f>HYPERLINK("https://www.hbw.com/species/Grey-streaked-Flycatcher-Muscicapa-griseisticta")</f>
        <v>https://www.hbw.com/species/Grey-streaked-Flycatcher-Muscicapa-griseisticta</v>
      </c>
      <c r="E768" s="32" t="str">
        <f>HYPERLINK("https://www.iucnredlist.org/search?query=Muscicapa griseisticta&amp;searchType=species")</f>
        <v>https://www.iucnredlist.org/search?query=Muscicapa griseisticta&amp;searchType=species</v>
      </c>
      <c r="F768" s="2">
        <v>596</v>
      </c>
      <c r="G768" s="27" t="s">
        <v>1724</v>
      </c>
      <c r="H768" s="84" t="s">
        <v>1733</v>
      </c>
      <c r="I768" s="92" t="s">
        <v>1734</v>
      </c>
      <c r="J768" s="1" t="s">
        <v>50</v>
      </c>
      <c r="M768" s="2" t="s">
        <v>1735</v>
      </c>
    </row>
    <row r="769" spans="1:14" ht="14.4" x14ac:dyDescent="0.3">
      <c r="A769" s="28" t="str">
        <f>HYPERLINK("https://www.google.com/search?q=Muscicapa sibirica&amp;tbm=isch")</f>
        <v>https://www.google.com/search?q=Muscicapa sibirica&amp;tbm=isch</v>
      </c>
      <c r="B769" s="29" t="str">
        <f>HYPERLINK("https://www.xeno-canto.org/species/Muscicapa-sibirica")</f>
        <v>https://www.xeno-canto.org/species/Muscicapa-sibirica</v>
      </c>
      <c r="C769" s="30" t="str">
        <f>HYPERLINK("https://ebird.org/species/dasfly")</f>
        <v>https://ebird.org/species/dasfly</v>
      </c>
      <c r="D769" s="31" t="str">
        <f>HYPERLINK("https://www.hbw.com/species/Dark-sided-Flycatcher-Muscicapa-sibirica")</f>
        <v>https://www.hbw.com/species/Dark-sided-Flycatcher-Muscicapa-sibirica</v>
      </c>
      <c r="E769" s="32" t="str">
        <f>HYPERLINK("https://www.iucnredlist.org/search?query=Muscicapa sibirica&amp;searchType=species")</f>
        <v>https://www.iucnredlist.org/search?query=Muscicapa sibirica&amp;searchType=species</v>
      </c>
      <c r="F769" s="2">
        <v>597</v>
      </c>
      <c r="G769" s="27" t="s">
        <v>1724</v>
      </c>
      <c r="H769" s="83" t="s">
        <v>1736</v>
      </c>
      <c r="I769" s="92" t="s">
        <v>1737</v>
      </c>
      <c r="J769" s="1" t="s">
        <v>50</v>
      </c>
      <c r="M769" s="2" t="s">
        <v>1738</v>
      </c>
    </row>
    <row r="770" spans="1:14" ht="14.4" x14ac:dyDescent="0.3">
      <c r="A770" s="28" t="str">
        <f>HYPERLINK("https://www.google.com/search?q=Muscicapa dauurica&amp;tbm=isch")</f>
        <v>https://www.google.com/search?q=Muscicapa dauurica&amp;tbm=isch</v>
      </c>
      <c r="B770" s="29" t="str">
        <f>HYPERLINK("https://www.xeno-canto.org/species/Muscicapa-dauurica")</f>
        <v>https://www.xeno-canto.org/species/Muscicapa-dauurica</v>
      </c>
      <c r="C770" s="30" t="str">
        <f>HYPERLINK("https://ebird.org/species/asbfly")</f>
        <v>https://ebird.org/species/asbfly</v>
      </c>
      <c r="D770" s="31" t="str">
        <f>HYPERLINK("https://www.hbw.com/species/Asian-Brown-Flycatcher-Muscicapa-dauurica")</f>
        <v>https://www.hbw.com/species/Asian-Brown-Flycatcher-Muscicapa-dauurica</v>
      </c>
      <c r="E770" s="32" t="str">
        <f>HYPERLINK("https://www.iucnredlist.org/search?query=Muscicapa dauurica&amp;searchType=species")</f>
        <v>https://www.iucnredlist.org/search?query=Muscicapa dauurica&amp;searchType=species</v>
      </c>
      <c r="F770" s="2">
        <v>598</v>
      </c>
      <c r="G770" s="27" t="s">
        <v>1724</v>
      </c>
      <c r="H770" s="84" t="s">
        <v>1739</v>
      </c>
      <c r="I770" s="92" t="s">
        <v>1740</v>
      </c>
      <c r="J770" s="1" t="s">
        <v>50</v>
      </c>
      <c r="M770" s="2" t="s">
        <v>1741</v>
      </c>
    </row>
    <row r="771" spans="1:14" ht="14.4" x14ac:dyDescent="0.3">
      <c r="A771" s="28" t="str">
        <f>HYPERLINK("https://www.google.com/search?q=Muscicapa randi&amp;tbm=isch")</f>
        <v>https://www.google.com/search?q=Muscicapa randi&amp;tbm=isch</v>
      </c>
      <c r="B771" s="29" t="str">
        <f>HYPERLINK("https://www.xeno-canto.org/species/Muscicapa-randi")</f>
        <v>https://www.xeno-canto.org/species/Muscicapa-randi</v>
      </c>
      <c r="C771" s="30" t="str">
        <f>HYPERLINK("https://ebird.org/species/asbfly1")</f>
        <v>https://ebird.org/species/asbfly1</v>
      </c>
      <c r="D771" s="31" t="str">
        <f>HYPERLINK("https://www.hbw.com/species/Ashy-breasted-Flycatcher-Muscicapa-randi")</f>
        <v>https://www.hbw.com/species/Ashy-breasted-Flycatcher-Muscicapa-randi</v>
      </c>
      <c r="E771" s="32" t="str">
        <f>HYPERLINK("https://www.iucnredlist.org/search?query=Muscicapa randi&amp;searchType=species")</f>
        <v>https://www.iucnredlist.org/search?query=Muscicapa randi&amp;searchType=species</v>
      </c>
      <c r="F771" s="2">
        <v>599</v>
      </c>
      <c r="G771" s="27" t="s">
        <v>1724</v>
      </c>
      <c r="H771" s="86" t="s">
        <v>1742</v>
      </c>
      <c r="I771" s="94" t="s">
        <v>1743</v>
      </c>
      <c r="J771" s="1" t="s">
        <v>65</v>
      </c>
      <c r="K771" s="1" t="s">
        <v>66</v>
      </c>
      <c r="L771" s="1" t="s">
        <v>67</v>
      </c>
      <c r="M771" s="2" t="s">
        <v>68</v>
      </c>
    </row>
    <row r="772" spans="1:14" ht="14.4" x14ac:dyDescent="0.3">
      <c r="A772" s="28" t="str">
        <f>HYPERLINK("https://www.google.com/search?q=Muscicapa ferruginea&amp;tbm=isch")</f>
        <v>https://www.google.com/search?q=Muscicapa ferruginea&amp;tbm=isch</v>
      </c>
      <c r="B772" s="29" t="str">
        <f>HYPERLINK("https://www.xeno-canto.org/species/Muscicapa-ferruginea")</f>
        <v>https://www.xeno-canto.org/species/Muscicapa-ferruginea</v>
      </c>
      <c r="C772" s="30" t="str">
        <f>HYPERLINK("https://ebird.org/species/ferfly1")</f>
        <v>https://ebird.org/species/ferfly1</v>
      </c>
      <c r="D772" s="31" t="str">
        <f>HYPERLINK("https://www.hbw.com/species/Ferruginous-Flycatcher-Muscicapa-ferruginea")</f>
        <v>https://www.hbw.com/species/Ferruginous-Flycatcher-Muscicapa-ferruginea</v>
      </c>
      <c r="E772" s="32" t="str">
        <f>HYPERLINK("https://www.iucnredlist.org/search?query=Muscicapa ferruginea&amp;searchType=species")</f>
        <v>https://www.iucnredlist.org/search?query=Muscicapa ferruginea&amp;searchType=species</v>
      </c>
      <c r="F772" s="2">
        <v>600</v>
      </c>
      <c r="G772" s="27" t="s">
        <v>1724</v>
      </c>
      <c r="H772" s="84" t="s">
        <v>1744</v>
      </c>
      <c r="I772" s="92" t="s">
        <v>1745</v>
      </c>
      <c r="J772" s="1" t="s">
        <v>50</v>
      </c>
      <c r="M772" s="2" t="s">
        <v>1746</v>
      </c>
    </row>
    <row r="773" spans="1:14" ht="14.4" x14ac:dyDescent="0.3">
      <c r="A773" s="28" t="str">
        <f>HYPERLINK("https://www.google.com/search?q=Cyornis herioti&amp;tbm=isch")</f>
        <v>https://www.google.com/search?q=Cyornis herioti&amp;tbm=isch</v>
      </c>
      <c r="B773" s="29" t="str">
        <f>HYPERLINK("https://www.xeno-canto.org/species/Cyornis-herioti")</f>
        <v>https://www.xeno-canto.org/species/Cyornis-herioti</v>
      </c>
      <c r="C773" s="30" t="str">
        <f>HYPERLINK("https://ebird.org/species/blbfly3")</f>
        <v>https://ebird.org/species/blbfly3</v>
      </c>
      <c r="D773" s="31" t="str">
        <f>HYPERLINK("https://www.hbw.com/species/Blue-breasted-Blue-flycatcher-Cyornis-herioti")</f>
        <v>https://www.hbw.com/species/Blue-breasted-Blue-flycatcher-Cyornis-herioti</v>
      </c>
      <c r="E773" s="32" t="str">
        <f>HYPERLINK("https://www.iucnredlist.org/search?query=Cyornis herioti&amp;searchType=species")</f>
        <v>https://www.iucnredlist.org/search?query=Cyornis herioti&amp;searchType=species</v>
      </c>
      <c r="F773" s="2">
        <v>601</v>
      </c>
      <c r="G773" s="27" t="s">
        <v>1724</v>
      </c>
      <c r="H773" s="86" t="s">
        <v>1747</v>
      </c>
      <c r="I773" s="94" t="s">
        <v>1748</v>
      </c>
      <c r="J773" s="1" t="s">
        <v>65</v>
      </c>
      <c r="K773" s="1" t="s">
        <v>58</v>
      </c>
      <c r="M773" s="2" t="s">
        <v>68</v>
      </c>
    </row>
    <row r="774" spans="1:14" ht="14.4" x14ac:dyDescent="0.3">
      <c r="A774" s="28" t="str">
        <f>HYPERLINK("https://www.google.com/search?q=Cyornis lemprieri&amp;tbm=isch")</f>
        <v>https://www.google.com/search?q=Cyornis lemprieri&amp;tbm=isch</v>
      </c>
      <c r="B774" s="29" t="str">
        <f>HYPERLINK("https://www.xeno-canto.org/species/Cyornis-lemprieri")</f>
        <v>https://www.xeno-canto.org/species/Cyornis-lemprieri</v>
      </c>
      <c r="C774" s="30" t="str">
        <f>HYPERLINK("https://ebird.org/species/pabfly1")</f>
        <v>https://ebird.org/species/pabfly1</v>
      </c>
      <c r="D774" s="31" t="str">
        <f>HYPERLINK("https://www.hbw.com/species/Palawan-Blue-flycatcher-Cyornis-lemprieri")</f>
        <v>https://www.hbw.com/species/Palawan-Blue-flycatcher-Cyornis-lemprieri</v>
      </c>
      <c r="E774" s="32" t="str">
        <f>HYPERLINK("https://www.iucnredlist.org/search?query=Cyornis lemprieri&amp;searchType=species")</f>
        <v>https://www.iucnredlist.org/search?query=Cyornis lemprieri&amp;searchType=species</v>
      </c>
      <c r="F774" s="2">
        <v>602</v>
      </c>
      <c r="G774" s="27" t="s">
        <v>1724</v>
      </c>
      <c r="H774" s="86" t="s">
        <v>1749</v>
      </c>
      <c r="I774" s="94" t="s">
        <v>1750</v>
      </c>
      <c r="J774" s="1" t="s">
        <v>65</v>
      </c>
      <c r="K774" s="1" t="s">
        <v>58</v>
      </c>
      <c r="M774" s="2" t="s">
        <v>68</v>
      </c>
      <c r="N774" s="2" t="s">
        <v>123</v>
      </c>
    </row>
    <row r="775" spans="1:14" ht="14.4" x14ac:dyDescent="0.3">
      <c r="A775" s="28" t="str">
        <f>HYPERLINK("https://www.google.com/search?q=Cyornis rufigastra&amp;tbm=isch")</f>
        <v>https://www.google.com/search?q=Cyornis rufigastra&amp;tbm=isch</v>
      </c>
      <c r="B775" s="29" t="str">
        <f>HYPERLINK("https://www.xeno-canto.org/species/Cyornis-rufigastra")</f>
        <v>https://www.xeno-canto.org/species/Cyornis-rufigastra</v>
      </c>
      <c r="C775" s="30" t="str">
        <f>HYPERLINK("https://ebird.org/species/mabfly2")</f>
        <v>https://ebird.org/species/mabfly2</v>
      </c>
      <c r="D775" s="31" t="str">
        <f>HYPERLINK("https://www.hbw.com/species/Mangrove-Blue-flycatcher-Cyornis-rufigastra")</f>
        <v>https://www.hbw.com/species/Mangrove-Blue-flycatcher-Cyornis-rufigastra</v>
      </c>
      <c r="E775" s="32" t="str">
        <f>HYPERLINK("https://www.iucnredlist.org/search?query=Cyornis rufigastra&amp;searchType=species")</f>
        <v>https://www.iucnredlist.org/search?query=Cyornis rufigastra&amp;searchType=species</v>
      </c>
      <c r="F775" s="2">
        <v>603</v>
      </c>
      <c r="G775" s="27" t="s">
        <v>1724</v>
      </c>
      <c r="H775" s="84" t="s">
        <v>1751</v>
      </c>
      <c r="I775" s="92" t="s">
        <v>1752</v>
      </c>
      <c r="J775" s="1" t="s">
        <v>15</v>
      </c>
      <c r="M775" s="2" t="s">
        <v>1266</v>
      </c>
    </row>
    <row r="776" spans="1:14" ht="14.4" x14ac:dyDescent="0.3">
      <c r="A776" s="28" t="str">
        <f>HYPERLINK("https://www.google.com/search?q=Cyornis ruficauda&amp;tbm=isch")</f>
        <v>https://www.google.com/search?q=Cyornis ruficauda&amp;tbm=isch</v>
      </c>
      <c r="B776" s="29" t="str">
        <f>HYPERLINK("https://www.xeno-canto.org/species/Cyornis-ruficauda")</f>
        <v>https://www.xeno-canto.org/species/Cyornis-ruficauda</v>
      </c>
      <c r="C776" s="30" t="str">
        <f>HYPERLINK("https://ebird.org/species/chtjuf1")</f>
        <v>https://ebird.org/species/chtjuf1</v>
      </c>
      <c r="D776" s="31" t="str">
        <f>HYPERLINK("https://www.hbw.com/species/Rufous-tailed-Jungle-flycatcher-Cyornis-ruficauda")</f>
        <v>https://www.hbw.com/species/Rufous-tailed-Jungle-flycatcher-Cyornis-ruficauda</v>
      </c>
      <c r="E776" s="32" t="str">
        <f>HYPERLINK("https://www.iucnredlist.org/search?query=Cyornis ruficauda&amp;searchType=species")</f>
        <v>https://www.iucnredlist.org/search?query=Cyornis ruficauda&amp;searchType=species</v>
      </c>
      <c r="F776" s="2">
        <v>604</v>
      </c>
      <c r="G776" s="27" t="s">
        <v>1724</v>
      </c>
      <c r="H776" s="84" t="s">
        <v>1753</v>
      </c>
      <c r="I776" s="92" t="s">
        <v>1754</v>
      </c>
      <c r="J776" s="1" t="s">
        <v>15</v>
      </c>
      <c r="M776" s="2" t="s">
        <v>1755</v>
      </c>
    </row>
    <row r="777" spans="1:14" ht="14.4" x14ac:dyDescent="0.3">
      <c r="A777" s="28" t="str">
        <f>HYPERLINK("https://www.google.com/search?q=Cyanoptila cyanomelana&amp;tbm=isch")</f>
        <v>https://www.google.com/search?q=Cyanoptila cyanomelana&amp;tbm=isch</v>
      </c>
      <c r="B777" s="29" t="str">
        <f>HYPERLINK("https://www.xeno-canto.org/species/Cyanoptila-cyanomelana")</f>
        <v>https://www.xeno-canto.org/species/Cyanoptila-cyanomelana</v>
      </c>
      <c r="C777" s="30" t="str">
        <f>HYPERLINK("https://ebird.org/species/bawfly2")</f>
        <v>https://ebird.org/species/bawfly2</v>
      </c>
      <c r="D777" s="31" t="str">
        <f>HYPERLINK("https://www.hbw.com/species/Blue-and-white-Flycatcher-Cyanoptila-cyanomelana")</f>
        <v>https://www.hbw.com/species/Blue-and-white-Flycatcher-Cyanoptila-cyanomelana</v>
      </c>
      <c r="E777" s="32" t="str">
        <f>HYPERLINK("https://www.iucnredlist.org/search?query=Cyanoptila cyanomelana&amp;searchType=species")</f>
        <v>https://www.iucnredlist.org/search?query=Cyanoptila cyanomelana&amp;searchType=species</v>
      </c>
      <c r="F777" s="2">
        <v>605</v>
      </c>
      <c r="G777" s="27" t="s">
        <v>1724</v>
      </c>
      <c r="H777" s="84" t="s">
        <v>1756</v>
      </c>
      <c r="I777" s="92" t="s">
        <v>1757</v>
      </c>
      <c r="J777" s="1" t="s">
        <v>50</v>
      </c>
      <c r="M777" s="2" t="s">
        <v>1011</v>
      </c>
    </row>
    <row r="778" spans="1:14" ht="20.399999999999999" x14ac:dyDescent="0.3">
      <c r="A778" s="28" t="str">
        <f>HYPERLINK("https://www.google.com/search?q=Cyanoptila cumatilis&amp;tbm=isch")</f>
        <v>https://www.google.com/search?q=Cyanoptila cumatilis&amp;tbm=isch</v>
      </c>
      <c r="B778" s="29" t="str">
        <f>HYPERLINK("https://www.xeno-canto.org/species/Cyanoptila-cumatilis")</f>
        <v>https://www.xeno-canto.org/species/Cyanoptila-cumatilis</v>
      </c>
      <c r="C778" s="30" t="str">
        <f>HYPERLINK("https://ebird.org/species/zapfly1")</f>
        <v>https://ebird.org/species/zapfly1</v>
      </c>
      <c r="D778" s="31" t="str">
        <f>HYPERLINK("https://www.hbw.com/species/Zappey's-Flycatcher-Cyanoptila-cumatilis")</f>
        <v>https://www.hbw.com/species/Zappey's-Flycatcher-Cyanoptila-cumatilis</v>
      </c>
      <c r="E778" s="32" t="str">
        <f>HYPERLINK("https://www.iucnredlist.org/search?query=Cyanoptila cumatilis&amp;searchType=species")</f>
        <v>https://www.iucnredlist.org/search?query=Cyanoptila cumatilis&amp;searchType=species</v>
      </c>
      <c r="F778" s="2">
        <v>606</v>
      </c>
      <c r="G778" s="27" t="s">
        <v>1724</v>
      </c>
      <c r="H778" s="83" t="s">
        <v>1758</v>
      </c>
      <c r="I778" s="92" t="s">
        <v>1759</v>
      </c>
      <c r="J778" s="1" t="s">
        <v>19</v>
      </c>
      <c r="K778" s="1" t="s">
        <v>58</v>
      </c>
      <c r="M778" s="2" t="s">
        <v>1760</v>
      </c>
      <c r="N778" s="2" t="s">
        <v>11353</v>
      </c>
    </row>
    <row r="779" spans="1:14" ht="14.4" x14ac:dyDescent="0.3">
      <c r="A779" s="28" t="str">
        <f>HYPERLINK("https://www.google.com/search?q=Eumyias panayensis&amp;tbm=isch")</f>
        <v>https://www.google.com/search?q=Eumyias panayensis&amp;tbm=isch</v>
      </c>
      <c r="B779" s="29" t="str">
        <f>HYPERLINK("https://www.xeno-canto.org/species/Eumyias-panayensis")</f>
        <v>https://www.xeno-canto.org/species/Eumyias-panayensis</v>
      </c>
      <c r="C779" s="30" t="str">
        <f>HYPERLINK("https://ebird.org/species/islfly1")</f>
        <v>https://ebird.org/species/islfly1</v>
      </c>
      <c r="D779" s="31" t="str">
        <f>HYPERLINK("https://www.hbw.com/species/Turquoise-Flycatcher-Eumyias-panayensis")</f>
        <v>https://www.hbw.com/species/Turquoise-Flycatcher-Eumyias-panayensis</v>
      </c>
      <c r="E779" s="32" t="str">
        <f>HYPERLINK("https://www.iucnredlist.org/search?query=Eumyias panayensis&amp;searchType=species")</f>
        <v>https://www.iucnredlist.org/search?query=Eumyias panayensis&amp;searchType=species</v>
      </c>
      <c r="F779" s="2">
        <v>607</v>
      </c>
      <c r="G779" s="27" t="s">
        <v>1724</v>
      </c>
      <c r="H779" s="84" t="s">
        <v>1761</v>
      </c>
      <c r="I779" s="92" t="s">
        <v>1762</v>
      </c>
      <c r="J779" s="1" t="s">
        <v>15</v>
      </c>
      <c r="M779" s="2" t="s">
        <v>1763</v>
      </c>
    </row>
    <row r="780" spans="1:14" ht="14.4" x14ac:dyDescent="0.3">
      <c r="A780" s="28" t="str">
        <f>HYPERLINK("https://www.google.com/search?q=Leonardina woodi&amp;tbm=isch")</f>
        <v>https://www.google.com/search?q=Leonardina woodi&amp;tbm=isch</v>
      </c>
      <c r="B780" s="29" t="str">
        <f>HYPERLINK("https://www.xeno-canto.org/species/Leonardina-woodi")</f>
        <v>https://www.xeno-canto.org/species/Leonardina-woodi</v>
      </c>
      <c r="C780" s="30" t="str">
        <f>HYPERLINK("https://ebird.org/species/bagbab2")</f>
        <v>https://ebird.org/species/bagbab2</v>
      </c>
      <c r="D780" s="31" t="str">
        <f>HYPERLINK("https://www.hbw.com/species/Bagobo-Babbler-Leonardina-woodi")</f>
        <v>https://www.hbw.com/species/Bagobo-Babbler-Leonardina-woodi</v>
      </c>
      <c r="E780" s="32" t="str">
        <f>HYPERLINK("https://www.iucnredlist.org/search?query=Leonardina woodi&amp;searchType=species")</f>
        <v>https://www.iucnredlist.org/search?query=Leonardina woodi&amp;searchType=species</v>
      </c>
      <c r="F780" s="2">
        <v>608</v>
      </c>
      <c r="G780" s="27" t="s">
        <v>1724</v>
      </c>
      <c r="H780" s="86" t="s">
        <v>1764</v>
      </c>
      <c r="I780" s="94" t="s">
        <v>1765</v>
      </c>
      <c r="J780" s="1" t="s">
        <v>65</v>
      </c>
      <c r="M780" s="2" t="s">
        <v>68</v>
      </c>
      <c r="N780" s="2" t="s">
        <v>123</v>
      </c>
    </row>
    <row r="781" spans="1:14" ht="20.399999999999999" x14ac:dyDescent="0.3">
      <c r="A781" s="28" t="str">
        <f>HYPERLINK("https://www.google.com/search?q=Brachypteryx montana&amp;tbm=isch")</f>
        <v>https://www.google.com/search?q=Brachypteryx montana&amp;tbm=isch</v>
      </c>
      <c r="B781" s="29" t="str">
        <f>HYPERLINK("https://www.xeno-canto.org/species/Brachypteryx-montana")</f>
        <v>https://www.xeno-canto.org/species/Brachypteryx-montana</v>
      </c>
      <c r="C781" s="30" t="str">
        <f>HYPERLINK("https://ebird.org/species/whbsho2")</f>
        <v>https://ebird.org/species/whbsho2</v>
      </c>
      <c r="D781" s="31" t="str">
        <f>HYPERLINK("https://www.hbw.com/species/Philippine-Shortwing-Brachypteryx-poliogyna")</f>
        <v>https://www.hbw.com/species/Philippine-Shortwing-Brachypteryx-poliogyna</v>
      </c>
      <c r="E781" s="32" t="str">
        <f>HYPERLINK("https://www.iucnredlist.org/search?query=Brachypteryx montana&amp;searchType=species")</f>
        <v>https://www.iucnredlist.org/search?query=Brachypteryx montana&amp;searchType=species</v>
      </c>
      <c r="F781" s="2">
        <v>609</v>
      </c>
      <c r="G781" s="27" t="s">
        <v>1724</v>
      </c>
      <c r="H781" s="84" t="s">
        <v>1766</v>
      </c>
      <c r="I781" s="92" t="s">
        <v>1767</v>
      </c>
      <c r="J781" s="1" t="s">
        <v>15</v>
      </c>
      <c r="M781" s="2" t="s">
        <v>1768</v>
      </c>
    </row>
    <row r="782" spans="1:14" ht="14.4" x14ac:dyDescent="0.3">
      <c r="A782" s="28" t="str">
        <f>HYPERLINK("https://www.google.com/search?q=Vauriella albigularis&amp;tbm=isch")</f>
        <v>https://www.google.com/search?q=Vauriella albigularis&amp;tbm=isch</v>
      </c>
      <c r="B782" s="29" t="str">
        <f>HYPERLINK("https://www.xeno-canto.org/species/Vauriella-albigularis")</f>
        <v>https://www.xeno-canto.org/species/Vauriella-albigularis</v>
      </c>
      <c r="C782" s="30" t="str">
        <f>HYPERLINK("https://ebird.org/species/negjuf1")</f>
        <v>https://ebird.org/species/negjuf1</v>
      </c>
      <c r="D782" s="31" t="str">
        <f>HYPERLINK("https://www.hbw.com/species/White-throated-Jungle-flycatcher-Vauriella-albigularis")</f>
        <v>https://www.hbw.com/species/White-throated-Jungle-flycatcher-Vauriella-albigularis</v>
      </c>
      <c r="E782" s="32" t="str">
        <f>HYPERLINK("https://www.iucnredlist.org/search?query=Vauriella albigularis&amp;searchType=species")</f>
        <v>https://www.iucnredlist.org/search?query=Vauriella albigularis&amp;searchType=species</v>
      </c>
      <c r="F782" s="2">
        <v>610</v>
      </c>
      <c r="G782" s="27" t="s">
        <v>1724</v>
      </c>
      <c r="H782" s="90" t="s">
        <v>1769</v>
      </c>
      <c r="I782" s="94" t="s">
        <v>1770</v>
      </c>
      <c r="J782" s="1" t="s">
        <v>65</v>
      </c>
      <c r="K782" s="1" t="s">
        <v>67</v>
      </c>
      <c r="L782" s="1" t="s">
        <v>67</v>
      </c>
      <c r="M782" s="2" t="s">
        <v>68</v>
      </c>
    </row>
    <row r="783" spans="1:14" ht="14.4" x14ac:dyDescent="0.3">
      <c r="A783" s="28" t="str">
        <f>HYPERLINK("https://www.google.com/search?q=Vauriella insignis&amp;tbm=isch")</f>
        <v>https://www.google.com/search?q=Vauriella insignis&amp;tbm=isch</v>
      </c>
      <c r="B783" s="29" t="str">
        <f>HYPERLINK("https://www.xeno-canto.org/species/Vauriella-insignis")</f>
        <v>https://www.xeno-canto.org/species/Vauriella-insignis</v>
      </c>
      <c r="C783" s="30" t="str">
        <f>HYPERLINK("https://ebird.org/species/rufjuf1")</f>
        <v>https://ebird.org/species/rufjuf1</v>
      </c>
      <c r="D783" s="31" t="str">
        <f>HYPERLINK("https://www.hbw.com/species/White-browed-Jungle-flycatcher-Vauriella-insignis")</f>
        <v>https://www.hbw.com/species/White-browed-Jungle-flycatcher-Vauriella-insignis</v>
      </c>
      <c r="E783" s="32" t="str">
        <f>HYPERLINK("https://www.iucnredlist.org/search?query=Vauriella insignis&amp;searchType=species")</f>
        <v>https://www.iucnredlist.org/search?query=Vauriella insignis&amp;searchType=species</v>
      </c>
      <c r="F783" s="2">
        <v>611</v>
      </c>
      <c r="G783" s="27" t="s">
        <v>1724</v>
      </c>
      <c r="H783" s="86" t="s">
        <v>1771</v>
      </c>
      <c r="I783" s="94" t="s">
        <v>1772</v>
      </c>
      <c r="J783" s="1" t="s">
        <v>65</v>
      </c>
      <c r="K783" s="1" t="s">
        <v>66</v>
      </c>
      <c r="L783" s="1" t="s">
        <v>66</v>
      </c>
      <c r="M783" s="2" t="s">
        <v>68</v>
      </c>
    </row>
    <row r="784" spans="1:14" ht="14.4" x14ac:dyDescent="0.3">
      <c r="A784" s="28" t="str">
        <f>HYPERLINK("https://www.google.com/search?q=Vauriella goodfellowi&amp;tbm=isch")</f>
        <v>https://www.google.com/search?q=Vauriella goodfellowi&amp;tbm=isch</v>
      </c>
      <c r="B784" s="29" t="str">
        <f>HYPERLINK("https://www.xeno-canto.org/species/Vauriella-goodfellowi")</f>
        <v>https://www.xeno-canto.org/species/Vauriella-goodfellowi</v>
      </c>
      <c r="C784" s="30" t="str">
        <f>HYPERLINK("https://ebird.org/species/minjuf1")</f>
        <v>https://ebird.org/species/minjuf1</v>
      </c>
      <c r="D784" s="31" t="str">
        <f>HYPERLINK("https://www.hbw.com/species/Slaty-backed-Jungle-flycatcher-Vauriella-goodfellowi")</f>
        <v>https://www.hbw.com/species/Slaty-backed-Jungle-flycatcher-Vauriella-goodfellowi</v>
      </c>
      <c r="E784" s="32" t="str">
        <f>HYPERLINK("https://www.iucnredlist.org/search?query=Vauriella goodfellowi&amp;searchType=species")</f>
        <v>https://www.iucnredlist.org/search?query=Vauriella goodfellowi&amp;searchType=species</v>
      </c>
      <c r="F784" s="2">
        <v>612</v>
      </c>
      <c r="G784" s="27" t="s">
        <v>1724</v>
      </c>
      <c r="H784" s="86" t="s">
        <v>1773</v>
      </c>
      <c r="I784" s="94" t="s">
        <v>1774</v>
      </c>
      <c r="J784" s="1" t="s">
        <v>65</v>
      </c>
      <c r="K784" s="1" t="s">
        <v>58</v>
      </c>
      <c r="L784" s="1" t="s">
        <v>66</v>
      </c>
      <c r="M784" s="2" t="s">
        <v>68</v>
      </c>
    </row>
    <row r="785" spans="1:14" ht="14.4" x14ac:dyDescent="0.3">
      <c r="A785" s="28" t="str">
        <f>HYPERLINK("https://www.google.com/search?q=Larvivora cyane&amp;tbm=isch")</f>
        <v>https://www.google.com/search?q=Larvivora cyane&amp;tbm=isch</v>
      </c>
      <c r="B785" s="29" t="str">
        <f>HYPERLINK("https://www.xeno-canto.org/species/Larvivora-cyane")</f>
        <v>https://www.xeno-canto.org/species/Larvivora-cyane</v>
      </c>
      <c r="C785" s="30" t="str">
        <f>HYPERLINK("https://ebird.org/species/sibrob")</f>
        <v>https://ebird.org/species/sibrob</v>
      </c>
      <c r="D785" s="31" t="str">
        <f>HYPERLINK("https://www.hbw.com/species/Siberian-Blue-Robin-Larvivora-cyane")</f>
        <v>https://www.hbw.com/species/Siberian-Blue-Robin-Larvivora-cyane</v>
      </c>
      <c r="E785" s="32" t="str">
        <f>HYPERLINK("https://www.iucnredlist.org/search?query=Larvivora cyane&amp;searchType=species")</f>
        <v>https://www.iucnredlist.org/search?query=Larvivora cyane&amp;searchType=species</v>
      </c>
      <c r="F785" s="2">
        <v>613</v>
      </c>
      <c r="G785" s="27" t="s">
        <v>1724</v>
      </c>
      <c r="H785" s="83" t="s">
        <v>1775</v>
      </c>
      <c r="I785" s="92" t="s">
        <v>1776</v>
      </c>
      <c r="J785" s="1" t="s">
        <v>19</v>
      </c>
      <c r="M785" s="2" t="s">
        <v>1011</v>
      </c>
    </row>
    <row r="786" spans="1:14" ht="40.799999999999997" x14ac:dyDescent="0.3">
      <c r="A786" s="28" t="str">
        <f>HYPERLINK("https://www.google.com/search?q=Luscinia svecica&amp;tbm=isch")</f>
        <v>https://www.google.com/search?q=Luscinia svecica&amp;tbm=isch</v>
      </c>
      <c r="B786" s="29" t="str">
        <f>HYPERLINK("https://www.xeno-canto.org/species/Luscinia-svecica")</f>
        <v>https://www.xeno-canto.org/species/Luscinia-svecica</v>
      </c>
      <c r="C786" s="30" t="str">
        <f>HYPERLINK("https://ebird.org/species/blueth")</f>
        <v>https://ebird.org/species/blueth</v>
      </c>
      <c r="D786" s="31" t="str">
        <f>HYPERLINK("https://www.hbw.com/species/Bluethroat-Cyanecula-svecica")</f>
        <v>https://www.hbw.com/species/Bluethroat-Cyanecula-svecica</v>
      </c>
      <c r="E786" s="32" t="str">
        <f>HYPERLINK("https://www.iucnredlist.org/search?query=Luscinia svecica&amp;searchType=species")</f>
        <v>https://www.iucnredlist.org/search?query=Luscinia svecica&amp;searchType=species</v>
      </c>
      <c r="F786" s="2">
        <v>614</v>
      </c>
      <c r="G786" s="27" t="s">
        <v>1724</v>
      </c>
      <c r="H786" s="85" t="s">
        <v>1777</v>
      </c>
      <c r="I786" s="93" t="s">
        <v>1778</v>
      </c>
      <c r="J786" s="1" t="s">
        <v>19</v>
      </c>
      <c r="M786" s="2" t="s">
        <v>1779</v>
      </c>
      <c r="N786" s="2" t="s">
        <v>1780</v>
      </c>
    </row>
    <row r="787" spans="1:14" ht="14.4" x14ac:dyDescent="0.3">
      <c r="A787" s="28" t="str">
        <f>HYPERLINK("https://www.google.com/search?q=Calliope calliope&amp;tbm=isch")</f>
        <v>https://www.google.com/search?q=Calliope calliope&amp;tbm=isch</v>
      </c>
      <c r="B787" s="29" t="str">
        <f>HYPERLINK("https://www.xeno-canto.org/species/Calliope-calliope")</f>
        <v>https://www.xeno-canto.org/species/Calliope-calliope</v>
      </c>
      <c r="C787" s="30" t="str">
        <f>HYPERLINK("https://ebird.org/species/sibrub")</f>
        <v>https://ebird.org/species/sibrub</v>
      </c>
      <c r="D787" s="31" t="str">
        <f>HYPERLINK("https://www.hbw.com/species/Siberian-Rubythroat-Calliope-calliope")</f>
        <v>https://www.hbw.com/species/Siberian-Rubythroat-Calliope-calliope</v>
      </c>
      <c r="E787" s="32" t="str">
        <f>HYPERLINK("https://www.iucnredlist.org/search?query=Calliope calliope&amp;searchType=species")</f>
        <v>https://www.iucnredlist.org/search?query=Calliope calliope&amp;searchType=species</v>
      </c>
      <c r="F787" s="2">
        <v>615</v>
      </c>
      <c r="G787" s="27" t="s">
        <v>1724</v>
      </c>
      <c r="H787" s="84" t="s">
        <v>1781</v>
      </c>
      <c r="I787" s="92" t="s">
        <v>1782</v>
      </c>
      <c r="J787" s="1" t="s">
        <v>50</v>
      </c>
      <c r="M787" s="2" t="s">
        <v>360</v>
      </c>
      <c r="N787" s="2" t="s">
        <v>123</v>
      </c>
    </row>
    <row r="788" spans="1:14" ht="30.6" x14ac:dyDescent="0.3">
      <c r="A788" s="28" t="str">
        <f>HYPERLINK("https://www.google.com/search?q=Tarsiger cyanurus&amp;tbm=isch")</f>
        <v>https://www.google.com/search?q=Tarsiger cyanurus&amp;tbm=isch</v>
      </c>
      <c r="B788" s="29" t="str">
        <f>HYPERLINK("https://www.xeno-canto.org/species/Tarsiger-cyanurus")</f>
        <v>https://www.xeno-canto.org/species/Tarsiger-cyanurus</v>
      </c>
      <c r="C788" s="30" t="str">
        <f>HYPERLINK("https://ebird.org/species/refblu")</f>
        <v>https://ebird.org/species/refblu</v>
      </c>
      <c r="D788" s="31" t="str">
        <f>HYPERLINK("https://www.hbw.com/species/Orange-flanked-Bush-robin-Tarsiger-cyanurus")</f>
        <v>https://www.hbw.com/species/Orange-flanked-Bush-robin-Tarsiger-cyanurus</v>
      </c>
      <c r="E788" s="32" t="str">
        <f>HYPERLINK("https://www.iucnredlist.org/search?query=Tarsiger cyanurus&amp;searchType=species")</f>
        <v>https://www.iucnredlist.org/search?query=Tarsiger cyanurus&amp;searchType=species</v>
      </c>
      <c r="F788" s="2">
        <v>616</v>
      </c>
      <c r="G788" s="27" t="s">
        <v>1724</v>
      </c>
      <c r="H788" s="85" t="s">
        <v>1783</v>
      </c>
      <c r="I788" s="93" t="s">
        <v>1784</v>
      </c>
      <c r="J788" s="1" t="s">
        <v>19</v>
      </c>
      <c r="M788" s="2" t="s">
        <v>1785</v>
      </c>
      <c r="N788" s="2" t="s">
        <v>1786</v>
      </c>
    </row>
    <row r="789" spans="1:14" ht="30.6" x14ac:dyDescent="0.3">
      <c r="A789" s="28" t="str">
        <f>HYPERLINK("https://www.google.com/search?q=Ficedula zanthopygia&amp;tbm=isch")</f>
        <v>https://www.google.com/search?q=Ficedula zanthopygia&amp;tbm=isch</v>
      </c>
      <c r="B789" s="29" t="str">
        <f>HYPERLINK("https://www.xeno-canto.org/species/Ficedula-zanthopygia")</f>
        <v>https://www.xeno-canto.org/species/Ficedula-zanthopygia</v>
      </c>
      <c r="C789" s="30" t="str">
        <f>HYPERLINK("https://ebird.org/species/korfly1")</f>
        <v>https://ebird.org/species/korfly1</v>
      </c>
      <c r="D789" s="31" t="str">
        <f>HYPERLINK("https://www.hbw.com/species/Yellow-rumped-Flycatcher-Ficedula-zanthopygia")</f>
        <v>https://www.hbw.com/species/Yellow-rumped-Flycatcher-Ficedula-zanthopygia</v>
      </c>
      <c r="E789" s="32" t="str">
        <f>HYPERLINK("https://www.iucnredlist.org/search?query=Ficedula zanthopygia&amp;searchType=species")</f>
        <v>https://www.iucnredlist.org/search?query=Ficedula zanthopygia&amp;searchType=species</v>
      </c>
      <c r="F789" s="2">
        <v>617</v>
      </c>
      <c r="G789" s="27" t="s">
        <v>1724</v>
      </c>
      <c r="H789" s="85" t="s">
        <v>1787</v>
      </c>
      <c r="I789" s="93" t="s">
        <v>1788</v>
      </c>
      <c r="J789" s="1" t="s">
        <v>19</v>
      </c>
      <c r="M789" s="2" t="s">
        <v>1789</v>
      </c>
      <c r="N789" s="2" t="s">
        <v>1790</v>
      </c>
    </row>
    <row r="790" spans="1:14" ht="14.4" x14ac:dyDescent="0.3">
      <c r="A790" s="28" t="str">
        <f>HYPERLINK("https://www.google.com/search?q=Ficedula narcissina&amp;tbm=isch")</f>
        <v>https://www.google.com/search?q=Ficedula narcissina&amp;tbm=isch</v>
      </c>
      <c r="B790" s="29" t="str">
        <f>HYPERLINK("https://www.xeno-canto.org/species/Ficedula-narcissina")</f>
        <v>https://www.xeno-canto.org/species/Ficedula-narcissina</v>
      </c>
      <c r="C790" s="30" t="str">
        <f>HYPERLINK("https://ebird.org/species/narfly")</f>
        <v>https://ebird.org/species/narfly</v>
      </c>
      <c r="D790" s="31" t="str">
        <f>HYPERLINK("https://www.hbw.com/species/Narcissus-Flycatcher-Ficedula-narcissina")</f>
        <v>https://www.hbw.com/species/Narcissus-Flycatcher-Ficedula-narcissina</v>
      </c>
      <c r="E790" s="32" t="str">
        <f>HYPERLINK("https://www.iucnredlist.org/search?query=Ficedula narcissina&amp;searchType=species")</f>
        <v>https://www.iucnredlist.org/search?query=Ficedula narcissina&amp;searchType=species</v>
      </c>
      <c r="F790" s="2">
        <v>618</v>
      </c>
      <c r="G790" s="27" t="s">
        <v>1724</v>
      </c>
      <c r="H790" s="84" t="s">
        <v>1791</v>
      </c>
      <c r="I790" s="92" t="s">
        <v>1792</v>
      </c>
      <c r="J790" s="1" t="s">
        <v>50</v>
      </c>
      <c r="M790" s="2" t="s">
        <v>1011</v>
      </c>
    </row>
    <row r="791" spans="1:14" ht="20.399999999999999" x14ac:dyDescent="0.3">
      <c r="A791" s="28" t="str">
        <f>HYPERLINK("https://www.google.com/search?q=Ficedula mugimaki&amp;tbm=isch")</f>
        <v>https://www.google.com/search?q=Ficedula mugimaki&amp;tbm=isch</v>
      </c>
      <c r="B791" s="29" t="str">
        <f>HYPERLINK("https://www.xeno-canto.org/species/Ficedula-mugimaki")</f>
        <v>https://www.xeno-canto.org/species/Ficedula-mugimaki</v>
      </c>
      <c r="C791" s="30" t="str">
        <f>HYPERLINK("https://ebird.org/species/mugfly")</f>
        <v>https://ebird.org/species/mugfly</v>
      </c>
      <c r="D791" s="31" t="str">
        <f>HYPERLINK("https://www.hbw.com/species/Mugimaki-Flycatcher-Ficedula-mugimaki")</f>
        <v>https://www.hbw.com/species/Mugimaki-Flycatcher-Ficedula-mugimaki</v>
      </c>
      <c r="E791" s="32" t="str">
        <f>HYPERLINK("https://www.iucnredlist.org/search?query=Ficedula mugimaki&amp;searchType=species")</f>
        <v>https://www.iucnredlist.org/search?query=Ficedula mugimaki&amp;searchType=species</v>
      </c>
      <c r="F791" s="2">
        <v>619</v>
      </c>
      <c r="G791" s="27" t="s">
        <v>1724</v>
      </c>
      <c r="H791" s="84" t="s">
        <v>1793</v>
      </c>
      <c r="I791" s="92" t="s">
        <v>1794</v>
      </c>
      <c r="J791" s="1" t="s">
        <v>50</v>
      </c>
      <c r="M791" s="2" t="s">
        <v>1795</v>
      </c>
    </row>
    <row r="792" spans="1:14" ht="20.399999999999999" x14ac:dyDescent="0.3">
      <c r="A792" s="28" t="str">
        <f>HYPERLINK("https://www.google.com/search?q=Ficedula albicilla&amp;tbm=isch")</f>
        <v>https://www.google.com/search?q=Ficedula albicilla&amp;tbm=isch</v>
      </c>
      <c r="B792" s="29" t="str">
        <f>HYPERLINK("https://www.xeno-canto.org/species/Ficedula-albicilla")</f>
        <v>https://www.xeno-canto.org/species/Ficedula-albicilla</v>
      </c>
      <c r="C792" s="30" t="str">
        <f>HYPERLINK("https://ebird.org/species/taifly1")</f>
        <v>https://ebird.org/species/taifly1</v>
      </c>
      <c r="D792" s="31" t="str">
        <f>HYPERLINK("https://www.hbw.com/species/Red-throated-Flycatcher-Ficedula-albicilla")</f>
        <v>https://www.hbw.com/species/Red-throated-Flycatcher-Ficedula-albicilla</v>
      </c>
      <c r="E792" s="32" t="str">
        <f>HYPERLINK("https://www.iucnredlist.org/search?query=Ficedula albicilla&amp;searchType=species")</f>
        <v>https://www.iucnredlist.org/search?query=Ficedula albicilla&amp;searchType=species</v>
      </c>
      <c r="F792" s="2">
        <v>620</v>
      </c>
      <c r="G792" s="27" t="s">
        <v>1724</v>
      </c>
      <c r="H792" s="83" t="s">
        <v>1796</v>
      </c>
      <c r="I792" s="92" t="s">
        <v>1797</v>
      </c>
      <c r="J792" s="1" t="s">
        <v>19</v>
      </c>
      <c r="M792" s="2" t="s">
        <v>1798</v>
      </c>
    </row>
    <row r="793" spans="1:14" ht="14.4" x14ac:dyDescent="0.3">
      <c r="A793" s="28" t="str">
        <f>HYPERLINK("https://www.google.com/search?q=Ficedula basilanica&amp;tbm=isch")</f>
        <v>https://www.google.com/search?q=Ficedula basilanica&amp;tbm=isch</v>
      </c>
      <c r="B793" s="29" t="str">
        <f>HYPERLINK("https://www.xeno-canto.org/species/Ficedula-basilanica")</f>
        <v>https://www.xeno-canto.org/species/Ficedula-basilanica</v>
      </c>
      <c r="C793" s="30" t="str">
        <f>HYPERLINK("https://ebird.org/species/lisfly1")</f>
        <v>https://ebird.org/species/lisfly1</v>
      </c>
      <c r="D793" s="31" t="str">
        <f>HYPERLINK("https://www.hbw.com/species/Little-Slaty-Flycatcher-Ficedula-basilanica")</f>
        <v>https://www.hbw.com/species/Little-Slaty-Flycatcher-Ficedula-basilanica</v>
      </c>
      <c r="E793" s="32" t="str">
        <f>HYPERLINK("https://www.iucnredlist.org/search?query=Ficedula basilanica&amp;searchType=species")</f>
        <v>https://www.iucnredlist.org/search?query=Ficedula basilanica&amp;searchType=species</v>
      </c>
      <c r="F793" s="2">
        <v>621</v>
      </c>
      <c r="G793" s="27" t="s">
        <v>1724</v>
      </c>
      <c r="H793" s="86" t="s">
        <v>1799</v>
      </c>
      <c r="I793" s="94" t="s">
        <v>1800</v>
      </c>
      <c r="J793" s="1" t="s">
        <v>65</v>
      </c>
      <c r="K793" s="1" t="s">
        <v>66</v>
      </c>
      <c r="L793" s="1" t="s">
        <v>66</v>
      </c>
      <c r="M793" s="2" t="s">
        <v>68</v>
      </c>
    </row>
    <row r="794" spans="1:14" ht="14.4" x14ac:dyDescent="0.3">
      <c r="A794" s="28" t="str">
        <f>HYPERLINK("https://www.google.com/search?q=Ficedula platenae&amp;tbm=isch")</f>
        <v>https://www.google.com/search?q=Ficedula platenae&amp;tbm=isch</v>
      </c>
      <c r="B794" s="29" t="str">
        <f>HYPERLINK("https://www.xeno-canto.org/species/Ficedula-platenae")</f>
        <v>https://www.xeno-canto.org/species/Ficedula-platenae</v>
      </c>
      <c r="C794" s="30" t="str">
        <f>HYPERLINK("https://ebird.org/species/palfly1")</f>
        <v>https://ebird.org/species/palfly1</v>
      </c>
      <c r="D794" s="31" t="str">
        <f>HYPERLINK("https://www.hbw.com/species/Palawan-Flycatcher-Ficedula-platenae")</f>
        <v>https://www.hbw.com/species/Palawan-Flycatcher-Ficedula-platenae</v>
      </c>
      <c r="E794" s="32" t="str">
        <f>HYPERLINK("https://www.iucnredlist.org/search?query=Ficedula platenae&amp;searchType=species")</f>
        <v>https://www.iucnredlist.org/search?query=Ficedula platenae&amp;searchType=species</v>
      </c>
      <c r="F794" s="2">
        <v>622</v>
      </c>
      <c r="G794" s="27" t="s">
        <v>1724</v>
      </c>
      <c r="H794" s="86" t="s">
        <v>1801</v>
      </c>
      <c r="I794" s="94" t="s">
        <v>1802</v>
      </c>
      <c r="J794" s="1" t="s">
        <v>65</v>
      </c>
      <c r="K794" s="1" t="s">
        <v>66</v>
      </c>
      <c r="L794" s="1" t="s">
        <v>66</v>
      </c>
      <c r="M794" s="2" t="s">
        <v>68</v>
      </c>
    </row>
    <row r="795" spans="1:14" ht="14.4" x14ac:dyDescent="0.3">
      <c r="A795" s="28" t="str">
        <f>HYPERLINK("https://www.google.com/search?q=Ficedula crypta&amp;tbm=isch")</f>
        <v>https://www.google.com/search?q=Ficedula crypta&amp;tbm=isch</v>
      </c>
      <c r="B795" s="29" t="str">
        <f>HYPERLINK("https://www.xeno-canto.org/species/Ficedula-crypta")</f>
        <v>https://www.xeno-canto.org/species/Ficedula-crypta</v>
      </c>
      <c r="C795" s="30" t="str">
        <f>HYPERLINK("https://ebird.org/species/rutfly7")</f>
        <v>https://ebird.org/species/rutfly7</v>
      </c>
      <c r="D795" s="31" t="str">
        <f>HYPERLINK("https://www.hbw.com/species/Cryptic-Flycatcher-Ficedula-crypta")</f>
        <v>https://www.hbw.com/species/Cryptic-Flycatcher-Ficedula-crypta</v>
      </c>
      <c r="E795" s="32" t="str">
        <f>HYPERLINK("https://www.iucnredlist.org/search?query=Ficedula crypta&amp;searchType=species")</f>
        <v>https://www.iucnredlist.org/search?query=Ficedula crypta&amp;searchType=species</v>
      </c>
      <c r="F795" s="2">
        <v>623</v>
      </c>
      <c r="G795" s="27" t="s">
        <v>1724</v>
      </c>
      <c r="H795" s="86" t="s">
        <v>1803</v>
      </c>
      <c r="I795" s="94" t="s">
        <v>1804</v>
      </c>
      <c r="J795" s="1" t="s">
        <v>65</v>
      </c>
      <c r="M795" s="2" t="s">
        <v>68</v>
      </c>
    </row>
    <row r="796" spans="1:14" ht="14.4" x14ac:dyDescent="0.3">
      <c r="A796" s="28" t="str">
        <f>HYPERLINK("https://www.google.com/search?q=Ficedula luzoniensis&amp;tbm=isch")</f>
        <v>https://www.google.com/search?q=Ficedula luzoniensis&amp;tbm=isch</v>
      </c>
      <c r="B796" s="29" t="str">
        <f>HYPERLINK("https://www.xeno-canto.org/species/Ficedula-luzoniensis")</f>
        <v>https://www.xeno-canto.org/species/Ficedula-luzoniensis</v>
      </c>
      <c r="C796" s="30" t="str">
        <f>HYPERLINK("https://ebird.org/species/bunfly1")</f>
        <v>https://ebird.org/species/bunfly1</v>
      </c>
      <c r="D796" s="31" t="str">
        <f>HYPERLINK("https://www.hbw.com/species/Thicket-Flycatcher-Ficedula-luzoniensis")</f>
        <v>https://www.hbw.com/species/Thicket-Flycatcher-Ficedula-luzoniensis</v>
      </c>
      <c r="E796" s="32" t="str">
        <f>HYPERLINK("https://www.iucnredlist.org/search?query=Ficedula luzoniensis&amp;searchType=species")</f>
        <v>https://www.iucnredlist.org/search?query=Ficedula luzoniensis&amp;searchType=species</v>
      </c>
      <c r="F796" s="2">
        <v>624</v>
      </c>
      <c r="G796" s="27" t="s">
        <v>1724</v>
      </c>
      <c r="H796" s="86" t="s">
        <v>1805</v>
      </c>
      <c r="I796" s="94" t="s">
        <v>1806</v>
      </c>
      <c r="J796" s="1" t="s">
        <v>65</v>
      </c>
      <c r="M796" s="2" t="s">
        <v>68</v>
      </c>
    </row>
    <row r="797" spans="1:14" ht="14.4" x14ac:dyDescent="0.3">
      <c r="A797" s="28" t="str">
        <f>HYPERLINK("https://www.google.com/search?q=Ficedula disposita&amp;tbm=isch")</f>
        <v>https://www.google.com/search?q=Ficedula disposita&amp;tbm=isch</v>
      </c>
      <c r="B797" s="29" t="str">
        <f>HYPERLINK("https://www.xeno-canto.org/species/Ficedula-disposita")</f>
        <v>https://www.xeno-canto.org/species/Ficedula-disposita</v>
      </c>
      <c r="C797" s="30" t="str">
        <f>HYPERLINK("https://ebird.org/species/furfly1")</f>
        <v>https://ebird.org/species/furfly1</v>
      </c>
      <c r="D797" s="31" t="str">
        <f>HYPERLINK("https://www.hbw.com/species/Furtive-Flycatcher-Ficedula-disposita")</f>
        <v>https://www.hbw.com/species/Furtive-Flycatcher-Ficedula-disposita</v>
      </c>
      <c r="E797" s="32" t="str">
        <f>HYPERLINK("https://www.iucnredlist.org/search?query=Ficedula disposita&amp;searchType=species")</f>
        <v>https://www.iucnredlist.org/search?query=Ficedula disposita&amp;searchType=species</v>
      </c>
      <c r="F797" s="2">
        <v>625</v>
      </c>
      <c r="G797" s="27" t="s">
        <v>1724</v>
      </c>
      <c r="H797" s="86" t="s">
        <v>1807</v>
      </c>
      <c r="I797" s="94" t="s">
        <v>1808</v>
      </c>
      <c r="J797" s="1" t="s">
        <v>65</v>
      </c>
      <c r="K797" s="1" t="s">
        <v>58</v>
      </c>
      <c r="M797" s="2" t="s">
        <v>68</v>
      </c>
      <c r="N797" s="2" t="s">
        <v>123</v>
      </c>
    </row>
    <row r="798" spans="1:14" ht="20.399999999999999" x14ac:dyDescent="0.3">
      <c r="A798" s="28" t="str">
        <f>HYPERLINK("https://www.google.com/search?q=Ficedula westermanni&amp;tbm=isch")</f>
        <v>https://www.google.com/search?q=Ficedula westermanni&amp;tbm=isch</v>
      </c>
      <c r="B798" s="29" t="str">
        <f>HYPERLINK("https://www.xeno-canto.org/species/Ficedula-westermanni")</f>
        <v>https://www.xeno-canto.org/species/Ficedula-westermanni</v>
      </c>
      <c r="C798" s="30" t="str">
        <f>HYPERLINK("https://ebird.org/species/lipfly1")</f>
        <v>https://ebird.org/species/lipfly1</v>
      </c>
      <c r="D798" s="31" t="str">
        <f>HYPERLINK("https://www.hbw.com/species/Little-Pied-Flycatcher-Ficedula-westermanni")</f>
        <v>https://www.hbw.com/species/Little-Pied-Flycatcher-Ficedula-westermanni</v>
      </c>
      <c r="E798" s="32" t="str">
        <f>HYPERLINK("https://www.iucnredlist.org/search?query=Ficedula westermanni&amp;searchType=species")</f>
        <v>https://www.iucnredlist.org/search?query=Ficedula westermanni&amp;searchType=species</v>
      </c>
      <c r="F798" s="2">
        <v>626</v>
      </c>
      <c r="G798" s="27" t="s">
        <v>1724</v>
      </c>
      <c r="H798" s="84" t="s">
        <v>1809</v>
      </c>
      <c r="I798" s="92" t="s">
        <v>1810</v>
      </c>
      <c r="J798" s="1" t="s">
        <v>15</v>
      </c>
      <c r="M798" s="2" t="s">
        <v>1811</v>
      </c>
    </row>
    <row r="799" spans="1:14" ht="14.4" x14ac:dyDescent="0.3">
      <c r="A799" s="28" t="str">
        <f>HYPERLINK("https://www.google.com/search?q=Phoenicurus auroreus&amp;tbm=isch")</f>
        <v>https://www.google.com/search?q=Phoenicurus auroreus&amp;tbm=isch</v>
      </c>
      <c r="B799" s="29" t="str">
        <f>HYPERLINK("https://www.xeno-canto.org/species/Phoenicurus-auroreus")</f>
        <v>https://www.xeno-canto.org/species/Phoenicurus-auroreus</v>
      </c>
      <c r="C799" s="30" t="str">
        <f>HYPERLINK("https://ebird.org/species/daured1")</f>
        <v>https://ebird.org/species/daured1</v>
      </c>
      <c r="D799" s="31" t="str">
        <f>HYPERLINK("https://www.hbw.com/species/Daurian-Redstart-Phoenicurus-auroreus")</f>
        <v>https://www.hbw.com/species/Daurian-Redstart-Phoenicurus-auroreus</v>
      </c>
      <c r="E799" s="32" t="str">
        <f>HYPERLINK("https://www.iucnredlist.org/search?query=Phoenicurus auroreus&amp;searchType=species")</f>
        <v>https://www.iucnredlist.org/search?query=Phoenicurus auroreus&amp;searchType=species</v>
      </c>
      <c r="F799" s="2">
        <v>627</v>
      </c>
      <c r="G799" s="27" t="s">
        <v>1724</v>
      </c>
      <c r="H799" s="83" t="s">
        <v>1812</v>
      </c>
      <c r="I799" s="92" t="s">
        <v>1813</v>
      </c>
      <c r="J799" s="1" t="s">
        <v>19</v>
      </c>
      <c r="M799" s="2" t="s">
        <v>360</v>
      </c>
    </row>
    <row r="800" spans="1:14" ht="14.4" x14ac:dyDescent="0.3">
      <c r="A800" s="28" t="str">
        <f>HYPERLINK("https://www.google.com/search?q=Phoenicurus bicolor&amp;tbm=isch")</f>
        <v>https://www.google.com/search?q=Phoenicurus bicolor&amp;tbm=isch</v>
      </c>
      <c r="B800" s="29" t="str">
        <f>HYPERLINK("https://www.xeno-canto.org/species/Phoenicurus-bicolor")</f>
        <v>https://www.xeno-canto.org/species/Phoenicurus-bicolor</v>
      </c>
      <c r="C800" s="30" t="str">
        <f>HYPERLINK("https://ebird.org/species/luzred1")</f>
        <v>https://ebird.org/species/luzred1</v>
      </c>
      <c r="D800" s="31" t="str">
        <f>HYPERLINK("https://www.hbw.com/species/Luzon-Water-redstart-Phoenicurus-bicolor")</f>
        <v>https://www.hbw.com/species/Luzon-Water-redstart-Phoenicurus-bicolor</v>
      </c>
      <c r="E800" s="32" t="str">
        <f>HYPERLINK("https://www.iucnredlist.org/search?query=Phoenicurus bicolor&amp;searchType=species")</f>
        <v>https://www.iucnredlist.org/search?query=Phoenicurus bicolor&amp;searchType=species</v>
      </c>
      <c r="F800" s="2">
        <v>628</v>
      </c>
      <c r="G800" s="27" t="s">
        <v>1724</v>
      </c>
      <c r="H800" s="86" t="s">
        <v>1814</v>
      </c>
      <c r="I800" s="94" t="s">
        <v>1815</v>
      </c>
      <c r="J800" s="1" t="s">
        <v>65</v>
      </c>
      <c r="K800" s="1" t="s">
        <v>66</v>
      </c>
      <c r="L800" s="1" t="s">
        <v>66</v>
      </c>
      <c r="M800" s="2" t="s">
        <v>68</v>
      </c>
    </row>
    <row r="801" spans="1:14" ht="14.4" x14ac:dyDescent="0.3">
      <c r="A801" s="28" t="str">
        <f>HYPERLINK("https://www.google.com/search?q=Monticola solitarius&amp;tbm=isch")</f>
        <v>https://www.google.com/search?q=Monticola solitarius&amp;tbm=isch</v>
      </c>
      <c r="B801" s="29" t="str">
        <f>HYPERLINK("https://www.xeno-canto.org/species/Monticola-solitarius")</f>
        <v>https://www.xeno-canto.org/species/Monticola-solitarius</v>
      </c>
      <c r="C801" s="30" t="str">
        <f>HYPERLINK("https://ebird.org/species/burthr")</f>
        <v>https://ebird.org/species/burthr</v>
      </c>
      <c r="D801" s="31" t="str">
        <f>HYPERLINK("https://www.hbw.com/species/Blue-Rock-thrush-Monticola-solitarius")</f>
        <v>https://www.hbw.com/species/Blue-Rock-thrush-Monticola-solitarius</v>
      </c>
      <c r="E801" s="32" t="str">
        <f>HYPERLINK("https://www.iucnredlist.org/search?query=Monticola solitarius&amp;searchType=species")</f>
        <v>https://www.iucnredlist.org/search?query=Monticola solitarius&amp;searchType=species</v>
      </c>
      <c r="F801" s="2">
        <v>629</v>
      </c>
      <c r="G801" s="27" t="s">
        <v>1724</v>
      </c>
      <c r="H801" s="84" t="s">
        <v>1816</v>
      </c>
      <c r="I801" s="92" t="s">
        <v>1817</v>
      </c>
      <c r="J801" s="1" t="s">
        <v>236</v>
      </c>
      <c r="M801" s="2" t="s">
        <v>1818</v>
      </c>
    </row>
    <row r="802" spans="1:14" ht="51" x14ac:dyDescent="0.3">
      <c r="A802" s="28" t="str">
        <f>HYPERLINK("https://www.google.com/search?q=Saxicola stejnegeri&amp;tbm=isch")</f>
        <v>https://www.google.com/search?q=Saxicola stejnegeri&amp;tbm=isch</v>
      </c>
      <c r="B802" s="29" t="str">
        <f>HYPERLINK("https://www.xeno-canto.org/species/Saxicola-stejnegeri")</f>
        <v>https://www.xeno-canto.org/species/Saxicola-stejnegeri</v>
      </c>
      <c r="C802" s="30" t="str">
        <f>HYPERLINK("https://ebird.org/species/")</f>
        <v>https://ebird.org/species/</v>
      </c>
      <c r="D802" s="31" t="str">
        <f>HYPERLINK("https://www.hbw.com/species/Stejneger's-Stonechat-Saxicola-stejnegeri")</f>
        <v>https://www.hbw.com/species/Stejneger's-Stonechat-Saxicola-stejnegeri</v>
      </c>
      <c r="E802" s="32" t="str">
        <f>HYPERLINK("https://www.iucnredlist.org/search?query=Saxicola stejnegeri&amp;searchType=species")</f>
        <v>https://www.iucnredlist.org/search?query=Saxicola stejnegeri&amp;searchType=species</v>
      </c>
      <c r="F802" s="2">
        <v>630</v>
      </c>
      <c r="G802" s="27" t="s">
        <v>1724</v>
      </c>
      <c r="H802" s="85" t="s">
        <v>1819</v>
      </c>
      <c r="I802" s="93" t="s">
        <v>1820</v>
      </c>
      <c r="J802" s="1" t="s">
        <v>19</v>
      </c>
      <c r="M802" s="2" t="s">
        <v>1821</v>
      </c>
      <c r="N802" s="2" t="s">
        <v>1822</v>
      </c>
    </row>
    <row r="803" spans="1:14" ht="20.399999999999999" x14ac:dyDescent="0.3">
      <c r="A803" s="28" t="str">
        <f>HYPERLINK("https://www.google.com/search?q=Saxicola caprata&amp;tbm=isch")</f>
        <v>https://www.google.com/search?q=Saxicola caprata&amp;tbm=isch</v>
      </c>
      <c r="B803" s="29" t="str">
        <f>HYPERLINK("https://www.xeno-canto.org/species/Saxicola-caprata")</f>
        <v>https://www.xeno-canto.org/species/Saxicola-caprata</v>
      </c>
      <c r="C803" s="30" t="str">
        <f>HYPERLINK("https://ebird.org/species/piebus1")</f>
        <v>https://ebird.org/species/piebus1</v>
      </c>
      <c r="D803" s="31" t="str">
        <f>HYPERLINK("https://www.hbw.com/species/Pied-Bushchat-Saxicola-caprata")</f>
        <v>https://www.hbw.com/species/Pied-Bushchat-Saxicola-caprata</v>
      </c>
      <c r="E803" s="32" t="str">
        <f>HYPERLINK("https://www.iucnredlist.org/search?query=Saxicola caprata&amp;searchType=species")</f>
        <v>https://www.iucnredlist.org/search?query=Saxicola caprata&amp;searchType=species</v>
      </c>
      <c r="F803" s="2">
        <v>631</v>
      </c>
      <c r="G803" s="27" t="s">
        <v>1724</v>
      </c>
      <c r="H803" s="84" t="s">
        <v>1823</v>
      </c>
      <c r="I803" s="92" t="s">
        <v>1824</v>
      </c>
      <c r="J803" s="1" t="s">
        <v>15</v>
      </c>
      <c r="M803" s="2" t="s">
        <v>1825</v>
      </c>
    </row>
    <row r="804" spans="1:14" ht="14.4" x14ac:dyDescent="0.3">
      <c r="A804" s="28" t="str">
        <f>HYPERLINK("https://www.google.com/search?q=Oenanthe oenanthe&amp;tbm=isch")</f>
        <v>https://www.google.com/search?q=Oenanthe oenanthe&amp;tbm=isch</v>
      </c>
      <c r="B804" s="29" t="str">
        <f>HYPERLINK("https://www.xeno-canto.org/species/Oenanthe-oenanthe")</f>
        <v>https://www.xeno-canto.org/species/Oenanthe-oenanthe</v>
      </c>
      <c r="C804" s="30" t="str">
        <f>HYPERLINK("https://ebird.org/species/norwhe")</f>
        <v>https://ebird.org/species/norwhe</v>
      </c>
      <c r="D804" s="31" t="str">
        <f>HYPERLINK("https://www.hbw.com/species/Northern-Wheatear-Oenanthe-oenanthe")</f>
        <v>https://www.hbw.com/species/Northern-Wheatear-Oenanthe-oenanthe</v>
      </c>
      <c r="E804" s="32" t="str">
        <f>HYPERLINK("https://www.iucnredlist.org/search?query=Oenanthe oenanthe&amp;searchType=species")</f>
        <v>https://www.iucnredlist.org/search?query=Oenanthe oenanthe&amp;searchType=species</v>
      </c>
      <c r="F804" s="2">
        <v>632</v>
      </c>
      <c r="G804" s="27" t="s">
        <v>1724</v>
      </c>
      <c r="H804" s="83" t="s">
        <v>1826</v>
      </c>
      <c r="I804" s="92" t="s">
        <v>1827</v>
      </c>
      <c r="J804" s="1" t="s">
        <v>19</v>
      </c>
      <c r="M804" s="2" t="s">
        <v>1828</v>
      </c>
    </row>
    <row r="805" spans="1:14" x14ac:dyDescent="0.3">
      <c r="A805" s="33"/>
      <c r="B805" s="34"/>
      <c r="C805" s="35"/>
      <c r="D805" s="36"/>
      <c r="E805" s="37"/>
    </row>
    <row r="806" spans="1:14" ht="12" x14ac:dyDescent="0.3">
      <c r="A806" s="33"/>
      <c r="B806" s="34"/>
      <c r="C806" s="35"/>
      <c r="D806" s="36"/>
      <c r="E806" s="37"/>
      <c r="H806" s="82" t="s">
        <v>1829</v>
      </c>
      <c r="I806" s="91" t="s">
        <v>1830</v>
      </c>
    </row>
    <row r="807" spans="1:14" ht="14.4" x14ac:dyDescent="0.3">
      <c r="A807" s="28" t="str">
        <f>HYPERLINK("https://www.google.com/search?q=Chloropsis flavipennis&amp;tbm=isch")</f>
        <v>https://www.google.com/search?q=Chloropsis flavipennis&amp;tbm=isch</v>
      </c>
      <c r="B807" s="29" t="str">
        <f>HYPERLINK("https://www.xeno-canto.org/species/Chloropsis-flavipennis")</f>
        <v>https://www.xeno-canto.org/species/Chloropsis-flavipennis</v>
      </c>
      <c r="C807" s="30" t="str">
        <f>HYPERLINK("https://ebird.org/species/philea1")</f>
        <v>https://ebird.org/species/philea1</v>
      </c>
      <c r="D807" s="31" t="str">
        <f>HYPERLINK("https://www.hbw.com/species/Philippine-Leafbird-Chloropsis-flavipennis")</f>
        <v>https://www.hbw.com/species/Philippine-Leafbird-Chloropsis-flavipennis</v>
      </c>
      <c r="E807" s="32" t="str">
        <f>HYPERLINK("https://www.iucnredlist.org/search?query=Chloropsis flavipennis&amp;searchType=species")</f>
        <v>https://www.iucnredlist.org/search?query=Chloropsis flavipennis&amp;searchType=species</v>
      </c>
      <c r="F807" s="2">
        <v>633</v>
      </c>
      <c r="G807" s="27" t="s">
        <v>1830</v>
      </c>
      <c r="H807" s="86" t="s">
        <v>1831</v>
      </c>
      <c r="I807" s="94" t="s">
        <v>1832</v>
      </c>
      <c r="J807" s="1" t="s">
        <v>65</v>
      </c>
      <c r="K807" s="1" t="s">
        <v>66</v>
      </c>
      <c r="L807" s="1" t="s">
        <v>85</v>
      </c>
      <c r="M807" s="2" t="s">
        <v>68</v>
      </c>
    </row>
    <row r="808" spans="1:14" ht="14.4" x14ac:dyDescent="0.3">
      <c r="A808" s="28" t="str">
        <f>HYPERLINK("https://www.google.com/search?q=Chloropsis palawanensis&amp;tbm=isch")</f>
        <v>https://www.google.com/search?q=Chloropsis palawanensis&amp;tbm=isch</v>
      </c>
      <c r="B808" s="29" t="str">
        <f>HYPERLINK("https://www.xeno-canto.org/species/Chloropsis-palawanensis")</f>
        <v>https://www.xeno-canto.org/species/Chloropsis-palawanensis</v>
      </c>
      <c r="C808" s="30" t="str">
        <f>HYPERLINK("https://ebird.org/species/yetlea1")</f>
        <v>https://ebird.org/species/yetlea1</v>
      </c>
      <c r="D808" s="31" t="str">
        <f>HYPERLINK("https://www.hbw.com/species/Yellow-throated-Leafbird-Chloropsis-palawanensis")</f>
        <v>https://www.hbw.com/species/Yellow-throated-Leafbird-Chloropsis-palawanensis</v>
      </c>
      <c r="E808" s="32" t="str">
        <f>HYPERLINK("https://www.iucnredlist.org/search?query=Chloropsis palawanensis&amp;searchType=species")</f>
        <v>https://www.iucnredlist.org/search?query=Chloropsis palawanensis&amp;searchType=species</v>
      </c>
      <c r="F808" s="2">
        <v>634</v>
      </c>
      <c r="G808" s="27" t="s">
        <v>1830</v>
      </c>
      <c r="H808" s="86" t="s">
        <v>1833</v>
      </c>
      <c r="I808" s="94" t="s">
        <v>1834</v>
      </c>
      <c r="J808" s="1" t="s">
        <v>65</v>
      </c>
      <c r="M808" s="2" t="s">
        <v>68</v>
      </c>
    </row>
    <row r="809" spans="1:14" x14ac:dyDescent="0.3">
      <c r="A809" s="33"/>
      <c r="B809" s="34"/>
      <c r="C809" s="35"/>
      <c r="D809" s="36"/>
      <c r="E809" s="37"/>
    </row>
    <row r="810" spans="1:14" ht="12" x14ac:dyDescent="0.3">
      <c r="A810" s="33"/>
      <c r="B810" s="34"/>
      <c r="C810" s="35"/>
      <c r="D810" s="36"/>
      <c r="E810" s="37"/>
      <c r="H810" s="82" t="s">
        <v>1835</v>
      </c>
      <c r="I810" s="91" t="s">
        <v>1836</v>
      </c>
    </row>
    <row r="811" spans="1:14" ht="14.4" x14ac:dyDescent="0.3">
      <c r="A811" s="28" t="str">
        <f>HYPERLINK("https://www.google.com/search?q=Prionochilus olivaceus&amp;tbm=isch")</f>
        <v>https://www.google.com/search?q=Prionochilus olivaceus&amp;tbm=isch</v>
      </c>
      <c r="B811" s="29" t="str">
        <f>HYPERLINK("https://www.xeno-canto.org/species/Prionochilus-olivaceus")</f>
        <v>https://www.xeno-canto.org/species/Prionochilus-olivaceus</v>
      </c>
      <c r="C811" s="30" t="str">
        <f>HYPERLINK("https://ebird.org/species/olbflo1")</f>
        <v>https://ebird.org/species/olbflo1</v>
      </c>
      <c r="D811" s="31" t="str">
        <f>HYPERLINK("https://www.hbw.com/species/Olive-backed-Flowerpecker-Prionochilus-olivaceus")</f>
        <v>https://www.hbw.com/species/Olive-backed-Flowerpecker-Prionochilus-olivaceus</v>
      </c>
      <c r="E811" s="32" t="str">
        <f>HYPERLINK("https://www.iucnredlist.org/search?query=Prionochilus olivaceus&amp;searchType=species")</f>
        <v>https://www.iucnredlist.org/search?query=Prionochilus olivaceus&amp;searchType=species</v>
      </c>
      <c r="F811" s="2">
        <v>635</v>
      </c>
      <c r="G811" s="27" t="s">
        <v>1836</v>
      </c>
      <c r="H811" s="86" t="s">
        <v>1837</v>
      </c>
      <c r="I811" s="94" t="s">
        <v>1838</v>
      </c>
      <c r="J811" s="1" t="s">
        <v>65</v>
      </c>
      <c r="M811" s="2" t="s">
        <v>68</v>
      </c>
    </row>
    <row r="812" spans="1:14" ht="14.4" x14ac:dyDescent="0.3">
      <c r="A812" s="28" t="str">
        <f>HYPERLINK("https://www.google.com/search?q=Prionochilus plateni&amp;tbm=isch")</f>
        <v>https://www.google.com/search?q=Prionochilus plateni&amp;tbm=isch</v>
      </c>
      <c r="B812" s="29" t="str">
        <f>HYPERLINK("https://www.xeno-canto.org/species/Prionochilus-plateni")</f>
        <v>https://www.xeno-canto.org/species/Prionochilus-plateni</v>
      </c>
      <c r="C812" s="30" t="str">
        <f>HYPERLINK("https://ebird.org/species/palflo1")</f>
        <v>https://ebird.org/species/palflo1</v>
      </c>
      <c r="D812" s="31" t="str">
        <f>HYPERLINK("https://www.hbw.com/species/Palawan-Flowerpecker-Prionochilus-plateni")</f>
        <v>https://www.hbw.com/species/Palawan-Flowerpecker-Prionochilus-plateni</v>
      </c>
      <c r="E812" s="32" t="str">
        <f>HYPERLINK("https://www.iucnredlist.org/search?query=Prionochilus plateni&amp;searchType=species")</f>
        <v>https://www.iucnredlist.org/search?query=Prionochilus plateni&amp;searchType=species</v>
      </c>
      <c r="F812" s="2">
        <v>636</v>
      </c>
      <c r="G812" s="27" t="s">
        <v>1836</v>
      </c>
      <c r="H812" s="86" t="s">
        <v>1839</v>
      </c>
      <c r="I812" s="94" t="s">
        <v>1840</v>
      </c>
      <c r="J812" s="1" t="s">
        <v>65</v>
      </c>
      <c r="M812" s="2" t="s">
        <v>68</v>
      </c>
    </row>
    <row r="813" spans="1:14" ht="14.4" x14ac:dyDescent="0.3">
      <c r="A813" s="28" t="str">
        <f>HYPERLINK("https://www.google.com/search?q=Dicaeum aeruginosum&amp;tbm=isch")</f>
        <v>https://www.google.com/search?q=Dicaeum aeruginosum&amp;tbm=isch</v>
      </c>
      <c r="B813" s="29" t="str">
        <f>HYPERLINK("https://www.xeno-canto.org/species/Dicaeum-aeruginosum")</f>
        <v>https://www.xeno-canto.org/species/Dicaeum-aeruginosum</v>
      </c>
      <c r="C813" s="30" t="str">
        <f>HYPERLINK("https://ebird.org/species/thbflo1")</f>
        <v>https://ebird.org/species/thbflo1</v>
      </c>
      <c r="D813" s="31" t="str">
        <f>HYPERLINK("https://www.hbw.com/species/Thick-billed-Flowerpecker-Dicaeum-agile")</f>
        <v>https://www.hbw.com/species/Thick-billed-Flowerpecker-Dicaeum-agile</v>
      </c>
      <c r="E813" s="32" t="str">
        <f>HYPERLINK("https://www.iucnredlist.org/search?query=Dicaeum aeruginosum&amp;searchType=species")</f>
        <v>https://www.iucnredlist.org/search?query=Dicaeum aeruginosum&amp;searchType=species</v>
      </c>
      <c r="F813" s="2">
        <v>637</v>
      </c>
      <c r="G813" s="27" t="s">
        <v>1836</v>
      </c>
      <c r="H813" s="86" t="s">
        <v>1841</v>
      </c>
      <c r="I813" s="94" t="s">
        <v>1842</v>
      </c>
      <c r="J813" s="1" t="s">
        <v>65</v>
      </c>
      <c r="M813" s="2" t="s">
        <v>68</v>
      </c>
      <c r="N813" s="2" t="s">
        <v>123</v>
      </c>
    </row>
    <row r="814" spans="1:14" ht="14.4" x14ac:dyDescent="0.3">
      <c r="A814" s="28" t="str">
        <f>HYPERLINK("https://www.google.com/search?q=Dicaeum proprium&amp;tbm=isch")</f>
        <v>https://www.google.com/search?q=Dicaeum proprium&amp;tbm=isch</v>
      </c>
      <c r="B814" s="29" t="str">
        <f>HYPERLINK("https://www.xeno-canto.org/species/Dicaeum-proprium")</f>
        <v>https://www.xeno-canto.org/species/Dicaeum-proprium</v>
      </c>
      <c r="C814" s="30" t="str">
        <f>HYPERLINK("https://ebird.org/species/whiflo1")</f>
        <v>https://ebird.org/species/whiflo1</v>
      </c>
      <c r="D814" s="31" t="str">
        <f>HYPERLINK("https://www.hbw.com/species/Whiskered-Flowerpecker-Dicaeum-proprium")</f>
        <v>https://www.hbw.com/species/Whiskered-Flowerpecker-Dicaeum-proprium</v>
      </c>
      <c r="E814" s="32" t="str">
        <f>HYPERLINK("https://www.iucnredlist.org/search?query=Dicaeum proprium&amp;searchType=species")</f>
        <v>https://www.iucnredlist.org/search?query=Dicaeum proprium&amp;searchType=species</v>
      </c>
      <c r="F814" s="2">
        <v>638</v>
      </c>
      <c r="G814" s="27" t="s">
        <v>1836</v>
      </c>
      <c r="H814" s="86" t="s">
        <v>1843</v>
      </c>
      <c r="I814" s="94" t="s">
        <v>1844</v>
      </c>
      <c r="J814" s="1" t="s">
        <v>65</v>
      </c>
      <c r="L814" s="1" t="s">
        <v>66</v>
      </c>
      <c r="M814" s="2" t="s">
        <v>68</v>
      </c>
    </row>
    <row r="815" spans="1:14" ht="14.4" x14ac:dyDescent="0.3">
      <c r="A815" s="28" t="str">
        <f>HYPERLINK("https://www.google.com/search?q=Dicaeum nigrilore&amp;tbm=isch")</f>
        <v>https://www.google.com/search?q=Dicaeum nigrilore&amp;tbm=isch</v>
      </c>
      <c r="B815" s="29" t="str">
        <f>HYPERLINK("https://www.xeno-canto.org/species/Dicaeum-nigrilore")</f>
        <v>https://www.xeno-canto.org/species/Dicaeum-nigrilore</v>
      </c>
      <c r="C815" s="30" t="str">
        <f>HYPERLINK("https://ebird.org/species/olcflo1")</f>
        <v>https://ebird.org/species/olcflo1</v>
      </c>
      <c r="D815" s="31" t="str">
        <f>HYPERLINK("https://www.hbw.com/species/Olive-capped-Flowerpecker-Dicaeum-nigrilore")</f>
        <v>https://www.hbw.com/species/Olive-capped-Flowerpecker-Dicaeum-nigrilore</v>
      </c>
      <c r="E815" s="32" t="str">
        <f>HYPERLINK("https://www.iucnredlist.org/search?query=Dicaeum nigrilore&amp;searchType=species")</f>
        <v>https://www.iucnredlist.org/search?query=Dicaeum nigrilore&amp;searchType=species</v>
      </c>
      <c r="F815" s="2">
        <v>639</v>
      </c>
      <c r="G815" s="27" t="s">
        <v>1836</v>
      </c>
      <c r="H815" s="86" t="s">
        <v>1845</v>
      </c>
      <c r="I815" s="94" t="s">
        <v>1846</v>
      </c>
      <c r="J815" s="1" t="s">
        <v>65</v>
      </c>
      <c r="M815" s="2" t="s">
        <v>998</v>
      </c>
    </row>
    <row r="816" spans="1:14" ht="14.4" x14ac:dyDescent="0.3">
      <c r="A816" s="28" t="str">
        <f>HYPERLINK("https://www.google.com/search?q=Dicaeum anthonyi&amp;tbm=isch")</f>
        <v>https://www.google.com/search?q=Dicaeum anthonyi&amp;tbm=isch</v>
      </c>
      <c r="B816" s="29" t="str">
        <f>HYPERLINK("https://www.xeno-canto.org/species/Dicaeum-anthonyi")</f>
        <v>https://www.xeno-canto.org/species/Dicaeum-anthonyi</v>
      </c>
      <c r="C816" s="30" t="str">
        <f>HYPERLINK("https://ebird.org/species/flcflo1")</f>
        <v>https://ebird.org/species/flcflo1</v>
      </c>
      <c r="D816" s="31" t="str">
        <f>HYPERLINK("https://www.hbw.com/species/Yellow-crowned-Flowerpecker-Dicaeum-anthonyi")</f>
        <v>https://www.hbw.com/species/Yellow-crowned-Flowerpecker-Dicaeum-anthonyi</v>
      </c>
      <c r="E816" s="32" t="str">
        <f>HYPERLINK("https://www.iucnredlist.org/search?query=Dicaeum anthonyi&amp;searchType=species")</f>
        <v>https://www.iucnredlist.org/search?query=Dicaeum anthonyi&amp;searchType=species</v>
      </c>
      <c r="F816" s="2">
        <v>640</v>
      </c>
      <c r="G816" s="27" t="s">
        <v>1836</v>
      </c>
      <c r="H816" s="86" t="s">
        <v>1847</v>
      </c>
      <c r="I816" s="94" t="s">
        <v>1848</v>
      </c>
      <c r="J816" s="1" t="s">
        <v>65</v>
      </c>
      <c r="K816" s="1" t="s">
        <v>58</v>
      </c>
      <c r="L816" s="1" t="s">
        <v>130</v>
      </c>
      <c r="M816" s="2" t="s">
        <v>68</v>
      </c>
    </row>
    <row r="817" spans="1:13" ht="14.4" x14ac:dyDescent="0.3">
      <c r="A817" s="28" t="str">
        <f>HYPERLINK("https://www.google.com/search?q=Dicaeum bicolor&amp;tbm=isch")</f>
        <v>https://www.google.com/search?q=Dicaeum bicolor&amp;tbm=isch</v>
      </c>
      <c r="B817" s="29" t="str">
        <f>HYPERLINK("https://www.xeno-canto.org/species/Dicaeum-bicolor")</f>
        <v>https://www.xeno-canto.org/species/Dicaeum-bicolor</v>
      </c>
      <c r="C817" s="30" t="str">
        <f>HYPERLINK("https://ebird.org/species/bicflo1")</f>
        <v>https://ebird.org/species/bicflo1</v>
      </c>
      <c r="D817" s="31" t="str">
        <f>HYPERLINK("https://www.hbw.com/species/Bicoloured-Flowerpecker-Dicaeum-bicolor")</f>
        <v>https://www.hbw.com/species/Bicoloured-Flowerpecker-Dicaeum-bicolor</v>
      </c>
      <c r="E817" s="32" t="str">
        <f>HYPERLINK("https://www.iucnredlist.org/search?query=Dicaeum bicolor&amp;searchType=species")</f>
        <v>https://www.iucnredlist.org/search?query=Dicaeum bicolor&amp;searchType=species</v>
      </c>
      <c r="F817" s="2">
        <v>641</v>
      </c>
      <c r="G817" s="27" t="s">
        <v>1836</v>
      </c>
      <c r="H817" s="86" t="s">
        <v>1849</v>
      </c>
      <c r="I817" s="94" t="s">
        <v>1850</v>
      </c>
      <c r="J817" s="1" t="s">
        <v>65</v>
      </c>
      <c r="M817" s="2" t="s">
        <v>68</v>
      </c>
    </row>
    <row r="818" spans="1:13" ht="14.4" x14ac:dyDescent="0.3">
      <c r="A818" s="28" t="str">
        <f>HYPERLINK("https://www.google.com/search?q=Dicaeum australe&amp;tbm=isch")</f>
        <v>https://www.google.com/search?q=Dicaeum australe&amp;tbm=isch</v>
      </c>
      <c r="B818" s="29" t="str">
        <f>HYPERLINK("https://www.xeno-canto.org/species/Dicaeum-australe")</f>
        <v>https://www.xeno-canto.org/species/Dicaeum-australe</v>
      </c>
      <c r="C818" s="30" t="str">
        <f>HYPERLINK("https://ebird.org/species/resflo1")</f>
        <v>https://ebird.org/species/resflo1</v>
      </c>
      <c r="D818" s="31" t="str">
        <f>HYPERLINK("https://www.hbw.com/species/Red-keeled-Flowerpecker-Dicaeum-australe")</f>
        <v>https://www.hbw.com/species/Red-keeled-Flowerpecker-Dicaeum-australe</v>
      </c>
      <c r="E818" s="32" t="str">
        <f>HYPERLINK("https://www.iucnredlist.org/search?query=Dicaeum australe&amp;searchType=species")</f>
        <v>https://www.iucnredlist.org/search?query=Dicaeum australe&amp;searchType=species</v>
      </c>
      <c r="F818" s="2">
        <v>642</v>
      </c>
      <c r="G818" s="27" t="s">
        <v>1836</v>
      </c>
      <c r="H818" s="86" t="s">
        <v>1851</v>
      </c>
      <c r="I818" s="94" t="s">
        <v>1852</v>
      </c>
      <c r="J818" s="1" t="s">
        <v>65</v>
      </c>
      <c r="M818" s="2" t="s">
        <v>68</v>
      </c>
    </row>
    <row r="819" spans="1:13" ht="14.4" x14ac:dyDescent="0.3">
      <c r="A819" s="28" t="str">
        <f>HYPERLINK("https://www.google.com/search?q=Dicaeum haematostictum&amp;tbm=isch")</f>
        <v>https://www.google.com/search?q=Dicaeum haematostictum&amp;tbm=isch</v>
      </c>
      <c r="B819" s="29" t="str">
        <f>HYPERLINK("https://www.xeno-canto.org/species/Dicaeum-haematostictum")</f>
        <v>https://www.xeno-canto.org/species/Dicaeum-haematostictum</v>
      </c>
      <c r="C819" s="30" t="str">
        <f>HYPERLINK("https://ebird.org/species/rekflo1")</f>
        <v>https://ebird.org/species/rekflo1</v>
      </c>
      <c r="D819" s="31" t="str">
        <f>HYPERLINK("https://www.hbw.com/species/Black-belted-Flowerpecker-Dicaeum-haematostictum")</f>
        <v>https://www.hbw.com/species/Black-belted-Flowerpecker-Dicaeum-haematostictum</v>
      </c>
      <c r="E819" s="32" t="str">
        <f>HYPERLINK("https://www.iucnredlist.org/search?query=Dicaeum haematostictum&amp;searchType=species")</f>
        <v>https://www.iucnredlist.org/search?query=Dicaeum haematostictum&amp;searchType=species</v>
      </c>
      <c r="F819" s="2">
        <v>643</v>
      </c>
      <c r="G819" s="27" t="s">
        <v>1836</v>
      </c>
      <c r="H819" s="86" t="s">
        <v>1853</v>
      </c>
      <c r="I819" s="94" t="s">
        <v>1854</v>
      </c>
      <c r="J819" s="1" t="s">
        <v>65</v>
      </c>
      <c r="K819" s="1" t="s">
        <v>66</v>
      </c>
      <c r="L819" s="1" t="s">
        <v>66</v>
      </c>
      <c r="M819" s="2" t="s">
        <v>68</v>
      </c>
    </row>
    <row r="820" spans="1:13" ht="14.4" x14ac:dyDescent="0.3">
      <c r="A820" s="28" t="str">
        <f>HYPERLINK("https://www.google.com/search?q=Dicaeum retrocinctum&amp;tbm=isch")</f>
        <v>https://www.google.com/search?q=Dicaeum retrocinctum&amp;tbm=isch</v>
      </c>
      <c r="B820" s="29" t="str">
        <f>HYPERLINK("https://www.xeno-canto.org/species/Dicaeum-retrocinctum")</f>
        <v>https://www.xeno-canto.org/species/Dicaeum-retrocinctum</v>
      </c>
      <c r="C820" s="30" t="str">
        <f>HYPERLINK("https://ebird.org/species/sccflo1")</f>
        <v>https://ebird.org/species/sccflo1</v>
      </c>
      <c r="D820" s="31" t="str">
        <f>HYPERLINK("https://www.hbw.com/species/Scarlet-collared-Flowerpecker-Dicaeum-retrocinctum")</f>
        <v>https://www.hbw.com/species/Scarlet-collared-Flowerpecker-Dicaeum-retrocinctum</v>
      </c>
      <c r="E820" s="32" t="str">
        <f>HYPERLINK("https://www.iucnredlist.org/search?query=Dicaeum retrocinctum&amp;searchType=species")</f>
        <v>https://www.iucnredlist.org/search?query=Dicaeum retrocinctum&amp;searchType=species</v>
      </c>
      <c r="F820" s="2">
        <v>644</v>
      </c>
      <c r="G820" s="27" t="s">
        <v>1836</v>
      </c>
      <c r="H820" s="86" t="s">
        <v>1855</v>
      </c>
      <c r="I820" s="94" t="s">
        <v>1856</v>
      </c>
      <c r="J820" s="1" t="s">
        <v>65</v>
      </c>
      <c r="K820" s="1" t="s">
        <v>66</v>
      </c>
      <c r="L820" s="1" t="s">
        <v>66</v>
      </c>
      <c r="M820" s="2" t="s">
        <v>68</v>
      </c>
    </row>
    <row r="821" spans="1:13" ht="14.4" x14ac:dyDescent="0.3">
      <c r="A821" s="28" t="str">
        <f>HYPERLINK("https://www.google.com/search?q=Dicaeum quadricolor&amp;tbm=isch")</f>
        <v>https://www.google.com/search?q=Dicaeum quadricolor&amp;tbm=isch</v>
      </c>
      <c r="B821" s="29" t="str">
        <f>HYPERLINK("https://www.xeno-canto.org/species/Dicaeum-quadricolor")</f>
        <v>https://www.xeno-canto.org/species/Dicaeum-quadricolor</v>
      </c>
      <c r="C821" s="30" t="str">
        <f>HYPERLINK("https://ebird.org/species/cebflo1")</f>
        <v>https://ebird.org/species/cebflo1</v>
      </c>
      <c r="D821" s="31" t="str">
        <f>HYPERLINK("https://www.hbw.com/species/Cebu-Flowerpecker-Dicaeum-quadricolor")</f>
        <v>https://www.hbw.com/species/Cebu-Flowerpecker-Dicaeum-quadricolor</v>
      </c>
      <c r="E821" s="32" t="str">
        <f>HYPERLINK("https://www.iucnredlist.org/search?query=Dicaeum quadricolor&amp;searchType=species")</f>
        <v>https://www.iucnredlist.org/search?query=Dicaeum quadricolor&amp;searchType=species</v>
      </c>
      <c r="F821" s="2">
        <v>645</v>
      </c>
      <c r="G821" s="27" t="s">
        <v>1836</v>
      </c>
      <c r="H821" s="90" t="s">
        <v>1857</v>
      </c>
      <c r="I821" s="94" t="s">
        <v>1858</v>
      </c>
      <c r="J821" s="1" t="s">
        <v>65</v>
      </c>
      <c r="K821" s="1" t="s">
        <v>85</v>
      </c>
      <c r="L821" s="1" t="s">
        <v>85</v>
      </c>
      <c r="M821" s="2" t="s">
        <v>68</v>
      </c>
    </row>
    <row r="822" spans="1:13" ht="14.4" x14ac:dyDescent="0.3">
      <c r="A822" s="28" t="str">
        <f>HYPERLINK("https://www.google.com/search?q=Dicaeum trigonostigma&amp;tbm=isch")</f>
        <v>https://www.google.com/search?q=Dicaeum trigonostigma&amp;tbm=isch</v>
      </c>
      <c r="B822" s="29" t="str">
        <f>HYPERLINK("https://www.xeno-canto.org/species/Dicaeum-trigonostigma")</f>
        <v>https://www.xeno-canto.org/species/Dicaeum-trigonostigma</v>
      </c>
      <c r="C822" s="30" t="str">
        <f>HYPERLINK("https://ebird.org/species/orbflo1")</f>
        <v>https://ebird.org/species/orbflo1</v>
      </c>
      <c r="D822" s="31" t="str">
        <f>HYPERLINK("https://www.hbw.com/species/Orange-bellied-Flowerpecker-Dicaeum-trigonostigma")</f>
        <v>https://www.hbw.com/species/Orange-bellied-Flowerpecker-Dicaeum-trigonostigma</v>
      </c>
      <c r="E822" s="32" t="str">
        <f>HYPERLINK("https://www.iucnredlist.org/search?query=Dicaeum trigonostigma&amp;searchType=species")</f>
        <v>https://www.iucnredlist.org/search?query=Dicaeum trigonostigma&amp;searchType=species</v>
      </c>
      <c r="F822" s="2">
        <v>646</v>
      </c>
      <c r="G822" s="27" t="s">
        <v>1836</v>
      </c>
      <c r="H822" s="84" t="s">
        <v>1859</v>
      </c>
      <c r="I822" s="92" t="s">
        <v>1860</v>
      </c>
      <c r="J822" s="1" t="s">
        <v>15</v>
      </c>
      <c r="M822" s="2" t="s">
        <v>1861</v>
      </c>
    </row>
    <row r="823" spans="1:13" ht="14.4" x14ac:dyDescent="0.3">
      <c r="A823" s="28" t="str">
        <f>HYPERLINK("https://www.google.com/search?q=Dicaeum hypoleucum&amp;tbm=isch")</f>
        <v>https://www.google.com/search?q=Dicaeum hypoleucum&amp;tbm=isch</v>
      </c>
      <c r="B823" s="29" t="str">
        <f>HYPERLINK("https://www.xeno-canto.org/species/Dicaeum-hypoleucum")</f>
        <v>https://www.xeno-canto.org/species/Dicaeum-hypoleucum</v>
      </c>
      <c r="C823" s="30" t="str">
        <f>HYPERLINK("https://ebird.org/species/whbflo1")</f>
        <v>https://ebird.org/species/whbflo1</v>
      </c>
      <c r="D823" s="31" t="str">
        <f>HYPERLINK("https://www.hbw.com/species/Buzzing-Flowerpecker-Dicaeum-hypoleucum")</f>
        <v>https://www.hbw.com/species/Buzzing-Flowerpecker-Dicaeum-hypoleucum</v>
      </c>
      <c r="E823" s="32" t="str">
        <f>HYPERLINK("https://www.iucnredlist.org/search?query=Dicaeum hypoleucum&amp;searchType=species")</f>
        <v>https://www.iucnredlist.org/search?query=Dicaeum hypoleucum&amp;searchType=species</v>
      </c>
      <c r="F823" s="2">
        <v>647</v>
      </c>
      <c r="G823" s="27" t="s">
        <v>1836</v>
      </c>
      <c r="H823" s="86" t="s">
        <v>1862</v>
      </c>
      <c r="I823" s="94" t="s">
        <v>1863</v>
      </c>
      <c r="J823" s="1" t="s">
        <v>65</v>
      </c>
      <c r="M823" s="2" t="s">
        <v>68</v>
      </c>
    </row>
    <row r="824" spans="1:13" ht="14.4" x14ac:dyDescent="0.3">
      <c r="A824" s="28" t="str">
        <f>HYPERLINK("https://www.google.com/search?q=Dicaeum pygmaeum&amp;tbm=isch")</f>
        <v>https://www.google.com/search?q=Dicaeum pygmaeum&amp;tbm=isch</v>
      </c>
      <c r="B824" s="29" t="str">
        <f>HYPERLINK("https://www.xeno-canto.org/species/Dicaeum-pygmaeum")</f>
        <v>https://www.xeno-canto.org/species/Dicaeum-pygmaeum</v>
      </c>
      <c r="C824" s="30" t="str">
        <f>HYPERLINK("https://ebird.org/species/pygflo1")</f>
        <v>https://ebird.org/species/pygflo1</v>
      </c>
      <c r="D824" s="31" t="str">
        <f>HYPERLINK("https://www.hbw.com/species/Pygmy-Flowerpecker-Dicaeum-pygmaeum")</f>
        <v>https://www.hbw.com/species/Pygmy-Flowerpecker-Dicaeum-pygmaeum</v>
      </c>
      <c r="E824" s="32" t="str">
        <f>HYPERLINK("https://www.iucnredlist.org/search?query=Dicaeum pygmaeum&amp;searchType=species")</f>
        <v>https://www.iucnredlist.org/search?query=Dicaeum pygmaeum&amp;searchType=species</v>
      </c>
      <c r="F824" s="2">
        <v>648</v>
      </c>
      <c r="G824" s="27" t="s">
        <v>1836</v>
      </c>
      <c r="H824" s="86" t="s">
        <v>1864</v>
      </c>
      <c r="I824" s="94" t="s">
        <v>1865</v>
      </c>
      <c r="J824" s="1" t="s">
        <v>65</v>
      </c>
      <c r="M824" s="2" t="s">
        <v>68</v>
      </c>
    </row>
    <row r="825" spans="1:13" ht="14.4" x14ac:dyDescent="0.3">
      <c r="A825" s="28" t="str">
        <f>HYPERLINK("https://www.google.com/search?q=Dicaeum ignipectus&amp;tbm=isch")</f>
        <v>https://www.google.com/search?q=Dicaeum ignipectus&amp;tbm=isch</v>
      </c>
      <c r="B825" s="29" t="str">
        <f>HYPERLINK("https://www.xeno-canto.org/species/Dicaeum-ignipectus")</f>
        <v>https://www.xeno-canto.org/species/Dicaeum-ignipectus</v>
      </c>
      <c r="C825" s="30" t="str">
        <f>HYPERLINK("https://ebird.org/species/fibflo2")</f>
        <v>https://ebird.org/species/fibflo2</v>
      </c>
      <c r="D825" s="31" t="str">
        <f>HYPERLINK("https://www.hbw.com/species/Fire-throated-Flowerpecker-Dicaeum-luzoniense")</f>
        <v>https://www.hbw.com/species/Fire-throated-Flowerpecker-Dicaeum-luzoniense</v>
      </c>
      <c r="E825" s="32" t="str">
        <f>HYPERLINK("https://www.iucnredlist.org/search?query=Dicaeum ignipectus&amp;searchType=species")</f>
        <v>https://www.iucnredlist.org/search?query=Dicaeum ignipectus&amp;searchType=species</v>
      </c>
      <c r="F825" s="2">
        <v>649</v>
      </c>
      <c r="G825" s="27" t="s">
        <v>1836</v>
      </c>
      <c r="H825" s="84" t="s">
        <v>1866</v>
      </c>
      <c r="I825" s="92" t="s">
        <v>1867</v>
      </c>
      <c r="J825" s="1" t="s">
        <v>15</v>
      </c>
      <c r="M825" s="2" t="s">
        <v>1868</v>
      </c>
    </row>
    <row r="826" spans="1:13" x14ac:dyDescent="0.3">
      <c r="A826" s="33"/>
      <c r="B826" s="34"/>
      <c r="C826" s="35"/>
      <c r="D826" s="36"/>
      <c r="E826" s="37"/>
    </row>
    <row r="827" spans="1:13" ht="12" x14ac:dyDescent="0.3">
      <c r="A827" s="33"/>
      <c r="B827" s="34"/>
      <c r="C827" s="35"/>
      <c r="D827" s="36"/>
      <c r="E827" s="37"/>
      <c r="H827" s="82" t="s">
        <v>1869</v>
      </c>
      <c r="I827" s="91" t="s">
        <v>1870</v>
      </c>
    </row>
    <row r="828" spans="1:13" ht="20.399999999999999" x14ac:dyDescent="0.3">
      <c r="A828" s="28" t="str">
        <f>HYPERLINK("https://www.google.com/search?q=Anthreptes malacensis&amp;tbm=isch")</f>
        <v>https://www.google.com/search?q=Anthreptes malacensis&amp;tbm=isch</v>
      </c>
      <c r="B828" s="29" t="str">
        <f>HYPERLINK("https://www.xeno-canto.org/species/Anthreptes-malacensis")</f>
        <v>https://www.xeno-canto.org/species/Anthreptes-malacensis</v>
      </c>
      <c r="C828" s="30" t="str">
        <f>HYPERLINK("https://ebird.org/species/pltsun1")</f>
        <v>https://ebird.org/species/pltsun1</v>
      </c>
      <c r="D828" s="31" t="str">
        <f>HYPERLINK("https://www.hbw.com/species/Brown-throated-Sunbird-Anthreptes-malacensis")</f>
        <v>https://www.hbw.com/species/Brown-throated-Sunbird-Anthreptes-malacensis</v>
      </c>
      <c r="E828" s="32" t="str">
        <f>HYPERLINK("https://www.iucnredlist.org/search?query=Anthreptes malacensis&amp;searchType=species")</f>
        <v>https://www.iucnredlist.org/search?query=Anthreptes malacensis&amp;searchType=species</v>
      </c>
      <c r="F828" s="2">
        <v>650</v>
      </c>
      <c r="G828" s="27" t="s">
        <v>1870</v>
      </c>
      <c r="H828" s="84" t="s">
        <v>1871</v>
      </c>
      <c r="I828" s="92" t="s">
        <v>1872</v>
      </c>
      <c r="J828" s="1" t="s">
        <v>15</v>
      </c>
      <c r="M828" s="2" t="s">
        <v>1873</v>
      </c>
    </row>
    <row r="829" spans="1:13" ht="14.4" x14ac:dyDescent="0.3">
      <c r="A829" s="28" t="str">
        <f>HYPERLINK("https://www.google.com/search?q=Anthreptes griseigularis&amp;tbm=isch")</f>
        <v>https://www.google.com/search?q=Anthreptes griseigularis&amp;tbm=isch</v>
      </c>
      <c r="B829" s="29" t="str">
        <f>HYPERLINK("https://www.xeno-canto.org/species/Anthreptes-griseigularis")</f>
        <v>https://www.xeno-canto.org/species/Anthreptes-griseigularis</v>
      </c>
      <c r="C829" s="30" t="str">
        <f>HYPERLINK("https://ebird.org/species/")</f>
        <v>https://ebird.org/species/</v>
      </c>
      <c r="D829" s="31" t="str">
        <f>HYPERLINK("https://www.hbw.com/species/Grey-throated-Sunbird-Anthreptes-griseigularis")</f>
        <v>https://www.hbw.com/species/Grey-throated-Sunbird-Anthreptes-griseigularis</v>
      </c>
      <c r="E829" s="32" t="str">
        <f>HYPERLINK("https://www.iucnredlist.org/search?query=Anthreptes griseigularis&amp;searchType=species")</f>
        <v>https://www.iucnredlist.org/search?query=Anthreptes griseigularis&amp;searchType=species</v>
      </c>
      <c r="F829" s="2">
        <v>651</v>
      </c>
      <c r="G829" s="27" t="s">
        <v>1870</v>
      </c>
      <c r="H829" s="86" t="s">
        <v>1874</v>
      </c>
      <c r="I829" s="94" t="s">
        <v>1875</v>
      </c>
      <c r="J829" s="1" t="s">
        <v>65</v>
      </c>
      <c r="L829" s="1" t="s">
        <v>130</v>
      </c>
      <c r="M829" s="2" t="s">
        <v>1876</v>
      </c>
    </row>
    <row r="830" spans="1:13" ht="14.4" x14ac:dyDescent="0.3">
      <c r="A830" s="28" t="str">
        <f>HYPERLINK("https://www.google.com/search?q=Leptocoma sperata&amp;tbm=isch")</f>
        <v>https://www.google.com/search?q=Leptocoma sperata&amp;tbm=isch</v>
      </c>
      <c r="B830" s="29" t="str">
        <f>HYPERLINK("https://www.xeno-canto.org/species/Leptocoma-sperata")</f>
        <v>https://www.xeno-canto.org/species/Leptocoma-sperata</v>
      </c>
      <c r="C830" s="30" t="str">
        <f>HYPERLINK("https://ebird.org/species/putsun3")</f>
        <v>https://ebird.org/species/putsun3</v>
      </c>
      <c r="D830" s="31" t="str">
        <f>HYPERLINK("https://www.hbw.com/species/Purple-throated-Sunbird-Leptocoma-sperata")</f>
        <v>https://www.hbw.com/species/Purple-throated-Sunbird-Leptocoma-sperata</v>
      </c>
      <c r="E830" s="32" t="str">
        <f>HYPERLINK("https://www.iucnredlist.org/search?query=Leptocoma sperata&amp;searchType=species")</f>
        <v>https://www.iucnredlist.org/search?query=Leptocoma sperata&amp;searchType=species</v>
      </c>
      <c r="F830" s="2">
        <v>652</v>
      </c>
      <c r="G830" s="27" t="s">
        <v>1870</v>
      </c>
      <c r="H830" s="86" t="s">
        <v>1877</v>
      </c>
      <c r="I830" s="94" t="s">
        <v>1878</v>
      </c>
      <c r="J830" s="1" t="s">
        <v>65</v>
      </c>
      <c r="M830" s="2" t="s">
        <v>68</v>
      </c>
    </row>
    <row r="831" spans="1:13" ht="14.4" x14ac:dyDescent="0.3">
      <c r="A831" s="28" t="str">
        <f>HYPERLINK("https://www.google.com/search?q=Leptocoma calcostetha&amp;tbm=isch")</f>
        <v>https://www.google.com/search?q=Leptocoma calcostetha&amp;tbm=isch</v>
      </c>
      <c r="B831" s="29" t="str">
        <f>HYPERLINK("https://www.xeno-canto.org/species/Leptocoma-calcostetha")</f>
        <v>https://www.xeno-canto.org/species/Leptocoma-calcostetha</v>
      </c>
      <c r="C831" s="30" t="str">
        <f>HYPERLINK("https://ebird.org/species/cotsun2")</f>
        <v>https://ebird.org/species/cotsun2</v>
      </c>
      <c r="D831" s="31" t="str">
        <f>HYPERLINK("https://www.hbw.com/species/Copper-throated-Sunbird-Leptocoma-calcostetha")</f>
        <v>https://www.hbw.com/species/Copper-throated-Sunbird-Leptocoma-calcostetha</v>
      </c>
      <c r="E831" s="32" t="str">
        <f>HYPERLINK("https://www.iucnredlist.org/search?query=Leptocoma calcostetha&amp;searchType=species")</f>
        <v>https://www.iucnredlist.org/search?query=Leptocoma calcostetha&amp;searchType=species</v>
      </c>
      <c r="F831" s="2">
        <v>653</v>
      </c>
      <c r="G831" s="27" t="s">
        <v>1870</v>
      </c>
      <c r="H831" s="84" t="s">
        <v>1879</v>
      </c>
      <c r="I831" s="92" t="s">
        <v>1880</v>
      </c>
      <c r="J831" s="1" t="s">
        <v>15</v>
      </c>
      <c r="M831" s="2" t="s">
        <v>1881</v>
      </c>
    </row>
    <row r="832" spans="1:13" ht="14.4" x14ac:dyDescent="0.3">
      <c r="A832" s="28" t="str">
        <f>HYPERLINK("https://www.google.com/search?q=Cinnyris jugularis&amp;tbm=isch")</f>
        <v>https://www.google.com/search?q=Cinnyris jugularis&amp;tbm=isch</v>
      </c>
      <c r="B832" s="29" t="str">
        <f>HYPERLINK("https://www.xeno-canto.org/species/Cinnyris-jugularis")</f>
        <v>https://www.xeno-canto.org/species/Cinnyris-jugularis</v>
      </c>
      <c r="C832" s="30" t="str">
        <f>HYPERLINK("https://ebird.org/species/olbsun4")</f>
        <v>https://ebird.org/species/olbsun4</v>
      </c>
      <c r="D832" s="31" t="str">
        <f>HYPERLINK("https://www.hbw.com/species/Olive-backed-Sunbird-Cinnyris-jugularis")</f>
        <v>https://www.hbw.com/species/Olive-backed-Sunbird-Cinnyris-jugularis</v>
      </c>
      <c r="E832" s="32" t="str">
        <f>HYPERLINK("https://www.iucnredlist.org/search?query=Cinnyris jugularis&amp;searchType=species")</f>
        <v>https://www.iucnredlist.org/search?query=Cinnyris jugularis&amp;searchType=species</v>
      </c>
      <c r="F832" s="2">
        <v>654</v>
      </c>
      <c r="G832" s="27" t="s">
        <v>1870</v>
      </c>
      <c r="H832" s="84" t="s">
        <v>1882</v>
      </c>
      <c r="I832" s="92" t="s">
        <v>1883</v>
      </c>
      <c r="J832" s="1" t="s">
        <v>15</v>
      </c>
      <c r="M832" s="2" t="s">
        <v>1884</v>
      </c>
    </row>
    <row r="833" spans="1:13" ht="14.4" x14ac:dyDescent="0.3">
      <c r="A833" s="28" t="str">
        <f>HYPERLINK("https://www.google.com/search?q=Aethopyga primigenia&amp;tbm=isch")</f>
        <v>https://www.google.com/search?q=Aethopyga primigenia&amp;tbm=isch</v>
      </c>
      <c r="B833" s="29" t="str">
        <f>HYPERLINK("https://www.xeno-canto.org/species/Aethopyga-primigenia")</f>
        <v>https://www.xeno-canto.org/species/Aethopyga-primigenia</v>
      </c>
      <c r="C833" s="30" t="str">
        <f>HYPERLINK("https://ebird.org/species/gyhsun2")</f>
        <v>https://ebird.org/species/gyhsun2</v>
      </c>
      <c r="D833" s="31" t="str">
        <f>HYPERLINK("https://www.hbw.com/species/Grey-hooded-Sunbird-Aethopyga-primigenia")</f>
        <v>https://www.hbw.com/species/Grey-hooded-Sunbird-Aethopyga-primigenia</v>
      </c>
      <c r="E833" s="32" t="str">
        <f>HYPERLINK("https://www.iucnredlist.org/search?query=Aethopyga primigenia&amp;searchType=species")</f>
        <v>https://www.iucnredlist.org/search?query=Aethopyga primigenia&amp;searchType=species</v>
      </c>
      <c r="F833" s="2">
        <v>655</v>
      </c>
      <c r="G833" s="27" t="s">
        <v>1870</v>
      </c>
      <c r="H833" s="86" t="s">
        <v>1885</v>
      </c>
      <c r="I833" s="94" t="s">
        <v>1886</v>
      </c>
      <c r="J833" s="1" t="s">
        <v>65</v>
      </c>
      <c r="K833" s="1" t="s">
        <v>58</v>
      </c>
      <c r="L833" s="1" t="s">
        <v>130</v>
      </c>
      <c r="M833" s="2" t="s">
        <v>68</v>
      </c>
    </row>
    <row r="834" spans="1:13" ht="14.4" x14ac:dyDescent="0.3">
      <c r="A834" s="28" t="str">
        <f>HYPERLINK("https://www.google.com/search?q=Aethopyga boltoni&amp;tbm=isch")</f>
        <v>https://www.google.com/search?q=Aethopyga boltoni&amp;tbm=isch</v>
      </c>
      <c r="B834" s="29" t="str">
        <f>HYPERLINK("https://www.xeno-canto.org/species/Aethopyga-boltoni")</f>
        <v>https://www.xeno-canto.org/species/Aethopyga-boltoni</v>
      </c>
      <c r="C834" s="30" t="str">
        <f>HYPERLINK("https://ebird.org/species/moasun1")</f>
        <v>https://ebird.org/species/moasun1</v>
      </c>
      <c r="D834" s="31" t="str">
        <f>HYPERLINK("https://www.hbw.com/species/Apo-Sunbird-Aethopyga-boltoni")</f>
        <v>https://www.hbw.com/species/Apo-Sunbird-Aethopyga-boltoni</v>
      </c>
      <c r="E834" s="32" t="str">
        <f>HYPERLINK("https://www.iucnredlist.org/search?query=Aethopyga boltoni&amp;searchType=species")</f>
        <v>https://www.iucnredlist.org/search?query=Aethopyga boltoni&amp;searchType=species</v>
      </c>
      <c r="F834" s="2">
        <v>656</v>
      </c>
      <c r="G834" s="27" t="s">
        <v>1870</v>
      </c>
      <c r="H834" s="86" t="s">
        <v>1887</v>
      </c>
      <c r="I834" s="94" t="s">
        <v>1888</v>
      </c>
      <c r="J834" s="1" t="s">
        <v>65</v>
      </c>
      <c r="K834" s="1" t="s">
        <v>58</v>
      </c>
      <c r="L834" s="1" t="s">
        <v>130</v>
      </c>
      <c r="M834" s="2" t="s">
        <v>68</v>
      </c>
    </row>
    <row r="835" spans="1:13" ht="14.4" x14ac:dyDescent="0.3">
      <c r="A835" s="28" t="str">
        <f>HYPERLINK("https://www.google.com/search?q=Aethopyga linaraborae&amp;tbm=isch")</f>
        <v>https://www.google.com/search?q=Aethopyga linaraborae&amp;tbm=isch</v>
      </c>
      <c r="B835" s="29" t="str">
        <f>HYPERLINK("https://www.xeno-canto.org/species/Aethopyga-linaraborae")</f>
        <v>https://www.xeno-canto.org/species/Aethopyga-linaraborae</v>
      </c>
      <c r="C835" s="30" t="str">
        <f>HYPERLINK("https://ebird.org/species/linsun1")</f>
        <v>https://ebird.org/species/linsun1</v>
      </c>
      <c r="D835" s="31" t="str">
        <f>HYPERLINK("https://www.hbw.com/species/Lina's-Sunbird-Aethopyga-linaraborae")</f>
        <v>https://www.hbw.com/species/Lina's-Sunbird-Aethopyga-linaraborae</v>
      </c>
      <c r="E835" s="32" t="str">
        <f>HYPERLINK("https://www.iucnredlist.org/search?query=Aethopyga linaraborae&amp;searchType=species")</f>
        <v>https://www.iucnredlist.org/search?query=Aethopyga linaraborae&amp;searchType=species</v>
      </c>
      <c r="F835" s="2">
        <v>657</v>
      </c>
      <c r="G835" s="27" t="s">
        <v>1870</v>
      </c>
      <c r="H835" s="86" t="s">
        <v>1889</v>
      </c>
      <c r="I835" s="94" t="s">
        <v>1890</v>
      </c>
      <c r="J835" s="1" t="s">
        <v>65</v>
      </c>
      <c r="K835" s="1" t="s">
        <v>58</v>
      </c>
      <c r="L835" s="1" t="s">
        <v>66</v>
      </c>
      <c r="M835" s="2" t="s">
        <v>68</v>
      </c>
    </row>
    <row r="836" spans="1:13" ht="14.4" x14ac:dyDescent="0.3">
      <c r="A836" s="28" t="str">
        <f>HYPERLINK("https://www.google.com/search?q=Aethopyga flagrans&amp;tbm=isch")</f>
        <v>https://www.google.com/search?q=Aethopyga flagrans&amp;tbm=isch</v>
      </c>
      <c r="B836" s="29" t="str">
        <f>HYPERLINK("https://www.xeno-canto.org/species/Aethopyga-flagrans")</f>
        <v>https://www.xeno-canto.org/species/Aethopyga-flagrans</v>
      </c>
      <c r="C836" s="30" t="str">
        <f>HYPERLINK("https://ebird.org/species/flasun1")</f>
        <v>https://ebird.org/species/flasun1</v>
      </c>
      <c r="D836" s="31" t="str">
        <f>HYPERLINK("https://www.hbw.com/species/Flaming-Sunbird-Aethopyga-flagrans")</f>
        <v>https://www.hbw.com/species/Flaming-Sunbird-Aethopyga-flagrans</v>
      </c>
      <c r="E836" s="32" t="str">
        <f>HYPERLINK("https://www.iucnredlist.org/search?query=Aethopyga flagrans&amp;searchType=species")</f>
        <v>https://www.iucnredlist.org/search?query=Aethopyga flagrans&amp;searchType=species</v>
      </c>
      <c r="F836" s="2">
        <v>658</v>
      </c>
      <c r="G836" s="27" t="s">
        <v>1870</v>
      </c>
      <c r="H836" s="86" t="s">
        <v>1891</v>
      </c>
      <c r="I836" s="94" t="s">
        <v>1892</v>
      </c>
      <c r="J836" s="1" t="s">
        <v>65</v>
      </c>
      <c r="M836" s="2" t="s">
        <v>1893</v>
      </c>
    </row>
    <row r="837" spans="1:13" ht="20.399999999999999" x14ac:dyDescent="0.3">
      <c r="A837" s="28" t="str">
        <f>HYPERLINK("https://www.google.com/search?q=Aethopyga guimarasensis&amp;tbm=isch")</f>
        <v>https://www.google.com/search?q=Aethopyga guimarasensis&amp;tbm=isch</v>
      </c>
      <c r="B837" s="29" t="str">
        <f>HYPERLINK("https://www.xeno-canto.org/species/Aethopyga-guimarasensis")</f>
        <v>https://www.xeno-canto.org/species/Aethopyga-guimarasensis</v>
      </c>
      <c r="C837" s="30" t="str">
        <f>HYPERLINK("https://ebird.org/species/mansun1")</f>
        <v>https://ebird.org/species/mansun1</v>
      </c>
      <c r="D837" s="31" t="str">
        <f>HYPERLINK("https://www.hbw.com/species/Maroon-naped-Sunbird-Aethopyga-guimarasensis")</f>
        <v>https://www.hbw.com/species/Maroon-naped-Sunbird-Aethopyga-guimarasensis</v>
      </c>
      <c r="E837" s="32" t="str">
        <f>HYPERLINK("https://www.iucnredlist.org/search?query=Aethopyga guimarasensis&amp;searchType=species")</f>
        <v>https://www.iucnredlist.org/search?query=Aethopyga guimarasensis&amp;searchType=species</v>
      </c>
      <c r="F837" s="2">
        <v>659</v>
      </c>
      <c r="G837" s="27" t="s">
        <v>1870</v>
      </c>
      <c r="H837" s="86" t="s">
        <v>1894</v>
      </c>
      <c r="I837" s="94" t="s">
        <v>1895</v>
      </c>
      <c r="J837" s="1" t="s">
        <v>65</v>
      </c>
      <c r="L837" s="1" t="s">
        <v>130</v>
      </c>
      <c r="M837" s="2" t="s">
        <v>1896</v>
      </c>
    </row>
    <row r="838" spans="1:13" ht="14.4" x14ac:dyDescent="0.3">
      <c r="A838" s="28" t="str">
        <f>HYPERLINK("https://www.google.com/search?q=Aethopyga pulcherrima&amp;tbm=isch")</f>
        <v>https://www.google.com/search?q=Aethopyga pulcherrima&amp;tbm=isch</v>
      </c>
      <c r="B838" s="29" t="str">
        <f>HYPERLINK("https://www.xeno-canto.org/species/Aethopyga-pulcherrima")</f>
        <v>https://www.xeno-canto.org/species/Aethopyga-pulcherrima</v>
      </c>
      <c r="C838" s="30" t="str">
        <f>HYPERLINK("https://ebird.org/species/mewsun2")</f>
        <v>https://ebird.org/species/mewsun2</v>
      </c>
      <c r="D838" s="31" t="str">
        <f>HYPERLINK("https://www.hbw.com/species/Metallic-winged-Sunbird-Aethopyga-pulcherrima")</f>
        <v>https://www.hbw.com/species/Metallic-winged-Sunbird-Aethopyga-pulcherrima</v>
      </c>
      <c r="E838" s="32" t="str">
        <f>HYPERLINK("https://www.iucnredlist.org/search?query=Aethopyga pulcherrima&amp;searchType=species")</f>
        <v>https://www.iucnredlist.org/search?query=Aethopyga pulcherrima&amp;searchType=species</v>
      </c>
      <c r="F838" s="2">
        <v>660</v>
      </c>
      <c r="G838" s="27" t="s">
        <v>1870</v>
      </c>
      <c r="H838" s="86" t="s">
        <v>1897</v>
      </c>
      <c r="I838" s="94" t="s">
        <v>1898</v>
      </c>
      <c r="J838" s="1" t="s">
        <v>65</v>
      </c>
      <c r="M838" s="2" t="s">
        <v>1059</v>
      </c>
    </row>
    <row r="839" spans="1:13" ht="14.4" x14ac:dyDescent="0.3">
      <c r="A839" s="28" t="str">
        <f>HYPERLINK("https://www.google.com/search?q=Aethopyga jefferyi&amp;tbm=isch")</f>
        <v>https://www.google.com/search?q=Aethopyga jefferyi&amp;tbm=isch</v>
      </c>
      <c r="B839" s="29" t="str">
        <f>HYPERLINK("https://www.xeno-canto.org/species/Aethopyga-jefferyi")</f>
        <v>https://www.xeno-canto.org/species/Aethopyga-jefferyi</v>
      </c>
      <c r="C839" s="30" t="str">
        <f>HYPERLINK("https://ebird.org/species/mousun1")</f>
        <v>https://ebird.org/species/mousun1</v>
      </c>
      <c r="D839" s="31" t="str">
        <f>HYPERLINK("https://www.hbw.com/species/Luzon-Sunbird-Aethopyga-jefferyi")</f>
        <v>https://www.hbw.com/species/Luzon-Sunbird-Aethopyga-jefferyi</v>
      </c>
      <c r="E839" s="32" t="str">
        <f>HYPERLINK("https://www.iucnredlist.org/search?query=Aethopyga jefferyi&amp;searchType=species")</f>
        <v>https://www.iucnredlist.org/search?query=Aethopyga jefferyi&amp;searchType=species</v>
      </c>
      <c r="F839" s="2">
        <v>661</v>
      </c>
      <c r="G839" s="27" t="s">
        <v>1870</v>
      </c>
      <c r="H839" s="86" t="s">
        <v>1899</v>
      </c>
      <c r="I839" s="94" t="s">
        <v>1900</v>
      </c>
      <c r="J839" s="1" t="s">
        <v>65</v>
      </c>
      <c r="M839" s="2" t="s">
        <v>895</v>
      </c>
    </row>
    <row r="840" spans="1:13" ht="14.4" x14ac:dyDescent="0.3">
      <c r="A840" s="28" t="str">
        <f>HYPERLINK("https://www.google.com/search?q=Aethopyga decorosa&amp;tbm=isch")</f>
        <v>https://www.google.com/search?q=Aethopyga decorosa&amp;tbm=isch</v>
      </c>
      <c r="B840" s="29" t="str">
        <f>HYPERLINK("https://www.xeno-canto.org/species/Aethopyga-decorosa")</f>
        <v>https://www.xeno-canto.org/species/Aethopyga-decorosa</v>
      </c>
      <c r="C840" s="30" t="str">
        <f>HYPERLINK("https://ebird.org/species/bohsun1")</f>
        <v>https://ebird.org/species/bohsun1</v>
      </c>
      <c r="D840" s="31" t="str">
        <f>HYPERLINK("https://www.hbw.com/species/Bohol-Sunbird-Aethopyga-decorosa")</f>
        <v>https://www.hbw.com/species/Bohol-Sunbird-Aethopyga-decorosa</v>
      </c>
      <c r="E840" s="32" t="str">
        <f>HYPERLINK("https://www.iucnredlist.org/search?query=Aethopyga decorosa&amp;searchType=species")</f>
        <v>https://www.iucnredlist.org/search?query=Aethopyga decorosa&amp;searchType=species</v>
      </c>
      <c r="F840" s="2">
        <v>662</v>
      </c>
      <c r="G840" s="27" t="s">
        <v>1870</v>
      </c>
      <c r="H840" s="86" t="s">
        <v>1901</v>
      </c>
      <c r="I840" s="94" t="s">
        <v>1902</v>
      </c>
      <c r="J840" s="1" t="s">
        <v>65</v>
      </c>
      <c r="L840" s="1" t="s">
        <v>130</v>
      </c>
      <c r="M840" s="2" t="s">
        <v>1903</v>
      </c>
    </row>
    <row r="841" spans="1:13" ht="14.4" x14ac:dyDescent="0.3">
      <c r="A841" s="28" t="str">
        <f>HYPERLINK("https://www.google.com/search?q=Aethopyga shelleyi&amp;tbm=isch")</f>
        <v>https://www.google.com/search?q=Aethopyga shelleyi&amp;tbm=isch</v>
      </c>
      <c r="B841" s="29" t="str">
        <f>HYPERLINK("https://www.xeno-canto.org/species/Aethopyga-shelleyi")</f>
        <v>https://www.xeno-canto.org/species/Aethopyga-shelleyi</v>
      </c>
      <c r="C841" s="30" t="str">
        <f>HYPERLINK("https://ebird.org/species/lovsun1")</f>
        <v>https://ebird.org/species/lovsun1</v>
      </c>
      <c r="D841" s="31" t="str">
        <f>HYPERLINK("https://www.hbw.com/species/Lovely-Sunbird-Aethopyga-shelleyi")</f>
        <v>https://www.hbw.com/species/Lovely-Sunbird-Aethopyga-shelleyi</v>
      </c>
      <c r="E841" s="32" t="str">
        <f>HYPERLINK("https://www.iucnredlist.org/search?query=Aethopyga shelleyi&amp;searchType=species")</f>
        <v>https://www.iucnredlist.org/search?query=Aethopyga shelleyi&amp;searchType=species</v>
      </c>
      <c r="F841" s="2">
        <v>663</v>
      </c>
      <c r="G841" s="27" t="s">
        <v>1870</v>
      </c>
      <c r="H841" s="86" t="s">
        <v>1904</v>
      </c>
      <c r="I841" s="94" t="s">
        <v>1905</v>
      </c>
      <c r="J841" s="1" t="s">
        <v>65</v>
      </c>
      <c r="M841" s="2" t="s">
        <v>68</v>
      </c>
    </row>
    <row r="842" spans="1:13" ht="14.4" x14ac:dyDescent="0.3">
      <c r="A842" s="28" t="str">
        <f>HYPERLINK("https://www.google.com/search?q=Aethopyga bella&amp;tbm=isch")</f>
        <v>https://www.google.com/search?q=Aethopyga bella&amp;tbm=isch</v>
      </c>
      <c r="B842" s="29" t="str">
        <f>HYPERLINK("https://www.xeno-canto.org/species/Aethopyga-bella")</f>
        <v>https://www.xeno-canto.org/species/Aethopyga-bella</v>
      </c>
      <c r="C842" s="30" t="str">
        <f>HYPERLINK("https://ebird.org/species/hansun1")</f>
        <v>https://ebird.org/species/hansun1</v>
      </c>
      <c r="D842" s="31" t="str">
        <f>HYPERLINK("https://www.hbw.com/species/Handsome-Sunbird-Aethopyga-bella")</f>
        <v>https://www.hbw.com/species/Handsome-Sunbird-Aethopyga-bella</v>
      </c>
      <c r="E842" s="32" t="str">
        <f>HYPERLINK("https://www.iucnredlist.org/search?query=Aethopyga bella&amp;searchType=species")</f>
        <v>https://www.iucnredlist.org/search?query=Aethopyga bella&amp;searchType=species</v>
      </c>
      <c r="F842" s="2">
        <v>664</v>
      </c>
      <c r="G842" s="27" t="s">
        <v>1870</v>
      </c>
      <c r="H842" s="86" t="s">
        <v>1906</v>
      </c>
      <c r="I842" s="94" t="s">
        <v>1907</v>
      </c>
      <c r="J842" s="1" t="s">
        <v>65</v>
      </c>
      <c r="M842" s="2" t="s">
        <v>68</v>
      </c>
    </row>
    <row r="843" spans="1:13" ht="14.4" x14ac:dyDescent="0.3">
      <c r="A843" s="28" t="str">
        <f>HYPERLINK("https://www.google.com/search?q=Aethopyga magnifica&amp;tbm=isch")</f>
        <v>https://www.google.com/search?q=Aethopyga magnifica&amp;tbm=isch</v>
      </c>
      <c r="B843" s="29" t="str">
        <f>HYPERLINK("https://www.xeno-canto.org/species/Aethopyga-magnifica")</f>
        <v>https://www.xeno-canto.org/species/Aethopyga-magnifica</v>
      </c>
      <c r="C843" s="30" t="str">
        <f>HYPERLINK("https://ebird.org/species/magsun1")</f>
        <v>https://ebird.org/species/magsun1</v>
      </c>
      <c r="D843" s="31" t="str">
        <f>HYPERLINK("https://www.hbw.com/species/Magnificent-Sunbird-Aethopyga-magnifica")</f>
        <v>https://www.hbw.com/species/Magnificent-Sunbird-Aethopyga-magnifica</v>
      </c>
      <c r="E843" s="32" t="str">
        <f>HYPERLINK("https://www.iucnredlist.org/search?query=Aethopyga magnifica&amp;searchType=species")</f>
        <v>https://www.iucnredlist.org/search?query=Aethopyga magnifica&amp;searchType=species</v>
      </c>
      <c r="F843" s="2">
        <v>665</v>
      </c>
      <c r="G843" s="27" t="s">
        <v>1870</v>
      </c>
      <c r="H843" s="86" t="s">
        <v>1908</v>
      </c>
      <c r="I843" s="94" t="s">
        <v>1909</v>
      </c>
      <c r="J843" s="1" t="s">
        <v>65</v>
      </c>
      <c r="M843" s="2" t="s">
        <v>1128</v>
      </c>
    </row>
    <row r="844" spans="1:13" ht="14.4" x14ac:dyDescent="0.3">
      <c r="A844" s="28" t="str">
        <f>HYPERLINK("https://www.google.com/search?q=Arachnothera flammifera&amp;tbm=isch")</f>
        <v>https://www.google.com/search?q=Arachnothera flammifera&amp;tbm=isch</v>
      </c>
      <c r="B844" s="29" t="str">
        <f>HYPERLINK("https://www.xeno-canto.org/species/Arachnothera-flammifera")</f>
        <v>https://www.xeno-canto.org/species/Arachnothera-flammifera</v>
      </c>
      <c r="C844" s="30" t="str">
        <f>HYPERLINK("https://ebird.org/species/ortspi1")</f>
        <v>https://ebird.org/species/ortspi1</v>
      </c>
      <c r="D844" s="31" t="str">
        <f>HYPERLINK("https://www.hbw.com/species/Orange-tufted-Spiderhunter-Arachnothera-flammifera")</f>
        <v>https://www.hbw.com/species/Orange-tufted-Spiderhunter-Arachnothera-flammifera</v>
      </c>
      <c r="E844" s="32" t="str">
        <f>HYPERLINK("https://www.iucnredlist.org/search?query=Arachnothera flammifera&amp;searchType=species")</f>
        <v>https://www.iucnredlist.org/search?query=Arachnothera flammifera&amp;searchType=species</v>
      </c>
      <c r="F844" s="2">
        <v>666</v>
      </c>
      <c r="G844" s="27" t="s">
        <v>1870</v>
      </c>
      <c r="H844" s="86" t="s">
        <v>1910</v>
      </c>
      <c r="I844" s="94" t="s">
        <v>1911</v>
      </c>
      <c r="J844" s="1" t="s">
        <v>65</v>
      </c>
      <c r="M844" s="2" t="s">
        <v>68</v>
      </c>
    </row>
    <row r="845" spans="1:13" ht="14.4" x14ac:dyDescent="0.3">
      <c r="A845" s="28" t="str">
        <f>HYPERLINK("https://www.google.com/search?q=Arachnothera dilutior&amp;tbm=isch")</f>
        <v>https://www.google.com/search?q=Arachnothera dilutior&amp;tbm=isch</v>
      </c>
      <c r="B845" s="29" t="str">
        <f>HYPERLINK("https://www.xeno-canto.org/species/Arachnothera-dilutior")</f>
        <v>https://www.xeno-canto.org/species/Arachnothera-dilutior</v>
      </c>
      <c r="C845" s="30" t="str">
        <f>HYPERLINK("https://ebird.org/species/palspi2")</f>
        <v>https://ebird.org/species/palspi2</v>
      </c>
      <c r="D845" s="31" t="str">
        <f>HYPERLINK("https://www.hbw.com/species/Palawan-Spiderhunter-Arachnothera-dilutior")</f>
        <v>https://www.hbw.com/species/Palawan-Spiderhunter-Arachnothera-dilutior</v>
      </c>
      <c r="E845" s="32" t="str">
        <f>HYPERLINK("https://www.iucnredlist.org/search?query=Arachnothera dilutior&amp;searchType=species")</f>
        <v>https://www.iucnredlist.org/search?query=Arachnothera dilutior&amp;searchType=species</v>
      </c>
      <c r="F845" s="2">
        <v>667</v>
      </c>
      <c r="G845" s="27" t="s">
        <v>1870</v>
      </c>
      <c r="H845" s="86" t="s">
        <v>1912</v>
      </c>
      <c r="I845" s="94" t="s">
        <v>1913</v>
      </c>
      <c r="J845" s="1" t="s">
        <v>65</v>
      </c>
      <c r="M845" s="2" t="s">
        <v>1914</v>
      </c>
    </row>
    <row r="846" spans="1:13" ht="14.4" x14ac:dyDescent="0.3">
      <c r="A846" s="28" t="str">
        <f>HYPERLINK("https://www.google.com/search?q=Arachnothera clarae&amp;tbm=isch")</f>
        <v>https://www.google.com/search?q=Arachnothera clarae&amp;tbm=isch</v>
      </c>
      <c r="B846" s="29" t="str">
        <f>HYPERLINK("https://www.xeno-canto.org/species/Arachnothera-clarae")</f>
        <v>https://www.xeno-canto.org/species/Arachnothera-clarae</v>
      </c>
      <c r="C846" s="30" t="str">
        <f>HYPERLINK("https://ebird.org/species/nafspi1")</f>
        <v>https://ebird.org/species/nafspi1</v>
      </c>
      <c r="D846" s="31" t="str">
        <f>HYPERLINK("https://www.hbw.com/species/Naked-faced-Spiderhunter-Arachnothera-clarae")</f>
        <v>https://www.hbw.com/species/Naked-faced-Spiderhunter-Arachnothera-clarae</v>
      </c>
      <c r="E846" s="32" t="str">
        <f>HYPERLINK("https://www.iucnredlist.org/search?query=Arachnothera clarae&amp;searchType=species")</f>
        <v>https://www.iucnredlist.org/search?query=Arachnothera clarae&amp;searchType=species</v>
      </c>
      <c r="F846" s="2">
        <v>668</v>
      </c>
      <c r="G846" s="27" t="s">
        <v>1870</v>
      </c>
      <c r="H846" s="86" t="s">
        <v>1915</v>
      </c>
      <c r="I846" s="94" t="s">
        <v>1916</v>
      </c>
      <c r="J846" s="1" t="s">
        <v>65</v>
      </c>
      <c r="M846" s="2" t="s">
        <v>68</v>
      </c>
    </row>
    <row r="847" spans="1:13" x14ac:dyDescent="0.3">
      <c r="A847" s="33"/>
      <c r="B847" s="34"/>
      <c r="C847" s="35"/>
      <c r="D847" s="36"/>
      <c r="E847" s="37"/>
    </row>
    <row r="848" spans="1:13" ht="12" x14ac:dyDescent="0.3">
      <c r="A848" s="33"/>
      <c r="B848" s="34"/>
      <c r="C848" s="35"/>
      <c r="D848" s="36"/>
      <c r="E848" s="37"/>
      <c r="H848" s="82" t="s">
        <v>1917</v>
      </c>
      <c r="I848" s="91" t="s">
        <v>1918</v>
      </c>
    </row>
    <row r="849" spans="1:14" ht="14.4" x14ac:dyDescent="0.3">
      <c r="A849" s="28" t="str">
        <f>HYPERLINK("https://www.google.com/search?q=Hypocryptadius cinnamomeus&amp;tbm=isch")</f>
        <v>https://www.google.com/search?q=Hypocryptadius cinnamomeus&amp;tbm=isch</v>
      </c>
      <c r="B849" s="29" t="str">
        <f>HYPERLINK("https://www.xeno-canto.org/species/Hypocryptadius-cinnamomeus")</f>
        <v>https://www.xeno-canto.org/species/Hypocryptadius-cinnamomeus</v>
      </c>
      <c r="C849" s="30" t="str">
        <f>HYPERLINK("https://ebird.org/species/cinwhe1")</f>
        <v>https://ebird.org/species/cinwhe1</v>
      </c>
      <c r="D849" s="31" t="str">
        <f>HYPERLINK("https://www.hbw.com/species/Cinnamon-Ibon-Hypocryptadius-cinnamomeus")</f>
        <v>https://www.hbw.com/species/Cinnamon-Ibon-Hypocryptadius-cinnamomeus</v>
      </c>
      <c r="E849" s="32" t="str">
        <f>HYPERLINK("https://www.iucnredlist.org/search?query=Hypocryptadius cinnamomeus&amp;searchType=species")</f>
        <v>https://www.iucnredlist.org/search?query=Hypocryptadius cinnamomeus&amp;searchType=species</v>
      </c>
      <c r="F849" s="2">
        <v>669</v>
      </c>
      <c r="G849" s="27" t="s">
        <v>1918</v>
      </c>
      <c r="H849" s="86" t="s">
        <v>1919</v>
      </c>
      <c r="I849" s="94" t="s">
        <v>1920</v>
      </c>
      <c r="J849" s="1" t="s">
        <v>65</v>
      </c>
      <c r="M849" s="2" t="s">
        <v>68</v>
      </c>
    </row>
    <row r="850" spans="1:14" ht="14.4" x14ac:dyDescent="0.3">
      <c r="A850" s="28" t="str">
        <f>HYPERLINK("https://www.google.com/search?q=Passer montanus&amp;tbm=isch")</f>
        <v>https://www.google.com/search?q=Passer montanus&amp;tbm=isch</v>
      </c>
      <c r="B850" s="29" t="str">
        <f>HYPERLINK("https://www.xeno-canto.org/species/Passer-montanus")</f>
        <v>https://www.xeno-canto.org/species/Passer-montanus</v>
      </c>
      <c r="C850" s="30" t="str">
        <f>HYPERLINK("https://ebird.org/species/eutspa")</f>
        <v>https://ebird.org/species/eutspa</v>
      </c>
      <c r="D850" s="31" t="str">
        <f>HYPERLINK("https://www.hbw.com/species/Eurasian-Tree-Sparrow-Passer-montanus")</f>
        <v>https://www.hbw.com/species/Eurasian-Tree-Sparrow-Passer-montanus</v>
      </c>
      <c r="E850" s="32" t="str">
        <f>HYPERLINK("https://www.iucnredlist.org/search?query=Passer montanus&amp;searchType=species")</f>
        <v>https://www.iucnredlist.org/search?query=Passer montanus&amp;searchType=species</v>
      </c>
      <c r="F850" s="2">
        <v>670</v>
      </c>
      <c r="G850" s="27" t="s">
        <v>1918</v>
      </c>
      <c r="H850" s="88" t="s">
        <v>1921</v>
      </c>
      <c r="I850" s="95" t="s">
        <v>1922</v>
      </c>
      <c r="J850" s="1" t="s">
        <v>107</v>
      </c>
      <c r="M850" s="2" t="s">
        <v>488</v>
      </c>
    </row>
    <row r="851" spans="1:14" x14ac:dyDescent="0.3">
      <c r="A851" s="33"/>
      <c r="B851" s="34"/>
      <c r="C851" s="35"/>
      <c r="D851" s="36"/>
      <c r="E851" s="37"/>
    </row>
    <row r="852" spans="1:14" ht="12" x14ac:dyDescent="0.3">
      <c r="A852" s="33"/>
      <c r="B852" s="34"/>
      <c r="C852" s="35"/>
      <c r="D852" s="36"/>
      <c r="E852" s="37"/>
      <c r="H852" s="82" t="s">
        <v>1923</v>
      </c>
      <c r="I852" s="91" t="s">
        <v>1924</v>
      </c>
    </row>
    <row r="853" spans="1:14" ht="20.399999999999999" x14ac:dyDescent="0.3">
      <c r="A853" s="28" t="str">
        <f>HYPERLINK("https://www.google.com/search?q=Erythrura hyperythra&amp;tbm=isch")</f>
        <v>https://www.google.com/search?q=Erythrura hyperythra&amp;tbm=isch</v>
      </c>
      <c r="B853" s="29" t="str">
        <f>HYPERLINK("https://www.xeno-canto.org/species/Erythrura-hyperythra")</f>
        <v>https://www.xeno-canto.org/species/Erythrura-hyperythra</v>
      </c>
      <c r="C853" s="30" t="str">
        <f>HYPERLINK("https://ebird.org/species/tabpar1")</f>
        <v>https://ebird.org/species/tabpar1</v>
      </c>
      <c r="D853" s="31" t="str">
        <f>HYPERLINK("https://www.hbw.com/species/Tawny-breasted-Parrotfinch-Erythrura-hyperythra")</f>
        <v>https://www.hbw.com/species/Tawny-breasted-Parrotfinch-Erythrura-hyperythra</v>
      </c>
      <c r="E853" s="32" t="str">
        <f>HYPERLINK("https://www.iucnredlist.org/search?query=Erythrura hyperythra&amp;searchType=species")</f>
        <v>https://www.iucnredlist.org/search?query=Erythrura hyperythra&amp;searchType=species</v>
      </c>
      <c r="F853" s="2">
        <v>671</v>
      </c>
      <c r="G853" s="27" t="s">
        <v>1924</v>
      </c>
      <c r="H853" s="84" t="s">
        <v>1925</v>
      </c>
      <c r="I853" s="92" t="s">
        <v>1926</v>
      </c>
      <c r="J853" s="1" t="s">
        <v>15</v>
      </c>
      <c r="M853" s="2" t="s">
        <v>1927</v>
      </c>
    </row>
    <row r="854" spans="1:14" ht="30.6" x14ac:dyDescent="0.3">
      <c r="A854" s="28" t="str">
        <f>HYPERLINK("https://www.google.com/search?q=Erythrura prasina&amp;tbm=isch")</f>
        <v>https://www.google.com/search?q=Erythrura prasina&amp;tbm=isch</v>
      </c>
      <c r="B854" s="29" t="str">
        <f>HYPERLINK("https://www.xeno-canto.org/species/Erythrura-prasina")</f>
        <v>https://www.xeno-canto.org/species/Erythrura-prasina</v>
      </c>
      <c r="C854" s="30" t="str">
        <f>HYPERLINK("https://ebird.org/species/pitpar1")</f>
        <v>https://ebird.org/species/pitpar1</v>
      </c>
      <c r="D854" s="31" t="str">
        <f>HYPERLINK("https://www.hbw.com/species/Pin-tailed-Parrotfinch-Erythrura-prasina")</f>
        <v>https://www.hbw.com/species/Pin-tailed-Parrotfinch-Erythrura-prasina</v>
      </c>
      <c r="E854" s="32" t="str">
        <f>HYPERLINK("https://www.iucnredlist.org/search?query=Erythrura prasina&amp;searchType=species")</f>
        <v>https://www.iucnredlist.org/search?query=Erythrura prasina&amp;searchType=species</v>
      </c>
      <c r="F854" s="2">
        <v>672</v>
      </c>
      <c r="G854" s="27" t="s">
        <v>1924</v>
      </c>
      <c r="H854" s="85" t="s">
        <v>1928</v>
      </c>
      <c r="I854" s="93" t="s">
        <v>1929</v>
      </c>
      <c r="J854" s="1" t="s">
        <v>10</v>
      </c>
      <c r="M854" s="2" t="s">
        <v>1930</v>
      </c>
      <c r="N854" s="2" t="s">
        <v>11354</v>
      </c>
    </row>
    <row r="855" spans="1:14" ht="14.4" x14ac:dyDescent="0.3">
      <c r="A855" s="28" t="str">
        <f>HYPERLINK("https://www.google.com/search?q=Erythrura viridifacies&amp;tbm=isch")</f>
        <v>https://www.google.com/search?q=Erythrura viridifacies&amp;tbm=isch</v>
      </c>
      <c r="B855" s="29" t="str">
        <f>HYPERLINK("https://www.xeno-canto.org/species/Erythrura-viridifacies")</f>
        <v>https://www.xeno-canto.org/species/Erythrura-viridifacies</v>
      </c>
      <c r="C855" s="30" t="str">
        <f>HYPERLINK("https://ebird.org/species/grfpar1")</f>
        <v>https://ebird.org/species/grfpar1</v>
      </c>
      <c r="D855" s="31" t="str">
        <f>HYPERLINK("https://www.hbw.com/species/Green-faced-Parrotfinch-Erythrura-viridifacies")</f>
        <v>https://www.hbw.com/species/Green-faced-Parrotfinch-Erythrura-viridifacies</v>
      </c>
      <c r="E855" s="32" t="str">
        <f>HYPERLINK("https://www.iucnredlist.org/search?query=Erythrura viridifacies&amp;searchType=species")</f>
        <v>https://www.iucnredlist.org/search?query=Erythrura viridifacies&amp;searchType=species</v>
      </c>
      <c r="F855" s="2">
        <v>673</v>
      </c>
      <c r="G855" s="27" t="s">
        <v>1924</v>
      </c>
      <c r="H855" s="86" t="s">
        <v>1931</v>
      </c>
      <c r="I855" s="94" t="s">
        <v>1932</v>
      </c>
      <c r="J855" s="1" t="s">
        <v>65</v>
      </c>
      <c r="K855" s="1" t="s">
        <v>66</v>
      </c>
      <c r="L855" s="1" t="s">
        <v>66</v>
      </c>
      <c r="M855" s="2" t="s">
        <v>68</v>
      </c>
    </row>
    <row r="856" spans="1:14" ht="14.4" x14ac:dyDescent="0.3">
      <c r="A856" s="28" t="str">
        <f>HYPERLINK("https://www.google.com/search?q=Erythrura coloria&amp;tbm=isch")</f>
        <v>https://www.google.com/search?q=Erythrura coloria&amp;tbm=isch</v>
      </c>
      <c r="B856" s="29" t="str">
        <f>HYPERLINK("https://www.xeno-canto.org/species/Erythrura-coloria")</f>
        <v>https://www.xeno-canto.org/species/Erythrura-coloria</v>
      </c>
      <c r="C856" s="30" t="str">
        <f>HYPERLINK("https://ebird.org/species/reepar2")</f>
        <v>https://ebird.org/species/reepar2</v>
      </c>
      <c r="D856" s="31" t="str">
        <f>HYPERLINK("https://www.hbw.com/species/Red-eared-Parrotfinch-Erythrura-coloria")</f>
        <v>https://www.hbw.com/species/Red-eared-Parrotfinch-Erythrura-coloria</v>
      </c>
      <c r="E856" s="32" t="str">
        <f>HYPERLINK("https://www.iucnredlist.org/search?query=Erythrura coloria&amp;searchType=species")</f>
        <v>https://www.iucnredlist.org/search?query=Erythrura coloria&amp;searchType=species</v>
      </c>
      <c r="F856" s="2">
        <v>674</v>
      </c>
      <c r="G856" s="27" t="s">
        <v>1924</v>
      </c>
      <c r="H856" s="86" t="s">
        <v>1933</v>
      </c>
      <c r="I856" s="94" t="s">
        <v>1934</v>
      </c>
      <c r="J856" s="1" t="s">
        <v>65</v>
      </c>
      <c r="K856" s="1" t="s">
        <v>58</v>
      </c>
      <c r="L856" s="1" t="s">
        <v>130</v>
      </c>
      <c r="M856" s="2" t="s">
        <v>68</v>
      </c>
    </row>
    <row r="857" spans="1:14" ht="14.4" x14ac:dyDescent="0.3">
      <c r="A857" s="28" t="str">
        <f>HYPERLINK("https://www.google.com/search?q=Lonchura fuscans&amp;tbm=isch")</f>
        <v>https://www.google.com/search?q=Lonchura fuscans&amp;tbm=isch</v>
      </c>
      <c r="B857" s="29" t="str">
        <f>HYPERLINK("https://www.xeno-canto.org/species/Lonchura-fuscans")</f>
        <v>https://www.xeno-canto.org/species/Lonchura-fuscans</v>
      </c>
      <c r="C857" s="30" t="str">
        <f>HYPERLINK("https://ebird.org/species/dusmun1")</f>
        <v>https://ebird.org/species/dusmun1</v>
      </c>
      <c r="D857" s="31" t="str">
        <f>HYPERLINK("https://www.hbw.com/species/Dusky-Munia-Lonchura-fuscans")</f>
        <v>https://www.hbw.com/species/Dusky-Munia-Lonchura-fuscans</v>
      </c>
      <c r="E857" s="32" t="str">
        <f>HYPERLINK("https://www.iucnredlist.org/search?query=Lonchura fuscans&amp;searchType=species")</f>
        <v>https://www.iucnredlist.org/search?query=Lonchura fuscans&amp;searchType=species</v>
      </c>
      <c r="F857" s="2">
        <v>675</v>
      </c>
      <c r="G857" s="27" t="s">
        <v>1924</v>
      </c>
      <c r="H857" s="83" t="s">
        <v>1935</v>
      </c>
      <c r="I857" s="92" t="s">
        <v>1936</v>
      </c>
      <c r="J857" s="1" t="s">
        <v>15</v>
      </c>
      <c r="M857" s="2" t="s">
        <v>1937</v>
      </c>
    </row>
    <row r="858" spans="1:14" ht="20.399999999999999" x14ac:dyDescent="0.3">
      <c r="A858" s="28" t="str">
        <f>HYPERLINK("https://www.google.com/search?q=Lonchura punctulata&amp;tbm=isch")</f>
        <v>https://www.google.com/search?q=Lonchura punctulata&amp;tbm=isch</v>
      </c>
      <c r="B858" s="29" t="str">
        <f>HYPERLINK("https://www.xeno-canto.org/species/Lonchura-punctulata")</f>
        <v>https://www.xeno-canto.org/species/Lonchura-punctulata</v>
      </c>
      <c r="C858" s="30" t="str">
        <f>HYPERLINK("https://ebird.org/species/nutman")</f>
        <v>https://ebird.org/species/nutman</v>
      </c>
      <c r="D858" s="31" t="str">
        <f>HYPERLINK("https://www.hbw.com/species/Scaly-breasted-Munia-Lonchura-punctulata")</f>
        <v>https://www.hbw.com/species/Scaly-breasted-Munia-Lonchura-punctulata</v>
      </c>
      <c r="E858" s="32" t="str">
        <f>HYPERLINK("https://www.iucnredlist.org/search?query=Lonchura punctulata&amp;searchType=species")</f>
        <v>https://www.iucnredlist.org/search?query=Lonchura punctulata&amp;searchType=species</v>
      </c>
      <c r="F858" s="2">
        <v>676</v>
      </c>
      <c r="G858" s="27" t="s">
        <v>1924</v>
      </c>
      <c r="H858" s="84" t="s">
        <v>1938</v>
      </c>
      <c r="I858" s="92" t="s">
        <v>1939</v>
      </c>
      <c r="J858" s="1" t="s">
        <v>15</v>
      </c>
      <c r="M858" s="2" t="s">
        <v>1811</v>
      </c>
    </row>
    <row r="859" spans="1:14" ht="14.4" x14ac:dyDescent="0.3">
      <c r="A859" s="28" t="str">
        <f>HYPERLINK("https://www.google.com/search?q=Lonchura leucogastra&amp;tbm=isch")</f>
        <v>https://www.google.com/search?q=Lonchura leucogastra&amp;tbm=isch</v>
      </c>
      <c r="B859" s="29" t="str">
        <f>HYPERLINK("https://www.xeno-canto.org/species/Lonchura-leucogastra")</f>
        <v>https://www.xeno-canto.org/species/Lonchura-leucogastra</v>
      </c>
      <c r="C859" s="30" t="str">
        <f>HYPERLINK("https://ebird.org/species/whbmun1")</f>
        <v>https://ebird.org/species/whbmun1</v>
      </c>
      <c r="D859" s="31" t="str">
        <f>HYPERLINK("https://www.hbw.com/species/White-bellied-Munia-Lonchura-leucogastra")</f>
        <v>https://www.hbw.com/species/White-bellied-Munia-Lonchura-leucogastra</v>
      </c>
      <c r="E859" s="32" t="str">
        <f>HYPERLINK("https://www.iucnredlist.org/search?query=Lonchura leucogastra&amp;searchType=species")</f>
        <v>https://www.iucnredlist.org/search?query=Lonchura leucogastra&amp;searchType=species</v>
      </c>
      <c r="F859" s="2">
        <v>677</v>
      </c>
      <c r="G859" s="27" t="s">
        <v>1924</v>
      </c>
      <c r="H859" s="84" t="s">
        <v>1940</v>
      </c>
      <c r="I859" s="92" t="s">
        <v>1941</v>
      </c>
      <c r="J859" s="1" t="s">
        <v>15</v>
      </c>
      <c r="M859" s="2" t="s">
        <v>1266</v>
      </c>
    </row>
    <row r="860" spans="1:14" ht="14.4" x14ac:dyDescent="0.3">
      <c r="A860" s="28" t="str">
        <f>HYPERLINK("https://www.google.com/search?q=Lonchura atricapilla&amp;tbm=isch")</f>
        <v>https://www.google.com/search?q=Lonchura atricapilla&amp;tbm=isch</v>
      </c>
      <c r="B860" s="29" t="str">
        <f>HYPERLINK("https://www.xeno-canto.org/species/Lonchura-atricapilla")</f>
        <v>https://www.xeno-canto.org/species/Lonchura-atricapilla</v>
      </c>
      <c r="C860" s="30" t="str">
        <f>HYPERLINK("https://ebird.org/species/chemun")</f>
        <v>https://ebird.org/species/chemun</v>
      </c>
      <c r="D860" s="31" t="str">
        <f>HYPERLINK("https://www.hbw.com/species/Chestnut-Munia-Lonchura-atricapilla")</f>
        <v>https://www.hbw.com/species/Chestnut-Munia-Lonchura-atricapilla</v>
      </c>
      <c r="E860" s="32" t="str">
        <f>HYPERLINK("https://www.iucnredlist.org/search?query=Lonchura atricapilla&amp;searchType=species")</f>
        <v>https://www.iucnredlist.org/search?query=Lonchura atricapilla&amp;searchType=species</v>
      </c>
      <c r="F860" s="2">
        <v>678</v>
      </c>
      <c r="G860" s="27" t="s">
        <v>1924</v>
      </c>
      <c r="H860" s="84" t="s">
        <v>1942</v>
      </c>
      <c r="I860" s="92" t="s">
        <v>1943</v>
      </c>
      <c r="J860" s="1" t="s">
        <v>15</v>
      </c>
      <c r="M860" s="2" t="s">
        <v>1944</v>
      </c>
    </row>
    <row r="861" spans="1:14" ht="14.4" x14ac:dyDescent="0.3">
      <c r="A861" s="28" t="str">
        <f>HYPERLINK("https://www.google.com/search?q=Lonchura oryzivora&amp;tbm=isch")</f>
        <v>https://www.google.com/search?q=Lonchura oryzivora&amp;tbm=isch</v>
      </c>
      <c r="B861" s="29" t="str">
        <f>HYPERLINK("https://www.xeno-canto.org/species/Lonchura-oryzivora")</f>
        <v>https://www.xeno-canto.org/species/Lonchura-oryzivora</v>
      </c>
      <c r="C861" s="30" t="str">
        <f>HYPERLINK("https://ebird.org/species/javspa")</f>
        <v>https://ebird.org/species/javspa</v>
      </c>
      <c r="D861" s="31" t="str">
        <f>HYPERLINK("https://www.hbw.com/species/Java-Sparrow-Lonchura-oryzivora")</f>
        <v>https://www.hbw.com/species/Java-Sparrow-Lonchura-oryzivora</v>
      </c>
      <c r="E861" s="32" t="str">
        <f>HYPERLINK("https://www.iucnredlist.org/search?query=Lonchura oryzivora&amp;searchType=species")</f>
        <v>https://www.iucnredlist.org/search?query=Lonchura oryzivora&amp;searchType=species</v>
      </c>
      <c r="F861" s="2">
        <v>679</v>
      </c>
      <c r="G861" s="27" t="s">
        <v>1924</v>
      </c>
      <c r="H861" s="88" t="s">
        <v>1945</v>
      </c>
      <c r="I861" s="95" t="s">
        <v>1946</v>
      </c>
      <c r="J861" s="1" t="s">
        <v>107</v>
      </c>
      <c r="K861" s="1" t="s">
        <v>67</v>
      </c>
      <c r="M861" s="2" t="s">
        <v>1947</v>
      </c>
      <c r="N861" s="2" t="s">
        <v>11355</v>
      </c>
    </row>
    <row r="862" spans="1:14" x14ac:dyDescent="0.3">
      <c r="A862" s="33"/>
      <c r="B862" s="34"/>
      <c r="C862" s="35"/>
      <c r="D862" s="36"/>
      <c r="E862" s="37"/>
    </row>
    <row r="863" spans="1:14" ht="12" x14ac:dyDescent="0.3">
      <c r="A863" s="33"/>
      <c r="B863" s="34"/>
      <c r="C863" s="35"/>
      <c r="D863" s="36"/>
      <c r="E863" s="37"/>
      <c r="H863" s="82" t="s">
        <v>1948</v>
      </c>
      <c r="I863" s="91" t="s">
        <v>1949</v>
      </c>
    </row>
    <row r="864" spans="1:14" ht="14.4" x14ac:dyDescent="0.3">
      <c r="A864" s="28" t="str">
        <f>HYPERLINK("https://www.google.com/search?q=Dendronanthus indicus&amp;tbm=isch")</f>
        <v>https://www.google.com/search?q=Dendronanthus indicus&amp;tbm=isch</v>
      </c>
      <c r="B864" s="29" t="str">
        <f>HYPERLINK("https://www.xeno-canto.org/species/Dendronanthus-indicus")</f>
        <v>https://www.xeno-canto.org/species/Dendronanthus-indicus</v>
      </c>
      <c r="C864" s="30" t="str">
        <f>HYPERLINK("https://ebird.org/species/forwag1")</f>
        <v>https://ebird.org/species/forwag1</v>
      </c>
      <c r="D864" s="31" t="str">
        <f>HYPERLINK("https://www.hbw.com/species/Forest-Wagtail-Dendronanthus-indicus")</f>
        <v>https://www.hbw.com/species/Forest-Wagtail-Dendronanthus-indicus</v>
      </c>
      <c r="E864" s="32" t="str">
        <f>HYPERLINK("https://www.iucnredlist.org/search?query=Dendronanthus indicus&amp;searchType=species")</f>
        <v>https://www.iucnredlist.org/search?query=Dendronanthus indicus&amp;searchType=species</v>
      </c>
      <c r="F864" s="2">
        <v>680</v>
      </c>
      <c r="G864" s="27" t="s">
        <v>1949</v>
      </c>
      <c r="H864" s="84" t="s">
        <v>1950</v>
      </c>
      <c r="I864" s="92" t="s">
        <v>1951</v>
      </c>
      <c r="J864" s="1" t="s">
        <v>50</v>
      </c>
      <c r="M864" s="2" t="s">
        <v>1952</v>
      </c>
    </row>
    <row r="865" spans="1:14" ht="14.4" x14ac:dyDescent="0.3">
      <c r="A865" s="28" t="str">
        <f>HYPERLINK("https://www.google.com/search?q=Motacilla tschutschensis&amp;tbm=isch")</f>
        <v>https://www.google.com/search?q=Motacilla tschutschensis&amp;tbm=isch</v>
      </c>
      <c r="B865" s="29" t="str">
        <f>HYPERLINK("https://www.xeno-canto.org/species/Motacilla-tschutschensis")</f>
        <v>https://www.xeno-canto.org/species/Motacilla-tschutschensis</v>
      </c>
      <c r="C865" s="30" t="str">
        <f>HYPERLINK("https://ebird.org/species/eaywag")</f>
        <v>https://ebird.org/species/eaywag</v>
      </c>
      <c r="D865" s="31" t="str">
        <f>HYPERLINK("https://www.hbw.com/species/Eastern-Yellow-Wagtail-Motacilla-tschutschensis")</f>
        <v>https://www.hbw.com/species/Eastern-Yellow-Wagtail-Motacilla-tschutschensis</v>
      </c>
      <c r="E865" s="32" t="str">
        <f>HYPERLINK("https://www.iucnredlist.org/search?query=Motacilla tschutschensis&amp;searchType=species")</f>
        <v>https://www.iucnredlist.org/search?query=Motacilla tschutschensis&amp;searchType=species</v>
      </c>
      <c r="F865" s="2">
        <v>681</v>
      </c>
      <c r="G865" s="27" t="s">
        <v>1949</v>
      </c>
      <c r="H865" s="83" t="s">
        <v>1953</v>
      </c>
      <c r="I865" s="92" t="s">
        <v>1954</v>
      </c>
      <c r="J865" s="1" t="s">
        <v>50</v>
      </c>
      <c r="M865" s="2" t="s">
        <v>1955</v>
      </c>
      <c r="N865" s="2" t="s">
        <v>11356</v>
      </c>
    </row>
    <row r="866" spans="1:14" ht="30.6" x14ac:dyDescent="0.3">
      <c r="A866" s="28" t="str">
        <f>HYPERLINK("https://www.google.com/search?q=Motacilla citreola&amp;tbm=isch")</f>
        <v>https://www.google.com/search?q=Motacilla citreola&amp;tbm=isch</v>
      </c>
      <c r="B866" s="29" t="str">
        <f>HYPERLINK("https://www.xeno-canto.org/species/Motacilla-citreola")</f>
        <v>https://www.xeno-canto.org/species/Motacilla-citreola</v>
      </c>
      <c r="C866" s="30" t="str">
        <f>HYPERLINK("https://ebird.org/species/citwag")</f>
        <v>https://ebird.org/species/citwag</v>
      </c>
      <c r="D866" s="31" t="str">
        <f>HYPERLINK("https://www.hbw.com/species/Citrine-Wagtail-Motacilla-citreola")</f>
        <v>https://www.hbw.com/species/Citrine-Wagtail-Motacilla-citreola</v>
      </c>
      <c r="E866" s="32" t="str">
        <f>HYPERLINK("https://www.iucnredlist.org/search?query=Motacilla citreola&amp;searchType=species")</f>
        <v>https://www.iucnredlist.org/search?query=Motacilla citreola&amp;searchType=species</v>
      </c>
      <c r="F866" s="2">
        <v>682</v>
      </c>
      <c r="G866" s="27" t="s">
        <v>1949</v>
      </c>
      <c r="H866" s="85" t="s">
        <v>1956</v>
      </c>
      <c r="I866" s="93" t="s">
        <v>1957</v>
      </c>
      <c r="J866" s="1" t="s">
        <v>19</v>
      </c>
      <c r="M866" s="2" t="s">
        <v>92</v>
      </c>
      <c r="N866" s="2" t="s">
        <v>1958</v>
      </c>
    </row>
    <row r="867" spans="1:14" ht="14.4" x14ac:dyDescent="0.3">
      <c r="A867" s="28" t="str">
        <f>HYPERLINK("https://www.google.com/search?q=Motacilla cinerea&amp;tbm=isch")</f>
        <v>https://www.google.com/search?q=Motacilla cinerea&amp;tbm=isch</v>
      </c>
      <c r="B867" s="29" t="str">
        <f>HYPERLINK("https://www.xeno-canto.org/species/Motacilla-cinerea")</f>
        <v>https://www.xeno-canto.org/species/Motacilla-cinerea</v>
      </c>
      <c r="C867" s="30" t="str">
        <f>HYPERLINK("https://ebird.org/species/grywag")</f>
        <v>https://ebird.org/species/grywag</v>
      </c>
      <c r="D867" s="31" t="str">
        <f>HYPERLINK("https://www.hbw.com/species/Grey-Wagtail-Motacilla-cinerea")</f>
        <v>https://www.hbw.com/species/Grey-Wagtail-Motacilla-cinerea</v>
      </c>
      <c r="E867" s="32" t="str">
        <f>HYPERLINK("https://www.iucnredlist.org/search?query=Motacilla cinerea&amp;searchType=species")</f>
        <v>https://www.iucnredlist.org/search?query=Motacilla cinerea&amp;searchType=species</v>
      </c>
      <c r="F867" s="2">
        <v>683</v>
      </c>
      <c r="G867" s="27" t="s">
        <v>1949</v>
      </c>
      <c r="H867" s="84" t="s">
        <v>1959</v>
      </c>
      <c r="I867" s="92" t="s">
        <v>1960</v>
      </c>
      <c r="J867" s="1" t="s">
        <v>50</v>
      </c>
      <c r="M867" s="2" t="s">
        <v>92</v>
      </c>
    </row>
    <row r="868" spans="1:14" ht="20.399999999999999" x14ac:dyDescent="0.3">
      <c r="A868" s="28" t="str">
        <f>HYPERLINK("https://www.google.com/search?q=Motacilla alba&amp;tbm=isch")</f>
        <v>https://www.google.com/search?q=Motacilla alba&amp;tbm=isch</v>
      </c>
      <c r="B868" s="29" t="str">
        <f>HYPERLINK("https://www.xeno-canto.org/species/Motacilla-alba")</f>
        <v>https://www.xeno-canto.org/species/Motacilla-alba</v>
      </c>
      <c r="C868" s="30" t="str">
        <f>HYPERLINK("https://ebird.org/species/whiwag")</f>
        <v>https://ebird.org/species/whiwag</v>
      </c>
      <c r="D868" s="31" t="str">
        <f>HYPERLINK("https://www.hbw.com/species/White-Wagtail-Motacilla-alba")</f>
        <v>https://www.hbw.com/species/White-Wagtail-Motacilla-alba</v>
      </c>
      <c r="E868" s="32" t="str">
        <f>HYPERLINK("https://www.iucnredlist.org/search?query=Motacilla alba&amp;searchType=species")</f>
        <v>https://www.iucnredlist.org/search?query=Motacilla alba&amp;searchType=species</v>
      </c>
      <c r="F868" s="2">
        <v>684</v>
      </c>
      <c r="G868" s="27" t="s">
        <v>1949</v>
      </c>
      <c r="H868" s="84" t="s">
        <v>1961</v>
      </c>
      <c r="I868" s="92" t="s">
        <v>1962</v>
      </c>
      <c r="J868" s="1" t="s">
        <v>50</v>
      </c>
      <c r="M868" s="2" t="s">
        <v>1779</v>
      </c>
      <c r="N868" s="2" t="s">
        <v>1963</v>
      </c>
    </row>
    <row r="869" spans="1:14" ht="30.6" x14ac:dyDescent="0.3">
      <c r="A869" s="28" t="str">
        <f>HYPERLINK("https://www.google.com/search?q=Anthus richardi&amp;tbm=isch")</f>
        <v>https://www.google.com/search?q=Anthus richardi&amp;tbm=isch</v>
      </c>
      <c r="B869" s="29" t="str">
        <f>HYPERLINK("https://www.xeno-canto.org/species/Anthus-richardi")</f>
        <v>https://www.xeno-canto.org/species/Anthus-richardi</v>
      </c>
      <c r="C869" s="30" t="str">
        <f>HYPERLINK("https://ebird.org/species/ricpip1")</f>
        <v>https://ebird.org/species/ricpip1</v>
      </c>
      <c r="D869" s="31" t="str">
        <f>HYPERLINK("https://www.hbw.com/species/Richard's-Pipit-Anthus-richardi")</f>
        <v>https://www.hbw.com/species/Richard's-Pipit-Anthus-richardi</v>
      </c>
      <c r="E869" s="32" t="str">
        <f>HYPERLINK("https://www.iucnredlist.org/search?query=Anthus richardi&amp;searchType=species")</f>
        <v>https://www.iucnredlist.org/search?query=Anthus richardi&amp;searchType=species</v>
      </c>
      <c r="F869" s="2">
        <v>685</v>
      </c>
      <c r="G869" s="27" t="s">
        <v>1949</v>
      </c>
      <c r="H869" s="85" t="s">
        <v>1964</v>
      </c>
      <c r="I869" s="93" t="s">
        <v>1965</v>
      </c>
      <c r="J869" s="1" t="s">
        <v>19</v>
      </c>
      <c r="M869" s="2" t="s">
        <v>1966</v>
      </c>
      <c r="N869" s="2" t="s">
        <v>1967</v>
      </c>
    </row>
    <row r="870" spans="1:14" ht="20.399999999999999" x14ac:dyDescent="0.3">
      <c r="A870" s="28" t="str">
        <f>HYPERLINK("https://www.google.com/search?q=Anthus rufulus&amp;tbm=isch")</f>
        <v>https://www.google.com/search?q=Anthus rufulus&amp;tbm=isch</v>
      </c>
      <c r="B870" s="29" t="str">
        <f>HYPERLINK("https://www.xeno-canto.org/species/Anthus-rufulus")</f>
        <v>https://www.xeno-canto.org/species/Anthus-rufulus</v>
      </c>
      <c r="C870" s="30" t="str">
        <f>HYPERLINK("https://ebird.org/species/oripip1")</f>
        <v>https://ebird.org/species/oripip1</v>
      </c>
      <c r="D870" s="31" t="str">
        <f>HYPERLINK("https://www.hbw.com/species/Paddyfield-Pipit-Anthus-rufulus")</f>
        <v>https://www.hbw.com/species/Paddyfield-Pipit-Anthus-rufulus</v>
      </c>
      <c r="E870" s="32" t="str">
        <f>HYPERLINK("https://www.iucnredlist.org/search?query=Anthus rufulus&amp;searchType=species")</f>
        <v>https://www.iucnredlist.org/search?query=Anthus rufulus&amp;searchType=species</v>
      </c>
      <c r="F870" s="2">
        <v>686</v>
      </c>
      <c r="G870" s="27" t="s">
        <v>1949</v>
      </c>
      <c r="H870" s="84" t="s">
        <v>1968</v>
      </c>
      <c r="I870" s="92" t="s">
        <v>1969</v>
      </c>
      <c r="J870" s="1" t="s">
        <v>15</v>
      </c>
      <c r="M870" s="2" t="s">
        <v>1970</v>
      </c>
    </row>
    <row r="871" spans="1:14" ht="14.4" x14ac:dyDescent="0.3">
      <c r="A871" s="28" t="str">
        <f>HYPERLINK("https://www.google.com/search?q=Anthus hodgsoni&amp;tbm=isch")</f>
        <v>https://www.google.com/search?q=Anthus hodgsoni&amp;tbm=isch</v>
      </c>
      <c r="B871" s="29" t="str">
        <f>HYPERLINK("https://www.xeno-canto.org/species/Anthus-hodgsoni")</f>
        <v>https://www.xeno-canto.org/species/Anthus-hodgsoni</v>
      </c>
      <c r="C871" s="30" t="str">
        <f>HYPERLINK("https://ebird.org/species/olbpip")</f>
        <v>https://ebird.org/species/olbpip</v>
      </c>
      <c r="D871" s="31" t="str">
        <f>HYPERLINK("https://www.hbw.com/species/Olive-backed-Pipit-Anthus-hodgsoni")</f>
        <v>https://www.hbw.com/species/Olive-backed-Pipit-Anthus-hodgsoni</v>
      </c>
      <c r="E871" s="32" t="str">
        <f>HYPERLINK("https://www.iucnredlist.org/search?query=Anthus hodgsoni&amp;searchType=species")</f>
        <v>https://www.iucnredlist.org/search?query=Anthus hodgsoni&amp;searchType=species</v>
      </c>
      <c r="F871" s="2">
        <v>687</v>
      </c>
      <c r="G871" s="27" t="s">
        <v>1949</v>
      </c>
      <c r="H871" s="84" t="s">
        <v>1971</v>
      </c>
      <c r="I871" s="92" t="s">
        <v>1972</v>
      </c>
      <c r="J871" s="1" t="s">
        <v>50</v>
      </c>
      <c r="M871" s="2" t="s">
        <v>360</v>
      </c>
    </row>
    <row r="872" spans="1:14" ht="14.4" x14ac:dyDescent="0.3">
      <c r="A872" s="28" t="str">
        <f>HYPERLINK("https://www.google.com/search?q=Anthus gustavi&amp;tbm=isch")</f>
        <v>https://www.google.com/search?q=Anthus gustavi&amp;tbm=isch</v>
      </c>
      <c r="B872" s="29" t="str">
        <f>HYPERLINK("https://www.xeno-canto.org/species/Anthus-gustavi")</f>
        <v>https://www.xeno-canto.org/species/Anthus-gustavi</v>
      </c>
      <c r="C872" s="30" t="str">
        <f>HYPERLINK("https://ebird.org/species/pecpip")</f>
        <v>https://ebird.org/species/pecpip</v>
      </c>
      <c r="D872" s="31" t="str">
        <f>HYPERLINK("https://www.hbw.com/species/Pechora-Pipit-Anthus-gustavi")</f>
        <v>https://www.hbw.com/species/Pechora-Pipit-Anthus-gustavi</v>
      </c>
      <c r="E872" s="32" t="str">
        <f>HYPERLINK("https://www.iucnredlist.org/search?query=Anthus gustavi&amp;searchType=species")</f>
        <v>https://www.iucnredlist.org/search?query=Anthus gustavi&amp;searchType=species</v>
      </c>
      <c r="F872" s="2">
        <v>688</v>
      </c>
      <c r="G872" s="27" t="s">
        <v>1949</v>
      </c>
      <c r="H872" s="84" t="s">
        <v>1973</v>
      </c>
      <c r="I872" s="92" t="s">
        <v>1974</v>
      </c>
      <c r="J872" s="1" t="s">
        <v>50</v>
      </c>
      <c r="M872" s="2" t="s">
        <v>1975</v>
      </c>
    </row>
    <row r="873" spans="1:14" ht="14.4" x14ac:dyDescent="0.3">
      <c r="A873" s="28" t="str">
        <f>HYPERLINK("https://www.google.com/search?q=Anthus cervinus&amp;tbm=isch")</f>
        <v>https://www.google.com/search?q=Anthus cervinus&amp;tbm=isch</v>
      </c>
      <c r="B873" s="29" t="str">
        <f>HYPERLINK("https://www.xeno-canto.org/species/Anthus-cervinus")</f>
        <v>https://www.xeno-canto.org/species/Anthus-cervinus</v>
      </c>
      <c r="C873" s="30" t="str">
        <f>HYPERLINK("https://ebird.org/species/retpip")</f>
        <v>https://ebird.org/species/retpip</v>
      </c>
      <c r="D873" s="31" t="str">
        <f>HYPERLINK("https://www.hbw.com/species/Red-throated-Pipit-Anthus-cervinus")</f>
        <v>https://www.hbw.com/species/Red-throated-Pipit-Anthus-cervinus</v>
      </c>
      <c r="E873" s="32" t="str">
        <f>HYPERLINK("https://www.iucnredlist.org/search?query=Anthus cervinus&amp;searchType=species")</f>
        <v>https://www.iucnredlist.org/search?query=Anthus cervinus&amp;searchType=species</v>
      </c>
      <c r="F873" s="2">
        <v>689</v>
      </c>
      <c r="G873" s="27" t="s">
        <v>1949</v>
      </c>
      <c r="H873" s="84" t="s">
        <v>1976</v>
      </c>
      <c r="I873" s="92" t="s">
        <v>1977</v>
      </c>
      <c r="J873" s="1" t="s">
        <v>50</v>
      </c>
      <c r="M873" s="2" t="s">
        <v>1978</v>
      </c>
    </row>
    <row r="874" spans="1:14" x14ac:dyDescent="0.3">
      <c r="A874" s="33"/>
      <c r="B874" s="34"/>
      <c r="C874" s="35"/>
      <c r="D874" s="36"/>
      <c r="E874" s="37"/>
    </row>
    <row r="875" spans="1:14" ht="12" x14ac:dyDescent="0.3">
      <c r="A875" s="33"/>
      <c r="B875" s="34"/>
      <c r="C875" s="35"/>
      <c r="D875" s="36"/>
      <c r="E875" s="37"/>
      <c r="H875" s="82" t="s">
        <v>1979</v>
      </c>
      <c r="I875" s="91" t="s">
        <v>1980</v>
      </c>
    </row>
    <row r="876" spans="1:14" ht="14.4" x14ac:dyDescent="0.3">
      <c r="A876" s="28" t="str">
        <f>HYPERLINK("https://www.google.com/search?q=Fringilla montifringilla&amp;tbm=isch")</f>
        <v>https://www.google.com/search?q=Fringilla montifringilla&amp;tbm=isch</v>
      </c>
      <c r="B876" s="29" t="str">
        <f>HYPERLINK("https://www.xeno-canto.org/species/Fringilla-montifringilla")</f>
        <v>https://www.xeno-canto.org/species/Fringilla-montifringilla</v>
      </c>
      <c r="C876" s="30" t="str">
        <f>HYPERLINK("https://ebird.org/species/brambl")</f>
        <v>https://ebird.org/species/brambl</v>
      </c>
      <c r="D876" s="31" t="str">
        <f>HYPERLINK("https://www.hbw.com/species/Brambling-Fringilla-montifringilla")</f>
        <v>https://www.hbw.com/species/Brambling-Fringilla-montifringilla</v>
      </c>
      <c r="E876" s="32" t="str">
        <f>HYPERLINK("https://www.iucnredlist.org/search?query=Fringilla montifringilla&amp;searchType=species")</f>
        <v>https://www.iucnredlist.org/search?query=Fringilla montifringilla&amp;searchType=species</v>
      </c>
      <c r="F876" s="2">
        <v>690</v>
      </c>
      <c r="G876" s="27" t="s">
        <v>1980</v>
      </c>
      <c r="H876" s="83" t="s">
        <v>1981</v>
      </c>
      <c r="I876" s="92" t="s">
        <v>1982</v>
      </c>
      <c r="J876" s="1" t="s">
        <v>19</v>
      </c>
      <c r="M876" s="2" t="s">
        <v>1983</v>
      </c>
    </row>
    <row r="877" spans="1:14" ht="30.6" x14ac:dyDescent="0.3">
      <c r="A877" s="28" t="str">
        <f>HYPERLINK("https://www.google.com/search?q=Eophona migratoria&amp;tbm=isch")</f>
        <v>https://www.google.com/search?q=Eophona migratoria&amp;tbm=isch</v>
      </c>
      <c r="B877" s="29" t="str">
        <f>HYPERLINK("https://www.xeno-canto.org/species/Eophona-migratoria")</f>
        <v>https://www.xeno-canto.org/species/Eophona-migratoria</v>
      </c>
      <c r="C877" s="30" t="str">
        <f>HYPERLINK("https://ebird.org/species/yebgro1")</f>
        <v>https://ebird.org/species/yebgro1</v>
      </c>
      <c r="D877" s="31" t="str">
        <f>HYPERLINK("https://www.hbw.com/species/Chinese-Grosbeak-Eophona-migratoria")</f>
        <v>https://www.hbw.com/species/Chinese-Grosbeak-Eophona-migratoria</v>
      </c>
      <c r="E877" s="32" t="str">
        <f>HYPERLINK("https://www.iucnredlist.org/search?query=Eophona migratoria&amp;searchType=species")</f>
        <v>https://www.iucnredlist.org/search?query=Eophona migratoria&amp;searchType=species</v>
      </c>
      <c r="F877" s="2">
        <v>691</v>
      </c>
      <c r="G877" s="27" t="s">
        <v>1980</v>
      </c>
      <c r="H877" s="85" t="s">
        <v>1984</v>
      </c>
      <c r="I877" s="93" t="s">
        <v>1985</v>
      </c>
      <c r="J877" s="1" t="s">
        <v>19</v>
      </c>
      <c r="M877" s="2" t="s">
        <v>1011</v>
      </c>
      <c r="N877" s="2" t="s">
        <v>1986</v>
      </c>
    </row>
    <row r="878" spans="1:14" ht="14.4" x14ac:dyDescent="0.3">
      <c r="A878" s="28" t="str">
        <f>HYPERLINK("https://www.google.com/search?q=Pyrrhula leucogenis&amp;tbm=isch")</f>
        <v>https://www.google.com/search?q=Pyrrhula leucogenis&amp;tbm=isch</v>
      </c>
      <c r="B878" s="29" t="str">
        <f>HYPERLINK("https://www.xeno-canto.org/species/Pyrrhula-leucogenis")</f>
        <v>https://www.xeno-canto.org/species/Pyrrhula-leucogenis</v>
      </c>
      <c r="C878" s="30" t="str">
        <f>HYPERLINK("https://ebird.org/species/whcbul1")</f>
        <v>https://ebird.org/species/whcbul1</v>
      </c>
      <c r="D878" s="31" t="str">
        <f>HYPERLINK("https://www.hbw.com/species/White-cheeked-Bullfinch-Pyrrhula-leucogenis")</f>
        <v>https://www.hbw.com/species/White-cheeked-Bullfinch-Pyrrhula-leucogenis</v>
      </c>
      <c r="E878" s="32" t="str">
        <f>HYPERLINK("https://www.iucnredlist.org/search?query=Pyrrhula leucogenis&amp;searchType=species")</f>
        <v>https://www.iucnredlist.org/search?query=Pyrrhula leucogenis&amp;searchType=species</v>
      </c>
      <c r="F878" s="2">
        <v>692</v>
      </c>
      <c r="G878" s="27" t="s">
        <v>1980</v>
      </c>
      <c r="H878" s="86" t="s">
        <v>1987</v>
      </c>
      <c r="I878" s="94" t="s">
        <v>1988</v>
      </c>
      <c r="J878" s="1" t="s">
        <v>65</v>
      </c>
      <c r="M878" s="2" t="s">
        <v>68</v>
      </c>
    </row>
    <row r="879" spans="1:14" ht="20.399999999999999" x14ac:dyDescent="0.3">
      <c r="A879" s="28" t="str">
        <f>HYPERLINK("https://www.google.com/search?q=Carpodacus erythrinus&amp;tbm=isch")</f>
        <v>https://www.google.com/search?q=Carpodacus erythrinus&amp;tbm=isch</v>
      </c>
      <c r="B879" s="29" t="str">
        <f>HYPERLINK("https://www.xeno-canto.org/species/Carpodacus-erythrinus")</f>
        <v>https://www.xeno-canto.org/species/Carpodacus-erythrinus</v>
      </c>
      <c r="C879" s="30" t="str">
        <f>HYPERLINK("https://ebird.org/species/comros")</f>
        <v>https://ebird.org/species/comros</v>
      </c>
      <c r="D879" s="31" t="str">
        <f>HYPERLINK("https://www.hbw.com/species/Common-Rosefinch-Carpodacus-erythrinus")</f>
        <v>https://www.hbw.com/species/Common-Rosefinch-Carpodacus-erythrinus</v>
      </c>
      <c r="E879" s="32" t="str">
        <f>HYPERLINK("https://www.iucnredlist.org/search?query=Carpodacus erythrinus&amp;searchType=species")</f>
        <v>https://www.iucnredlist.org/search?query=Carpodacus erythrinus&amp;searchType=species</v>
      </c>
      <c r="F879" s="2">
        <v>693</v>
      </c>
      <c r="G879" s="27" t="s">
        <v>1980</v>
      </c>
      <c r="H879" s="85" t="s">
        <v>1989</v>
      </c>
      <c r="I879" s="93" t="s">
        <v>1990</v>
      </c>
      <c r="J879" s="1" t="s">
        <v>19</v>
      </c>
      <c r="M879" s="2" t="s">
        <v>92</v>
      </c>
      <c r="N879" s="2" t="s">
        <v>11357</v>
      </c>
    </row>
    <row r="880" spans="1:14" ht="14.4" x14ac:dyDescent="0.3">
      <c r="A880" s="28" t="str">
        <f>HYPERLINK("https://www.google.com/search?q=Loxia curvirostra&amp;tbm=isch")</f>
        <v>https://www.google.com/search?q=Loxia curvirostra&amp;tbm=isch</v>
      </c>
      <c r="B880" s="29" t="str">
        <f>HYPERLINK("https://www.xeno-canto.org/species/Loxia-curvirostra")</f>
        <v>https://www.xeno-canto.org/species/Loxia-curvirostra</v>
      </c>
      <c r="C880" s="30" t="str">
        <f>HYPERLINK("https://ebird.org/species/redcro")</f>
        <v>https://ebird.org/species/redcro</v>
      </c>
      <c r="D880" s="31" t="str">
        <f>HYPERLINK("https://www.hbw.com/species/Red-Crossbill-Loxia-curvirostra")</f>
        <v>https://www.hbw.com/species/Red-Crossbill-Loxia-curvirostra</v>
      </c>
      <c r="E880" s="32" t="str">
        <f>HYPERLINK("https://www.iucnredlist.org/search?query=Loxia curvirostra&amp;searchType=species")</f>
        <v>https://www.iucnredlist.org/search?query=Loxia curvirostra&amp;searchType=species</v>
      </c>
      <c r="F880" s="2">
        <v>694</v>
      </c>
      <c r="G880" s="27" t="s">
        <v>1980</v>
      </c>
      <c r="H880" s="84" t="s">
        <v>1991</v>
      </c>
      <c r="I880" s="92" t="s">
        <v>1992</v>
      </c>
      <c r="J880" s="1" t="s">
        <v>15</v>
      </c>
      <c r="M880" s="2" t="s">
        <v>1993</v>
      </c>
    </row>
    <row r="881" spans="1:14" ht="20.399999999999999" x14ac:dyDescent="0.3">
      <c r="A881" s="28" t="str">
        <f>HYPERLINK("https://www.google.com/search?q=Chrysocorythus estherae&amp;tbm=isch")</f>
        <v>https://www.google.com/search?q=Chrysocorythus estherae&amp;tbm=isch</v>
      </c>
      <c r="B881" s="29" t="str">
        <f>HYPERLINK("https://www.xeno-canto.org/species/Chrysocorythus-estherae")</f>
        <v>https://www.xeno-canto.org/species/Chrysocorythus-estherae</v>
      </c>
      <c r="C881" s="30" t="str">
        <f>HYPERLINK("https://ebird.org/species/mouser1")</f>
        <v>https://ebird.org/species/mouser1</v>
      </c>
      <c r="D881" s="31" t="str">
        <f>HYPERLINK("https://www.hbw.com/species/Mindanao-Serin-Chrysocorythus-mindanensis")</f>
        <v>https://www.hbw.com/species/Mindanao-Serin-Chrysocorythus-mindanensis</v>
      </c>
      <c r="E881" s="32" t="str">
        <f>HYPERLINK("https://www.iucnredlist.org/search?query=Chrysocorythus estherae&amp;searchType=species")</f>
        <v>https://www.iucnredlist.org/search?query=Chrysocorythus estherae&amp;searchType=species</v>
      </c>
      <c r="F881" s="2">
        <v>695</v>
      </c>
      <c r="G881" s="27" t="s">
        <v>1980</v>
      </c>
      <c r="H881" s="83" t="s">
        <v>1994</v>
      </c>
      <c r="I881" s="92" t="s">
        <v>1995</v>
      </c>
      <c r="J881" s="1" t="s">
        <v>15</v>
      </c>
      <c r="K881" s="1" t="s">
        <v>58</v>
      </c>
      <c r="M881" s="2" t="s">
        <v>1996</v>
      </c>
    </row>
    <row r="882" spans="1:14" ht="20.399999999999999" x14ac:dyDescent="0.3">
      <c r="A882" s="28" t="str">
        <f>HYPERLINK("https://www.google.com/search?q=Spinus spinus&amp;tbm=isch")</f>
        <v>https://www.google.com/search?q=Spinus spinus&amp;tbm=isch</v>
      </c>
      <c r="B882" s="29" t="str">
        <f>HYPERLINK("https://www.xeno-canto.org/species/Spinus-spinus")</f>
        <v>https://www.xeno-canto.org/species/Spinus-spinus</v>
      </c>
      <c r="C882" s="30" t="str">
        <f>HYPERLINK("https://ebird.org/species/eursis")</f>
        <v>https://ebird.org/species/eursis</v>
      </c>
      <c r="D882" s="31" t="str">
        <f>HYPERLINK("https://www.hbw.com/species/Eurasian-Siskin-Spinus-spinus")</f>
        <v>https://www.hbw.com/species/Eurasian-Siskin-Spinus-spinus</v>
      </c>
      <c r="E882" s="32" t="str">
        <f>HYPERLINK("https://www.iucnredlist.org/search?query=Spinus spinus&amp;searchType=species")</f>
        <v>https://www.iucnredlist.org/search?query=Spinus spinus&amp;searchType=species</v>
      </c>
      <c r="F882" s="2">
        <v>696</v>
      </c>
      <c r="G882" s="27" t="s">
        <v>1980</v>
      </c>
      <c r="H882" s="83" t="s">
        <v>1997</v>
      </c>
      <c r="I882" s="92" t="s">
        <v>1998</v>
      </c>
      <c r="J882" s="1" t="s">
        <v>19</v>
      </c>
      <c r="M882" s="2" t="s">
        <v>1999</v>
      </c>
    </row>
    <row r="883" spans="1:14" x14ac:dyDescent="0.3">
      <c r="A883" s="33"/>
      <c r="B883" s="34"/>
      <c r="C883" s="35"/>
      <c r="D883" s="36"/>
      <c r="E883" s="37"/>
    </row>
    <row r="884" spans="1:14" ht="12" x14ac:dyDescent="0.3">
      <c r="A884" s="33"/>
      <c r="B884" s="34"/>
      <c r="C884" s="35"/>
      <c r="D884" s="36"/>
      <c r="E884" s="37"/>
      <c r="H884" s="82" t="s">
        <v>2000</v>
      </c>
      <c r="I884" s="91" t="s">
        <v>2001</v>
      </c>
    </row>
    <row r="885" spans="1:14" ht="14.4" x14ac:dyDescent="0.3">
      <c r="A885" s="28" t="str">
        <f>HYPERLINK("https://www.google.com/search?q=Emberiza pusilla&amp;tbm=isch")</f>
        <v>https://www.google.com/search?q=Emberiza pusilla&amp;tbm=isch</v>
      </c>
      <c r="B885" s="29" t="str">
        <f>HYPERLINK("https://www.xeno-canto.org/species/Emberiza-pusilla")</f>
        <v>https://www.xeno-canto.org/species/Emberiza-pusilla</v>
      </c>
      <c r="C885" s="30" t="str">
        <f>HYPERLINK("https://ebird.org/species/litbun")</f>
        <v>https://ebird.org/species/litbun</v>
      </c>
      <c r="D885" s="31" t="str">
        <f>HYPERLINK("https://www.hbw.com/species/Little-Bunting-Emberiza-pusilla")</f>
        <v>https://www.hbw.com/species/Little-Bunting-Emberiza-pusilla</v>
      </c>
      <c r="E885" s="32" t="str">
        <f>HYPERLINK("https://www.iucnredlist.org/search?query=Emberiza pusilla&amp;searchType=species")</f>
        <v>https://www.iucnredlist.org/search?query=Emberiza pusilla&amp;searchType=species</v>
      </c>
      <c r="F885" s="2">
        <v>697</v>
      </c>
      <c r="G885" s="27" t="s">
        <v>2001</v>
      </c>
      <c r="H885" s="83" t="s">
        <v>2002</v>
      </c>
      <c r="I885" s="92" t="s">
        <v>2003</v>
      </c>
      <c r="J885" s="1" t="s">
        <v>19</v>
      </c>
      <c r="M885" s="2" t="s">
        <v>2004</v>
      </c>
    </row>
    <row r="886" spans="1:14" ht="14.4" x14ac:dyDescent="0.3">
      <c r="A886" s="28" t="str">
        <f>HYPERLINK("https://www.google.com/search?q=Emberiza aureola&amp;tbm=isch")</f>
        <v>https://www.google.com/search?q=Emberiza aureola&amp;tbm=isch</v>
      </c>
      <c r="B886" s="29" t="str">
        <f>HYPERLINK("https://www.xeno-canto.org/species/Emberiza-aureola")</f>
        <v>https://www.xeno-canto.org/species/Emberiza-aureola</v>
      </c>
      <c r="C886" s="30" t="str">
        <f>HYPERLINK("https://ebird.org/species/yebbun")</f>
        <v>https://ebird.org/species/yebbun</v>
      </c>
      <c r="D886" s="31" t="str">
        <f>HYPERLINK("https://www.hbw.com/species/Yellow-breasted-Bunting-Emberiza-aureola")</f>
        <v>https://www.hbw.com/species/Yellow-breasted-Bunting-Emberiza-aureola</v>
      </c>
      <c r="E886" s="32" t="str">
        <f>HYPERLINK("https://www.iucnredlist.org/search?query=Emberiza aureola&amp;searchType=species")</f>
        <v>https://www.iucnredlist.org/search?query=Emberiza aureola&amp;searchType=species</v>
      </c>
      <c r="F886" s="2">
        <v>698</v>
      </c>
      <c r="G886" s="27" t="s">
        <v>2001</v>
      </c>
      <c r="H886" s="83" t="s">
        <v>2005</v>
      </c>
      <c r="I886" s="92" t="s">
        <v>2006</v>
      </c>
      <c r="J886" s="1" t="s">
        <v>19</v>
      </c>
      <c r="K886" s="1" t="s">
        <v>85</v>
      </c>
      <c r="M886" s="2" t="s">
        <v>2007</v>
      </c>
    </row>
    <row r="887" spans="1:14" ht="30.6" x14ac:dyDescent="0.3">
      <c r="A887" s="28" t="str">
        <f>HYPERLINK("https://www.google.com/search?q=Emberiza melanocephala&amp;tbm=isch")</f>
        <v>https://www.google.com/search?q=Emberiza melanocephala&amp;tbm=isch</v>
      </c>
      <c r="B887" s="29" t="str">
        <f>HYPERLINK("https://www.xeno-canto.org/species/Emberiza-melanocephala")</f>
        <v>https://www.xeno-canto.org/species/Emberiza-melanocephala</v>
      </c>
      <c r="C887" s="30" t="str">
        <f>HYPERLINK("https://ebird.org/species/blhbun1")</f>
        <v>https://ebird.org/species/blhbun1</v>
      </c>
      <c r="D887" s="31" t="str">
        <f>HYPERLINK("https://www.hbw.com/species/Black-headed-Bunting-Emberiza-melanocephala")</f>
        <v>https://www.hbw.com/species/Black-headed-Bunting-Emberiza-melanocephala</v>
      </c>
      <c r="E887" s="32" t="str">
        <f>HYPERLINK("https://www.iucnredlist.org/search?query=Emberiza melanocephala&amp;searchType=species")</f>
        <v>https://www.iucnredlist.org/search?query=Emberiza melanocephala&amp;searchType=species</v>
      </c>
      <c r="F887" s="2">
        <v>699</v>
      </c>
      <c r="G887" s="27" t="s">
        <v>2001</v>
      </c>
      <c r="H887" s="85" t="s">
        <v>2008</v>
      </c>
      <c r="I887" s="93" t="s">
        <v>2009</v>
      </c>
      <c r="J887" s="1" t="s">
        <v>19</v>
      </c>
      <c r="M887" s="2" t="s">
        <v>2010</v>
      </c>
      <c r="N887" s="2" t="s">
        <v>11358</v>
      </c>
    </row>
    <row r="888" spans="1:14" ht="14.4" x14ac:dyDescent="0.3">
      <c r="A888" s="28" t="str">
        <f>HYPERLINK("https://www.google.com/search?q=Emberiza sulphurata&amp;tbm=isch")</f>
        <v>https://www.google.com/search?q=Emberiza sulphurata&amp;tbm=isch</v>
      </c>
      <c r="B888" s="29" t="str">
        <f>HYPERLINK("https://www.xeno-canto.org/species/Emberiza-sulphurata")</f>
        <v>https://www.xeno-canto.org/species/Emberiza-sulphurata</v>
      </c>
      <c r="C888" s="30" t="str">
        <f>HYPERLINK("https://ebird.org/species/yelbun1")</f>
        <v>https://ebird.org/species/yelbun1</v>
      </c>
      <c r="D888" s="31" t="str">
        <f>HYPERLINK("https://www.hbw.com/species/Yellow-Bunting-Emberiza-sulphurata")</f>
        <v>https://www.hbw.com/species/Yellow-Bunting-Emberiza-sulphurata</v>
      </c>
      <c r="E888" s="32" t="str">
        <f>HYPERLINK("https://www.iucnredlist.org/search?query=Emberiza sulphurata&amp;searchType=species")</f>
        <v>https://www.iucnredlist.org/search?query=Emberiza sulphurata&amp;searchType=species</v>
      </c>
      <c r="F888" s="2">
        <v>700</v>
      </c>
      <c r="G888" s="27" t="s">
        <v>2001</v>
      </c>
      <c r="H888" s="84" t="s">
        <v>2011</v>
      </c>
      <c r="I888" s="92" t="s">
        <v>2012</v>
      </c>
      <c r="J888" s="1" t="s">
        <v>50</v>
      </c>
      <c r="K888" s="1" t="s">
        <v>66</v>
      </c>
      <c r="L888" s="1" t="s">
        <v>66</v>
      </c>
      <c r="M888" s="2" t="s">
        <v>2013</v>
      </c>
    </row>
    <row r="890" spans="1:14" x14ac:dyDescent="0.3">
      <c r="A890" s="52"/>
      <c r="B890" s="52"/>
      <c r="C890" s="52"/>
      <c r="D890" s="53"/>
      <c r="E890" s="54"/>
      <c r="F890" s="55"/>
      <c r="G890" s="56"/>
      <c r="H890" s="62"/>
      <c r="I890" s="63"/>
      <c r="J890" s="55"/>
      <c r="K890" s="55"/>
      <c r="L890" s="55"/>
      <c r="M890" s="46"/>
      <c r="N890" s="46"/>
    </row>
    <row r="891" spans="1:14" x14ac:dyDescent="0.3">
      <c r="F891" s="1"/>
    </row>
    <row r="892" spans="1:14" x14ac:dyDescent="0.3">
      <c r="F892" s="1"/>
      <c r="M892" s="42"/>
    </row>
    <row r="893" spans="1:14" ht="13.2" x14ac:dyDescent="0.3">
      <c r="F893" s="1"/>
      <c r="H893" s="49" t="s">
        <v>2094</v>
      </c>
      <c r="I893" s="72"/>
      <c r="M893" s="45" t="s">
        <v>2079</v>
      </c>
      <c r="N893" s="46"/>
    </row>
    <row r="894" spans="1:14" x14ac:dyDescent="0.3">
      <c r="F894" s="1"/>
      <c r="H894" s="50" t="s">
        <v>2096</v>
      </c>
      <c r="I894" s="64"/>
      <c r="M894" s="43" t="s">
        <v>2080</v>
      </c>
    </row>
    <row r="895" spans="1:14" x14ac:dyDescent="0.3">
      <c r="F895" s="1"/>
      <c r="H895" s="50"/>
      <c r="I895" s="64"/>
      <c r="M895" s="43" t="s">
        <v>2081</v>
      </c>
    </row>
    <row r="896" spans="1:14" x14ac:dyDescent="0.3">
      <c r="F896" s="1"/>
      <c r="H896" s="50" t="s">
        <v>2099</v>
      </c>
      <c r="I896" s="64"/>
      <c r="M896" s="43" t="s">
        <v>2082</v>
      </c>
    </row>
    <row r="897" spans="6:14" ht="13.2" x14ac:dyDescent="0.3">
      <c r="F897" s="1"/>
      <c r="H897" s="50" t="s">
        <v>2101</v>
      </c>
      <c r="I897" s="73"/>
      <c r="M897" s="43" t="s">
        <v>2083</v>
      </c>
    </row>
    <row r="898" spans="6:14" ht="13.2" x14ac:dyDescent="0.3">
      <c r="F898" s="1"/>
      <c r="H898" s="50"/>
      <c r="I898" s="73"/>
      <c r="M898" s="43"/>
    </row>
    <row r="899" spans="6:14" ht="13.2" x14ac:dyDescent="0.3">
      <c r="F899" s="1"/>
      <c r="H899" s="50" t="s">
        <v>2103</v>
      </c>
      <c r="I899" s="73"/>
      <c r="M899" s="45" t="s">
        <v>2084</v>
      </c>
      <c r="N899" s="46"/>
    </row>
    <row r="900" spans="6:14" x14ac:dyDescent="0.3">
      <c r="F900" s="1"/>
      <c r="H900" s="50" t="s">
        <v>2105</v>
      </c>
      <c r="I900" s="64"/>
      <c r="M900" s="43" t="s">
        <v>2085</v>
      </c>
    </row>
    <row r="901" spans="6:14" x14ac:dyDescent="0.3">
      <c r="F901" s="1"/>
      <c r="H901" s="50" t="s">
        <v>2107</v>
      </c>
      <c r="I901" s="64"/>
      <c r="M901" s="43" t="s">
        <v>2086</v>
      </c>
    </row>
    <row r="902" spans="6:14" x14ac:dyDescent="0.3">
      <c r="F902" s="1"/>
      <c r="H902" s="50"/>
      <c r="I902" s="64"/>
      <c r="M902" s="43" t="s">
        <v>2087</v>
      </c>
    </row>
    <row r="903" spans="6:14" x14ac:dyDescent="0.3">
      <c r="F903" s="1"/>
      <c r="H903" s="50" t="s">
        <v>9647</v>
      </c>
      <c r="I903" s="64"/>
      <c r="M903" s="43" t="s">
        <v>2088</v>
      </c>
    </row>
    <row r="904" spans="6:14" x14ac:dyDescent="0.3">
      <c r="F904" s="1"/>
      <c r="H904" s="51" t="s">
        <v>9646</v>
      </c>
      <c r="I904" s="74"/>
      <c r="M904" s="43" t="s">
        <v>2089</v>
      </c>
    </row>
    <row r="905" spans="6:14" x14ac:dyDescent="0.3">
      <c r="F905" s="1"/>
      <c r="M905" s="43" t="s">
        <v>123</v>
      </c>
    </row>
    <row r="906" spans="6:14" ht="12" x14ac:dyDescent="0.3">
      <c r="F906" s="1"/>
      <c r="M906" s="47" t="s">
        <v>2090</v>
      </c>
      <c r="N906" s="45" t="s">
        <v>2104</v>
      </c>
    </row>
    <row r="907" spans="6:14" x14ac:dyDescent="0.3">
      <c r="F907" s="1"/>
      <c r="M907" s="43" t="s">
        <v>2091</v>
      </c>
      <c r="N907" s="43" t="s">
        <v>2106</v>
      </c>
    </row>
    <row r="908" spans="6:14" x14ac:dyDescent="0.3">
      <c r="F908" s="1"/>
      <c r="M908" s="43" t="s">
        <v>2092</v>
      </c>
      <c r="N908" s="43" t="s">
        <v>2108</v>
      </c>
    </row>
    <row r="909" spans="6:14" x14ac:dyDescent="0.3">
      <c r="F909" s="1"/>
      <c r="M909" s="43" t="s">
        <v>2093</v>
      </c>
      <c r="N909" s="43" t="s">
        <v>2109</v>
      </c>
    </row>
    <row r="910" spans="6:14" x14ac:dyDescent="0.3">
      <c r="F910" s="1"/>
      <c r="M910" s="43" t="s">
        <v>2095</v>
      </c>
      <c r="N910" s="43" t="s">
        <v>2110</v>
      </c>
    </row>
    <row r="911" spans="6:14" x14ac:dyDescent="0.3">
      <c r="F911" s="1"/>
      <c r="M911" s="43" t="s">
        <v>2097</v>
      </c>
      <c r="N911" s="43" t="s">
        <v>2111</v>
      </c>
    </row>
    <row r="912" spans="6:14" x14ac:dyDescent="0.3">
      <c r="F912" s="1"/>
      <c r="M912" s="43" t="s">
        <v>2098</v>
      </c>
      <c r="N912" s="43" t="s">
        <v>2112</v>
      </c>
    </row>
    <row r="913" spans="6:14" x14ac:dyDescent="0.3">
      <c r="F913" s="1"/>
      <c r="M913" s="43" t="s">
        <v>2100</v>
      </c>
      <c r="N913" s="43" t="s">
        <v>2113</v>
      </c>
    </row>
    <row r="914" spans="6:14" x14ac:dyDescent="0.3">
      <c r="F914" s="1"/>
      <c r="M914" s="43" t="s">
        <v>2102</v>
      </c>
      <c r="N914" s="43" t="s">
        <v>2114</v>
      </c>
    </row>
    <row r="915" spans="6:14" x14ac:dyDescent="0.3">
      <c r="F915" s="1"/>
      <c r="M915" s="43"/>
    </row>
    <row r="916" spans="6:14" ht="13.2" x14ac:dyDescent="0.3">
      <c r="F916" s="1"/>
      <c r="M916" s="48" t="s">
        <v>2115</v>
      </c>
      <c r="N916" s="46"/>
    </row>
    <row r="917" spans="6:14" x14ac:dyDescent="0.3">
      <c r="F917" s="1"/>
      <c r="M917" s="43" t="s">
        <v>2116</v>
      </c>
      <c r="N917" s="57"/>
    </row>
    <row r="918" spans="6:14" x14ac:dyDescent="0.3">
      <c r="F918" s="1"/>
      <c r="M918" s="43" t="s">
        <v>2117</v>
      </c>
      <c r="N918" s="57"/>
    </row>
    <row r="919" spans="6:14" x14ac:dyDescent="0.3">
      <c r="F919" s="1"/>
      <c r="M919" s="43" t="s">
        <v>2118</v>
      </c>
      <c r="N919" s="57"/>
    </row>
    <row r="920" spans="6:14" x14ac:dyDescent="0.3">
      <c r="F920" s="1"/>
      <c r="M920" s="43" t="s">
        <v>2119</v>
      </c>
      <c r="N920" s="57"/>
    </row>
    <row r="921" spans="6:14" x14ac:dyDescent="0.3">
      <c r="F921" s="1"/>
      <c r="M921" s="43" t="s">
        <v>2120</v>
      </c>
      <c r="N921" s="57"/>
    </row>
    <row r="922" spans="6:14" x14ac:dyDescent="0.3">
      <c r="F922" s="1"/>
      <c r="M922" s="43" t="s">
        <v>2121</v>
      </c>
      <c r="N922" s="57"/>
    </row>
    <row r="923" spans="6:14" x14ac:dyDescent="0.3">
      <c r="F923" s="1"/>
      <c r="M923" s="43" t="s">
        <v>2122</v>
      </c>
      <c r="N923" s="57"/>
    </row>
    <row r="924" spans="6:14" x14ac:dyDescent="0.3">
      <c r="F924" s="1"/>
      <c r="M924" s="43" t="s">
        <v>2123</v>
      </c>
      <c r="N924" s="57"/>
    </row>
    <row r="925" spans="6:14" x14ac:dyDescent="0.3">
      <c r="F925" s="1"/>
      <c r="M925" s="43" t="s">
        <v>2124</v>
      </c>
      <c r="N925" s="57"/>
    </row>
    <row r="926" spans="6:14" x14ac:dyDescent="0.3">
      <c r="F926" s="1"/>
      <c r="M926" s="43" t="s">
        <v>2125</v>
      </c>
      <c r="N926" s="57"/>
    </row>
    <row r="927" spans="6:14" x14ac:dyDescent="0.3">
      <c r="F927" s="1"/>
      <c r="M927" s="43" t="s">
        <v>2126</v>
      </c>
      <c r="N927" s="57"/>
    </row>
    <row r="928" spans="6:14" x14ac:dyDescent="0.3">
      <c r="F928" s="1"/>
      <c r="M928" s="43" t="s">
        <v>2127</v>
      </c>
      <c r="N928" s="57"/>
    </row>
    <row r="929" spans="6:14" x14ac:dyDescent="0.3">
      <c r="F929" s="1"/>
      <c r="M929" s="43" t="s">
        <v>2128</v>
      </c>
      <c r="N929" s="57"/>
    </row>
    <row r="930" spans="6:14" x14ac:dyDescent="0.3">
      <c r="F930" s="1"/>
      <c r="M930" s="43" t="s">
        <v>2129</v>
      </c>
      <c r="N930" s="57"/>
    </row>
    <row r="931" spans="6:14" x14ac:dyDescent="0.3">
      <c r="F931" s="1"/>
      <c r="M931" s="43" t="s">
        <v>2130</v>
      </c>
      <c r="N931" s="57"/>
    </row>
    <row r="932" spans="6:14" x14ac:dyDescent="0.3">
      <c r="F932" s="1"/>
      <c r="M932" s="43" t="s">
        <v>2131</v>
      </c>
      <c r="N932" s="57"/>
    </row>
    <row r="933" spans="6:14" x14ac:dyDescent="0.3">
      <c r="F933" s="1"/>
      <c r="M933" s="43" t="s">
        <v>2132</v>
      </c>
      <c r="N933" s="57"/>
    </row>
    <row r="934" spans="6:14" x14ac:dyDescent="0.3">
      <c r="F934" s="1"/>
      <c r="M934" s="43" t="s">
        <v>2133</v>
      </c>
      <c r="N934" s="57"/>
    </row>
    <row r="935" spans="6:14" x14ac:dyDescent="0.3">
      <c r="F935" s="1"/>
      <c r="M935" s="44" t="s">
        <v>2134</v>
      </c>
      <c r="N935" s="57"/>
    </row>
    <row r="936" spans="6:14" x14ac:dyDescent="0.3">
      <c r="F936" s="1"/>
      <c r="M936" s="44" t="s">
        <v>2135</v>
      </c>
      <c r="N936" s="57"/>
    </row>
    <row r="937" spans="6:14" x14ac:dyDescent="0.3">
      <c r="F937" s="1"/>
      <c r="M937" s="44" t="s">
        <v>2136</v>
      </c>
      <c r="N937" s="57"/>
    </row>
    <row r="938" spans="6:14" x14ac:dyDescent="0.3">
      <c r="F938" s="1"/>
      <c r="M938" s="44" t="s">
        <v>2137</v>
      </c>
      <c r="N938" s="57"/>
    </row>
    <row r="939" spans="6:14" x14ac:dyDescent="0.3">
      <c r="F939" s="1"/>
      <c r="M939" s="44" t="s">
        <v>2138</v>
      </c>
      <c r="N939" s="57"/>
    </row>
    <row r="940" spans="6:14" x14ac:dyDescent="0.3">
      <c r="F940" s="1"/>
      <c r="M940" s="43" t="s">
        <v>2139</v>
      </c>
      <c r="N940" s="57"/>
    </row>
    <row r="941" spans="6:14" x14ac:dyDescent="0.3">
      <c r="F941" s="1"/>
      <c r="M941" s="43" t="s">
        <v>2140</v>
      </c>
      <c r="N941" s="57"/>
    </row>
    <row r="942" spans="6:14" x14ac:dyDescent="0.3">
      <c r="F942" s="1"/>
      <c r="M942" s="43" t="s">
        <v>2141</v>
      </c>
      <c r="N942" s="57"/>
    </row>
    <row r="943" spans="6:14" x14ac:dyDescent="0.3">
      <c r="F943" s="1"/>
      <c r="M943" s="43" t="s">
        <v>2142</v>
      </c>
      <c r="N943" s="57"/>
    </row>
    <row r="944" spans="6:14" x14ac:dyDescent="0.3">
      <c r="F944" s="1"/>
      <c r="M944" s="43" t="s">
        <v>2143</v>
      </c>
      <c r="N944" s="57"/>
    </row>
    <row r="945" spans="6:14" x14ac:dyDescent="0.3">
      <c r="F945" s="1"/>
      <c r="M945" s="43" t="s">
        <v>2144</v>
      </c>
      <c r="N945" s="57"/>
    </row>
    <row r="946" spans="6:14" x14ac:dyDescent="0.3">
      <c r="F946" s="1"/>
      <c r="M946" s="43" t="s">
        <v>2145</v>
      </c>
      <c r="N946" s="57"/>
    </row>
    <row r="947" spans="6:14" x14ac:dyDescent="0.3">
      <c r="F947" s="1"/>
      <c r="M947" s="43" t="s">
        <v>2146</v>
      </c>
      <c r="N947" s="57"/>
    </row>
    <row r="948" spans="6:14" x14ac:dyDescent="0.3">
      <c r="F948" s="1"/>
      <c r="M948" s="43" t="s">
        <v>2147</v>
      </c>
      <c r="N948" s="57"/>
    </row>
  </sheetData>
  <autoFilter ref="J4:L888"/>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A701"/>
  <sheetViews>
    <sheetView zoomScale="70" zoomScaleNormal="70" workbookViewId="0">
      <pane xSplit="5" ySplit="1" topLeftCell="F2" activePane="bottomRight" state="frozen"/>
      <selection pane="topRight" activeCell="F1" sqref="F1"/>
      <selection pane="bottomLeft" activeCell="A2" sqref="A2"/>
      <selection pane="bottomRight" activeCell="F2" sqref="F2"/>
    </sheetView>
  </sheetViews>
  <sheetFormatPr defaultColWidth="9.21875" defaultRowHeight="14.4" x14ac:dyDescent="0.3"/>
  <cols>
    <col min="1" max="1" width="4" style="20" bestFit="1" customWidth="1"/>
    <col min="2" max="2" width="8.109375" style="20" bestFit="1" customWidth="1"/>
    <col min="3" max="3" width="16.6640625" style="8" bestFit="1" customWidth="1"/>
    <col min="4" max="4" width="15.77734375" customWidth="1"/>
    <col min="5" max="5" width="30.77734375" style="80" customWidth="1"/>
    <col min="6" max="6" width="30.77734375" style="8" customWidth="1"/>
    <col min="7" max="7" width="50.77734375" style="14" customWidth="1"/>
    <col min="8" max="8" width="50.77734375" style="15" customWidth="1"/>
    <col min="9" max="9" width="15.77734375" style="20" customWidth="1"/>
    <col min="10" max="10" width="18.6640625" style="20" bestFit="1" customWidth="1"/>
    <col min="11" max="14" width="15.77734375" style="20" customWidth="1"/>
    <col min="15" max="15" width="6.77734375" style="20" bestFit="1" customWidth="1"/>
    <col min="16" max="16" width="15.77734375" customWidth="1"/>
    <col min="17" max="17" width="50.77734375" customWidth="1"/>
    <col min="18" max="20" width="30.77734375" customWidth="1"/>
    <col min="21" max="21" width="30.77734375" style="80" customWidth="1"/>
    <col min="22" max="25" width="30.77734375" style="8" customWidth="1"/>
    <col min="26" max="27" width="255.77734375" bestFit="1" customWidth="1"/>
  </cols>
  <sheetData>
    <row r="1" spans="1:27" s="67" customFormat="1" ht="28.8" x14ac:dyDescent="0.3">
      <c r="A1" s="66" t="s">
        <v>0</v>
      </c>
      <c r="B1" s="66" t="s">
        <v>2149</v>
      </c>
      <c r="C1" s="68" t="s">
        <v>1</v>
      </c>
      <c r="D1" s="67" t="s">
        <v>2151</v>
      </c>
      <c r="E1" s="67" t="s">
        <v>2</v>
      </c>
      <c r="F1" s="68" t="s">
        <v>3</v>
      </c>
      <c r="G1" s="65" t="s">
        <v>4</v>
      </c>
      <c r="H1" s="67" t="s">
        <v>11291</v>
      </c>
      <c r="I1" s="66" t="s">
        <v>2152</v>
      </c>
      <c r="J1" s="66" t="s">
        <v>2014</v>
      </c>
      <c r="K1" s="66" t="s">
        <v>2153</v>
      </c>
      <c r="L1" s="66" t="s">
        <v>9648</v>
      </c>
      <c r="M1" s="66" t="s">
        <v>2154</v>
      </c>
      <c r="N1" s="66" t="s">
        <v>2155</v>
      </c>
      <c r="O1" s="66" t="s">
        <v>2156</v>
      </c>
      <c r="P1" s="67" t="s">
        <v>2157</v>
      </c>
      <c r="Q1" s="67" t="s">
        <v>2158</v>
      </c>
      <c r="R1" s="67" t="s">
        <v>2159</v>
      </c>
      <c r="S1" s="67" t="s">
        <v>2160</v>
      </c>
      <c r="T1" s="67" t="s">
        <v>9649</v>
      </c>
      <c r="U1" s="67" t="s">
        <v>2161</v>
      </c>
      <c r="V1" s="68" t="s">
        <v>2162</v>
      </c>
      <c r="W1" s="68" t="s">
        <v>9650</v>
      </c>
      <c r="X1" s="68" t="s">
        <v>2163</v>
      </c>
      <c r="Y1" s="68" t="s">
        <v>11360</v>
      </c>
      <c r="Z1" s="67" t="s">
        <v>5</v>
      </c>
      <c r="AA1" s="67" t="s">
        <v>2164</v>
      </c>
    </row>
    <row r="2" spans="1:27" x14ac:dyDescent="0.3">
      <c r="A2" s="20">
        <v>1</v>
      </c>
      <c r="B2" s="20">
        <v>1</v>
      </c>
      <c r="C2" s="8" t="s">
        <v>7</v>
      </c>
      <c r="D2" t="s">
        <v>6</v>
      </c>
      <c r="E2" s="80" t="s">
        <v>8</v>
      </c>
      <c r="F2" s="8" t="s">
        <v>9</v>
      </c>
      <c r="G2" s="14" t="s">
        <v>11</v>
      </c>
      <c r="H2" s="15" t="s">
        <v>9651</v>
      </c>
      <c r="I2" s="20" t="s">
        <v>10</v>
      </c>
      <c r="N2" s="20" t="s">
        <v>2166</v>
      </c>
      <c r="R2" t="s">
        <v>2167</v>
      </c>
      <c r="S2" t="s">
        <v>2167</v>
      </c>
      <c r="U2" s="80" t="s">
        <v>2168</v>
      </c>
      <c r="Z2" t="s">
        <v>12</v>
      </c>
    </row>
    <row r="3" spans="1:27" x14ac:dyDescent="0.3">
      <c r="A3" s="20">
        <v>2</v>
      </c>
      <c r="B3" s="20">
        <v>2</v>
      </c>
      <c r="C3" s="8" t="s">
        <v>7</v>
      </c>
      <c r="D3" t="s">
        <v>6</v>
      </c>
      <c r="E3" s="80" t="s">
        <v>13</v>
      </c>
      <c r="F3" s="8" t="s">
        <v>14</v>
      </c>
      <c r="G3" s="14" t="s">
        <v>16</v>
      </c>
      <c r="I3" s="20" t="s">
        <v>15</v>
      </c>
      <c r="R3" t="s">
        <v>2169</v>
      </c>
      <c r="S3" t="s">
        <v>2169</v>
      </c>
      <c r="U3" s="80" t="s">
        <v>2170</v>
      </c>
    </row>
    <row r="4" spans="1:27" x14ac:dyDescent="0.3">
      <c r="A4" s="20">
        <v>3</v>
      </c>
      <c r="B4" s="20">
        <v>3</v>
      </c>
      <c r="C4" s="8" t="s">
        <v>7</v>
      </c>
      <c r="D4" t="s">
        <v>6</v>
      </c>
      <c r="E4" s="80" t="s">
        <v>17</v>
      </c>
      <c r="F4" s="8" t="s">
        <v>18</v>
      </c>
      <c r="G4" s="14" t="s">
        <v>20</v>
      </c>
      <c r="I4" s="20" t="s">
        <v>19</v>
      </c>
      <c r="N4" s="20" t="s">
        <v>2166</v>
      </c>
      <c r="R4" t="s">
        <v>2171</v>
      </c>
      <c r="S4" t="s">
        <v>2172</v>
      </c>
      <c r="U4" s="80" t="s">
        <v>2173</v>
      </c>
      <c r="Z4" t="s">
        <v>11292</v>
      </c>
    </row>
    <row r="5" spans="1:27" x14ac:dyDescent="0.3">
      <c r="A5" s="20">
        <v>4</v>
      </c>
      <c r="B5" s="20">
        <v>696</v>
      </c>
      <c r="C5" s="8" t="s">
        <v>7</v>
      </c>
      <c r="D5" t="s">
        <v>6</v>
      </c>
      <c r="E5" s="80" t="s">
        <v>21</v>
      </c>
      <c r="F5" s="8" t="s">
        <v>22</v>
      </c>
      <c r="G5" s="14" t="s">
        <v>23</v>
      </c>
      <c r="I5" s="20" t="s">
        <v>19</v>
      </c>
      <c r="N5" s="20" t="s">
        <v>2166</v>
      </c>
      <c r="P5" t="s">
        <v>2174</v>
      </c>
      <c r="Q5" t="s">
        <v>2175</v>
      </c>
      <c r="R5" t="s">
        <v>2171</v>
      </c>
      <c r="S5" t="s">
        <v>2176</v>
      </c>
      <c r="U5" s="80" t="s">
        <v>2177</v>
      </c>
      <c r="Z5" t="s">
        <v>11293</v>
      </c>
      <c r="AA5" t="s">
        <v>2178</v>
      </c>
    </row>
    <row r="6" spans="1:27" x14ac:dyDescent="0.3">
      <c r="A6" s="20">
        <v>5</v>
      </c>
      <c r="B6" s="20">
        <v>4</v>
      </c>
      <c r="C6" s="8" t="s">
        <v>7</v>
      </c>
      <c r="D6" t="s">
        <v>6</v>
      </c>
      <c r="E6" s="80" t="s">
        <v>24</v>
      </c>
      <c r="F6" s="8" t="s">
        <v>25</v>
      </c>
      <c r="G6" s="14" t="s">
        <v>23</v>
      </c>
      <c r="I6" s="20" t="s">
        <v>19</v>
      </c>
      <c r="N6" s="20" t="s">
        <v>2166</v>
      </c>
      <c r="P6" t="s">
        <v>2179</v>
      </c>
      <c r="R6" t="s">
        <v>2171</v>
      </c>
      <c r="S6" t="s">
        <v>2180</v>
      </c>
      <c r="Z6" t="s">
        <v>11294</v>
      </c>
      <c r="AA6" t="s">
        <v>2181</v>
      </c>
    </row>
    <row r="7" spans="1:27" x14ac:dyDescent="0.3">
      <c r="A7" s="20">
        <v>6</v>
      </c>
      <c r="B7" s="20">
        <v>5</v>
      </c>
      <c r="C7" s="8" t="s">
        <v>7</v>
      </c>
      <c r="D7" t="s">
        <v>6</v>
      </c>
      <c r="E7" s="80" t="s">
        <v>26</v>
      </c>
      <c r="F7" s="8" t="s">
        <v>27</v>
      </c>
      <c r="G7" s="14" t="s">
        <v>28</v>
      </c>
      <c r="I7" s="20" t="s">
        <v>19</v>
      </c>
      <c r="N7" s="20" t="s">
        <v>2166</v>
      </c>
      <c r="R7" t="s">
        <v>2171</v>
      </c>
      <c r="Z7" t="s">
        <v>11295</v>
      </c>
    </row>
    <row r="8" spans="1:27" x14ac:dyDescent="0.3">
      <c r="A8" s="20">
        <v>7</v>
      </c>
      <c r="B8" s="20">
        <v>6</v>
      </c>
      <c r="C8" s="8" t="s">
        <v>7</v>
      </c>
      <c r="D8" t="s">
        <v>6</v>
      </c>
      <c r="E8" s="80" t="s">
        <v>29</v>
      </c>
      <c r="F8" s="8" t="s">
        <v>30</v>
      </c>
      <c r="G8" s="14" t="s">
        <v>31</v>
      </c>
      <c r="I8" s="20" t="s">
        <v>19</v>
      </c>
      <c r="N8" s="20" t="s">
        <v>2166</v>
      </c>
      <c r="Q8" t="s">
        <v>2182</v>
      </c>
      <c r="R8" t="s">
        <v>2171</v>
      </c>
      <c r="Z8" t="s">
        <v>11296</v>
      </c>
    </row>
    <row r="9" spans="1:27" x14ac:dyDescent="0.3">
      <c r="A9" s="20">
        <v>8</v>
      </c>
      <c r="B9" s="20">
        <v>7</v>
      </c>
      <c r="C9" s="8" t="s">
        <v>7</v>
      </c>
      <c r="D9" t="s">
        <v>6</v>
      </c>
      <c r="E9" s="80" t="s">
        <v>32</v>
      </c>
      <c r="F9" s="8" t="s">
        <v>33</v>
      </c>
      <c r="G9" s="14" t="s">
        <v>34</v>
      </c>
      <c r="H9" s="15" t="s">
        <v>9652</v>
      </c>
      <c r="I9" s="20" t="s">
        <v>19</v>
      </c>
      <c r="N9" s="20" t="s">
        <v>2166</v>
      </c>
      <c r="Q9" t="s">
        <v>2183</v>
      </c>
    </row>
    <row r="10" spans="1:27" x14ac:dyDescent="0.3">
      <c r="A10" s="20">
        <v>9</v>
      </c>
      <c r="B10" s="20">
        <v>8</v>
      </c>
      <c r="C10" s="8" t="s">
        <v>7</v>
      </c>
      <c r="D10" t="s">
        <v>6</v>
      </c>
      <c r="E10" s="80" t="s">
        <v>35</v>
      </c>
      <c r="F10" s="8" t="s">
        <v>36</v>
      </c>
      <c r="G10" s="14" t="s">
        <v>37</v>
      </c>
      <c r="H10" s="15" t="s">
        <v>9653</v>
      </c>
      <c r="I10" s="20" t="s">
        <v>19</v>
      </c>
      <c r="N10" s="20" t="s">
        <v>2166</v>
      </c>
      <c r="Q10" t="s">
        <v>2184</v>
      </c>
      <c r="Z10" t="s">
        <v>11297</v>
      </c>
    </row>
    <row r="11" spans="1:27" x14ac:dyDescent="0.3">
      <c r="A11" s="20">
        <v>10</v>
      </c>
      <c r="B11" s="20">
        <v>9</v>
      </c>
      <c r="C11" s="8" t="s">
        <v>7</v>
      </c>
      <c r="D11" t="s">
        <v>6</v>
      </c>
      <c r="E11" s="80" t="s">
        <v>38</v>
      </c>
      <c r="F11" s="8" t="s">
        <v>39</v>
      </c>
      <c r="G11" s="14" t="s">
        <v>40</v>
      </c>
      <c r="H11" s="15" t="s">
        <v>9654</v>
      </c>
      <c r="I11" s="20" t="s">
        <v>19</v>
      </c>
      <c r="N11" s="20" t="s">
        <v>2166</v>
      </c>
      <c r="Q11" t="s">
        <v>2185</v>
      </c>
      <c r="R11" t="s">
        <v>2171</v>
      </c>
      <c r="Z11" t="s">
        <v>11298</v>
      </c>
    </row>
    <row r="12" spans="1:27" x14ac:dyDescent="0.3">
      <c r="A12" s="20">
        <v>11</v>
      </c>
      <c r="B12" s="20">
        <v>10</v>
      </c>
      <c r="C12" s="8" t="s">
        <v>7</v>
      </c>
      <c r="D12" t="s">
        <v>6</v>
      </c>
      <c r="E12" s="80" t="s">
        <v>41</v>
      </c>
      <c r="F12" s="8" t="s">
        <v>42</v>
      </c>
      <c r="G12" s="14" t="s">
        <v>43</v>
      </c>
      <c r="I12" s="20" t="s">
        <v>19</v>
      </c>
      <c r="N12" s="20" t="s">
        <v>2166</v>
      </c>
      <c r="Q12" t="s">
        <v>2186</v>
      </c>
      <c r="S12" t="s">
        <v>2187</v>
      </c>
      <c r="U12" s="80" t="s">
        <v>2188</v>
      </c>
      <c r="Z12" t="s">
        <v>44</v>
      </c>
    </row>
    <row r="13" spans="1:27" x14ac:dyDescent="0.3">
      <c r="A13" s="20">
        <v>12</v>
      </c>
      <c r="B13" s="20">
        <v>11</v>
      </c>
      <c r="C13" s="8" t="s">
        <v>7</v>
      </c>
      <c r="D13" t="s">
        <v>6</v>
      </c>
      <c r="E13" s="80" t="s">
        <v>45</v>
      </c>
      <c r="F13" s="8" t="s">
        <v>46</v>
      </c>
      <c r="G13" s="14" t="s">
        <v>47</v>
      </c>
      <c r="H13" s="15" t="s">
        <v>9655</v>
      </c>
      <c r="I13" s="20" t="s">
        <v>19</v>
      </c>
      <c r="N13" s="20" t="s">
        <v>2166</v>
      </c>
      <c r="Q13" t="s">
        <v>2189</v>
      </c>
      <c r="R13" t="s">
        <v>2171</v>
      </c>
      <c r="Z13" t="s">
        <v>11299</v>
      </c>
    </row>
    <row r="14" spans="1:27" x14ac:dyDescent="0.3">
      <c r="A14" s="20">
        <v>13</v>
      </c>
      <c r="B14" s="20">
        <v>12</v>
      </c>
      <c r="C14" s="8" t="s">
        <v>7</v>
      </c>
      <c r="D14" t="s">
        <v>6</v>
      </c>
      <c r="E14" s="80" t="s">
        <v>48</v>
      </c>
      <c r="F14" s="8" t="s">
        <v>49</v>
      </c>
      <c r="G14" s="14" t="s">
        <v>51</v>
      </c>
      <c r="H14" s="15" t="s">
        <v>9656</v>
      </c>
      <c r="I14" s="20" t="s">
        <v>50</v>
      </c>
      <c r="Q14" t="s">
        <v>2190</v>
      </c>
    </row>
    <row r="15" spans="1:27" x14ac:dyDescent="0.3">
      <c r="A15" s="20">
        <v>14</v>
      </c>
      <c r="B15" s="20">
        <v>13</v>
      </c>
      <c r="C15" s="8" t="s">
        <v>7</v>
      </c>
      <c r="D15" t="s">
        <v>6</v>
      </c>
      <c r="E15" s="80" t="s">
        <v>52</v>
      </c>
      <c r="F15" s="8" t="s">
        <v>53</v>
      </c>
      <c r="G15" s="14" t="s">
        <v>20</v>
      </c>
      <c r="H15" s="15" t="s">
        <v>9657</v>
      </c>
      <c r="I15" s="20" t="s">
        <v>50</v>
      </c>
      <c r="Q15" t="s">
        <v>2191</v>
      </c>
    </row>
    <row r="16" spans="1:27" x14ac:dyDescent="0.3">
      <c r="A16" s="20">
        <v>15</v>
      </c>
      <c r="B16" s="20">
        <v>14</v>
      </c>
      <c r="C16" s="8" t="s">
        <v>7</v>
      </c>
      <c r="D16" t="s">
        <v>6</v>
      </c>
      <c r="E16" s="80" t="s">
        <v>54</v>
      </c>
      <c r="F16" s="8" t="s">
        <v>55</v>
      </c>
      <c r="G16" s="14" t="s">
        <v>20</v>
      </c>
      <c r="I16" s="20" t="s">
        <v>19</v>
      </c>
      <c r="N16" s="20" t="s">
        <v>2166</v>
      </c>
      <c r="Q16" t="s">
        <v>2192</v>
      </c>
    </row>
    <row r="17" spans="1:27" x14ac:dyDescent="0.3">
      <c r="A17" s="20">
        <v>16</v>
      </c>
      <c r="B17" s="20">
        <v>15</v>
      </c>
      <c r="C17" s="8" t="s">
        <v>7</v>
      </c>
      <c r="D17" t="s">
        <v>6</v>
      </c>
      <c r="E17" s="80" t="s">
        <v>56</v>
      </c>
      <c r="F17" s="8" t="s">
        <v>57</v>
      </c>
      <c r="G17" s="14" t="s">
        <v>59</v>
      </c>
      <c r="H17" s="15" t="s">
        <v>9658</v>
      </c>
      <c r="I17" s="20" t="s">
        <v>19</v>
      </c>
      <c r="K17" s="20" t="s">
        <v>58</v>
      </c>
      <c r="L17" s="20" t="s">
        <v>58</v>
      </c>
      <c r="N17" s="20" t="s">
        <v>2166</v>
      </c>
      <c r="Q17" t="s">
        <v>2193</v>
      </c>
      <c r="R17" t="s">
        <v>2171</v>
      </c>
      <c r="Z17" t="s">
        <v>11300</v>
      </c>
    </row>
    <row r="18" spans="1:27" x14ac:dyDescent="0.3">
      <c r="A18" s="20">
        <v>17</v>
      </c>
      <c r="B18" s="20">
        <v>16</v>
      </c>
      <c r="C18" s="8" t="s">
        <v>7</v>
      </c>
      <c r="D18" t="s">
        <v>6</v>
      </c>
      <c r="E18" s="80" t="s">
        <v>60</v>
      </c>
      <c r="F18" s="8" t="s">
        <v>61</v>
      </c>
      <c r="G18" s="14" t="s">
        <v>62</v>
      </c>
      <c r="H18" s="15" t="s">
        <v>9659</v>
      </c>
      <c r="I18" s="20" t="s">
        <v>50</v>
      </c>
      <c r="Q18" t="s">
        <v>2194</v>
      </c>
    </row>
    <row r="19" spans="1:27" x14ac:dyDescent="0.3">
      <c r="A19" s="20">
        <v>18</v>
      </c>
      <c r="B19" s="20">
        <v>17</v>
      </c>
      <c r="C19" s="8" t="s">
        <v>7</v>
      </c>
      <c r="D19" t="s">
        <v>6</v>
      </c>
      <c r="E19" s="80" t="s">
        <v>63</v>
      </c>
      <c r="F19" s="8" t="s">
        <v>64</v>
      </c>
      <c r="G19" s="14" t="s">
        <v>68</v>
      </c>
      <c r="H19" s="15" t="s">
        <v>9660</v>
      </c>
      <c r="I19" s="20" t="s">
        <v>65</v>
      </c>
      <c r="J19" s="20" t="s">
        <v>2015</v>
      </c>
      <c r="K19" s="20" t="s">
        <v>66</v>
      </c>
      <c r="L19" s="20" t="s">
        <v>66</v>
      </c>
      <c r="M19" s="20" t="s">
        <v>67</v>
      </c>
    </row>
    <row r="20" spans="1:27" x14ac:dyDescent="0.3">
      <c r="A20" s="20">
        <v>19</v>
      </c>
      <c r="B20" s="20">
        <v>18</v>
      </c>
      <c r="C20" s="8" t="s">
        <v>7</v>
      </c>
      <c r="D20" t="s">
        <v>6</v>
      </c>
      <c r="E20" s="80" t="s">
        <v>69</v>
      </c>
      <c r="F20" s="8" t="s">
        <v>70</v>
      </c>
      <c r="G20" s="14" t="s">
        <v>71</v>
      </c>
      <c r="H20" s="15" t="s">
        <v>9661</v>
      </c>
      <c r="I20" s="20" t="s">
        <v>19</v>
      </c>
      <c r="N20" s="20" t="s">
        <v>2166</v>
      </c>
      <c r="Q20" t="s">
        <v>2195</v>
      </c>
      <c r="R20" t="s">
        <v>2196</v>
      </c>
      <c r="U20" s="80" t="s">
        <v>2197</v>
      </c>
    </row>
    <row r="21" spans="1:27" x14ac:dyDescent="0.3">
      <c r="A21" s="20">
        <v>20</v>
      </c>
      <c r="B21" s="20">
        <v>19</v>
      </c>
      <c r="C21" s="8" t="s">
        <v>7</v>
      </c>
      <c r="D21" t="s">
        <v>6</v>
      </c>
      <c r="E21" s="80" t="s">
        <v>72</v>
      </c>
      <c r="F21" s="8" t="s">
        <v>73</v>
      </c>
      <c r="G21" s="14" t="s">
        <v>20</v>
      </c>
      <c r="I21" s="20" t="s">
        <v>19</v>
      </c>
      <c r="N21" s="20" t="s">
        <v>2166</v>
      </c>
      <c r="Q21" t="s">
        <v>2198</v>
      </c>
    </row>
    <row r="22" spans="1:27" x14ac:dyDescent="0.3">
      <c r="A22" s="20">
        <v>21</v>
      </c>
      <c r="B22" s="20">
        <v>20</v>
      </c>
      <c r="C22" s="8" t="s">
        <v>7</v>
      </c>
      <c r="D22" t="s">
        <v>6</v>
      </c>
      <c r="E22" s="80" t="s">
        <v>74</v>
      </c>
      <c r="F22" s="8" t="s">
        <v>75</v>
      </c>
      <c r="G22" s="14" t="s">
        <v>76</v>
      </c>
      <c r="H22" s="15" t="s">
        <v>9662</v>
      </c>
      <c r="I22" s="20" t="s">
        <v>50</v>
      </c>
      <c r="Q22" t="s">
        <v>2199</v>
      </c>
    </row>
    <row r="23" spans="1:27" x14ac:dyDescent="0.3">
      <c r="A23" s="20">
        <v>22</v>
      </c>
      <c r="B23" s="20">
        <v>21</v>
      </c>
      <c r="C23" s="8" t="s">
        <v>7</v>
      </c>
      <c r="D23" t="s">
        <v>6</v>
      </c>
      <c r="E23" s="80" t="s">
        <v>77</v>
      </c>
      <c r="F23" s="8" t="s">
        <v>78</v>
      </c>
      <c r="G23" s="14" t="s">
        <v>79</v>
      </c>
      <c r="I23" s="20" t="s">
        <v>50</v>
      </c>
      <c r="P23" t="s">
        <v>2200</v>
      </c>
      <c r="Q23" t="s">
        <v>2201</v>
      </c>
      <c r="R23" t="s">
        <v>2202</v>
      </c>
      <c r="S23" t="s">
        <v>2202</v>
      </c>
      <c r="U23" s="80" t="s">
        <v>2203</v>
      </c>
      <c r="AA23" t="s">
        <v>2204</v>
      </c>
    </row>
    <row r="24" spans="1:27" x14ac:dyDescent="0.3">
      <c r="A24" s="20">
        <v>23</v>
      </c>
      <c r="B24" s="20">
        <v>22</v>
      </c>
      <c r="C24" s="8" t="s">
        <v>7</v>
      </c>
      <c r="D24" t="s">
        <v>6</v>
      </c>
      <c r="E24" s="80" t="s">
        <v>80</v>
      </c>
      <c r="F24" s="8" t="s">
        <v>81</v>
      </c>
      <c r="G24" s="14" t="s">
        <v>82</v>
      </c>
      <c r="H24" s="15" t="s">
        <v>9663</v>
      </c>
      <c r="I24" s="20" t="s">
        <v>50</v>
      </c>
      <c r="K24" s="20" t="s">
        <v>66</v>
      </c>
      <c r="L24" s="20" t="s">
        <v>66</v>
      </c>
      <c r="Q24" t="s">
        <v>2194</v>
      </c>
    </row>
    <row r="25" spans="1:27" x14ac:dyDescent="0.3">
      <c r="A25" s="20">
        <v>24</v>
      </c>
      <c r="B25" s="20">
        <v>23</v>
      </c>
      <c r="C25" s="8" t="s">
        <v>7</v>
      </c>
      <c r="D25" t="s">
        <v>6</v>
      </c>
      <c r="E25" s="80" t="s">
        <v>83</v>
      </c>
      <c r="F25" s="8" t="s">
        <v>84</v>
      </c>
      <c r="G25" s="14" t="s">
        <v>86</v>
      </c>
      <c r="H25" s="15" t="s">
        <v>9664</v>
      </c>
      <c r="I25" s="20" t="s">
        <v>19</v>
      </c>
      <c r="K25" s="20" t="s">
        <v>85</v>
      </c>
      <c r="L25" s="20" t="s">
        <v>85</v>
      </c>
      <c r="M25" s="20" t="s">
        <v>85</v>
      </c>
      <c r="N25" s="20" t="s">
        <v>2166</v>
      </c>
      <c r="Q25" t="s">
        <v>2205</v>
      </c>
    </row>
    <row r="26" spans="1:27" x14ac:dyDescent="0.3">
      <c r="A26" s="20">
        <v>25</v>
      </c>
      <c r="B26" s="20">
        <v>24</v>
      </c>
      <c r="C26" s="8" t="s">
        <v>7</v>
      </c>
      <c r="D26" t="s">
        <v>6</v>
      </c>
      <c r="E26" s="80" t="s">
        <v>87</v>
      </c>
      <c r="F26" s="8" t="s">
        <v>88</v>
      </c>
      <c r="G26" s="14" t="s">
        <v>89</v>
      </c>
      <c r="H26" s="15" t="s">
        <v>9665</v>
      </c>
      <c r="I26" s="20" t="s">
        <v>19</v>
      </c>
      <c r="K26" s="20" t="s">
        <v>58</v>
      </c>
      <c r="L26" s="20" t="s">
        <v>58</v>
      </c>
      <c r="Q26" t="s">
        <v>2206</v>
      </c>
      <c r="R26" t="s">
        <v>2171</v>
      </c>
      <c r="Z26" t="s">
        <v>11301</v>
      </c>
    </row>
    <row r="27" spans="1:27" x14ac:dyDescent="0.3">
      <c r="A27" s="20">
        <v>26</v>
      </c>
      <c r="B27" s="20">
        <v>25</v>
      </c>
      <c r="C27" s="8" t="s">
        <v>7</v>
      </c>
      <c r="D27" t="s">
        <v>6</v>
      </c>
      <c r="E27" s="80" t="s">
        <v>90</v>
      </c>
      <c r="F27" s="8" t="s">
        <v>91</v>
      </c>
      <c r="G27" s="14" t="s">
        <v>92</v>
      </c>
      <c r="H27" s="15" t="s">
        <v>9666</v>
      </c>
      <c r="I27" s="20" t="s">
        <v>50</v>
      </c>
      <c r="Q27" t="s">
        <v>2194</v>
      </c>
    </row>
    <row r="28" spans="1:27" x14ac:dyDescent="0.3">
      <c r="A28" s="20">
        <v>27</v>
      </c>
      <c r="B28" s="20">
        <v>26</v>
      </c>
      <c r="C28" s="8" t="s">
        <v>7</v>
      </c>
      <c r="D28" t="s">
        <v>6</v>
      </c>
      <c r="E28" s="80" t="s">
        <v>93</v>
      </c>
      <c r="F28" s="8" t="s">
        <v>94</v>
      </c>
      <c r="G28" s="14" t="s">
        <v>20</v>
      </c>
      <c r="I28" s="20" t="s">
        <v>19</v>
      </c>
      <c r="N28" s="20" t="s">
        <v>2166</v>
      </c>
    </row>
    <row r="29" spans="1:27" x14ac:dyDescent="0.3">
      <c r="A29" s="20">
        <v>28</v>
      </c>
      <c r="B29" s="20">
        <v>697</v>
      </c>
      <c r="C29" s="8" t="s">
        <v>7</v>
      </c>
      <c r="D29" t="s">
        <v>6</v>
      </c>
      <c r="E29" s="80" t="s">
        <v>95</v>
      </c>
      <c r="F29" s="8" t="s">
        <v>96</v>
      </c>
      <c r="G29" s="14" t="s">
        <v>97</v>
      </c>
      <c r="H29" s="15" t="s">
        <v>9667</v>
      </c>
      <c r="I29" s="20" t="s">
        <v>19</v>
      </c>
      <c r="K29" s="20" t="s">
        <v>67</v>
      </c>
      <c r="L29" s="20" t="s">
        <v>67</v>
      </c>
      <c r="N29" s="20" t="s">
        <v>2166</v>
      </c>
      <c r="R29" t="s">
        <v>2171</v>
      </c>
      <c r="Z29" t="s">
        <v>11302</v>
      </c>
    </row>
    <row r="30" spans="1:27" x14ac:dyDescent="0.3">
      <c r="A30" s="20">
        <v>29</v>
      </c>
      <c r="B30" s="20">
        <v>27</v>
      </c>
      <c r="C30" s="8" t="s">
        <v>99</v>
      </c>
      <c r="D30" t="s">
        <v>98</v>
      </c>
      <c r="E30" s="80" t="s">
        <v>100</v>
      </c>
      <c r="F30" s="8" t="s">
        <v>101</v>
      </c>
      <c r="G30" s="14" t="s">
        <v>102</v>
      </c>
      <c r="I30" s="20" t="s">
        <v>15</v>
      </c>
      <c r="M30" s="20" t="s">
        <v>66</v>
      </c>
      <c r="R30" t="s">
        <v>2207</v>
      </c>
      <c r="S30" t="s">
        <v>2207</v>
      </c>
      <c r="U30" s="80" t="s">
        <v>2208</v>
      </c>
    </row>
    <row r="31" spans="1:27" x14ac:dyDescent="0.3">
      <c r="A31" s="20">
        <v>30</v>
      </c>
      <c r="B31" s="20">
        <v>28</v>
      </c>
      <c r="C31" s="8" t="s">
        <v>104</v>
      </c>
      <c r="D31" t="s">
        <v>103</v>
      </c>
      <c r="E31" s="80" t="s">
        <v>105</v>
      </c>
      <c r="F31" s="8" t="s">
        <v>106</v>
      </c>
      <c r="G31" s="14" t="s">
        <v>108</v>
      </c>
      <c r="I31" s="20" t="s">
        <v>107</v>
      </c>
      <c r="Z31" t="s">
        <v>109</v>
      </c>
    </row>
    <row r="32" spans="1:27" x14ac:dyDescent="0.3">
      <c r="A32" s="20">
        <v>31</v>
      </c>
      <c r="B32" s="20">
        <v>29</v>
      </c>
      <c r="C32" s="8" t="s">
        <v>104</v>
      </c>
      <c r="D32" t="s">
        <v>103</v>
      </c>
      <c r="E32" s="80" t="s">
        <v>110</v>
      </c>
      <c r="F32" s="8" t="s">
        <v>111</v>
      </c>
      <c r="G32" s="14" t="s">
        <v>112</v>
      </c>
      <c r="I32" s="20" t="s">
        <v>107</v>
      </c>
      <c r="Z32" t="s">
        <v>113</v>
      </c>
    </row>
    <row r="33" spans="1:27" x14ac:dyDescent="0.3">
      <c r="A33" s="20">
        <v>32</v>
      </c>
      <c r="B33" s="20">
        <v>30</v>
      </c>
      <c r="C33" s="8" t="s">
        <v>104</v>
      </c>
      <c r="D33" t="s">
        <v>103</v>
      </c>
      <c r="E33" s="80" t="s">
        <v>114</v>
      </c>
      <c r="F33" s="8" t="s">
        <v>115</v>
      </c>
      <c r="G33" s="14" t="s">
        <v>116</v>
      </c>
      <c r="H33" s="15" t="s">
        <v>9668</v>
      </c>
      <c r="I33" s="20" t="s">
        <v>19</v>
      </c>
      <c r="K33" s="20" t="s">
        <v>58</v>
      </c>
      <c r="L33" s="20" t="s">
        <v>58</v>
      </c>
      <c r="N33" s="20" t="s">
        <v>2166</v>
      </c>
      <c r="Q33" t="s">
        <v>2209</v>
      </c>
    </row>
    <row r="34" spans="1:27" x14ac:dyDescent="0.3">
      <c r="A34" s="20">
        <v>33</v>
      </c>
      <c r="B34" s="20">
        <v>31</v>
      </c>
      <c r="C34" s="8" t="s">
        <v>104</v>
      </c>
      <c r="D34" t="s">
        <v>103</v>
      </c>
      <c r="E34" s="80" t="s">
        <v>117</v>
      </c>
      <c r="F34" s="8" t="s">
        <v>118</v>
      </c>
      <c r="G34" s="14" t="s">
        <v>119</v>
      </c>
      <c r="I34" s="20" t="s">
        <v>15</v>
      </c>
      <c r="R34" t="s">
        <v>2210</v>
      </c>
      <c r="S34" t="s">
        <v>2210</v>
      </c>
      <c r="U34" s="80" t="s">
        <v>2211</v>
      </c>
      <c r="V34" s="8" t="s">
        <v>2212</v>
      </c>
      <c r="X34" s="8" t="s">
        <v>2212</v>
      </c>
      <c r="Y34" s="8" t="s">
        <v>11361</v>
      </c>
    </row>
    <row r="35" spans="1:27" x14ac:dyDescent="0.3">
      <c r="A35" s="20">
        <v>34</v>
      </c>
      <c r="B35" s="20">
        <v>32</v>
      </c>
      <c r="C35" s="8" t="s">
        <v>104</v>
      </c>
      <c r="D35" t="s">
        <v>103</v>
      </c>
      <c r="E35" s="80" t="s">
        <v>120</v>
      </c>
      <c r="F35" s="8" t="s">
        <v>121</v>
      </c>
      <c r="G35" s="14" t="s">
        <v>122</v>
      </c>
      <c r="I35" s="20" t="s">
        <v>15</v>
      </c>
      <c r="Z35" t="s">
        <v>123</v>
      </c>
    </row>
    <row r="36" spans="1:27" x14ac:dyDescent="0.3">
      <c r="A36" s="20">
        <v>35</v>
      </c>
      <c r="B36" s="20">
        <v>33</v>
      </c>
      <c r="C36" s="8" t="s">
        <v>104</v>
      </c>
      <c r="D36" t="s">
        <v>103</v>
      </c>
      <c r="E36" s="80" t="s">
        <v>124</v>
      </c>
      <c r="F36" s="8" t="s">
        <v>125</v>
      </c>
      <c r="G36" s="14" t="s">
        <v>68</v>
      </c>
      <c r="H36" s="15" t="s">
        <v>9669</v>
      </c>
      <c r="I36" s="20" t="s">
        <v>65</v>
      </c>
      <c r="J36" s="20" t="s">
        <v>2016</v>
      </c>
      <c r="K36" s="20" t="s">
        <v>66</v>
      </c>
      <c r="L36" s="20" t="s">
        <v>66</v>
      </c>
      <c r="M36" s="20" t="s">
        <v>67</v>
      </c>
      <c r="Y36" s="8" t="s">
        <v>11362</v>
      </c>
    </row>
    <row r="37" spans="1:27" x14ac:dyDescent="0.3">
      <c r="A37" s="20">
        <v>36</v>
      </c>
      <c r="B37" s="20">
        <v>34</v>
      </c>
      <c r="C37" s="8" t="s">
        <v>127</v>
      </c>
      <c r="D37" t="s">
        <v>126</v>
      </c>
      <c r="E37" s="80" t="s">
        <v>128</v>
      </c>
      <c r="F37" s="8" t="s">
        <v>129</v>
      </c>
      <c r="G37" s="14" t="s">
        <v>131</v>
      </c>
      <c r="H37" s="15" t="s">
        <v>9670</v>
      </c>
      <c r="I37" s="20" t="s">
        <v>19</v>
      </c>
      <c r="K37" s="20" t="s">
        <v>58</v>
      </c>
      <c r="L37" s="20" t="s">
        <v>58</v>
      </c>
      <c r="M37" s="20" t="s">
        <v>130</v>
      </c>
      <c r="N37" s="20" t="s">
        <v>2166</v>
      </c>
      <c r="R37" t="s">
        <v>2171</v>
      </c>
      <c r="Z37" t="s">
        <v>11303</v>
      </c>
    </row>
    <row r="38" spans="1:27" x14ac:dyDescent="0.3">
      <c r="A38" s="20">
        <v>37</v>
      </c>
      <c r="B38" s="20">
        <v>35</v>
      </c>
      <c r="C38" s="8" t="s">
        <v>133</v>
      </c>
      <c r="D38" t="s">
        <v>132</v>
      </c>
      <c r="E38" s="80" t="s">
        <v>134</v>
      </c>
      <c r="F38" s="8" t="s">
        <v>135</v>
      </c>
      <c r="G38" s="14" t="s">
        <v>136</v>
      </c>
      <c r="H38" s="15" t="s">
        <v>9671</v>
      </c>
      <c r="I38" s="20" t="s">
        <v>19</v>
      </c>
      <c r="K38" s="20" t="s">
        <v>58</v>
      </c>
      <c r="L38" s="20" t="s">
        <v>58</v>
      </c>
      <c r="M38" s="20" t="s">
        <v>130</v>
      </c>
      <c r="N38" s="20" t="s">
        <v>2166</v>
      </c>
      <c r="R38" t="s">
        <v>2171</v>
      </c>
      <c r="S38" t="s">
        <v>2213</v>
      </c>
      <c r="U38" s="80" t="s">
        <v>2214</v>
      </c>
      <c r="X38" s="8" t="s">
        <v>2215</v>
      </c>
      <c r="Z38" t="s">
        <v>11304</v>
      </c>
    </row>
    <row r="39" spans="1:27" x14ac:dyDescent="0.3">
      <c r="A39" s="20">
        <v>38</v>
      </c>
      <c r="B39" s="20">
        <v>36</v>
      </c>
      <c r="C39" s="8" t="s">
        <v>133</v>
      </c>
      <c r="D39" t="s">
        <v>132</v>
      </c>
      <c r="E39" s="80" t="s">
        <v>137</v>
      </c>
      <c r="F39" s="8" t="s">
        <v>138</v>
      </c>
      <c r="G39" s="14" t="s">
        <v>139</v>
      </c>
      <c r="I39" s="20" t="s">
        <v>19</v>
      </c>
      <c r="K39" s="20" t="s">
        <v>66</v>
      </c>
      <c r="L39" s="20" t="s">
        <v>66</v>
      </c>
      <c r="N39" s="20" t="s">
        <v>2166</v>
      </c>
      <c r="R39" t="s">
        <v>2171</v>
      </c>
      <c r="S39" t="s">
        <v>2216</v>
      </c>
      <c r="U39" s="80" t="s">
        <v>2217</v>
      </c>
      <c r="X39" s="8" t="s">
        <v>2218</v>
      </c>
      <c r="Z39" t="s">
        <v>11305</v>
      </c>
    </row>
    <row r="40" spans="1:27" x14ac:dyDescent="0.3">
      <c r="A40" s="20">
        <v>39</v>
      </c>
      <c r="B40" s="20">
        <v>37</v>
      </c>
      <c r="C40" s="8" t="s">
        <v>141</v>
      </c>
      <c r="D40" t="s">
        <v>140</v>
      </c>
      <c r="E40" s="80" t="s">
        <v>142</v>
      </c>
      <c r="F40" s="8" t="s">
        <v>143</v>
      </c>
      <c r="G40" s="14" t="s">
        <v>144</v>
      </c>
      <c r="I40" s="20" t="s">
        <v>19</v>
      </c>
      <c r="N40" s="20" t="s">
        <v>2166</v>
      </c>
      <c r="Z40" t="s">
        <v>123</v>
      </c>
    </row>
    <row r="41" spans="1:27" x14ac:dyDescent="0.3">
      <c r="A41" s="20">
        <v>40</v>
      </c>
      <c r="B41" s="20">
        <v>38</v>
      </c>
      <c r="C41" s="8" t="s">
        <v>141</v>
      </c>
      <c r="D41" t="s">
        <v>140</v>
      </c>
      <c r="E41" s="80" t="s">
        <v>145</v>
      </c>
      <c r="F41" s="8" t="s">
        <v>146</v>
      </c>
      <c r="G41" s="14" t="s">
        <v>147</v>
      </c>
      <c r="H41" s="15" t="s">
        <v>9672</v>
      </c>
      <c r="I41" s="20" t="s">
        <v>19</v>
      </c>
      <c r="K41" s="20" t="s">
        <v>66</v>
      </c>
      <c r="L41" s="20" t="s">
        <v>67</v>
      </c>
      <c r="M41" s="20" t="s">
        <v>66</v>
      </c>
      <c r="N41" s="20" t="s">
        <v>2166</v>
      </c>
      <c r="P41" t="s">
        <v>2219</v>
      </c>
      <c r="R41" t="s">
        <v>2220</v>
      </c>
      <c r="AA41" t="s">
        <v>2221</v>
      </c>
    </row>
    <row r="42" spans="1:27" x14ac:dyDescent="0.3">
      <c r="A42" s="20">
        <v>41</v>
      </c>
      <c r="B42" s="20">
        <v>39</v>
      </c>
      <c r="C42" s="8" t="s">
        <v>141</v>
      </c>
      <c r="D42" t="s">
        <v>140</v>
      </c>
      <c r="E42" s="80" t="s">
        <v>148</v>
      </c>
      <c r="F42" s="8" t="s">
        <v>149</v>
      </c>
      <c r="G42" s="14" t="s">
        <v>150</v>
      </c>
      <c r="H42" s="15" t="s">
        <v>9673</v>
      </c>
      <c r="I42" s="20" t="s">
        <v>19</v>
      </c>
      <c r="N42" s="20" t="s">
        <v>2166</v>
      </c>
    </row>
    <row r="43" spans="1:27" x14ac:dyDescent="0.3">
      <c r="A43" s="20">
        <v>42</v>
      </c>
      <c r="B43" s="20">
        <v>40</v>
      </c>
      <c r="C43" s="8" t="s">
        <v>141</v>
      </c>
      <c r="D43" t="s">
        <v>140</v>
      </c>
      <c r="E43" s="80" t="s">
        <v>151</v>
      </c>
      <c r="F43" s="8" t="s">
        <v>152</v>
      </c>
      <c r="G43" s="14" t="s">
        <v>153</v>
      </c>
      <c r="I43" s="20" t="s">
        <v>19</v>
      </c>
      <c r="K43" s="20" t="s">
        <v>58</v>
      </c>
      <c r="L43" s="20" t="s">
        <v>58</v>
      </c>
      <c r="M43" s="20" t="s">
        <v>130</v>
      </c>
      <c r="N43" s="20" t="s">
        <v>2166</v>
      </c>
      <c r="Y43" s="8" t="s">
        <v>11363</v>
      </c>
    </row>
    <row r="44" spans="1:27" x14ac:dyDescent="0.3">
      <c r="A44" s="20">
        <v>43</v>
      </c>
      <c r="B44" s="20">
        <v>41</v>
      </c>
      <c r="C44" s="8" t="s">
        <v>141</v>
      </c>
      <c r="D44" t="s">
        <v>140</v>
      </c>
      <c r="E44" s="80" t="s">
        <v>154</v>
      </c>
      <c r="F44" s="8" t="s">
        <v>155</v>
      </c>
      <c r="G44" s="14" t="s">
        <v>156</v>
      </c>
      <c r="H44" s="15" t="s">
        <v>9674</v>
      </c>
      <c r="I44" s="20" t="s">
        <v>50</v>
      </c>
      <c r="K44" s="20" t="s">
        <v>58</v>
      </c>
      <c r="L44" s="20" t="s">
        <v>58</v>
      </c>
    </row>
    <row r="45" spans="1:27" x14ac:dyDescent="0.3">
      <c r="A45" s="20">
        <v>44</v>
      </c>
      <c r="B45" s="20">
        <v>42</v>
      </c>
      <c r="C45" s="8" t="s">
        <v>141</v>
      </c>
      <c r="D45" t="s">
        <v>140</v>
      </c>
      <c r="E45" s="80" t="s">
        <v>157</v>
      </c>
      <c r="F45" s="8" t="s">
        <v>158</v>
      </c>
      <c r="G45" s="14" t="s">
        <v>159</v>
      </c>
      <c r="H45" s="15" t="s">
        <v>9675</v>
      </c>
      <c r="I45" s="20" t="s">
        <v>50</v>
      </c>
      <c r="P45" t="s">
        <v>2200</v>
      </c>
      <c r="W45" s="8" t="s">
        <v>2222</v>
      </c>
      <c r="AA45" t="s">
        <v>2223</v>
      </c>
    </row>
    <row r="46" spans="1:27" x14ac:dyDescent="0.3">
      <c r="A46" s="20">
        <v>45</v>
      </c>
      <c r="B46" s="20">
        <v>43</v>
      </c>
      <c r="C46" s="8" t="s">
        <v>141</v>
      </c>
      <c r="D46" t="s">
        <v>140</v>
      </c>
      <c r="E46" s="80" t="s">
        <v>160</v>
      </c>
      <c r="F46" s="8" t="s">
        <v>161</v>
      </c>
      <c r="G46" s="14" t="s">
        <v>162</v>
      </c>
      <c r="H46" s="15" t="s">
        <v>9676</v>
      </c>
      <c r="I46" s="20" t="s">
        <v>19</v>
      </c>
      <c r="N46" s="20" t="s">
        <v>2166</v>
      </c>
      <c r="R46" t="s">
        <v>2171</v>
      </c>
      <c r="Z46" t="s">
        <v>11306</v>
      </c>
    </row>
    <row r="47" spans="1:27" x14ac:dyDescent="0.3">
      <c r="A47" s="20">
        <v>46</v>
      </c>
      <c r="B47" s="20">
        <v>44</v>
      </c>
      <c r="C47" s="8" t="s">
        <v>141</v>
      </c>
      <c r="D47" t="s">
        <v>140</v>
      </c>
      <c r="E47" s="80" t="s">
        <v>163</v>
      </c>
      <c r="F47" s="8" t="s">
        <v>164</v>
      </c>
      <c r="G47" s="14" t="s">
        <v>165</v>
      </c>
      <c r="H47" s="15" t="s">
        <v>9677</v>
      </c>
      <c r="I47" s="20" t="s">
        <v>19</v>
      </c>
      <c r="N47" s="20" t="s">
        <v>2166</v>
      </c>
    </row>
    <row r="48" spans="1:27" x14ac:dyDescent="0.3">
      <c r="A48" s="20">
        <v>47</v>
      </c>
      <c r="B48" s="20">
        <v>45</v>
      </c>
      <c r="C48" s="8" t="s">
        <v>167</v>
      </c>
      <c r="D48" t="s">
        <v>166</v>
      </c>
      <c r="E48" s="80" t="s">
        <v>168</v>
      </c>
      <c r="F48" s="8" t="s">
        <v>169</v>
      </c>
      <c r="G48" s="14" t="s">
        <v>170</v>
      </c>
      <c r="I48" s="20" t="s">
        <v>15</v>
      </c>
    </row>
    <row r="49" spans="1:26" x14ac:dyDescent="0.3">
      <c r="A49" s="20">
        <v>48</v>
      </c>
      <c r="B49" s="20">
        <v>46</v>
      </c>
      <c r="C49" s="8" t="s">
        <v>167</v>
      </c>
      <c r="D49" t="s">
        <v>166</v>
      </c>
      <c r="E49" s="80" t="s">
        <v>171</v>
      </c>
      <c r="F49" s="8" t="s">
        <v>172</v>
      </c>
      <c r="G49" s="14" t="s">
        <v>173</v>
      </c>
      <c r="I49" s="20" t="s">
        <v>19</v>
      </c>
      <c r="N49" s="20" t="s">
        <v>2166</v>
      </c>
      <c r="S49" t="s">
        <v>2224</v>
      </c>
    </row>
    <row r="50" spans="1:26" x14ac:dyDescent="0.3">
      <c r="A50" s="20">
        <v>49</v>
      </c>
      <c r="B50" s="20">
        <v>47</v>
      </c>
      <c r="C50" s="8" t="s">
        <v>175</v>
      </c>
      <c r="D50" t="s">
        <v>174</v>
      </c>
      <c r="E50" s="80" t="s">
        <v>176</v>
      </c>
      <c r="F50" s="8" t="s">
        <v>177</v>
      </c>
      <c r="G50" s="14" t="s">
        <v>178</v>
      </c>
      <c r="I50" s="20" t="s">
        <v>19</v>
      </c>
      <c r="N50" s="20" t="s">
        <v>2166</v>
      </c>
    </row>
    <row r="51" spans="1:26" x14ac:dyDescent="0.3">
      <c r="A51" s="20">
        <v>50</v>
      </c>
      <c r="B51" s="20">
        <v>48</v>
      </c>
      <c r="C51" s="8" t="s">
        <v>175</v>
      </c>
      <c r="D51" t="s">
        <v>174</v>
      </c>
      <c r="E51" s="80" t="s">
        <v>179</v>
      </c>
      <c r="F51" s="8" t="s">
        <v>180</v>
      </c>
      <c r="G51" s="14" t="s">
        <v>181</v>
      </c>
      <c r="I51" s="20" t="s">
        <v>19</v>
      </c>
      <c r="N51" s="20" t="s">
        <v>2166</v>
      </c>
      <c r="Z51" t="s">
        <v>123</v>
      </c>
    </row>
    <row r="52" spans="1:26" x14ac:dyDescent="0.3">
      <c r="A52" s="20">
        <v>51</v>
      </c>
      <c r="B52" s="20">
        <v>698</v>
      </c>
      <c r="C52" s="8" t="s">
        <v>183</v>
      </c>
      <c r="D52" t="s">
        <v>182</v>
      </c>
      <c r="E52" s="80" t="s">
        <v>184</v>
      </c>
      <c r="F52" s="8" t="s">
        <v>185</v>
      </c>
      <c r="G52" s="14" t="s">
        <v>186</v>
      </c>
      <c r="H52" s="15" t="s">
        <v>9678</v>
      </c>
      <c r="I52" s="20" t="s">
        <v>19</v>
      </c>
      <c r="N52" s="20" t="s">
        <v>2166</v>
      </c>
      <c r="Q52" t="s">
        <v>2225</v>
      </c>
      <c r="R52" t="s">
        <v>2171</v>
      </c>
      <c r="Z52" t="s">
        <v>11307</v>
      </c>
    </row>
    <row r="53" spans="1:26" x14ac:dyDescent="0.3">
      <c r="A53" s="20">
        <v>52</v>
      </c>
      <c r="B53" s="20">
        <v>49</v>
      </c>
      <c r="C53" s="8" t="s">
        <v>183</v>
      </c>
      <c r="D53" t="s">
        <v>182</v>
      </c>
      <c r="E53" s="80" t="s">
        <v>187</v>
      </c>
      <c r="F53" s="8" t="s">
        <v>188</v>
      </c>
      <c r="G53" s="14" t="s">
        <v>189</v>
      </c>
      <c r="I53" s="20" t="s">
        <v>15</v>
      </c>
      <c r="K53" s="20" t="s">
        <v>66</v>
      </c>
      <c r="L53" s="20" t="s">
        <v>66</v>
      </c>
      <c r="M53" s="20" t="s">
        <v>130</v>
      </c>
      <c r="N53" s="20" t="s">
        <v>2166</v>
      </c>
      <c r="U53" s="80" t="s">
        <v>2226</v>
      </c>
      <c r="Z53" t="s">
        <v>190</v>
      </c>
    </row>
    <row r="54" spans="1:26" x14ac:dyDescent="0.3">
      <c r="A54" s="20">
        <v>53</v>
      </c>
      <c r="B54" s="20">
        <v>50</v>
      </c>
      <c r="C54" s="8" t="s">
        <v>183</v>
      </c>
      <c r="D54" t="s">
        <v>182</v>
      </c>
      <c r="E54" s="80" t="s">
        <v>191</v>
      </c>
      <c r="F54" s="8" t="s">
        <v>192</v>
      </c>
      <c r="G54" s="14" t="s">
        <v>193</v>
      </c>
      <c r="H54" s="15" t="s">
        <v>9679</v>
      </c>
      <c r="I54" s="20" t="s">
        <v>19</v>
      </c>
      <c r="K54" s="20" t="s">
        <v>67</v>
      </c>
      <c r="L54" s="20" t="s">
        <v>67</v>
      </c>
      <c r="M54" s="20" t="s">
        <v>67</v>
      </c>
      <c r="N54" s="20" t="s">
        <v>2166</v>
      </c>
      <c r="Q54" t="s">
        <v>2185</v>
      </c>
      <c r="R54" t="s">
        <v>2171</v>
      </c>
      <c r="Z54" t="s">
        <v>11308</v>
      </c>
    </row>
    <row r="55" spans="1:26" x14ac:dyDescent="0.3">
      <c r="A55" s="20">
        <v>54</v>
      </c>
      <c r="B55" s="20">
        <v>51</v>
      </c>
      <c r="C55" s="8" t="s">
        <v>195</v>
      </c>
      <c r="D55" t="s">
        <v>194</v>
      </c>
      <c r="E55" s="80" t="s">
        <v>196</v>
      </c>
      <c r="F55" s="8" t="s">
        <v>197</v>
      </c>
      <c r="G55" s="14" t="s">
        <v>122</v>
      </c>
      <c r="H55" s="15" t="s">
        <v>9680</v>
      </c>
      <c r="I55" s="20" t="s">
        <v>19</v>
      </c>
      <c r="K55" s="20" t="s">
        <v>58</v>
      </c>
      <c r="L55" s="20" t="s">
        <v>58</v>
      </c>
      <c r="M55" s="20" t="s">
        <v>130</v>
      </c>
      <c r="N55" s="20" t="s">
        <v>2166</v>
      </c>
      <c r="Z55" t="s">
        <v>198</v>
      </c>
    </row>
    <row r="56" spans="1:26" x14ac:dyDescent="0.3">
      <c r="A56" s="20">
        <v>55</v>
      </c>
      <c r="B56" s="20">
        <v>52</v>
      </c>
      <c r="C56" s="8" t="s">
        <v>195</v>
      </c>
      <c r="D56" t="s">
        <v>194</v>
      </c>
      <c r="E56" s="80" t="s">
        <v>199</v>
      </c>
      <c r="F56" s="8" t="s">
        <v>200</v>
      </c>
      <c r="G56" s="14" t="s">
        <v>201</v>
      </c>
      <c r="H56" s="15" t="s">
        <v>9681</v>
      </c>
      <c r="I56" s="20" t="s">
        <v>15</v>
      </c>
      <c r="N56" s="20" t="s">
        <v>2166</v>
      </c>
      <c r="Z56" t="s">
        <v>202</v>
      </c>
    </row>
    <row r="57" spans="1:26" x14ac:dyDescent="0.3">
      <c r="A57" s="20">
        <v>56</v>
      </c>
      <c r="B57" s="20">
        <v>53</v>
      </c>
      <c r="C57" s="8" t="s">
        <v>195</v>
      </c>
      <c r="D57" t="s">
        <v>194</v>
      </c>
      <c r="E57" s="80" t="s">
        <v>203</v>
      </c>
      <c r="F57" s="8" t="s">
        <v>204</v>
      </c>
      <c r="G57" s="14" t="s">
        <v>205</v>
      </c>
      <c r="I57" s="20" t="s">
        <v>19</v>
      </c>
      <c r="N57" s="20" t="s">
        <v>2166</v>
      </c>
      <c r="R57" t="s">
        <v>2171</v>
      </c>
      <c r="Z57" t="s">
        <v>11309</v>
      </c>
    </row>
    <row r="58" spans="1:26" x14ac:dyDescent="0.3">
      <c r="A58" s="20">
        <v>57</v>
      </c>
      <c r="B58" s="20">
        <v>54</v>
      </c>
      <c r="C58" s="8" t="s">
        <v>195</v>
      </c>
      <c r="D58" t="s">
        <v>194</v>
      </c>
      <c r="E58" s="80" t="s">
        <v>206</v>
      </c>
      <c r="F58" s="8" t="s">
        <v>207</v>
      </c>
      <c r="G58" s="14" t="s">
        <v>208</v>
      </c>
      <c r="H58" s="15" t="s">
        <v>9682</v>
      </c>
      <c r="I58" s="20" t="s">
        <v>19</v>
      </c>
      <c r="K58" s="20" t="s">
        <v>67</v>
      </c>
      <c r="L58" s="20" t="s">
        <v>67</v>
      </c>
      <c r="M58" s="20" t="s">
        <v>67</v>
      </c>
      <c r="N58" s="20" t="s">
        <v>2166</v>
      </c>
      <c r="Q58" t="s">
        <v>2227</v>
      </c>
    </row>
    <row r="59" spans="1:26" x14ac:dyDescent="0.3">
      <c r="A59" s="20">
        <v>58</v>
      </c>
      <c r="B59" s="20">
        <v>55</v>
      </c>
      <c r="C59" s="8" t="s">
        <v>210</v>
      </c>
      <c r="D59" t="s">
        <v>209</v>
      </c>
      <c r="E59" s="80" t="s">
        <v>211</v>
      </c>
      <c r="F59" s="8" t="s">
        <v>212</v>
      </c>
      <c r="G59" s="14" t="s">
        <v>92</v>
      </c>
      <c r="I59" s="20" t="s">
        <v>19</v>
      </c>
      <c r="N59" s="20" t="s">
        <v>2166</v>
      </c>
      <c r="Q59" t="s">
        <v>2194</v>
      </c>
      <c r="R59" t="s">
        <v>2228</v>
      </c>
      <c r="S59" t="s">
        <v>2228</v>
      </c>
    </row>
    <row r="60" spans="1:26" x14ac:dyDescent="0.3">
      <c r="A60" s="20">
        <v>59</v>
      </c>
      <c r="B60" s="20">
        <v>56</v>
      </c>
      <c r="C60" s="8" t="s">
        <v>210</v>
      </c>
      <c r="D60" t="s">
        <v>209</v>
      </c>
      <c r="E60" s="80" t="s">
        <v>213</v>
      </c>
      <c r="F60" s="8" t="s">
        <v>214</v>
      </c>
      <c r="G60" s="14" t="s">
        <v>215</v>
      </c>
      <c r="H60" s="15" t="s">
        <v>9683</v>
      </c>
      <c r="I60" s="20" t="s">
        <v>15</v>
      </c>
      <c r="Q60" t="s">
        <v>2186</v>
      </c>
    </row>
    <row r="61" spans="1:26" x14ac:dyDescent="0.3">
      <c r="A61" s="20">
        <v>60</v>
      </c>
      <c r="B61" s="20">
        <v>57</v>
      </c>
      <c r="C61" s="8" t="s">
        <v>210</v>
      </c>
      <c r="D61" t="s">
        <v>209</v>
      </c>
      <c r="E61" s="80" t="s">
        <v>216</v>
      </c>
      <c r="F61" s="8" t="s">
        <v>217</v>
      </c>
      <c r="G61" s="14" t="s">
        <v>40</v>
      </c>
      <c r="H61" s="15" t="s">
        <v>9684</v>
      </c>
      <c r="I61" s="20" t="s">
        <v>50</v>
      </c>
      <c r="N61" s="20" t="s">
        <v>2166</v>
      </c>
      <c r="Q61" t="s">
        <v>2229</v>
      </c>
      <c r="R61" t="s">
        <v>2230</v>
      </c>
      <c r="S61" t="s">
        <v>2230</v>
      </c>
      <c r="U61" s="80" t="s">
        <v>2230</v>
      </c>
    </row>
    <row r="62" spans="1:26" x14ac:dyDescent="0.3">
      <c r="A62" s="20">
        <v>61</v>
      </c>
      <c r="B62" s="20">
        <v>58</v>
      </c>
      <c r="C62" s="8" t="s">
        <v>210</v>
      </c>
      <c r="D62" t="s">
        <v>209</v>
      </c>
      <c r="E62" s="80" t="s">
        <v>218</v>
      </c>
      <c r="F62" s="8" t="s">
        <v>219</v>
      </c>
      <c r="G62" s="14" t="s">
        <v>215</v>
      </c>
      <c r="H62" s="15" t="s">
        <v>9685</v>
      </c>
      <c r="I62" s="20" t="s">
        <v>15</v>
      </c>
    </row>
    <row r="63" spans="1:26" x14ac:dyDescent="0.3">
      <c r="A63" s="20">
        <v>62</v>
      </c>
      <c r="B63" s="20">
        <v>59</v>
      </c>
      <c r="C63" s="8" t="s">
        <v>210</v>
      </c>
      <c r="D63" t="s">
        <v>209</v>
      </c>
      <c r="E63" s="80" t="s">
        <v>220</v>
      </c>
      <c r="F63" s="8" t="s">
        <v>221</v>
      </c>
      <c r="G63" s="14" t="s">
        <v>119</v>
      </c>
      <c r="I63" s="20" t="s">
        <v>15</v>
      </c>
      <c r="V63" s="8" t="s">
        <v>2231</v>
      </c>
      <c r="X63" s="8" t="s">
        <v>2231</v>
      </c>
      <c r="Z63" t="s">
        <v>123</v>
      </c>
    </row>
    <row r="64" spans="1:26" x14ac:dyDescent="0.3">
      <c r="A64" s="20">
        <v>63</v>
      </c>
      <c r="B64" s="20">
        <v>60</v>
      </c>
      <c r="C64" s="8" t="s">
        <v>210</v>
      </c>
      <c r="D64" t="s">
        <v>209</v>
      </c>
      <c r="E64" s="80" t="s">
        <v>222</v>
      </c>
      <c r="F64" s="8" t="s">
        <v>223</v>
      </c>
      <c r="G64" s="14" t="s">
        <v>224</v>
      </c>
      <c r="H64" s="15" t="s">
        <v>9686</v>
      </c>
      <c r="I64" s="20" t="s">
        <v>50</v>
      </c>
      <c r="K64" s="20" t="s">
        <v>67</v>
      </c>
      <c r="L64" s="20" t="s">
        <v>67</v>
      </c>
      <c r="M64" s="20" t="s">
        <v>67</v>
      </c>
      <c r="N64" s="20" t="s">
        <v>2166</v>
      </c>
      <c r="Q64" t="s">
        <v>2232</v>
      </c>
      <c r="S64" t="s">
        <v>2233</v>
      </c>
      <c r="U64" s="80" t="s">
        <v>2234</v>
      </c>
    </row>
    <row r="65" spans="1:27" x14ac:dyDescent="0.3">
      <c r="A65" s="20">
        <v>64</v>
      </c>
      <c r="B65" s="20">
        <v>61</v>
      </c>
      <c r="C65" s="8" t="s">
        <v>210</v>
      </c>
      <c r="D65" t="s">
        <v>209</v>
      </c>
      <c r="E65" s="80" t="s">
        <v>225</v>
      </c>
      <c r="F65" s="8" t="s">
        <v>226</v>
      </c>
      <c r="G65" s="14" t="s">
        <v>43</v>
      </c>
      <c r="H65" s="15" t="s">
        <v>9687</v>
      </c>
      <c r="I65" s="20" t="s">
        <v>15</v>
      </c>
      <c r="S65" t="s">
        <v>2235</v>
      </c>
      <c r="U65" s="80" t="s">
        <v>2236</v>
      </c>
    </row>
    <row r="66" spans="1:27" x14ac:dyDescent="0.3">
      <c r="A66" s="20">
        <v>65</v>
      </c>
      <c r="B66" s="20">
        <v>62</v>
      </c>
      <c r="C66" s="8" t="s">
        <v>210</v>
      </c>
      <c r="D66" t="s">
        <v>209</v>
      </c>
      <c r="E66" s="80" t="s">
        <v>227</v>
      </c>
      <c r="F66" s="8" t="s">
        <v>228</v>
      </c>
      <c r="G66" s="14" t="s">
        <v>229</v>
      </c>
      <c r="I66" s="20" t="s">
        <v>15</v>
      </c>
      <c r="R66" t="s">
        <v>2237</v>
      </c>
      <c r="S66" t="s">
        <v>2237</v>
      </c>
      <c r="U66" s="80" t="s">
        <v>2238</v>
      </c>
      <c r="Z66" t="s">
        <v>230</v>
      </c>
    </row>
    <row r="67" spans="1:27" x14ac:dyDescent="0.3">
      <c r="A67" s="20">
        <v>66</v>
      </c>
      <c r="B67" s="20">
        <v>63</v>
      </c>
      <c r="C67" s="8" t="s">
        <v>210</v>
      </c>
      <c r="D67" t="s">
        <v>209</v>
      </c>
      <c r="E67" s="80" t="s">
        <v>2240</v>
      </c>
      <c r="F67" s="8" t="s">
        <v>232</v>
      </c>
      <c r="G67" s="14" t="s">
        <v>233</v>
      </c>
      <c r="I67" s="20" t="s">
        <v>15</v>
      </c>
      <c r="P67" t="s">
        <v>2174</v>
      </c>
      <c r="R67" t="s">
        <v>2239</v>
      </c>
      <c r="S67" t="s">
        <v>2239</v>
      </c>
      <c r="T67" t="s">
        <v>231</v>
      </c>
      <c r="U67" s="80" t="s">
        <v>2241</v>
      </c>
      <c r="AA67" t="s">
        <v>2242</v>
      </c>
    </row>
    <row r="68" spans="1:27" x14ac:dyDescent="0.3">
      <c r="A68" s="20">
        <v>67</v>
      </c>
      <c r="B68" s="20">
        <v>64</v>
      </c>
      <c r="C68" s="8" t="s">
        <v>210</v>
      </c>
      <c r="D68" t="s">
        <v>209</v>
      </c>
      <c r="E68" s="80" t="s">
        <v>234</v>
      </c>
      <c r="F68" s="8" t="s">
        <v>235</v>
      </c>
      <c r="G68" s="14" t="s">
        <v>237</v>
      </c>
      <c r="I68" s="20" t="s">
        <v>236</v>
      </c>
      <c r="R68" t="s">
        <v>2243</v>
      </c>
      <c r="U68" s="80" t="s">
        <v>2244</v>
      </c>
      <c r="Y68" s="8" t="s">
        <v>11364</v>
      </c>
    </row>
    <row r="69" spans="1:27" x14ac:dyDescent="0.3">
      <c r="A69" s="20">
        <v>68</v>
      </c>
      <c r="B69" s="20">
        <v>65</v>
      </c>
      <c r="C69" s="8" t="s">
        <v>210</v>
      </c>
      <c r="D69" t="s">
        <v>209</v>
      </c>
      <c r="E69" s="80" t="s">
        <v>238</v>
      </c>
      <c r="F69" s="8" t="s">
        <v>239</v>
      </c>
      <c r="G69" s="14" t="s">
        <v>240</v>
      </c>
      <c r="H69" s="15" t="s">
        <v>9688</v>
      </c>
      <c r="I69" s="20" t="s">
        <v>50</v>
      </c>
      <c r="N69" s="20" t="s">
        <v>2166</v>
      </c>
      <c r="R69" t="s">
        <v>2245</v>
      </c>
      <c r="S69" t="s">
        <v>2245</v>
      </c>
      <c r="U69" s="80" t="s">
        <v>2246</v>
      </c>
    </row>
    <row r="70" spans="1:27" x14ac:dyDescent="0.3">
      <c r="A70" s="20">
        <v>69</v>
      </c>
      <c r="B70" s="20">
        <v>66</v>
      </c>
      <c r="C70" s="8" t="s">
        <v>210</v>
      </c>
      <c r="D70" t="s">
        <v>209</v>
      </c>
      <c r="E70" s="80" t="s">
        <v>241</v>
      </c>
      <c r="F70" s="8" t="s">
        <v>242</v>
      </c>
      <c r="G70" s="14" t="s">
        <v>243</v>
      </c>
      <c r="I70" s="20" t="s">
        <v>15</v>
      </c>
      <c r="R70" t="s">
        <v>2247</v>
      </c>
      <c r="S70" t="s">
        <v>2247</v>
      </c>
      <c r="U70" s="80" t="s">
        <v>2248</v>
      </c>
    </row>
    <row r="71" spans="1:27" x14ac:dyDescent="0.3">
      <c r="A71" s="20">
        <v>70</v>
      </c>
      <c r="B71" s="20">
        <v>67</v>
      </c>
      <c r="C71" s="8" t="s">
        <v>210</v>
      </c>
      <c r="D71" t="s">
        <v>209</v>
      </c>
      <c r="E71" s="80" t="s">
        <v>244</v>
      </c>
      <c r="F71" s="8" t="s">
        <v>245</v>
      </c>
      <c r="G71" s="14" t="s">
        <v>246</v>
      </c>
      <c r="I71" s="20" t="s">
        <v>236</v>
      </c>
      <c r="P71" t="s">
        <v>2179</v>
      </c>
      <c r="R71" t="s">
        <v>2249</v>
      </c>
      <c r="S71" t="s">
        <v>2249</v>
      </c>
      <c r="U71" s="80" t="s">
        <v>2249</v>
      </c>
      <c r="V71" s="8" t="s">
        <v>2250</v>
      </c>
      <c r="X71" s="8" t="s">
        <v>2251</v>
      </c>
      <c r="Y71" s="8" t="s">
        <v>2251</v>
      </c>
      <c r="AA71" t="s">
        <v>2252</v>
      </c>
    </row>
    <row r="72" spans="1:27" x14ac:dyDescent="0.3">
      <c r="A72" s="20">
        <v>71</v>
      </c>
      <c r="B72" s="20">
        <v>68</v>
      </c>
      <c r="C72" s="8" t="s">
        <v>210</v>
      </c>
      <c r="D72" t="s">
        <v>209</v>
      </c>
      <c r="E72" s="80" t="s">
        <v>247</v>
      </c>
      <c r="F72" s="8" t="s">
        <v>248</v>
      </c>
      <c r="G72" s="14" t="s">
        <v>170</v>
      </c>
      <c r="I72" s="20" t="s">
        <v>50</v>
      </c>
      <c r="S72" t="s">
        <v>2253</v>
      </c>
    </row>
    <row r="73" spans="1:27" x14ac:dyDescent="0.3">
      <c r="A73" s="20">
        <v>72</v>
      </c>
      <c r="B73" s="20">
        <v>69</v>
      </c>
      <c r="C73" s="8" t="s">
        <v>210</v>
      </c>
      <c r="D73" t="s">
        <v>209</v>
      </c>
      <c r="E73" s="80" t="s">
        <v>249</v>
      </c>
      <c r="F73" s="8" t="s">
        <v>250</v>
      </c>
      <c r="G73" s="14" t="s">
        <v>251</v>
      </c>
      <c r="I73" s="20" t="s">
        <v>15</v>
      </c>
    </row>
    <row r="74" spans="1:27" x14ac:dyDescent="0.3">
      <c r="A74" s="20">
        <v>73</v>
      </c>
      <c r="B74" s="20">
        <v>70</v>
      </c>
      <c r="C74" s="8" t="s">
        <v>210</v>
      </c>
      <c r="D74" t="s">
        <v>209</v>
      </c>
      <c r="E74" s="80" t="s">
        <v>252</v>
      </c>
      <c r="F74" s="8" t="s">
        <v>253</v>
      </c>
      <c r="G74" s="14" t="s">
        <v>254</v>
      </c>
      <c r="I74" s="20" t="s">
        <v>15</v>
      </c>
    </row>
    <row r="75" spans="1:27" x14ac:dyDescent="0.3">
      <c r="A75" s="20">
        <v>74</v>
      </c>
      <c r="B75" s="20">
        <v>71</v>
      </c>
      <c r="C75" s="8" t="s">
        <v>210</v>
      </c>
      <c r="D75" t="s">
        <v>209</v>
      </c>
      <c r="E75" s="80" t="s">
        <v>255</v>
      </c>
      <c r="F75" s="8" t="s">
        <v>256</v>
      </c>
      <c r="G75" s="14" t="s">
        <v>257</v>
      </c>
      <c r="I75" s="20" t="s">
        <v>236</v>
      </c>
      <c r="P75" t="s">
        <v>2254</v>
      </c>
      <c r="U75" s="80" t="s">
        <v>2255</v>
      </c>
      <c r="Y75" s="8" t="s">
        <v>11365</v>
      </c>
      <c r="Z75" t="s">
        <v>11310</v>
      </c>
      <c r="AA75" t="s">
        <v>2256</v>
      </c>
    </row>
    <row r="76" spans="1:27" x14ac:dyDescent="0.3">
      <c r="A76" s="20">
        <v>75</v>
      </c>
      <c r="B76" s="20">
        <v>72</v>
      </c>
      <c r="C76" s="8" t="s">
        <v>210</v>
      </c>
      <c r="D76" t="s">
        <v>209</v>
      </c>
      <c r="E76" s="80" t="s">
        <v>258</v>
      </c>
      <c r="F76" s="8" t="s">
        <v>259</v>
      </c>
      <c r="G76" s="14" t="s">
        <v>260</v>
      </c>
      <c r="I76" s="20" t="s">
        <v>236</v>
      </c>
      <c r="P76" t="s">
        <v>2257</v>
      </c>
      <c r="AA76" t="s">
        <v>2258</v>
      </c>
    </row>
    <row r="77" spans="1:27" x14ac:dyDescent="0.3">
      <c r="A77" s="20">
        <v>76</v>
      </c>
      <c r="B77" s="20">
        <v>73</v>
      </c>
      <c r="C77" s="8" t="s">
        <v>210</v>
      </c>
      <c r="D77" t="s">
        <v>209</v>
      </c>
      <c r="E77" s="80" t="s">
        <v>261</v>
      </c>
      <c r="F77" s="8" t="s">
        <v>262</v>
      </c>
      <c r="G77" s="14" t="s">
        <v>263</v>
      </c>
      <c r="I77" s="20" t="s">
        <v>236</v>
      </c>
      <c r="Z77" t="s">
        <v>264</v>
      </c>
    </row>
    <row r="78" spans="1:27" x14ac:dyDescent="0.3">
      <c r="A78" s="20">
        <v>77</v>
      </c>
      <c r="B78" s="20">
        <v>74</v>
      </c>
      <c r="C78" s="8" t="s">
        <v>210</v>
      </c>
      <c r="D78" t="s">
        <v>209</v>
      </c>
      <c r="E78" s="80" t="s">
        <v>265</v>
      </c>
      <c r="F78" s="8" t="s">
        <v>266</v>
      </c>
      <c r="G78" s="14" t="s">
        <v>267</v>
      </c>
      <c r="I78" s="20" t="s">
        <v>15</v>
      </c>
      <c r="R78" t="s">
        <v>2259</v>
      </c>
      <c r="S78" t="s">
        <v>2260</v>
      </c>
      <c r="U78" s="80" t="s">
        <v>2261</v>
      </c>
    </row>
    <row r="79" spans="1:27" x14ac:dyDescent="0.3">
      <c r="A79" s="20">
        <v>78</v>
      </c>
      <c r="B79" s="20">
        <v>75</v>
      </c>
      <c r="C79" s="8" t="s">
        <v>210</v>
      </c>
      <c r="D79" t="s">
        <v>209</v>
      </c>
      <c r="E79" s="80" t="s">
        <v>268</v>
      </c>
      <c r="F79" s="8" t="s">
        <v>269</v>
      </c>
      <c r="G79" s="14" t="s">
        <v>270</v>
      </c>
      <c r="H79" s="15" t="s">
        <v>9689</v>
      </c>
      <c r="I79" s="20" t="s">
        <v>50</v>
      </c>
      <c r="K79" s="20" t="s">
        <v>66</v>
      </c>
      <c r="L79" s="20" t="s">
        <v>66</v>
      </c>
      <c r="M79" s="20" t="s">
        <v>66</v>
      </c>
      <c r="Q79" t="s">
        <v>2262</v>
      </c>
    </row>
    <row r="80" spans="1:27" x14ac:dyDescent="0.3">
      <c r="A80" s="20">
        <v>79</v>
      </c>
      <c r="B80" s="20">
        <v>76</v>
      </c>
      <c r="C80" s="8" t="s">
        <v>272</v>
      </c>
      <c r="D80" t="s">
        <v>271</v>
      </c>
      <c r="E80" s="80" t="s">
        <v>273</v>
      </c>
      <c r="F80" s="8" t="s">
        <v>274</v>
      </c>
      <c r="G80" s="14" t="s">
        <v>276</v>
      </c>
      <c r="H80" s="15" t="s">
        <v>9690</v>
      </c>
      <c r="I80" s="20" t="s">
        <v>275</v>
      </c>
      <c r="K80" s="20" t="s">
        <v>58</v>
      </c>
      <c r="L80" s="20" t="s">
        <v>58</v>
      </c>
      <c r="M80" s="20" t="s">
        <v>130</v>
      </c>
      <c r="N80" s="20" t="s">
        <v>2166</v>
      </c>
      <c r="Z80" t="s">
        <v>277</v>
      </c>
    </row>
    <row r="81" spans="1:27" x14ac:dyDescent="0.3">
      <c r="A81" s="20">
        <v>80</v>
      </c>
      <c r="B81" s="20">
        <v>77</v>
      </c>
      <c r="C81" s="8" t="s">
        <v>272</v>
      </c>
      <c r="D81" t="s">
        <v>271</v>
      </c>
      <c r="E81" s="80" t="s">
        <v>278</v>
      </c>
      <c r="F81" s="8" t="s">
        <v>279</v>
      </c>
      <c r="G81" s="14" t="s">
        <v>280</v>
      </c>
      <c r="H81" s="15" t="s">
        <v>9691</v>
      </c>
      <c r="I81" s="20" t="s">
        <v>19</v>
      </c>
      <c r="K81" s="20" t="s">
        <v>58</v>
      </c>
      <c r="L81" s="20" t="s">
        <v>58</v>
      </c>
      <c r="M81" s="20" t="s">
        <v>66</v>
      </c>
      <c r="N81" s="20" t="s">
        <v>2166</v>
      </c>
      <c r="Q81" t="s">
        <v>2263</v>
      </c>
      <c r="R81" t="s">
        <v>2171</v>
      </c>
      <c r="Z81" t="s">
        <v>11311</v>
      </c>
    </row>
    <row r="82" spans="1:27" x14ac:dyDescent="0.3">
      <c r="A82" s="20">
        <v>81</v>
      </c>
      <c r="B82" s="20">
        <v>78</v>
      </c>
      <c r="C82" s="8" t="s">
        <v>272</v>
      </c>
      <c r="D82" t="s">
        <v>271</v>
      </c>
      <c r="E82" s="80" t="s">
        <v>281</v>
      </c>
      <c r="F82" s="8" t="s">
        <v>282</v>
      </c>
      <c r="G82" s="14" t="s">
        <v>233</v>
      </c>
      <c r="H82" s="15" t="s">
        <v>9692</v>
      </c>
      <c r="I82" s="20" t="s">
        <v>19</v>
      </c>
      <c r="N82" s="20" t="s">
        <v>2166</v>
      </c>
      <c r="R82" t="s">
        <v>2171</v>
      </c>
      <c r="Z82" t="s">
        <v>11312</v>
      </c>
    </row>
    <row r="83" spans="1:27" x14ac:dyDescent="0.3">
      <c r="A83" s="20">
        <v>82</v>
      </c>
      <c r="B83" s="20">
        <v>79</v>
      </c>
      <c r="C83" s="8" t="s">
        <v>284</v>
      </c>
      <c r="D83" t="s">
        <v>283</v>
      </c>
      <c r="E83" s="80" t="s">
        <v>2264</v>
      </c>
      <c r="F83" s="8" t="s">
        <v>286</v>
      </c>
      <c r="G83" s="14" t="s">
        <v>287</v>
      </c>
      <c r="H83" s="15" t="s">
        <v>9693</v>
      </c>
      <c r="I83" s="20" t="s">
        <v>50</v>
      </c>
      <c r="K83" s="20" t="s">
        <v>85</v>
      </c>
      <c r="L83" s="20" t="s">
        <v>85</v>
      </c>
      <c r="M83" s="20" t="s">
        <v>85</v>
      </c>
      <c r="N83" s="20" t="s">
        <v>2166</v>
      </c>
      <c r="R83" t="s">
        <v>2171</v>
      </c>
      <c r="T83" t="s">
        <v>285</v>
      </c>
      <c r="Z83" t="s">
        <v>11313</v>
      </c>
    </row>
    <row r="84" spans="1:27" x14ac:dyDescent="0.3">
      <c r="A84" s="20">
        <v>83</v>
      </c>
      <c r="B84" s="20">
        <v>80</v>
      </c>
      <c r="C84" s="8" t="s">
        <v>284</v>
      </c>
      <c r="D84" t="s">
        <v>283</v>
      </c>
      <c r="E84" s="80" t="s">
        <v>288</v>
      </c>
      <c r="F84" s="8" t="s">
        <v>289</v>
      </c>
      <c r="G84" s="14" t="s">
        <v>181</v>
      </c>
      <c r="I84" s="20" t="s">
        <v>50</v>
      </c>
      <c r="Z84" t="s">
        <v>290</v>
      </c>
    </row>
    <row r="85" spans="1:27" x14ac:dyDescent="0.3">
      <c r="A85" s="20">
        <v>84</v>
      </c>
      <c r="B85" s="20">
        <v>81</v>
      </c>
      <c r="C85" s="8" t="s">
        <v>284</v>
      </c>
      <c r="D85" t="s">
        <v>283</v>
      </c>
      <c r="E85" s="80" t="s">
        <v>291</v>
      </c>
      <c r="F85" s="8" t="s">
        <v>292</v>
      </c>
      <c r="G85" s="14" t="s">
        <v>181</v>
      </c>
      <c r="I85" s="20" t="s">
        <v>50</v>
      </c>
    </row>
    <row r="86" spans="1:27" x14ac:dyDescent="0.3">
      <c r="A86" s="20">
        <v>85</v>
      </c>
      <c r="B86" s="20">
        <v>82</v>
      </c>
      <c r="C86" s="8" t="s">
        <v>294</v>
      </c>
      <c r="D86" t="s">
        <v>293</v>
      </c>
      <c r="E86" s="80" t="s">
        <v>295</v>
      </c>
      <c r="F86" s="8" t="s">
        <v>296</v>
      </c>
      <c r="G86" s="14" t="s">
        <v>181</v>
      </c>
      <c r="I86" s="20" t="s">
        <v>275</v>
      </c>
      <c r="M86" s="20" t="s">
        <v>85</v>
      </c>
      <c r="N86" s="20" t="s">
        <v>2166</v>
      </c>
      <c r="Z86" t="s">
        <v>297</v>
      </c>
    </row>
    <row r="87" spans="1:27" x14ac:dyDescent="0.3">
      <c r="A87" s="20">
        <v>86</v>
      </c>
      <c r="B87" s="20">
        <v>83</v>
      </c>
      <c r="C87" s="8" t="s">
        <v>294</v>
      </c>
      <c r="D87" t="s">
        <v>293</v>
      </c>
      <c r="E87" s="80" t="s">
        <v>298</v>
      </c>
      <c r="F87" s="8" t="s">
        <v>299</v>
      </c>
      <c r="G87" s="14" t="s">
        <v>181</v>
      </c>
      <c r="I87" s="20" t="s">
        <v>15</v>
      </c>
    </row>
    <row r="88" spans="1:27" x14ac:dyDescent="0.3">
      <c r="A88" s="20">
        <v>87</v>
      </c>
      <c r="B88" s="20">
        <v>84</v>
      </c>
      <c r="C88" s="8" t="s">
        <v>294</v>
      </c>
      <c r="D88" t="s">
        <v>293</v>
      </c>
      <c r="E88" s="80" t="s">
        <v>300</v>
      </c>
      <c r="F88" s="8" t="s">
        <v>301</v>
      </c>
      <c r="G88" s="14" t="s">
        <v>181</v>
      </c>
      <c r="I88" s="20" t="s">
        <v>236</v>
      </c>
      <c r="M88" s="20" t="s">
        <v>67</v>
      </c>
    </row>
    <row r="89" spans="1:27" x14ac:dyDescent="0.3">
      <c r="A89" s="20">
        <v>88</v>
      </c>
      <c r="B89" s="20">
        <v>85</v>
      </c>
      <c r="C89" s="8" t="s">
        <v>303</v>
      </c>
      <c r="D89" t="s">
        <v>302</v>
      </c>
      <c r="E89" s="80" t="s">
        <v>304</v>
      </c>
      <c r="F89" s="8" t="s">
        <v>305</v>
      </c>
      <c r="G89" s="14" t="s">
        <v>306</v>
      </c>
      <c r="I89" s="20" t="s">
        <v>50</v>
      </c>
    </row>
    <row r="90" spans="1:27" x14ac:dyDescent="0.3">
      <c r="A90" s="20">
        <v>89</v>
      </c>
      <c r="B90" s="20">
        <v>86</v>
      </c>
      <c r="C90" s="8" t="s">
        <v>308</v>
      </c>
      <c r="D90" t="s">
        <v>307</v>
      </c>
      <c r="E90" s="80" t="s">
        <v>309</v>
      </c>
      <c r="F90" s="8" t="s">
        <v>310</v>
      </c>
      <c r="G90" s="14" t="s">
        <v>311</v>
      </c>
      <c r="H90" s="15" t="s">
        <v>9694</v>
      </c>
      <c r="I90" s="20" t="s">
        <v>15</v>
      </c>
      <c r="K90" s="20" t="s">
        <v>58</v>
      </c>
      <c r="L90" s="20" t="s">
        <v>58</v>
      </c>
      <c r="M90" s="20" t="s">
        <v>66</v>
      </c>
      <c r="N90" s="20" t="s">
        <v>2166</v>
      </c>
      <c r="P90" t="s">
        <v>2174</v>
      </c>
      <c r="R90" t="s">
        <v>2265</v>
      </c>
      <c r="Z90" t="s">
        <v>312</v>
      </c>
      <c r="AA90" t="s">
        <v>2266</v>
      </c>
    </row>
    <row r="91" spans="1:27" x14ac:dyDescent="0.3">
      <c r="A91" s="20">
        <v>90</v>
      </c>
      <c r="B91" s="20">
        <v>87</v>
      </c>
      <c r="C91" s="8" t="s">
        <v>314</v>
      </c>
      <c r="D91" t="s">
        <v>313</v>
      </c>
      <c r="E91" s="80" t="s">
        <v>315</v>
      </c>
      <c r="F91" s="8" t="s">
        <v>316</v>
      </c>
      <c r="G91" s="14" t="s">
        <v>318</v>
      </c>
      <c r="I91" s="20" t="s">
        <v>317</v>
      </c>
      <c r="R91" t="s">
        <v>2267</v>
      </c>
      <c r="S91" t="s">
        <v>2267</v>
      </c>
      <c r="U91" s="80" t="s">
        <v>2267</v>
      </c>
      <c r="Z91" t="s">
        <v>319</v>
      </c>
    </row>
    <row r="92" spans="1:27" x14ac:dyDescent="0.3">
      <c r="A92" s="20">
        <v>91</v>
      </c>
      <c r="B92" s="20">
        <v>88</v>
      </c>
      <c r="C92" s="8" t="s">
        <v>321</v>
      </c>
      <c r="D92" t="s">
        <v>320</v>
      </c>
      <c r="E92" s="80" t="s">
        <v>322</v>
      </c>
      <c r="F92" s="8" t="s">
        <v>323</v>
      </c>
      <c r="G92" s="14" t="s">
        <v>189</v>
      </c>
      <c r="I92" s="20" t="s">
        <v>15</v>
      </c>
      <c r="R92" t="s">
        <v>2268</v>
      </c>
    </row>
    <row r="93" spans="1:27" x14ac:dyDescent="0.3">
      <c r="A93" s="20">
        <v>92</v>
      </c>
      <c r="B93" s="20">
        <v>89</v>
      </c>
      <c r="C93" s="8" t="s">
        <v>321</v>
      </c>
      <c r="D93" t="s">
        <v>320</v>
      </c>
      <c r="E93" s="80" t="s">
        <v>324</v>
      </c>
      <c r="F93" s="8" t="s">
        <v>325</v>
      </c>
      <c r="G93" s="14" t="s">
        <v>326</v>
      </c>
      <c r="I93" s="20" t="s">
        <v>236</v>
      </c>
      <c r="R93" t="s">
        <v>2269</v>
      </c>
      <c r="S93" t="s">
        <v>2270</v>
      </c>
      <c r="U93" s="80" t="s">
        <v>2270</v>
      </c>
      <c r="W93" s="8" t="s">
        <v>2271</v>
      </c>
    </row>
    <row r="94" spans="1:27" x14ac:dyDescent="0.3">
      <c r="A94" s="20">
        <v>93</v>
      </c>
      <c r="B94" s="20">
        <v>90</v>
      </c>
      <c r="C94" s="8" t="s">
        <v>321</v>
      </c>
      <c r="D94" t="s">
        <v>320</v>
      </c>
      <c r="E94" s="80" t="s">
        <v>327</v>
      </c>
      <c r="F94" s="8" t="s">
        <v>328</v>
      </c>
      <c r="G94" s="14" t="s">
        <v>68</v>
      </c>
      <c r="I94" s="20" t="s">
        <v>65</v>
      </c>
      <c r="J94" s="20" t="s">
        <v>2015</v>
      </c>
      <c r="P94" t="s">
        <v>2179</v>
      </c>
      <c r="R94" t="s">
        <v>2272</v>
      </c>
      <c r="S94" t="s">
        <v>2273</v>
      </c>
      <c r="U94" s="80" t="s">
        <v>2274</v>
      </c>
      <c r="V94" s="8" t="s">
        <v>2275</v>
      </c>
      <c r="AA94" t="s">
        <v>2276</v>
      </c>
    </row>
    <row r="95" spans="1:27" x14ac:dyDescent="0.3">
      <c r="A95" s="20">
        <v>94</v>
      </c>
      <c r="B95" s="20">
        <v>91</v>
      </c>
      <c r="C95" s="8" t="s">
        <v>321</v>
      </c>
      <c r="D95" t="s">
        <v>320</v>
      </c>
      <c r="E95" s="80" t="s">
        <v>329</v>
      </c>
      <c r="F95" s="8" t="s">
        <v>330</v>
      </c>
      <c r="G95" s="14" t="s">
        <v>43</v>
      </c>
      <c r="I95" s="20" t="s">
        <v>331</v>
      </c>
      <c r="N95" s="20" t="s">
        <v>2166</v>
      </c>
    </row>
    <row r="96" spans="1:27" x14ac:dyDescent="0.3">
      <c r="A96" s="20">
        <v>95</v>
      </c>
      <c r="B96" s="20">
        <v>92</v>
      </c>
      <c r="C96" s="8" t="s">
        <v>321</v>
      </c>
      <c r="D96" t="s">
        <v>320</v>
      </c>
      <c r="E96" s="80" t="s">
        <v>332</v>
      </c>
      <c r="F96" s="8" t="s">
        <v>333</v>
      </c>
      <c r="G96" s="14" t="s">
        <v>334</v>
      </c>
      <c r="H96" s="15" t="s">
        <v>9695</v>
      </c>
      <c r="I96" s="20" t="s">
        <v>19</v>
      </c>
      <c r="K96" s="20" t="s">
        <v>58</v>
      </c>
      <c r="L96" s="20" t="s">
        <v>58</v>
      </c>
      <c r="M96" s="20" t="s">
        <v>130</v>
      </c>
      <c r="N96" s="20" t="s">
        <v>2166</v>
      </c>
      <c r="Q96" t="s">
        <v>2277</v>
      </c>
      <c r="R96" t="s">
        <v>2171</v>
      </c>
      <c r="Z96" t="s">
        <v>11314</v>
      </c>
    </row>
    <row r="97" spans="1:27" x14ac:dyDescent="0.3">
      <c r="A97" s="20">
        <v>96</v>
      </c>
      <c r="B97" s="20">
        <v>93</v>
      </c>
      <c r="C97" s="8" t="s">
        <v>321</v>
      </c>
      <c r="D97" t="s">
        <v>320</v>
      </c>
      <c r="E97" s="80" t="s">
        <v>335</v>
      </c>
      <c r="F97" s="8" t="s">
        <v>336</v>
      </c>
      <c r="G97" s="14" t="s">
        <v>43</v>
      </c>
      <c r="I97" s="20" t="s">
        <v>15</v>
      </c>
      <c r="S97" t="s">
        <v>2278</v>
      </c>
      <c r="U97" s="80" t="s">
        <v>2279</v>
      </c>
    </row>
    <row r="98" spans="1:27" x14ac:dyDescent="0.3">
      <c r="A98" s="20">
        <v>97</v>
      </c>
      <c r="B98" s="20">
        <v>94</v>
      </c>
      <c r="C98" s="8" t="s">
        <v>321</v>
      </c>
      <c r="D98" t="s">
        <v>320</v>
      </c>
      <c r="E98" s="80" t="s">
        <v>337</v>
      </c>
      <c r="F98" s="8" t="s">
        <v>338</v>
      </c>
      <c r="G98" s="14" t="s">
        <v>68</v>
      </c>
      <c r="H98" s="15" t="s">
        <v>9696</v>
      </c>
      <c r="I98" s="20" t="s">
        <v>65</v>
      </c>
      <c r="J98" s="20" t="s">
        <v>2015</v>
      </c>
      <c r="R98" t="s">
        <v>2278</v>
      </c>
      <c r="S98" t="s">
        <v>2280</v>
      </c>
      <c r="U98" s="80" t="s">
        <v>2281</v>
      </c>
    </row>
    <row r="99" spans="1:27" x14ac:dyDescent="0.3">
      <c r="A99" s="20">
        <v>98</v>
      </c>
      <c r="B99" s="20">
        <v>95</v>
      </c>
      <c r="C99" s="8" t="s">
        <v>321</v>
      </c>
      <c r="D99" t="s">
        <v>320</v>
      </c>
      <c r="E99" s="80" t="s">
        <v>339</v>
      </c>
      <c r="F99" s="8" t="s">
        <v>340</v>
      </c>
      <c r="G99" s="14" t="s">
        <v>68</v>
      </c>
      <c r="H99" s="15" t="s">
        <v>9697</v>
      </c>
      <c r="I99" s="20" t="s">
        <v>65</v>
      </c>
      <c r="J99" s="20" t="s">
        <v>2015</v>
      </c>
      <c r="K99" s="20" t="s">
        <v>85</v>
      </c>
      <c r="L99" s="20" t="s">
        <v>85</v>
      </c>
      <c r="M99" s="20" t="s">
        <v>85</v>
      </c>
      <c r="P99" t="s">
        <v>2219</v>
      </c>
      <c r="AA99" t="s">
        <v>2282</v>
      </c>
    </row>
    <row r="100" spans="1:27" x14ac:dyDescent="0.3">
      <c r="A100" s="20">
        <v>99</v>
      </c>
      <c r="B100" s="20">
        <v>96</v>
      </c>
      <c r="C100" s="8" t="s">
        <v>321</v>
      </c>
      <c r="D100" t="s">
        <v>320</v>
      </c>
      <c r="E100" s="80" t="s">
        <v>341</v>
      </c>
      <c r="F100" s="8" t="s">
        <v>342</v>
      </c>
      <c r="G100" s="14" t="s">
        <v>343</v>
      </c>
      <c r="I100" s="20" t="s">
        <v>15</v>
      </c>
      <c r="S100" t="s">
        <v>2283</v>
      </c>
      <c r="Y100" s="8" t="s">
        <v>11366</v>
      </c>
    </row>
    <row r="101" spans="1:27" x14ac:dyDescent="0.3">
      <c r="A101" s="20">
        <v>100</v>
      </c>
      <c r="B101" s="20">
        <v>97</v>
      </c>
      <c r="C101" s="8" t="s">
        <v>321</v>
      </c>
      <c r="D101" t="s">
        <v>320</v>
      </c>
      <c r="E101" s="80" t="s">
        <v>344</v>
      </c>
      <c r="F101" s="8" t="s">
        <v>345</v>
      </c>
      <c r="G101" s="14" t="s">
        <v>346</v>
      </c>
      <c r="H101" s="15" t="s">
        <v>9698</v>
      </c>
      <c r="I101" s="20" t="s">
        <v>65</v>
      </c>
      <c r="J101" s="20" t="s">
        <v>2017</v>
      </c>
      <c r="K101" s="20" t="s">
        <v>67</v>
      </c>
      <c r="L101" s="20" t="s">
        <v>67</v>
      </c>
      <c r="M101" s="20" t="s">
        <v>66</v>
      </c>
      <c r="U101" s="80" t="s">
        <v>2284</v>
      </c>
      <c r="Y101" s="8" t="s">
        <v>11367</v>
      </c>
    </row>
    <row r="102" spans="1:27" x14ac:dyDescent="0.3">
      <c r="A102" s="20">
        <v>101</v>
      </c>
      <c r="B102" s="20">
        <v>98</v>
      </c>
      <c r="C102" s="8" t="s">
        <v>321</v>
      </c>
      <c r="D102" t="s">
        <v>320</v>
      </c>
      <c r="E102" s="80" t="s">
        <v>347</v>
      </c>
      <c r="F102" s="8" t="s">
        <v>348</v>
      </c>
      <c r="G102" s="14" t="s">
        <v>349</v>
      </c>
      <c r="H102" s="15" t="s">
        <v>9699</v>
      </c>
      <c r="I102" s="20" t="s">
        <v>65</v>
      </c>
      <c r="J102" s="20" t="s">
        <v>2015</v>
      </c>
      <c r="K102" s="20" t="s">
        <v>67</v>
      </c>
      <c r="L102" s="20" t="s">
        <v>67</v>
      </c>
      <c r="M102" s="20" t="s">
        <v>67</v>
      </c>
      <c r="P102" t="s">
        <v>2179</v>
      </c>
      <c r="R102" t="s">
        <v>344</v>
      </c>
      <c r="U102" s="80" t="s">
        <v>2285</v>
      </c>
      <c r="AA102" t="s">
        <v>2286</v>
      </c>
    </row>
    <row r="103" spans="1:27" x14ac:dyDescent="0.3">
      <c r="A103" s="20">
        <v>102</v>
      </c>
      <c r="B103" s="20">
        <v>99</v>
      </c>
      <c r="C103" s="8" t="s">
        <v>321</v>
      </c>
      <c r="D103" t="s">
        <v>320</v>
      </c>
      <c r="E103" s="80" t="s">
        <v>350</v>
      </c>
      <c r="F103" s="8" t="s">
        <v>351</v>
      </c>
      <c r="G103" s="14" t="s">
        <v>352</v>
      </c>
      <c r="I103" s="20" t="s">
        <v>15</v>
      </c>
      <c r="L103" s="20" t="s">
        <v>58</v>
      </c>
      <c r="P103" t="s">
        <v>2174</v>
      </c>
      <c r="Y103" s="8" t="s">
        <v>11368</v>
      </c>
      <c r="AA103" t="s">
        <v>2287</v>
      </c>
    </row>
    <row r="104" spans="1:27" x14ac:dyDescent="0.3">
      <c r="A104" s="20">
        <v>103</v>
      </c>
      <c r="B104" s="20">
        <v>100</v>
      </c>
      <c r="C104" s="8" t="s">
        <v>321</v>
      </c>
      <c r="D104" t="s">
        <v>320</v>
      </c>
      <c r="E104" s="80" t="s">
        <v>353</v>
      </c>
      <c r="F104" s="8" t="s">
        <v>354</v>
      </c>
      <c r="G104" s="14" t="s">
        <v>43</v>
      </c>
      <c r="I104" s="20" t="s">
        <v>15</v>
      </c>
    </row>
    <row r="105" spans="1:27" x14ac:dyDescent="0.3">
      <c r="A105" s="20">
        <v>104</v>
      </c>
      <c r="B105" s="20">
        <v>101</v>
      </c>
      <c r="C105" s="8" t="s">
        <v>321</v>
      </c>
      <c r="D105" t="s">
        <v>320</v>
      </c>
      <c r="E105" s="80" t="s">
        <v>355</v>
      </c>
      <c r="F105" s="8" t="s">
        <v>356</v>
      </c>
      <c r="G105" s="14" t="s">
        <v>357</v>
      </c>
      <c r="H105" s="15" t="s">
        <v>9700</v>
      </c>
      <c r="I105" s="20" t="s">
        <v>50</v>
      </c>
      <c r="Q105" t="s">
        <v>2288</v>
      </c>
      <c r="R105" t="s">
        <v>2289</v>
      </c>
    </row>
    <row r="106" spans="1:27" x14ac:dyDescent="0.3">
      <c r="A106" s="20">
        <v>105</v>
      </c>
      <c r="B106" s="20">
        <v>102</v>
      </c>
      <c r="C106" s="8" t="s">
        <v>321</v>
      </c>
      <c r="D106" t="s">
        <v>320</v>
      </c>
      <c r="E106" s="80" t="s">
        <v>358</v>
      </c>
      <c r="F106" s="8" t="s">
        <v>359</v>
      </c>
      <c r="G106" s="14" t="s">
        <v>360</v>
      </c>
      <c r="I106" s="20" t="s">
        <v>50</v>
      </c>
      <c r="Q106" t="s">
        <v>2288</v>
      </c>
    </row>
    <row r="107" spans="1:27" x14ac:dyDescent="0.3">
      <c r="A107" s="20">
        <v>106</v>
      </c>
      <c r="B107" s="20">
        <v>103</v>
      </c>
      <c r="C107" s="8" t="s">
        <v>321</v>
      </c>
      <c r="D107" t="s">
        <v>320</v>
      </c>
      <c r="E107" s="80" t="s">
        <v>361</v>
      </c>
      <c r="F107" s="8" t="s">
        <v>362</v>
      </c>
      <c r="G107" s="14" t="s">
        <v>43</v>
      </c>
      <c r="I107" s="20" t="s">
        <v>15</v>
      </c>
    </row>
    <row r="108" spans="1:27" x14ac:dyDescent="0.3">
      <c r="A108" s="20">
        <v>107</v>
      </c>
      <c r="B108" s="20">
        <v>699</v>
      </c>
      <c r="C108" s="8" t="s">
        <v>321</v>
      </c>
      <c r="D108" t="s">
        <v>320</v>
      </c>
      <c r="E108" s="80" t="s">
        <v>363</v>
      </c>
      <c r="F108" s="8" t="s">
        <v>364</v>
      </c>
      <c r="G108" s="14" t="s">
        <v>92</v>
      </c>
      <c r="I108" s="20" t="s">
        <v>19</v>
      </c>
      <c r="N108" s="20" t="s">
        <v>2166</v>
      </c>
      <c r="Q108" t="s">
        <v>2290</v>
      </c>
      <c r="R108" t="s">
        <v>2171</v>
      </c>
      <c r="Z108" t="s">
        <v>11315</v>
      </c>
    </row>
    <row r="109" spans="1:27" x14ac:dyDescent="0.3">
      <c r="A109" s="20">
        <v>108</v>
      </c>
      <c r="B109" s="20">
        <v>104</v>
      </c>
      <c r="C109" s="8" t="s">
        <v>321</v>
      </c>
      <c r="D109" t="s">
        <v>320</v>
      </c>
      <c r="E109" s="80" t="s">
        <v>365</v>
      </c>
      <c r="F109" s="8" t="s">
        <v>366</v>
      </c>
      <c r="G109" s="14" t="s">
        <v>367</v>
      </c>
      <c r="I109" s="20" t="s">
        <v>50</v>
      </c>
      <c r="Q109" t="s">
        <v>2288</v>
      </c>
      <c r="R109" t="s">
        <v>2291</v>
      </c>
      <c r="S109" t="s">
        <v>2291</v>
      </c>
      <c r="U109" s="80" t="s">
        <v>2292</v>
      </c>
    </row>
    <row r="110" spans="1:27" x14ac:dyDescent="0.3">
      <c r="A110" s="20">
        <v>109</v>
      </c>
      <c r="B110" s="20">
        <v>105</v>
      </c>
      <c r="C110" s="8" t="s">
        <v>321</v>
      </c>
      <c r="D110" t="s">
        <v>320</v>
      </c>
      <c r="E110" s="80" t="s">
        <v>368</v>
      </c>
      <c r="F110" s="8" t="s">
        <v>369</v>
      </c>
      <c r="G110" s="14" t="s">
        <v>370</v>
      </c>
      <c r="H110" s="15" t="s">
        <v>9701</v>
      </c>
      <c r="I110" s="20" t="s">
        <v>236</v>
      </c>
      <c r="Q110" t="s">
        <v>2293</v>
      </c>
    </row>
    <row r="111" spans="1:27" x14ac:dyDescent="0.3">
      <c r="A111" s="20">
        <v>110</v>
      </c>
      <c r="B111" s="20">
        <v>106</v>
      </c>
      <c r="C111" s="8" t="s">
        <v>321</v>
      </c>
      <c r="D111" t="s">
        <v>320</v>
      </c>
      <c r="E111" s="80" t="s">
        <v>371</v>
      </c>
      <c r="F111" s="8" t="s">
        <v>372</v>
      </c>
      <c r="G111" s="14" t="s">
        <v>263</v>
      </c>
      <c r="I111" s="20" t="s">
        <v>19</v>
      </c>
      <c r="N111" s="20" t="s">
        <v>2166</v>
      </c>
    </row>
    <row r="112" spans="1:27" x14ac:dyDescent="0.3">
      <c r="A112" s="20">
        <v>111</v>
      </c>
      <c r="B112" s="20">
        <v>107</v>
      </c>
      <c r="C112" s="8" t="s">
        <v>321</v>
      </c>
      <c r="D112" t="s">
        <v>320</v>
      </c>
      <c r="E112" s="80" t="s">
        <v>373</v>
      </c>
      <c r="F112" s="8" t="s">
        <v>374</v>
      </c>
      <c r="G112" s="14" t="s">
        <v>375</v>
      </c>
      <c r="I112" s="20" t="s">
        <v>15</v>
      </c>
    </row>
    <row r="113" spans="1:27" x14ac:dyDescent="0.3">
      <c r="A113" s="20">
        <v>112</v>
      </c>
      <c r="B113" s="20">
        <v>108</v>
      </c>
      <c r="C113" s="8" t="s">
        <v>321</v>
      </c>
      <c r="D113" t="s">
        <v>320</v>
      </c>
      <c r="E113" s="80" t="s">
        <v>376</v>
      </c>
      <c r="F113" s="8" t="s">
        <v>377</v>
      </c>
      <c r="G113" s="14" t="s">
        <v>378</v>
      </c>
      <c r="H113" s="15" t="s">
        <v>9702</v>
      </c>
      <c r="I113" s="20" t="s">
        <v>15</v>
      </c>
      <c r="R113" t="s">
        <v>2294</v>
      </c>
      <c r="S113" t="s">
        <v>2294</v>
      </c>
      <c r="U113" s="80" t="s">
        <v>2295</v>
      </c>
    </row>
    <row r="114" spans="1:27" x14ac:dyDescent="0.3">
      <c r="A114" s="20">
        <v>113</v>
      </c>
      <c r="B114" s="20">
        <v>109</v>
      </c>
      <c r="C114" s="8" t="s">
        <v>321</v>
      </c>
      <c r="D114" t="s">
        <v>320</v>
      </c>
      <c r="E114" s="80" t="s">
        <v>379</v>
      </c>
      <c r="F114" s="8" t="s">
        <v>380</v>
      </c>
      <c r="G114" s="14" t="s">
        <v>43</v>
      </c>
      <c r="H114" s="15" t="s">
        <v>9703</v>
      </c>
      <c r="I114" s="20" t="s">
        <v>15</v>
      </c>
      <c r="K114" s="20" t="s">
        <v>58</v>
      </c>
      <c r="L114" s="20" t="s">
        <v>58</v>
      </c>
      <c r="M114" s="20" t="s">
        <v>66</v>
      </c>
      <c r="R114" t="s">
        <v>2296</v>
      </c>
      <c r="S114" t="s">
        <v>2297</v>
      </c>
      <c r="U114" s="80" t="s">
        <v>2298</v>
      </c>
      <c r="X114" s="8" t="s">
        <v>2299</v>
      </c>
      <c r="Y114" s="8" t="s">
        <v>11369</v>
      </c>
    </row>
    <row r="115" spans="1:27" x14ac:dyDescent="0.3">
      <c r="A115" s="20">
        <v>114</v>
      </c>
      <c r="B115" s="20">
        <v>110</v>
      </c>
      <c r="C115" s="8" t="s">
        <v>321</v>
      </c>
      <c r="D115" t="s">
        <v>320</v>
      </c>
      <c r="E115" s="80" t="s">
        <v>381</v>
      </c>
      <c r="F115" s="8" t="s">
        <v>382</v>
      </c>
      <c r="G115" s="14" t="s">
        <v>383</v>
      </c>
      <c r="H115" s="15" t="s">
        <v>9704</v>
      </c>
      <c r="I115" s="20" t="s">
        <v>50</v>
      </c>
      <c r="Q115" t="s">
        <v>2209</v>
      </c>
      <c r="S115" t="s">
        <v>2300</v>
      </c>
      <c r="Z115" t="s">
        <v>123</v>
      </c>
    </row>
    <row r="116" spans="1:27" x14ac:dyDescent="0.3">
      <c r="A116" s="20">
        <v>115</v>
      </c>
      <c r="B116" s="20">
        <v>111</v>
      </c>
      <c r="C116" s="8" t="s">
        <v>321</v>
      </c>
      <c r="D116" t="s">
        <v>320</v>
      </c>
      <c r="E116" s="80" t="s">
        <v>384</v>
      </c>
      <c r="F116" s="8" t="s">
        <v>385</v>
      </c>
      <c r="G116" s="14" t="s">
        <v>386</v>
      </c>
      <c r="I116" s="20" t="s">
        <v>331</v>
      </c>
      <c r="P116" t="s">
        <v>2179</v>
      </c>
      <c r="R116" t="s">
        <v>2301</v>
      </c>
      <c r="U116" s="80" t="s">
        <v>2302</v>
      </c>
      <c r="Z116" t="s">
        <v>11316</v>
      </c>
      <c r="AA116" t="s">
        <v>2303</v>
      </c>
    </row>
    <row r="117" spans="1:27" x14ac:dyDescent="0.3">
      <c r="A117" s="20">
        <v>116</v>
      </c>
      <c r="B117" s="20">
        <v>112</v>
      </c>
      <c r="C117" s="8" t="s">
        <v>388</v>
      </c>
      <c r="D117" t="s">
        <v>387</v>
      </c>
      <c r="E117" s="80" t="s">
        <v>389</v>
      </c>
      <c r="F117" s="8" t="s">
        <v>390</v>
      </c>
      <c r="G117" s="14" t="s">
        <v>391</v>
      </c>
      <c r="H117" s="15" t="s">
        <v>9705</v>
      </c>
      <c r="I117" s="20" t="s">
        <v>10</v>
      </c>
    </row>
    <row r="118" spans="1:27" x14ac:dyDescent="0.3">
      <c r="A118" s="20">
        <v>117</v>
      </c>
      <c r="B118" s="20">
        <v>113</v>
      </c>
      <c r="C118" s="8" t="s">
        <v>388</v>
      </c>
      <c r="D118" t="s">
        <v>387</v>
      </c>
      <c r="E118" s="80" t="s">
        <v>392</v>
      </c>
      <c r="F118" s="8" t="s">
        <v>393</v>
      </c>
      <c r="G118" s="14" t="s">
        <v>43</v>
      </c>
      <c r="I118" s="20" t="s">
        <v>15</v>
      </c>
    </row>
    <row r="119" spans="1:27" x14ac:dyDescent="0.3">
      <c r="A119" s="20">
        <v>118</v>
      </c>
      <c r="B119" s="20">
        <v>114</v>
      </c>
      <c r="C119" s="8" t="s">
        <v>388</v>
      </c>
      <c r="D119" t="s">
        <v>387</v>
      </c>
      <c r="E119" s="80" t="s">
        <v>394</v>
      </c>
      <c r="F119" s="8" t="s">
        <v>395</v>
      </c>
      <c r="G119" s="14" t="s">
        <v>68</v>
      </c>
      <c r="H119" s="15" t="s">
        <v>9706</v>
      </c>
      <c r="I119" s="20" t="s">
        <v>65</v>
      </c>
      <c r="J119" s="20" t="s">
        <v>2018</v>
      </c>
      <c r="K119" s="20" t="s">
        <v>66</v>
      </c>
      <c r="L119" s="20" t="s">
        <v>66</v>
      </c>
      <c r="M119" s="20" t="s">
        <v>67</v>
      </c>
      <c r="R119" t="s">
        <v>2171</v>
      </c>
      <c r="Z119" t="s">
        <v>11317</v>
      </c>
    </row>
    <row r="120" spans="1:27" x14ac:dyDescent="0.3">
      <c r="A120" s="20">
        <v>119</v>
      </c>
      <c r="B120" s="20">
        <v>115</v>
      </c>
      <c r="C120" s="8" t="s">
        <v>388</v>
      </c>
      <c r="D120" t="s">
        <v>387</v>
      </c>
      <c r="E120" s="80" t="s">
        <v>396</v>
      </c>
      <c r="F120" s="8" t="s">
        <v>397</v>
      </c>
      <c r="G120" s="14" t="s">
        <v>398</v>
      </c>
      <c r="I120" s="20" t="s">
        <v>15</v>
      </c>
      <c r="X120" s="8" t="s">
        <v>2304</v>
      </c>
    </row>
    <row r="121" spans="1:27" x14ac:dyDescent="0.3">
      <c r="A121" s="20">
        <v>120</v>
      </c>
      <c r="B121" s="20">
        <v>116</v>
      </c>
      <c r="C121" s="8" t="s">
        <v>388</v>
      </c>
      <c r="D121" t="s">
        <v>387</v>
      </c>
      <c r="E121" s="80" t="s">
        <v>399</v>
      </c>
      <c r="F121" s="8" t="s">
        <v>400</v>
      </c>
      <c r="G121" s="14" t="s">
        <v>401</v>
      </c>
      <c r="I121" s="20" t="s">
        <v>15</v>
      </c>
      <c r="X121" s="8" t="s">
        <v>2305</v>
      </c>
    </row>
    <row r="122" spans="1:27" x14ac:dyDescent="0.3">
      <c r="A122" s="20">
        <v>121</v>
      </c>
      <c r="B122" s="20">
        <v>117</v>
      </c>
      <c r="C122" s="8" t="s">
        <v>388</v>
      </c>
      <c r="D122" t="s">
        <v>387</v>
      </c>
      <c r="E122" s="80" t="s">
        <v>402</v>
      </c>
      <c r="F122" s="8" t="s">
        <v>403</v>
      </c>
      <c r="G122" s="14" t="s">
        <v>43</v>
      </c>
      <c r="I122" s="20" t="s">
        <v>15</v>
      </c>
      <c r="V122" s="8" t="s">
        <v>2306</v>
      </c>
      <c r="X122" s="8" t="s">
        <v>2306</v>
      </c>
    </row>
    <row r="123" spans="1:27" x14ac:dyDescent="0.3">
      <c r="A123" s="20">
        <v>122</v>
      </c>
      <c r="B123" s="20">
        <v>118</v>
      </c>
      <c r="C123" s="8" t="s">
        <v>388</v>
      </c>
      <c r="D123" t="s">
        <v>387</v>
      </c>
      <c r="E123" s="80" t="s">
        <v>404</v>
      </c>
      <c r="F123" s="8" t="s">
        <v>405</v>
      </c>
      <c r="G123" s="14" t="s">
        <v>68</v>
      </c>
      <c r="H123" s="15" t="s">
        <v>9707</v>
      </c>
      <c r="I123" s="20" t="s">
        <v>65</v>
      </c>
      <c r="J123" s="20" t="s">
        <v>2017</v>
      </c>
      <c r="K123" s="20" t="s">
        <v>406</v>
      </c>
      <c r="L123" s="20" t="s">
        <v>406</v>
      </c>
      <c r="M123" s="20" t="s">
        <v>67</v>
      </c>
      <c r="N123" s="20" t="s">
        <v>2166</v>
      </c>
      <c r="S123" t="s">
        <v>2307</v>
      </c>
      <c r="W123" s="8" t="s">
        <v>2308</v>
      </c>
      <c r="Y123" s="8" t="s">
        <v>11370</v>
      </c>
    </row>
    <row r="124" spans="1:27" x14ac:dyDescent="0.3">
      <c r="A124" s="20">
        <v>123</v>
      </c>
      <c r="B124" s="20">
        <v>119</v>
      </c>
      <c r="C124" s="8" t="s">
        <v>388</v>
      </c>
      <c r="D124" t="s">
        <v>387</v>
      </c>
      <c r="E124" s="80" t="s">
        <v>407</v>
      </c>
      <c r="F124" s="8" t="s">
        <v>408</v>
      </c>
      <c r="G124" s="14" t="s">
        <v>68</v>
      </c>
      <c r="H124" s="15" t="s">
        <v>9708</v>
      </c>
      <c r="I124" s="20" t="s">
        <v>65</v>
      </c>
      <c r="J124" s="20" t="s">
        <v>2015</v>
      </c>
      <c r="U124" s="80" t="s">
        <v>2309</v>
      </c>
      <c r="Y124" s="8" t="s">
        <v>11371</v>
      </c>
    </row>
    <row r="125" spans="1:27" x14ac:dyDescent="0.3">
      <c r="A125" s="20">
        <v>124</v>
      </c>
      <c r="B125" s="20">
        <v>120</v>
      </c>
      <c r="C125" s="8" t="s">
        <v>388</v>
      </c>
      <c r="D125" t="s">
        <v>387</v>
      </c>
      <c r="E125" s="80" t="s">
        <v>409</v>
      </c>
      <c r="F125" s="8" t="s">
        <v>410</v>
      </c>
      <c r="G125" s="14" t="s">
        <v>43</v>
      </c>
      <c r="I125" s="20" t="s">
        <v>15</v>
      </c>
      <c r="P125" t="s">
        <v>2200</v>
      </c>
      <c r="AA125" t="s">
        <v>2310</v>
      </c>
    </row>
    <row r="126" spans="1:27" x14ac:dyDescent="0.3">
      <c r="A126" s="20">
        <v>125</v>
      </c>
      <c r="B126" s="20">
        <v>121</v>
      </c>
      <c r="C126" s="8" t="s">
        <v>388</v>
      </c>
      <c r="D126" t="s">
        <v>387</v>
      </c>
      <c r="E126" s="80" t="s">
        <v>411</v>
      </c>
      <c r="F126" s="8" t="s">
        <v>412</v>
      </c>
      <c r="G126" s="14" t="s">
        <v>263</v>
      </c>
      <c r="I126" s="20" t="s">
        <v>50</v>
      </c>
      <c r="V126" s="8" t="s">
        <v>2311</v>
      </c>
      <c r="X126" s="8" t="s">
        <v>2311</v>
      </c>
    </row>
    <row r="127" spans="1:27" x14ac:dyDescent="0.3">
      <c r="A127" s="20">
        <v>126</v>
      </c>
      <c r="B127" s="20">
        <v>122</v>
      </c>
      <c r="C127" s="8" t="s">
        <v>388</v>
      </c>
      <c r="D127" t="s">
        <v>387</v>
      </c>
      <c r="E127" s="80" t="s">
        <v>413</v>
      </c>
      <c r="F127" s="8" t="s">
        <v>414</v>
      </c>
      <c r="G127" s="14" t="s">
        <v>215</v>
      </c>
      <c r="I127" s="20" t="s">
        <v>15</v>
      </c>
      <c r="V127" s="8" t="s">
        <v>2312</v>
      </c>
      <c r="X127" s="8" t="s">
        <v>2312</v>
      </c>
    </row>
    <row r="128" spans="1:27" x14ac:dyDescent="0.3">
      <c r="A128" s="20">
        <v>127</v>
      </c>
      <c r="B128" s="20">
        <v>123</v>
      </c>
      <c r="C128" s="8" t="s">
        <v>388</v>
      </c>
      <c r="D128" t="s">
        <v>387</v>
      </c>
      <c r="E128" s="80" t="s">
        <v>415</v>
      </c>
      <c r="F128" s="8" t="s">
        <v>416</v>
      </c>
      <c r="G128" s="14" t="s">
        <v>417</v>
      </c>
      <c r="I128" s="20" t="s">
        <v>15</v>
      </c>
      <c r="N128" s="20" t="s">
        <v>2166</v>
      </c>
      <c r="P128" t="s">
        <v>2200</v>
      </c>
      <c r="V128" s="8" t="s">
        <v>2313</v>
      </c>
      <c r="X128" s="8" t="s">
        <v>2313</v>
      </c>
      <c r="AA128" t="s">
        <v>2314</v>
      </c>
    </row>
    <row r="129" spans="1:27" x14ac:dyDescent="0.3">
      <c r="A129" s="20">
        <v>128</v>
      </c>
      <c r="B129" s="20">
        <v>124</v>
      </c>
      <c r="C129" s="8" t="s">
        <v>388</v>
      </c>
      <c r="D129" t="s">
        <v>387</v>
      </c>
      <c r="E129" s="80" t="s">
        <v>418</v>
      </c>
      <c r="F129" s="8" t="s">
        <v>419</v>
      </c>
      <c r="G129" s="14" t="s">
        <v>420</v>
      </c>
      <c r="H129" s="15" t="s">
        <v>9709</v>
      </c>
      <c r="I129" s="20" t="s">
        <v>15</v>
      </c>
      <c r="V129" s="8" t="s">
        <v>2315</v>
      </c>
      <c r="X129" s="8" t="s">
        <v>2315</v>
      </c>
    </row>
    <row r="130" spans="1:27" x14ac:dyDescent="0.3">
      <c r="A130" s="20">
        <v>129</v>
      </c>
      <c r="B130" s="20">
        <v>125</v>
      </c>
      <c r="C130" s="8" t="s">
        <v>388</v>
      </c>
      <c r="D130" t="s">
        <v>387</v>
      </c>
      <c r="E130" s="80" t="s">
        <v>421</v>
      </c>
      <c r="F130" s="8" t="s">
        <v>422</v>
      </c>
      <c r="G130" s="14" t="s">
        <v>43</v>
      </c>
      <c r="H130" s="15" t="s">
        <v>9710</v>
      </c>
      <c r="I130" s="20" t="s">
        <v>15</v>
      </c>
    </row>
    <row r="131" spans="1:27" x14ac:dyDescent="0.3">
      <c r="A131" s="20">
        <v>130</v>
      </c>
      <c r="B131" s="20">
        <v>126</v>
      </c>
      <c r="C131" s="8" t="s">
        <v>388</v>
      </c>
      <c r="D131" t="s">
        <v>387</v>
      </c>
      <c r="E131" s="80" t="s">
        <v>423</v>
      </c>
      <c r="F131" s="8" t="s">
        <v>424</v>
      </c>
      <c r="G131" s="14" t="s">
        <v>425</v>
      </c>
      <c r="H131" s="15" t="s">
        <v>9711</v>
      </c>
      <c r="I131" s="20" t="s">
        <v>65</v>
      </c>
      <c r="J131" s="20" t="s">
        <v>2015</v>
      </c>
      <c r="K131" s="20" t="s">
        <v>732</v>
      </c>
      <c r="P131" t="s">
        <v>2179</v>
      </c>
      <c r="R131" t="s">
        <v>2316</v>
      </c>
      <c r="U131" s="80" t="s">
        <v>2316</v>
      </c>
      <c r="X131" s="8" t="s">
        <v>2317</v>
      </c>
      <c r="Z131" t="s">
        <v>11318</v>
      </c>
      <c r="AA131" t="s">
        <v>2318</v>
      </c>
    </row>
    <row r="132" spans="1:27" x14ac:dyDescent="0.3">
      <c r="A132" s="20">
        <v>131</v>
      </c>
      <c r="B132" s="20">
        <v>127</v>
      </c>
      <c r="C132" s="8" t="s">
        <v>388</v>
      </c>
      <c r="D132" t="s">
        <v>387</v>
      </c>
      <c r="E132" s="80" t="s">
        <v>426</v>
      </c>
      <c r="F132" s="8" t="s">
        <v>427</v>
      </c>
      <c r="G132" s="14" t="s">
        <v>428</v>
      </c>
      <c r="I132" s="20" t="s">
        <v>236</v>
      </c>
      <c r="S132" t="s">
        <v>2319</v>
      </c>
    </row>
    <row r="133" spans="1:27" x14ac:dyDescent="0.3">
      <c r="A133" s="20">
        <v>132</v>
      </c>
      <c r="B133" s="20">
        <v>128</v>
      </c>
      <c r="C133" s="8" t="s">
        <v>388</v>
      </c>
      <c r="D133" t="s">
        <v>387</v>
      </c>
      <c r="E133" s="80" t="s">
        <v>429</v>
      </c>
      <c r="F133" s="8" t="s">
        <v>430</v>
      </c>
      <c r="G133" s="14" t="s">
        <v>431</v>
      </c>
      <c r="I133" s="20" t="s">
        <v>50</v>
      </c>
      <c r="Q133" t="s">
        <v>2320</v>
      </c>
      <c r="U133" s="80" t="s">
        <v>2321</v>
      </c>
    </row>
    <row r="134" spans="1:27" x14ac:dyDescent="0.3">
      <c r="A134" s="20">
        <v>133</v>
      </c>
      <c r="B134" s="20">
        <v>129</v>
      </c>
      <c r="C134" s="8" t="s">
        <v>433</v>
      </c>
      <c r="D134" t="s">
        <v>432</v>
      </c>
      <c r="E134" s="80" t="s">
        <v>434</v>
      </c>
      <c r="F134" s="8" t="s">
        <v>435</v>
      </c>
      <c r="G134" s="14" t="s">
        <v>436</v>
      </c>
      <c r="I134" s="20" t="s">
        <v>275</v>
      </c>
      <c r="K134" s="20" t="s">
        <v>66</v>
      </c>
      <c r="L134" s="20" t="s">
        <v>66</v>
      </c>
      <c r="M134" s="20" t="s">
        <v>85</v>
      </c>
      <c r="N134" s="20" t="s">
        <v>2166</v>
      </c>
      <c r="W134" s="8" t="s">
        <v>2322</v>
      </c>
      <c r="Z134" t="s">
        <v>437</v>
      </c>
    </row>
    <row r="135" spans="1:27" x14ac:dyDescent="0.3">
      <c r="A135" s="20">
        <v>134</v>
      </c>
      <c r="B135" s="20">
        <v>130</v>
      </c>
      <c r="C135" s="8" t="s">
        <v>433</v>
      </c>
      <c r="D135" t="s">
        <v>432</v>
      </c>
      <c r="E135" s="80" t="s">
        <v>438</v>
      </c>
      <c r="F135" s="8" t="s">
        <v>439</v>
      </c>
      <c r="G135" s="14" t="s">
        <v>440</v>
      </c>
      <c r="H135" s="15" t="s">
        <v>9712</v>
      </c>
      <c r="I135" s="20" t="s">
        <v>19</v>
      </c>
      <c r="N135" s="20" t="s">
        <v>2166</v>
      </c>
      <c r="P135" t="s">
        <v>2323</v>
      </c>
      <c r="Q135" t="s">
        <v>2324</v>
      </c>
      <c r="R135" t="s">
        <v>2171</v>
      </c>
      <c r="V135" s="8" t="s">
        <v>2325</v>
      </c>
      <c r="X135" s="8" t="s">
        <v>2325</v>
      </c>
      <c r="Z135" t="s">
        <v>11319</v>
      </c>
      <c r="AA135" t="s">
        <v>2326</v>
      </c>
    </row>
    <row r="136" spans="1:27" x14ac:dyDescent="0.3">
      <c r="A136" s="20">
        <v>135</v>
      </c>
      <c r="B136" s="20">
        <v>131</v>
      </c>
      <c r="C136" s="8" t="s">
        <v>442</v>
      </c>
      <c r="D136" t="s">
        <v>441</v>
      </c>
      <c r="E136" s="80" t="s">
        <v>443</v>
      </c>
      <c r="F136" s="8" t="s">
        <v>444</v>
      </c>
      <c r="G136" s="14" t="s">
        <v>189</v>
      </c>
      <c r="I136" s="20" t="s">
        <v>15</v>
      </c>
      <c r="N136" s="20" t="s">
        <v>2166</v>
      </c>
      <c r="P136" t="s">
        <v>2174</v>
      </c>
      <c r="R136" t="s">
        <v>2327</v>
      </c>
      <c r="S136" t="s">
        <v>2327</v>
      </c>
      <c r="Y136" s="8" t="s">
        <v>11372</v>
      </c>
      <c r="AA136" t="s">
        <v>2328</v>
      </c>
    </row>
    <row r="137" spans="1:27" x14ac:dyDescent="0.3">
      <c r="A137" s="20">
        <v>136</v>
      </c>
      <c r="B137" s="20">
        <v>132</v>
      </c>
      <c r="C137" s="8" t="s">
        <v>442</v>
      </c>
      <c r="D137" t="s">
        <v>441</v>
      </c>
      <c r="E137" s="80" t="s">
        <v>445</v>
      </c>
      <c r="F137" s="8" t="s">
        <v>446</v>
      </c>
      <c r="G137" s="14" t="s">
        <v>68</v>
      </c>
      <c r="I137" s="20" t="s">
        <v>65</v>
      </c>
      <c r="J137" s="20" t="s">
        <v>2015</v>
      </c>
      <c r="Y137" s="8" t="s">
        <v>11373</v>
      </c>
    </row>
    <row r="138" spans="1:27" x14ac:dyDescent="0.3">
      <c r="A138" s="20">
        <v>137</v>
      </c>
      <c r="B138" s="20">
        <v>133</v>
      </c>
      <c r="C138" s="8" t="s">
        <v>442</v>
      </c>
      <c r="D138" t="s">
        <v>441</v>
      </c>
      <c r="E138" s="80" t="s">
        <v>447</v>
      </c>
      <c r="F138" s="8" t="s">
        <v>448</v>
      </c>
      <c r="G138" s="14" t="s">
        <v>43</v>
      </c>
      <c r="I138" s="20" t="s">
        <v>15</v>
      </c>
    </row>
    <row r="139" spans="1:27" x14ac:dyDescent="0.3">
      <c r="A139" s="20">
        <v>138</v>
      </c>
      <c r="B139" s="20">
        <v>134</v>
      </c>
      <c r="C139" s="8" t="s">
        <v>442</v>
      </c>
      <c r="D139" t="s">
        <v>441</v>
      </c>
      <c r="E139" s="80" t="s">
        <v>449</v>
      </c>
      <c r="F139" s="8" t="s">
        <v>450</v>
      </c>
      <c r="G139" s="14" t="s">
        <v>68</v>
      </c>
      <c r="H139" s="15" t="s">
        <v>9713</v>
      </c>
      <c r="I139" s="20" t="s">
        <v>65</v>
      </c>
      <c r="J139" s="20" t="s">
        <v>2017</v>
      </c>
      <c r="K139" s="20" t="s">
        <v>406</v>
      </c>
      <c r="L139" s="20" t="s">
        <v>406</v>
      </c>
      <c r="M139" s="20" t="s">
        <v>67</v>
      </c>
      <c r="N139" s="20" t="s">
        <v>2166</v>
      </c>
      <c r="S139" t="s">
        <v>2329</v>
      </c>
      <c r="U139" s="80" t="s">
        <v>2329</v>
      </c>
    </row>
    <row r="140" spans="1:27" x14ac:dyDescent="0.3">
      <c r="A140" s="20">
        <v>139</v>
      </c>
      <c r="B140" s="20">
        <v>135</v>
      </c>
      <c r="C140" s="8" t="s">
        <v>452</v>
      </c>
      <c r="D140" t="s">
        <v>451</v>
      </c>
      <c r="E140" s="80" t="s">
        <v>453</v>
      </c>
      <c r="F140" s="8" t="s">
        <v>454</v>
      </c>
      <c r="G140" s="14" t="s">
        <v>420</v>
      </c>
      <c r="H140" s="15" t="s">
        <v>9714</v>
      </c>
      <c r="I140" s="20" t="s">
        <v>15</v>
      </c>
      <c r="K140" s="20" t="s">
        <v>58</v>
      </c>
      <c r="L140" s="20" t="s">
        <v>58</v>
      </c>
      <c r="M140" s="20" t="s">
        <v>67</v>
      </c>
      <c r="N140" s="20" t="s">
        <v>2166</v>
      </c>
      <c r="P140" t="s">
        <v>2330</v>
      </c>
      <c r="R140" t="s">
        <v>2331</v>
      </c>
      <c r="S140" t="s">
        <v>2331</v>
      </c>
      <c r="U140" s="80" t="s">
        <v>2331</v>
      </c>
      <c r="Z140" t="s">
        <v>455</v>
      </c>
      <c r="AA140" t="s">
        <v>2332</v>
      </c>
    </row>
    <row r="141" spans="1:27" x14ac:dyDescent="0.3">
      <c r="A141" s="20">
        <v>140</v>
      </c>
      <c r="B141" s="20">
        <v>136</v>
      </c>
      <c r="C141" s="8" t="s">
        <v>457</v>
      </c>
      <c r="D141" t="s">
        <v>456</v>
      </c>
      <c r="E141" s="80" t="s">
        <v>458</v>
      </c>
      <c r="F141" s="8" t="s">
        <v>459</v>
      </c>
      <c r="G141" s="14" t="s">
        <v>460</v>
      </c>
      <c r="I141" s="20" t="s">
        <v>19</v>
      </c>
      <c r="K141" s="20" t="s">
        <v>58</v>
      </c>
      <c r="L141" s="20" t="s">
        <v>58</v>
      </c>
      <c r="N141" s="20" t="s">
        <v>2166</v>
      </c>
      <c r="Q141" t="s">
        <v>2333</v>
      </c>
      <c r="Z141" t="s">
        <v>123</v>
      </c>
    </row>
    <row r="142" spans="1:27" x14ac:dyDescent="0.3">
      <c r="A142" s="20">
        <v>141</v>
      </c>
      <c r="B142" s="20">
        <v>137</v>
      </c>
      <c r="C142" s="8" t="s">
        <v>462</v>
      </c>
      <c r="D142" t="s">
        <v>461</v>
      </c>
      <c r="E142" s="80" t="s">
        <v>463</v>
      </c>
      <c r="F142" s="8" t="s">
        <v>464</v>
      </c>
      <c r="G142" s="14" t="s">
        <v>170</v>
      </c>
      <c r="H142" s="15" t="s">
        <v>9715</v>
      </c>
      <c r="I142" s="20" t="s">
        <v>317</v>
      </c>
      <c r="Z142" t="s">
        <v>123</v>
      </c>
    </row>
    <row r="143" spans="1:27" x14ac:dyDescent="0.3">
      <c r="A143" s="20">
        <v>142</v>
      </c>
      <c r="B143" s="20">
        <v>138</v>
      </c>
      <c r="C143" s="8" t="s">
        <v>462</v>
      </c>
      <c r="D143" t="s">
        <v>461</v>
      </c>
      <c r="E143" s="80" t="s">
        <v>465</v>
      </c>
      <c r="F143" s="8" t="s">
        <v>466</v>
      </c>
      <c r="G143" s="14" t="s">
        <v>233</v>
      </c>
      <c r="H143" s="15" t="s">
        <v>9716</v>
      </c>
      <c r="I143" s="20" t="s">
        <v>236</v>
      </c>
      <c r="N143" s="20" t="s">
        <v>2166</v>
      </c>
      <c r="P143" t="s">
        <v>2174</v>
      </c>
      <c r="R143" t="s">
        <v>463</v>
      </c>
      <c r="Z143" t="s">
        <v>11320</v>
      </c>
      <c r="AA143" t="s">
        <v>2334</v>
      </c>
    </row>
    <row r="144" spans="1:27" x14ac:dyDescent="0.3">
      <c r="A144" s="20">
        <v>143</v>
      </c>
      <c r="B144" s="20">
        <v>139</v>
      </c>
      <c r="C144" s="8" t="s">
        <v>462</v>
      </c>
      <c r="D144" t="s">
        <v>461</v>
      </c>
      <c r="E144" s="80" t="s">
        <v>467</v>
      </c>
      <c r="F144" s="8" t="s">
        <v>468</v>
      </c>
      <c r="G144" s="14" t="s">
        <v>469</v>
      </c>
      <c r="H144" s="15" t="s">
        <v>9717</v>
      </c>
      <c r="I144" s="20" t="s">
        <v>19</v>
      </c>
      <c r="N144" s="20" t="s">
        <v>2166</v>
      </c>
    </row>
    <row r="145" spans="1:27" x14ac:dyDescent="0.3">
      <c r="A145" s="20">
        <v>144</v>
      </c>
      <c r="B145" s="20">
        <v>140</v>
      </c>
      <c r="C145" s="8" t="s">
        <v>471</v>
      </c>
      <c r="D145" t="s">
        <v>470</v>
      </c>
      <c r="E145" s="80" t="s">
        <v>472</v>
      </c>
      <c r="F145" s="8" t="s">
        <v>473</v>
      </c>
      <c r="G145" s="14" t="s">
        <v>92</v>
      </c>
      <c r="H145" s="15" t="s">
        <v>9718</v>
      </c>
      <c r="I145" s="20" t="s">
        <v>19</v>
      </c>
      <c r="K145" s="20" t="s">
        <v>58</v>
      </c>
      <c r="L145" s="20" t="s">
        <v>58</v>
      </c>
      <c r="N145" s="20" t="s">
        <v>2166</v>
      </c>
      <c r="Q145" t="s">
        <v>2320</v>
      </c>
      <c r="R145" t="s">
        <v>2171</v>
      </c>
      <c r="Z145" t="s">
        <v>11321</v>
      </c>
    </row>
    <row r="146" spans="1:27" x14ac:dyDescent="0.3">
      <c r="A146" s="20">
        <v>145</v>
      </c>
      <c r="B146" s="20">
        <v>141</v>
      </c>
      <c r="C146" s="8" t="s">
        <v>471</v>
      </c>
      <c r="D146" t="s">
        <v>470</v>
      </c>
      <c r="E146" s="80" t="s">
        <v>474</v>
      </c>
      <c r="F146" s="8" t="s">
        <v>475</v>
      </c>
      <c r="G146" s="14" t="s">
        <v>476</v>
      </c>
      <c r="H146" s="15" t="s">
        <v>9719</v>
      </c>
      <c r="I146" s="20" t="s">
        <v>19</v>
      </c>
      <c r="N146" s="20" t="s">
        <v>2166</v>
      </c>
      <c r="Q146" t="s">
        <v>2293</v>
      </c>
      <c r="S146" t="s">
        <v>2335</v>
      </c>
    </row>
    <row r="147" spans="1:27" x14ac:dyDescent="0.3">
      <c r="A147" s="20">
        <v>146</v>
      </c>
      <c r="B147" s="20">
        <v>142</v>
      </c>
      <c r="C147" s="8" t="s">
        <v>471</v>
      </c>
      <c r="D147" t="s">
        <v>470</v>
      </c>
      <c r="E147" s="80" t="s">
        <v>477</v>
      </c>
      <c r="F147" s="8" t="s">
        <v>478</v>
      </c>
      <c r="G147" s="14" t="s">
        <v>479</v>
      </c>
      <c r="H147" s="15" t="s">
        <v>9720</v>
      </c>
      <c r="I147" s="20" t="s">
        <v>50</v>
      </c>
      <c r="Q147" t="s">
        <v>2336</v>
      </c>
      <c r="R147" t="s">
        <v>2337</v>
      </c>
      <c r="S147" t="s">
        <v>2338</v>
      </c>
    </row>
    <row r="148" spans="1:27" x14ac:dyDescent="0.3">
      <c r="A148" s="20">
        <v>147</v>
      </c>
      <c r="B148" s="20">
        <v>143</v>
      </c>
      <c r="C148" s="8" t="s">
        <v>471</v>
      </c>
      <c r="D148" t="s">
        <v>470</v>
      </c>
      <c r="E148" s="80" t="s">
        <v>480</v>
      </c>
      <c r="F148" s="8" t="s">
        <v>481</v>
      </c>
      <c r="G148" s="14" t="s">
        <v>482</v>
      </c>
      <c r="H148" s="15" t="s">
        <v>9721</v>
      </c>
      <c r="I148" s="20" t="s">
        <v>50</v>
      </c>
      <c r="Q148" t="s">
        <v>2339</v>
      </c>
      <c r="S148" t="s">
        <v>2340</v>
      </c>
    </row>
    <row r="149" spans="1:27" x14ac:dyDescent="0.3">
      <c r="A149" s="20">
        <v>148</v>
      </c>
      <c r="B149" s="20">
        <v>144</v>
      </c>
      <c r="C149" s="8" t="s">
        <v>471</v>
      </c>
      <c r="D149" t="s">
        <v>470</v>
      </c>
      <c r="E149" s="80" t="s">
        <v>483</v>
      </c>
      <c r="F149" s="8" t="s">
        <v>484</v>
      </c>
      <c r="G149" s="14" t="s">
        <v>485</v>
      </c>
      <c r="I149" s="20" t="s">
        <v>19</v>
      </c>
      <c r="N149" s="20" t="s">
        <v>2166</v>
      </c>
      <c r="Q149" t="s">
        <v>2341</v>
      </c>
      <c r="R149" t="s">
        <v>2342</v>
      </c>
    </row>
    <row r="150" spans="1:27" x14ac:dyDescent="0.3">
      <c r="A150" s="20">
        <v>149</v>
      </c>
      <c r="B150" s="20">
        <v>145</v>
      </c>
      <c r="C150" s="8" t="s">
        <v>471</v>
      </c>
      <c r="D150" t="s">
        <v>470</v>
      </c>
      <c r="E150" s="80" t="s">
        <v>486</v>
      </c>
      <c r="F150" s="8" t="s">
        <v>487</v>
      </c>
      <c r="G150" s="14" t="s">
        <v>488</v>
      </c>
      <c r="I150" s="20" t="s">
        <v>236</v>
      </c>
      <c r="Q150" t="s">
        <v>2206</v>
      </c>
      <c r="R150" t="s">
        <v>2343</v>
      </c>
    </row>
    <row r="151" spans="1:27" x14ac:dyDescent="0.3">
      <c r="A151" s="20">
        <v>150</v>
      </c>
      <c r="B151" s="20">
        <v>146</v>
      </c>
      <c r="C151" s="8" t="s">
        <v>471</v>
      </c>
      <c r="D151" t="s">
        <v>470</v>
      </c>
      <c r="E151" s="80" t="s">
        <v>489</v>
      </c>
      <c r="F151" s="8" t="s">
        <v>490</v>
      </c>
      <c r="G151" s="14" t="s">
        <v>170</v>
      </c>
      <c r="I151" s="20" t="s">
        <v>50</v>
      </c>
      <c r="P151" t="s">
        <v>2179</v>
      </c>
      <c r="AA151" t="s">
        <v>2344</v>
      </c>
    </row>
    <row r="152" spans="1:27" x14ac:dyDescent="0.3">
      <c r="A152" s="20">
        <v>151</v>
      </c>
      <c r="B152" s="20">
        <v>147</v>
      </c>
      <c r="C152" s="8" t="s">
        <v>471</v>
      </c>
      <c r="D152" t="s">
        <v>470</v>
      </c>
      <c r="E152" s="80" t="s">
        <v>491</v>
      </c>
      <c r="F152" s="8" t="s">
        <v>492</v>
      </c>
      <c r="G152" s="14" t="s">
        <v>493</v>
      </c>
      <c r="H152" s="15" t="s">
        <v>9722</v>
      </c>
      <c r="I152" s="20" t="s">
        <v>15</v>
      </c>
      <c r="K152" s="20" t="s">
        <v>58</v>
      </c>
      <c r="L152" s="20" t="s">
        <v>58</v>
      </c>
      <c r="M152" s="20" t="s">
        <v>66</v>
      </c>
      <c r="U152" s="80" t="s">
        <v>2345</v>
      </c>
    </row>
    <row r="153" spans="1:27" x14ac:dyDescent="0.3">
      <c r="A153" s="20">
        <v>152</v>
      </c>
      <c r="B153" s="20">
        <v>148</v>
      </c>
      <c r="C153" s="8" t="s">
        <v>471</v>
      </c>
      <c r="D153" t="s">
        <v>470</v>
      </c>
      <c r="E153" s="80" t="s">
        <v>494</v>
      </c>
      <c r="F153" s="8" t="s">
        <v>495</v>
      </c>
      <c r="G153" s="14" t="s">
        <v>360</v>
      </c>
      <c r="I153" s="20" t="s">
        <v>50</v>
      </c>
      <c r="Q153" t="s">
        <v>2346</v>
      </c>
      <c r="R153" t="s">
        <v>2347</v>
      </c>
      <c r="S153" t="s">
        <v>2347</v>
      </c>
      <c r="U153" s="80" t="s">
        <v>2348</v>
      </c>
    </row>
    <row r="154" spans="1:27" x14ac:dyDescent="0.3">
      <c r="A154" s="20">
        <v>153</v>
      </c>
      <c r="B154" s="20">
        <v>149</v>
      </c>
      <c r="C154" s="8" t="s">
        <v>471</v>
      </c>
      <c r="D154" t="s">
        <v>470</v>
      </c>
      <c r="E154" s="80" t="s">
        <v>496</v>
      </c>
      <c r="F154" s="8" t="s">
        <v>497</v>
      </c>
      <c r="G154" s="14" t="s">
        <v>498</v>
      </c>
      <c r="I154" s="20" t="s">
        <v>50</v>
      </c>
      <c r="Q154" t="s">
        <v>2346</v>
      </c>
      <c r="R154" t="s">
        <v>2349</v>
      </c>
      <c r="S154" t="s">
        <v>2349</v>
      </c>
      <c r="U154" s="80" t="s">
        <v>2350</v>
      </c>
      <c r="Z154" t="s">
        <v>123</v>
      </c>
    </row>
    <row r="155" spans="1:27" x14ac:dyDescent="0.3">
      <c r="A155" s="20">
        <v>154</v>
      </c>
      <c r="B155" s="20">
        <v>150</v>
      </c>
      <c r="C155" s="8" t="s">
        <v>471</v>
      </c>
      <c r="D155" t="s">
        <v>470</v>
      </c>
      <c r="E155" s="80" t="s">
        <v>499</v>
      </c>
      <c r="F155" s="8" t="s">
        <v>500</v>
      </c>
      <c r="G155" s="14" t="s">
        <v>501</v>
      </c>
      <c r="H155" s="15" t="s">
        <v>9723</v>
      </c>
      <c r="I155" s="20" t="s">
        <v>19</v>
      </c>
      <c r="N155" s="20" t="s">
        <v>2166</v>
      </c>
      <c r="Q155" t="s">
        <v>2351</v>
      </c>
    </row>
    <row r="156" spans="1:27" x14ac:dyDescent="0.3">
      <c r="A156" s="20">
        <v>155</v>
      </c>
      <c r="B156" s="20">
        <v>151</v>
      </c>
      <c r="C156" s="8" t="s">
        <v>503</v>
      </c>
      <c r="D156" t="s">
        <v>502</v>
      </c>
      <c r="E156" s="80" t="s">
        <v>504</v>
      </c>
      <c r="F156" s="8" t="s">
        <v>505</v>
      </c>
      <c r="G156" s="14" t="s">
        <v>189</v>
      </c>
      <c r="H156" s="15" t="s">
        <v>9724</v>
      </c>
      <c r="I156" s="20" t="s">
        <v>15</v>
      </c>
    </row>
    <row r="157" spans="1:27" ht="43.2" x14ac:dyDescent="0.3">
      <c r="A157" s="20">
        <v>156</v>
      </c>
      <c r="B157" s="20">
        <v>152</v>
      </c>
      <c r="C157" s="8" t="s">
        <v>507</v>
      </c>
      <c r="D157" t="s">
        <v>506</v>
      </c>
      <c r="E157" s="80" t="s">
        <v>508</v>
      </c>
      <c r="F157" s="8" t="s">
        <v>509</v>
      </c>
      <c r="G157" s="14" t="s">
        <v>510</v>
      </c>
      <c r="I157" s="20" t="s">
        <v>15</v>
      </c>
      <c r="N157" s="20" t="s">
        <v>2166</v>
      </c>
      <c r="P157" t="s">
        <v>2200</v>
      </c>
      <c r="Z157" s="79" t="s">
        <v>11322</v>
      </c>
      <c r="AA157" t="s">
        <v>2352</v>
      </c>
    </row>
    <row r="158" spans="1:27" x14ac:dyDescent="0.3">
      <c r="A158" s="20">
        <v>157</v>
      </c>
      <c r="B158" s="20">
        <v>153</v>
      </c>
      <c r="C158" s="8" t="s">
        <v>507</v>
      </c>
      <c r="D158" t="s">
        <v>506</v>
      </c>
      <c r="E158" s="80" t="s">
        <v>511</v>
      </c>
      <c r="F158" s="8" t="s">
        <v>512</v>
      </c>
      <c r="G158" s="14" t="s">
        <v>43</v>
      </c>
      <c r="H158" s="15" t="s">
        <v>9725</v>
      </c>
      <c r="I158" s="20" t="s">
        <v>15</v>
      </c>
    </row>
    <row r="159" spans="1:27" x14ac:dyDescent="0.3">
      <c r="A159" s="20">
        <v>158</v>
      </c>
      <c r="B159" s="20">
        <v>154</v>
      </c>
      <c r="C159" s="8" t="s">
        <v>514</v>
      </c>
      <c r="D159" t="s">
        <v>513</v>
      </c>
      <c r="E159" s="80" t="s">
        <v>515</v>
      </c>
      <c r="F159" s="8" t="s">
        <v>516</v>
      </c>
      <c r="G159" s="14" t="s">
        <v>517</v>
      </c>
      <c r="H159" s="15" t="s">
        <v>9726</v>
      </c>
      <c r="I159" s="20" t="s">
        <v>19</v>
      </c>
      <c r="K159" s="20" t="s">
        <v>66</v>
      </c>
      <c r="L159" s="20" t="s">
        <v>66</v>
      </c>
      <c r="M159" s="20" t="s">
        <v>66</v>
      </c>
      <c r="N159" s="20" t="s">
        <v>2166</v>
      </c>
      <c r="Q159" t="s">
        <v>2353</v>
      </c>
    </row>
    <row r="160" spans="1:27" x14ac:dyDescent="0.3">
      <c r="A160" s="20">
        <v>159</v>
      </c>
      <c r="B160" s="20">
        <v>155</v>
      </c>
      <c r="C160" s="8" t="s">
        <v>514</v>
      </c>
      <c r="D160" t="s">
        <v>513</v>
      </c>
      <c r="E160" s="80" t="s">
        <v>518</v>
      </c>
      <c r="F160" s="8" t="s">
        <v>519</v>
      </c>
      <c r="G160" s="14" t="s">
        <v>482</v>
      </c>
      <c r="I160" s="20" t="s">
        <v>50</v>
      </c>
      <c r="Q160" t="s">
        <v>2354</v>
      </c>
    </row>
    <row r="161" spans="1:27" x14ac:dyDescent="0.3">
      <c r="A161" s="20">
        <v>160</v>
      </c>
      <c r="B161" s="20">
        <v>156</v>
      </c>
      <c r="C161" s="8" t="s">
        <v>514</v>
      </c>
      <c r="D161" t="s">
        <v>513</v>
      </c>
      <c r="E161" s="80" t="s">
        <v>520</v>
      </c>
      <c r="F161" s="8" t="s">
        <v>521</v>
      </c>
      <c r="G161" s="14" t="s">
        <v>522</v>
      </c>
      <c r="H161" s="15" t="s">
        <v>9727</v>
      </c>
      <c r="I161" s="20" t="s">
        <v>50</v>
      </c>
      <c r="N161" s="20" t="s">
        <v>2166</v>
      </c>
      <c r="Q161" t="s">
        <v>2186</v>
      </c>
    </row>
    <row r="162" spans="1:27" x14ac:dyDescent="0.3">
      <c r="A162" s="20">
        <v>161</v>
      </c>
      <c r="B162" s="20">
        <v>157</v>
      </c>
      <c r="C162" s="8" t="s">
        <v>514</v>
      </c>
      <c r="D162" t="s">
        <v>513</v>
      </c>
      <c r="E162" s="80" t="s">
        <v>523</v>
      </c>
      <c r="F162" s="8" t="s">
        <v>524</v>
      </c>
      <c r="G162" s="14" t="s">
        <v>525</v>
      </c>
      <c r="H162" s="15" t="s">
        <v>9728</v>
      </c>
      <c r="I162" s="20" t="s">
        <v>50</v>
      </c>
      <c r="K162" s="20" t="s">
        <v>67</v>
      </c>
      <c r="L162" s="20" t="s">
        <v>67</v>
      </c>
      <c r="M162" s="20" t="s">
        <v>67</v>
      </c>
      <c r="P162" t="s">
        <v>2174</v>
      </c>
      <c r="Q162" t="s">
        <v>2186</v>
      </c>
      <c r="AA162" t="s">
        <v>2355</v>
      </c>
    </row>
    <row r="163" spans="1:27" x14ac:dyDescent="0.3">
      <c r="A163" s="20">
        <v>162</v>
      </c>
      <c r="B163" s="20">
        <v>158</v>
      </c>
      <c r="C163" s="8" t="s">
        <v>514</v>
      </c>
      <c r="D163" t="s">
        <v>513</v>
      </c>
      <c r="E163" s="80" t="s">
        <v>526</v>
      </c>
      <c r="F163" s="8" t="s">
        <v>527</v>
      </c>
      <c r="G163" s="14" t="s">
        <v>528</v>
      </c>
      <c r="I163" s="20" t="s">
        <v>50</v>
      </c>
      <c r="K163" s="20" t="s">
        <v>58</v>
      </c>
      <c r="L163" s="20" t="s">
        <v>58</v>
      </c>
      <c r="M163" s="20" t="s">
        <v>130</v>
      </c>
      <c r="Q163" t="s">
        <v>2356</v>
      </c>
    </row>
    <row r="164" spans="1:27" x14ac:dyDescent="0.3">
      <c r="A164" s="20">
        <v>163</v>
      </c>
      <c r="B164" s="20">
        <v>159</v>
      </c>
      <c r="C164" s="8" t="s">
        <v>514</v>
      </c>
      <c r="D164" t="s">
        <v>513</v>
      </c>
      <c r="E164" s="80" t="s">
        <v>529</v>
      </c>
      <c r="F164" s="8" t="s">
        <v>530</v>
      </c>
      <c r="G164" s="14" t="s">
        <v>531</v>
      </c>
      <c r="I164" s="20" t="s">
        <v>50</v>
      </c>
      <c r="K164" s="20" t="s">
        <v>58</v>
      </c>
      <c r="L164" s="20" t="s">
        <v>58</v>
      </c>
      <c r="Q164" t="s">
        <v>2346</v>
      </c>
      <c r="Z164" t="s">
        <v>123</v>
      </c>
    </row>
    <row r="165" spans="1:27" x14ac:dyDescent="0.3">
      <c r="A165" s="20">
        <v>164</v>
      </c>
      <c r="B165" s="20">
        <v>160</v>
      </c>
      <c r="C165" s="8" t="s">
        <v>514</v>
      </c>
      <c r="D165" t="s">
        <v>513</v>
      </c>
      <c r="E165" s="80" t="s">
        <v>532</v>
      </c>
      <c r="F165" s="8" t="s">
        <v>533</v>
      </c>
      <c r="G165" s="14" t="s">
        <v>92</v>
      </c>
      <c r="I165" s="20" t="s">
        <v>50</v>
      </c>
      <c r="K165" s="20" t="s">
        <v>58</v>
      </c>
      <c r="L165" s="20" t="s">
        <v>58</v>
      </c>
      <c r="M165" s="20" t="s">
        <v>66</v>
      </c>
      <c r="Q165" t="s">
        <v>2346</v>
      </c>
    </row>
    <row r="166" spans="1:27" x14ac:dyDescent="0.3">
      <c r="A166" s="20">
        <v>165</v>
      </c>
      <c r="B166" s="20">
        <v>161</v>
      </c>
      <c r="C166" s="8" t="s">
        <v>514</v>
      </c>
      <c r="D166" t="s">
        <v>513</v>
      </c>
      <c r="E166" s="80" t="s">
        <v>534</v>
      </c>
      <c r="F166" s="8" t="s">
        <v>535</v>
      </c>
      <c r="G166" s="14" t="s">
        <v>482</v>
      </c>
      <c r="I166" s="20" t="s">
        <v>50</v>
      </c>
      <c r="Q166" t="s">
        <v>2357</v>
      </c>
    </row>
    <row r="167" spans="1:27" x14ac:dyDescent="0.3">
      <c r="A167" s="20">
        <v>166</v>
      </c>
      <c r="B167" s="20">
        <v>162</v>
      </c>
      <c r="C167" s="8" t="s">
        <v>514</v>
      </c>
      <c r="D167" t="s">
        <v>513</v>
      </c>
      <c r="E167" s="80" t="s">
        <v>536</v>
      </c>
      <c r="F167" s="8" t="s">
        <v>537</v>
      </c>
      <c r="G167" s="14" t="s">
        <v>538</v>
      </c>
      <c r="H167" s="15" t="s">
        <v>9729</v>
      </c>
      <c r="I167" s="20" t="s">
        <v>50</v>
      </c>
      <c r="K167" s="20" t="s">
        <v>67</v>
      </c>
      <c r="L167" s="20" t="s">
        <v>67</v>
      </c>
      <c r="M167" s="20" t="s">
        <v>67</v>
      </c>
      <c r="Q167" t="s">
        <v>2336</v>
      </c>
    </row>
    <row r="168" spans="1:27" x14ac:dyDescent="0.3">
      <c r="A168" s="20">
        <v>167</v>
      </c>
      <c r="B168" s="20">
        <v>163</v>
      </c>
      <c r="C168" s="8" t="s">
        <v>514</v>
      </c>
      <c r="D168" t="s">
        <v>513</v>
      </c>
      <c r="E168" s="80" t="s">
        <v>539</v>
      </c>
      <c r="F168" s="8" t="s">
        <v>540</v>
      </c>
      <c r="G168" s="14" t="s">
        <v>482</v>
      </c>
      <c r="I168" s="20" t="s">
        <v>50</v>
      </c>
      <c r="K168" s="20" t="s">
        <v>58</v>
      </c>
      <c r="L168" s="20" t="s">
        <v>58</v>
      </c>
      <c r="Q168" t="s">
        <v>2358</v>
      </c>
    </row>
    <row r="169" spans="1:27" x14ac:dyDescent="0.3">
      <c r="A169" s="20">
        <v>168</v>
      </c>
      <c r="B169" s="20">
        <v>164</v>
      </c>
      <c r="C169" s="8" t="s">
        <v>514</v>
      </c>
      <c r="D169" t="s">
        <v>513</v>
      </c>
      <c r="E169" s="80" t="s">
        <v>541</v>
      </c>
      <c r="F169" s="8" t="s">
        <v>542</v>
      </c>
      <c r="G169" s="14" t="s">
        <v>543</v>
      </c>
      <c r="H169" s="15" t="s">
        <v>9730</v>
      </c>
      <c r="I169" s="20" t="s">
        <v>50</v>
      </c>
      <c r="P169" t="s">
        <v>2323</v>
      </c>
      <c r="Q169" t="s">
        <v>2359</v>
      </c>
      <c r="AA169" t="s">
        <v>2360</v>
      </c>
    </row>
    <row r="170" spans="1:27" x14ac:dyDescent="0.3">
      <c r="A170" s="20">
        <v>169</v>
      </c>
      <c r="B170" s="20">
        <v>165</v>
      </c>
      <c r="C170" s="8" t="s">
        <v>514</v>
      </c>
      <c r="D170" t="s">
        <v>513</v>
      </c>
      <c r="E170" s="80" t="s">
        <v>544</v>
      </c>
      <c r="F170" s="8" t="s">
        <v>545</v>
      </c>
      <c r="G170" s="14" t="s">
        <v>23</v>
      </c>
      <c r="I170" s="20" t="s">
        <v>50</v>
      </c>
      <c r="P170" t="s">
        <v>2323</v>
      </c>
      <c r="Q170" t="s">
        <v>2361</v>
      </c>
      <c r="AA170" t="s">
        <v>2362</v>
      </c>
    </row>
    <row r="171" spans="1:27" x14ac:dyDescent="0.3">
      <c r="A171" s="20">
        <v>170</v>
      </c>
      <c r="B171" s="20">
        <v>166</v>
      </c>
      <c r="C171" s="8" t="s">
        <v>514</v>
      </c>
      <c r="D171" t="s">
        <v>513</v>
      </c>
      <c r="E171" s="80" t="s">
        <v>546</v>
      </c>
      <c r="F171" s="8" t="s">
        <v>547</v>
      </c>
      <c r="G171" s="14" t="s">
        <v>548</v>
      </c>
      <c r="H171" s="15" t="s">
        <v>9731</v>
      </c>
      <c r="I171" s="20" t="s">
        <v>50</v>
      </c>
      <c r="Q171" t="s">
        <v>2186</v>
      </c>
    </row>
    <row r="172" spans="1:27" x14ac:dyDescent="0.3">
      <c r="A172" s="20">
        <v>171</v>
      </c>
      <c r="B172" s="20">
        <v>167</v>
      </c>
      <c r="C172" s="8" t="s">
        <v>514</v>
      </c>
      <c r="D172" t="s">
        <v>513</v>
      </c>
      <c r="E172" s="80" t="s">
        <v>549</v>
      </c>
      <c r="F172" s="8" t="s">
        <v>550</v>
      </c>
      <c r="G172" s="14" t="s">
        <v>551</v>
      </c>
      <c r="H172" s="15" t="s">
        <v>9732</v>
      </c>
      <c r="I172" s="20" t="s">
        <v>50</v>
      </c>
      <c r="K172" s="20" t="s">
        <v>58</v>
      </c>
      <c r="L172" s="20" t="s">
        <v>58</v>
      </c>
      <c r="Q172" t="s">
        <v>2361</v>
      </c>
    </row>
    <row r="173" spans="1:27" x14ac:dyDescent="0.3">
      <c r="A173" s="20">
        <v>172</v>
      </c>
      <c r="B173" s="20">
        <v>168</v>
      </c>
      <c r="C173" s="8" t="s">
        <v>514</v>
      </c>
      <c r="D173" t="s">
        <v>513</v>
      </c>
      <c r="E173" s="80" t="s">
        <v>552</v>
      </c>
      <c r="F173" s="8" t="s">
        <v>553</v>
      </c>
      <c r="G173" s="14" t="s">
        <v>554</v>
      </c>
      <c r="H173" s="15" t="s">
        <v>9733</v>
      </c>
      <c r="I173" s="20" t="s">
        <v>19</v>
      </c>
      <c r="N173" s="20" t="s">
        <v>2166</v>
      </c>
      <c r="Q173" t="s">
        <v>2363</v>
      </c>
    </row>
    <row r="174" spans="1:27" x14ac:dyDescent="0.3">
      <c r="A174" s="20">
        <v>173</v>
      </c>
      <c r="B174" s="20">
        <v>169</v>
      </c>
      <c r="C174" s="8" t="s">
        <v>514</v>
      </c>
      <c r="D174" t="s">
        <v>513</v>
      </c>
      <c r="E174" s="80" t="s">
        <v>555</v>
      </c>
      <c r="F174" s="8" t="s">
        <v>556</v>
      </c>
      <c r="G174" s="14" t="s">
        <v>557</v>
      </c>
      <c r="H174" s="15" t="s">
        <v>9734</v>
      </c>
      <c r="I174" s="20" t="s">
        <v>50</v>
      </c>
      <c r="Q174" t="s">
        <v>2336</v>
      </c>
    </row>
    <row r="175" spans="1:27" x14ac:dyDescent="0.3">
      <c r="A175" s="20">
        <v>174</v>
      </c>
      <c r="B175" s="20">
        <v>170</v>
      </c>
      <c r="C175" s="8" t="s">
        <v>514</v>
      </c>
      <c r="D175" t="s">
        <v>513</v>
      </c>
      <c r="E175" s="80" t="s">
        <v>558</v>
      </c>
      <c r="F175" s="8" t="s">
        <v>559</v>
      </c>
      <c r="G175" s="14" t="s">
        <v>560</v>
      </c>
      <c r="H175" s="15" t="s">
        <v>9735</v>
      </c>
      <c r="I175" s="20" t="s">
        <v>50</v>
      </c>
      <c r="K175" s="20" t="s">
        <v>58</v>
      </c>
      <c r="L175" s="20" t="s">
        <v>58</v>
      </c>
      <c r="Q175" t="s">
        <v>2336</v>
      </c>
      <c r="R175" t="s">
        <v>2364</v>
      </c>
    </row>
    <row r="176" spans="1:27" x14ac:dyDescent="0.3">
      <c r="A176" s="20">
        <v>175</v>
      </c>
      <c r="B176" s="20">
        <v>171</v>
      </c>
      <c r="C176" s="8" t="s">
        <v>514</v>
      </c>
      <c r="D176" t="s">
        <v>513</v>
      </c>
      <c r="E176" s="80" t="s">
        <v>561</v>
      </c>
      <c r="F176" s="8" t="s">
        <v>562</v>
      </c>
      <c r="G176" s="14" t="s">
        <v>482</v>
      </c>
      <c r="H176" s="15" t="s">
        <v>9736</v>
      </c>
      <c r="I176" s="20" t="s">
        <v>50</v>
      </c>
      <c r="Q176" t="s">
        <v>2357</v>
      </c>
    </row>
    <row r="177" spans="1:26" x14ac:dyDescent="0.3">
      <c r="A177" s="20">
        <v>176</v>
      </c>
      <c r="B177" s="20">
        <v>172</v>
      </c>
      <c r="C177" s="8" t="s">
        <v>514</v>
      </c>
      <c r="D177" t="s">
        <v>513</v>
      </c>
      <c r="E177" s="80" t="s">
        <v>563</v>
      </c>
      <c r="F177" s="8" t="s">
        <v>564</v>
      </c>
      <c r="G177" s="14" t="s">
        <v>482</v>
      </c>
      <c r="I177" s="20" t="s">
        <v>19</v>
      </c>
      <c r="N177" s="20" t="s">
        <v>2166</v>
      </c>
      <c r="Q177" t="s">
        <v>2365</v>
      </c>
    </row>
    <row r="178" spans="1:26" x14ac:dyDescent="0.3">
      <c r="A178" s="20">
        <v>177</v>
      </c>
      <c r="B178" s="20">
        <v>173</v>
      </c>
      <c r="C178" s="8" t="s">
        <v>514</v>
      </c>
      <c r="D178" t="s">
        <v>513</v>
      </c>
      <c r="E178" s="80" t="s">
        <v>565</v>
      </c>
      <c r="F178" s="8" t="s">
        <v>566</v>
      </c>
      <c r="G178" s="14" t="s">
        <v>554</v>
      </c>
      <c r="H178" s="15" t="s">
        <v>9737</v>
      </c>
      <c r="I178" s="20" t="s">
        <v>19</v>
      </c>
      <c r="N178" s="20" t="s">
        <v>2166</v>
      </c>
      <c r="Q178" t="s">
        <v>2366</v>
      </c>
    </row>
    <row r="179" spans="1:26" x14ac:dyDescent="0.3">
      <c r="A179" s="20">
        <v>178</v>
      </c>
      <c r="B179" s="20">
        <v>174</v>
      </c>
      <c r="C179" s="8" t="s">
        <v>514</v>
      </c>
      <c r="D179" t="s">
        <v>513</v>
      </c>
      <c r="E179" s="80" t="s">
        <v>567</v>
      </c>
      <c r="F179" s="8" t="s">
        <v>568</v>
      </c>
      <c r="G179" s="14" t="s">
        <v>569</v>
      </c>
      <c r="H179" s="15" t="s">
        <v>9738</v>
      </c>
      <c r="I179" s="20" t="s">
        <v>19</v>
      </c>
      <c r="N179" s="20" t="s">
        <v>2166</v>
      </c>
      <c r="Q179" t="s">
        <v>2367</v>
      </c>
      <c r="R179" t="s">
        <v>2171</v>
      </c>
      <c r="Z179" t="s">
        <v>570</v>
      </c>
    </row>
    <row r="180" spans="1:26" x14ac:dyDescent="0.3">
      <c r="A180" s="20">
        <v>179</v>
      </c>
      <c r="B180" s="20">
        <v>175</v>
      </c>
      <c r="C180" s="8" t="s">
        <v>514</v>
      </c>
      <c r="D180" t="s">
        <v>513</v>
      </c>
      <c r="E180" s="80" t="s">
        <v>571</v>
      </c>
      <c r="F180" s="8" t="s">
        <v>572</v>
      </c>
      <c r="G180" s="14" t="s">
        <v>573</v>
      </c>
      <c r="H180" s="15" t="s">
        <v>9739</v>
      </c>
      <c r="I180" s="20" t="s">
        <v>50</v>
      </c>
      <c r="K180" s="20" t="s">
        <v>58</v>
      </c>
      <c r="L180" s="20" t="s">
        <v>58</v>
      </c>
      <c r="M180" s="20" t="s">
        <v>66</v>
      </c>
      <c r="Q180" t="s">
        <v>2336</v>
      </c>
    </row>
    <row r="181" spans="1:26" x14ac:dyDescent="0.3">
      <c r="A181" s="20">
        <v>180</v>
      </c>
      <c r="B181" s="20">
        <v>176</v>
      </c>
      <c r="C181" s="8" t="s">
        <v>514</v>
      </c>
      <c r="D181" t="s">
        <v>513</v>
      </c>
      <c r="E181" s="80" t="s">
        <v>574</v>
      </c>
      <c r="F181" s="8" t="s">
        <v>575</v>
      </c>
      <c r="G181" s="14" t="s">
        <v>576</v>
      </c>
      <c r="H181" s="15" t="s">
        <v>9740</v>
      </c>
      <c r="I181" s="20" t="s">
        <v>19</v>
      </c>
      <c r="N181" s="20" t="s">
        <v>2166</v>
      </c>
      <c r="Q181" t="s">
        <v>2368</v>
      </c>
      <c r="R181" t="s">
        <v>2171</v>
      </c>
      <c r="Z181" t="s">
        <v>11323</v>
      </c>
    </row>
    <row r="182" spans="1:26" x14ac:dyDescent="0.3">
      <c r="A182" s="20">
        <v>181</v>
      </c>
      <c r="B182" s="20">
        <v>177</v>
      </c>
      <c r="C182" s="8" t="s">
        <v>514</v>
      </c>
      <c r="D182" t="s">
        <v>513</v>
      </c>
      <c r="E182" s="80" t="s">
        <v>577</v>
      </c>
      <c r="F182" s="8" t="s">
        <v>578</v>
      </c>
      <c r="G182" s="14" t="s">
        <v>68</v>
      </c>
      <c r="H182" s="15" t="s">
        <v>9741</v>
      </c>
      <c r="I182" s="20" t="s">
        <v>65</v>
      </c>
      <c r="J182" s="20" t="s">
        <v>2015</v>
      </c>
      <c r="Z182" t="s">
        <v>11324</v>
      </c>
    </row>
    <row r="183" spans="1:26" x14ac:dyDescent="0.3">
      <c r="A183" s="20">
        <v>182</v>
      </c>
      <c r="B183" s="20">
        <v>178</v>
      </c>
      <c r="C183" s="8" t="s">
        <v>514</v>
      </c>
      <c r="D183" t="s">
        <v>513</v>
      </c>
      <c r="E183" s="80" t="s">
        <v>579</v>
      </c>
      <c r="F183" s="8" t="s">
        <v>580</v>
      </c>
      <c r="G183" s="14" t="s">
        <v>581</v>
      </c>
      <c r="H183" s="15" t="s">
        <v>9742</v>
      </c>
      <c r="I183" s="20" t="s">
        <v>19</v>
      </c>
      <c r="N183" s="20" t="s">
        <v>2166</v>
      </c>
      <c r="Q183" t="s">
        <v>2369</v>
      </c>
    </row>
    <row r="184" spans="1:26" x14ac:dyDescent="0.3">
      <c r="A184" s="20">
        <v>183</v>
      </c>
      <c r="B184" s="20">
        <v>179</v>
      </c>
      <c r="C184" s="8" t="s">
        <v>514</v>
      </c>
      <c r="D184" t="s">
        <v>513</v>
      </c>
      <c r="E184" s="80" t="s">
        <v>582</v>
      </c>
      <c r="F184" s="8" t="s">
        <v>583</v>
      </c>
      <c r="G184" s="14" t="s">
        <v>584</v>
      </c>
      <c r="H184" s="15" t="s">
        <v>9743</v>
      </c>
      <c r="I184" s="20" t="s">
        <v>19</v>
      </c>
      <c r="N184" s="20" t="s">
        <v>2166</v>
      </c>
      <c r="Q184" t="s">
        <v>2370</v>
      </c>
      <c r="R184" t="s">
        <v>2171</v>
      </c>
      <c r="Z184" t="s">
        <v>11325</v>
      </c>
    </row>
    <row r="185" spans="1:26" x14ac:dyDescent="0.3">
      <c r="A185" s="20">
        <v>184</v>
      </c>
      <c r="B185" s="20">
        <v>180</v>
      </c>
      <c r="C185" s="8" t="s">
        <v>514</v>
      </c>
      <c r="D185" t="s">
        <v>513</v>
      </c>
      <c r="E185" s="80" t="s">
        <v>585</v>
      </c>
      <c r="F185" s="8" t="s">
        <v>586</v>
      </c>
      <c r="G185" s="14" t="s">
        <v>587</v>
      </c>
      <c r="H185" s="15" t="s">
        <v>9744</v>
      </c>
      <c r="I185" s="20" t="s">
        <v>50</v>
      </c>
      <c r="N185" s="20" t="s">
        <v>2166</v>
      </c>
      <c r="Q185" t="s">
        <v>2293</v>
      </c>
      <c r="R185" t="s">
        <v>2371</v>
      </c>
      <c r="U185" s="80" t="s">
        <v>2371</v>
      </c>
    </row>
    <row r="186" spans="1:26" x14ac:dyDescent="0.3">
      <c r="A186" s="20">
        <v>185</v>
      </c>
      <c r="B186" s="20">
        <v>181</v>
      </c>
      <c r="C186" s="8" t="s">
        <v>514</v>
      </c>
      <c r="D186" t="s">
        <v>513</v>
      </c>
      <c r="E186" s="80" t="s">
        <v>588</v>
      </c>
      <c r="F186" s="8" t="s">
        <v>589</v>
      </c>
      <c r="G186" s="14" t="s">
        <v>590</v>
      </c>
      <c r="H186" s="15" t="s">
        <v>9745</v>
      </c>
      <c r="I186" s="20" t="s">
        <v>50</v>
      </c>
      <c r="N186" s="20" t="s">
        <v>2166</v>
      </c>
      <c r="Q186" t="s">
        <v>2336</v>
      </c>
    </row>
    <row r="187" spans="1:26" x14ac:dyDescent="0.3">
      <c r="A187" s="20">
        <v>186</v>
      </c>
      <c r="B187" s="20">
        <v>182</v>
      </c>
      <c r="C187" s="8" t="s">
        <v>514</v>
      </c>
      <c r="D187" t="s">
        <v>513</v>
      </c>
      <c r="E187" s="80" t="s">
        <v>591</v>
      </c>
      <c r="F187" s="8" t="s">
        <v>592</v>
      </c>
      <c r="G187" s="14" t="s">
        <v>92</v>
      </c>
      <c r="I187" s="20" t="s">
        <v>50</v>
      </c>
      <c r="Q187" t="s">
        <v>2372</v>
      </c>
    </row>
    <row r="188" spans="1:26" x14ac:dyDescent="0.3">
      <c r="A188" s="20">
        <v>187</v>
      </c>
      <c r="B188" s="20">
        <v>183</v>
      </c>
      <c r="C188" s="8" t="s">
        <v>514</v>
      </c>
      <c r="D188" t="s">
        <v>513</v>
      </c>
      <c r="E188" s="80" t="s">
        <v>593</v>
      </c>
      <c r="F188" s="8" t="s">
        <v>594</v>
      </c>
      <c r="G188" s="14" t="s">
        <v>595</v>
      </c>
      <c r="H188" s="15" t="s">
        <v>9746</v>
      </c>
      <c r="I188" s="20" t="s">
        <v>50</v>
      </c>
      <c r="Q188" t="s">
        <v>2361</v>
      </c>
    </row>
    <row r="189" spans="1:26" x14ac:dyDescent="0.3">
      <c r="A189" s="20">
        <v>188</v>
      </c>
      <c r="B189" s="20">
        <v>184</v>
      </c>
      <c r="C189" s="8" t="s">
        <v>514</v>
      </c>
      <c r="D189" t="s">
        <v>513</v>
      </c>
      <c r="E189" s="80" t="s">
        <v>596</v>
      </c>
      <c r="F189" s="8" t="s">
        <v>597</v>
      </c>
      <c r="G189" s="14" t="s">
        <v>598</v>
      </c>
      <c r="H189" s="15" t="s">
        <v>9747</v>
      </c>
      <c r="I189" s="20" t="s">
        <v>50</v>
      </c>
      <c r="Q189" t="s">
        <v>2373</v>
      </c>
    </row>
    <row r="190" spans="1:26" x14ac:dyDescent="0.3">
      <c r="A190" s="20">
        <v>189</v>
      </c>
      <c r="B190" s="20">
        <v>185</v>
      </c>
      <c r="C190" s="8" t="s">
        <v>514</v>
      </c>
      <c r="D190" t="s">
        <v>513</v>
      </c>
      <c r="E190" s="80" t="s">
        <v>599</v>
      </c>
      <c r="F190" s="8" t="s">
        <v>600</v>
      </c>
      <c r="G190" s="14" t="s">
        <v>598</v>
      </c>
      <c r="H190" s="15" t="s">
        <v>9747</v>
      </c>
      <c r="I190" s="20" t="s">
        <v>19</v>
      </c>
      <c r="N190" s="20" t="s">
        <v>2166</v>
      </c>
      <c r="Q190" t="s">
        <v>2374</v>
      </c>
      <c r="Y190" s="8" t="s">
        <v>11374</v>
      </c>
    </row>
    <row r="191" spans="1:26" x14ac:dyDescent="0.3">
      <c r="A191" s="20">
        <v>190</v>
      </c>
      <c r="B191" s="20">
        <v>186</v>
      </c>
      <c r="C191" s="8" t="s">
        <v>514</v>
      </c>
      <c r="D191" t="s">
        <v>513</v>
      </c>
      <c r="E191" s="80" t="s">
        <v>601</v>
      </c>
      <c r="F191" s="8" t="s">
        <v>602</v>
      </c>
      <c r="G191" s="14" t="s">
        <v>92</v>
      </c>
      <c r="H191" s="15" t="s">
        <v>9748</v>
      </c>
      <c r="I191" s="20" t="s">
        <v>50</v>
      </c>
      <c r="Q191" t="s">
        <v>2361</v>
      </c>
    </row>
    <row r="192" spans="1:26" x14ac:dyDescent="0.3">
      <c r="A192" s="20">
        <v>191</v>
      </c>
      <c r="B192" s="20">
        <v>187</v>
      </c>
      <c r="C192" s="8" t="s">
        <v>514</v>
      </c>
      <c r="D192" t="s">
        <v>513</v>
      </c>
      <c r="E192" s="80" t="s">
        <v>603</v>
      </c>
      <c r="F192" s="8" t="s">
        <v>604</v>
      </c>
      <c r="G192" s="14" t="s">
        <v>605</v>
      </c>
      <c r="H192" s="15" t="s">
        <v>9749</v>
      </c>
      <c r="I192" s="20" t="s">
        <v>50</v>
      </c>
      <c r="Q192" t="s">
        <v>2375</v>
      </c>
    </row>
    <row r="193" spans="1:27" x14ac:dyDescent="0.3">
      <c r="A193" s="20">
        <v>192</v>
      </c>
      <c r="B193" s="20">
        <v>188</v>
      </c>
      <c r="C193" s="8" t="s">
        <v>514</v>
      </c>
      <c r="D193" t="s">
        <v>513</v>
      </c>
      <c r="E193" s="80" t="s">
        <v>606</v>
      </c>
      <c r="F193" s="8" t="s">
        <v>607</v>
      </c>
      <c r="G193" s="14" t="s">
        <v>522</v>
      </c>
      <c r="H193" s="15" t="s">
        <v>9750</v>
      </c>
      <c r="I193" s="20" t="s">
        <v>50</v>
      </c>
      <c r="K193" s="20" t="s">
        <v>58</v>
      </c>
      <c r="L193" s="20" t="s">
        <v>58</v>
      </c>
      <c r="P193" t="s">
        <v>2376</v>
      </c>
      <c r="Q193" t="s">
        <v>2377</v>
      </c>
      <c r="S193" t="s">
        <v>2378</v>
      </c>
      <c r="Z193" t="s">
        <v>123</v>
      </c>
      <c r="AA193" t="s">
        <v>2379</v>
      </c>
    </row>
    <row r="194" spans="1:27" x14ac:dyDescent="0.3">
      <c r="A194" s="20">
        <v>193</v>
      </c>
      <c r="B194" s="20">
        <v>189</v>
      </c>
      <c r="C194" s="8" t="s">
        <v>514</v>
      </c>
      <c r="D194" t="s">
        <v>513</v>
      </c>
      <c r="E194" s="80" t="s">
        <v>608</v>
      </c>
      <c r="F194" s="8" t="s">
        <v>609</v>
      </c>
      <c r="G194" s="14" t="s">
        <v>610</v>
      </c>
      <c r="I194" s="20" t="s">
        <v>50</v>
      </c>
      <c r="Q194" t="s">
        <v>2375</v>
      </c>
    </row>
    <row r="195" spans="1:27" x14ac:dyDescent="0.3">
      <c r="A195" s="20">
        <v>194</v>
      </c>
      <c r="B195" s="20">
        <v>190</v>
      </c>
      <c r="C195" s="8" t="s">
        <v>514</v>
      </c>
      <c r="D195" t="s">
        <v>513</v>
      </c>
      <c r="E195" s="80" t="s">
        <v>611</v>
      </c>
      <c r="F195" s="8" t="s">
        <v>612</v>
      </c>
      <c r="G195" s="14" t="s">
        <v>613</v>
      </c>
      <c r="H195" s="15" t="s">
        <v>9751</v>
      </c>
      <c r="I195" s="20" t="s">
        <v>50</v>
      </c>
      <c r="Q195" t="s">
        <v>2346</v>
      </c>
    </row>
    <row r="196" spans="1:27" x14ac:dyDescent="0.3">
      <c r="A196" s="20">
        <v>195</v>
      </c>
      <c r="B196" s="20">
        <v>191</v>
      </c>
      <c r="C196" s="8" t="s">
        <v>514</v>
      </c>
      <c r="D196" t="s">
        <v>513</v>
      </c>
      <c r="E196" s="80" t="s">
        <v>614</v>
      </c>
      <c r="F196" s="8" t="s">
        <v>615</v>
      </c>
      <c r="G196" s="14" t="s">
        <v>605</v>
      </c>
      <c r="H196" s="15" t="s">
        <v>9752</v>
      </c>
      <c r="I196" s="20" t="s">
        <v>50</v>
      </c>
      <c r="Q196" t="s">
        <v>2346</v>
      </c>
    </row>
    <row r="197" spans="1:27" x14ac:dyDescent="0.3">
      <c r="A197" s="20">
        <v>196</v>
      </c>
      <c r="B197" s="20">
        <v>192</v>
      </c>
      <c r="C197" s="8" t="s">
        <v>514</v>
      </c>
      <c r="D197" t="s">
        <v>513</v>
      </c>
      <c r="E197" s="80" t="s">
        <v>616</v>
      </c>
      <c r="F197" s="8" t="s">
        <v>617</v>
      </c>
      <c r="G197" s="14" t="s">
        <v>581</v>
      </c>
      <c r="H197" s="15" t="s">
        <v>9753</v>
      </c>
      <c r="I197" s="20" t="s">
        <v>19</v>
      </c>
      <c r="M197" s="20" t="s">
        <v>67</v>
      </c>
      <c r="N197" s="20" t="s">
        <v>2166</v>
      </c>
      <c r="Q197" t="s">
        <v>2375</v>
      </c>
    </row>
    <row r="198" spans="1:27" x14ac:dyDescent="0.3">
      <c r="A198" s="20">
        <v>197</v>
      </c>
      <c r="B198" s="20">
        <v>193</v>
      </c>
      <c r="C198" s="8" t="s">
        <v>514</v>
      </c>
      <c r="D198" t="s">
        <v>513</v>
      </c>
      <c r="E198" s="80" t="s">
        <v>618</v>
      </c>
      <c r="F198" s="8" t="s">
        <v>619</v>
      </c>
      <c r="G198" s="14" t="s">
        <v>620</v>
      </c>
      <c r="H198" s="15" t="s">
        <v>9754</v>
      </c>
      <c r="I198" s="20" t="s">
        <v>50</v>
      </c>
      <c r="Q198" t="s">
        <v>2380</v>
      </c>
    </row>
    <row r="199" spans="1:27" x14ac:dyDescent="0.3">
      <c r="A199" s="20">
        <v>198</v>
      </c>
      <c r="B199" s="20">
        <v>194</v>
      </c>
      <c r="C199" s="8" t="s">
        <v>514</v>
      </c>
      <c r="D199" t="s">
        <v>513</v>
      </c>
      <c r="E199" s="80" t="s">
        <v>621</v>
      </c>
      <c r="F199" s="8" t="s">
        <v>622</v>
      </c>
      <c r="G199" s="14" t="s">
        <v>47</v>
      </c>
      <c r="H199" s="15" t="s">
        <v>9755</v>
      </c>
      <c r="I199" s="20" t="s">
        <v>19</v>
      </c>
      <c r="K199" s="20" t="s">
        <v>67</v>
      </c>
      <c r="L199" s="20" t="s">
        <v>67</v>
      </c>
      <c r="M199" s="20" t="s">
        <v>67</v>
      </c>
      <c r="N199" s="20" t="s">
        <v>2166</v>
      </c>
      <c r="Q199" t="s">
        <v>2293</v>
      </c>
      <c r="U199" s="80" t="s">
        <v>2381</v>
      </c>
    </row>
    <row r="200" spans="1:27" x14ac:dyDescent="0.3">
      <c r="A200" s="20">
        <v>199</v>
      </c>
      <c r="B200" s="20">
        <v>195</v>
      </c>
      <c r="C200" s="8" t="s">
        <v>624</v>
      </c>
      <c r="D200" t="s">
        <v>623</v>
      </c>
      <c r="E200" s="80" t="s">
        <v>625</v>
      </c>
      <c r="F200" s="8" t="s">
        <v>626</v>
      </c>
      <c r="G200" s="14" t="s">
        <v>627</v>
      </c>
      <c r="H200" s="15" t="s">
        <v>9756</v>
      </c>
      <c r="I200" s="20" t="s">
        <v>236</v>
      </c>
      <c r="Q200" t="s">
        <v>2186</v>
      </c>
    </row>
    <row r="201" spans="1:27" x14ac:dyDescent="0.3">
      <c r="A201" s="20">
        <v>200</v>
      </c>
      <c r="B201" s="20">
        <v>196</v>
      </c>
      <c r="C201" s="8" t="s">
        <v>629</v>
      </c>
      <c r="D201" t="s">
        <v>628</v>
      </c>
      <c r="E201" s="80" t="s">
        <v>630</v>
      </c>
      <c r="F201" s="8" t="s">
        <v>631</v>
      </c>
      <c r="G201" s="14" t="s">
        <v>181</v>
      </c>
      <c r="I201" s="20" t="s">
        <v>15</v>
      </c>
      <c r="M201" s="20" t="s">
        <v>66</v>
      </c>
    </row>
    <row r="202" spans="1:27" x14ac:dyDescent="0.3">
      <c r="A202" s="20">
        <v>201</v>
      </c>
      <c r="B202" s="20">
        <v>197</v>
      </c>
      <c r="C202" s="8" t="s">
        <v>629</v>
      </c>
      <c r="D202" t="s">
        <v>628</v>
      </c>
      <c r="E202" s="80" t="s">
        <v>632</v>
      </c>
      <c r="F202" s="8" t="s">
        <v>633</v>
      </c>
      <c r="G202" s="14" t="s">
        <v>634</v>
      </c>
      <c r="I202" s="20" t="s">
        <v>15</v>
      </c>
      <c r="M202" s="20" t="s">
        <v>67</v>
      </c>
    </row>
    <row r="203" spans="1:27" x14ac:dyDescent="0.3">
      <c r="A203" s="20">
        <v>202</v>
      </c>
      <c r="B203" s="20">
        <v>198</v>
      </c>
      <c r="C203" s="8" t="s">
        <v>629</v>
      </c>
      <c r="D203" t="s">
        <v>628</v>
      </c>
      <c r="E203" s="80" t="s">
        <v>635</v>
      </c>
      <c r="F203" s="8" t="s">
        <v>636</v>
      </c>
      <c r="G203" s="14" t="s">
        <v>181</v>
      </c>
      <c r="I203" s="20" t="s">
        <v>19</v>
      </c>
      <c r="N203" s="20" t="s">
        <v>2166</v>
      </c>
      <c r="P203" t="s">
        <v>2382</v>
      </c>
      <c r="R203" t="s">
        <v>2171</v>
      </c>
      <c r="U203" s="80" t="s">
        <v>2383</v>
      </c>
      <c r="Z203" t="s">
        <v>11326</v>
      </c>
      <c r="AA203" t="s">
        <v>2384</v>
      </c>
    </row>
    <row r="204" spans="1:27" x14ac:dyDescent="0.3">
      <c r="A204" s="20">
        <v>203</v>
      </c>
      <c r="B204" s="20">
        <v>199</v>
      </c>
      <c r="C204" s="8" t="s">
        <v>629</v>
      </c>
      <c r="D204" t="s">
        <v>628</v>
      </c>
      <c r="E204" s="80" t="s">
        <v>637</v>
      </c>
      <c r="F204" s="8" t="s">
        <v>638</v>
      </c>
      <c r="G204" s="14" t="s">
        <v>92</v>
      </c>
      <c r="H204" s="15" t="s">
        <v>9757</v>
      </c>
      <c r="I204" s="20" t="s">
        <v>50</v>
      </c>
      <c r="P204" t="s">
        <v>2174</v>
      </c>
      <c r="Q204" t="s">
        <v>2356</v>
      </c>
      <c r="X204" s="8" t="s">
        <v>2385</v>
      </c>
      <c r="AA204" t="s">
        <v>2386</v>
      </c>
    </row>
    <row r="205" spans="1:27" x14ac:dyDescent="0.3">
      <c r="A205" s="20">
        <v>204</v>
      </c>
      <c r="B205" s="20">
        <v>200</v>
      </c>
      <c r="C205" s="8" t="s">
        <v>629</v>
      </c>
      <c r="D205" t="s">
        <v>628</v>
      </c>
      <c r="E205" s="80" t="s">
        <v>639</v>
      </c>
      <c r="F205" s="8" t="s">
        <v>640</v>
      </c>
      <c r="G205" s="14" t="s">
        <v>641</v>
      </c>
      <c r="H205" s="15" t="s">
        <v>9758</v>
      </c>
      <c r="I205" s="20" t="s">
        <v>19</v>
      </c>
      <c r="K205" s="20" t="s">
        <v>66</v>
      </c>
      <c r="L205" s="20" t="s">
        <v>66</v>
      </c>
      <c r="N205" s="20" t="s">
        <v>2166</v>
      </c>
      <c r="P205" t="s">
        <v>2330</v>
      </c>
      <c r="Q205" t="s">
        <v>2387</v>
      </c>
      <c r="R205" t="s">
        <v>2171</v>
      </c>
      <c r="V205" s="8" t="s">
        <v>2388</v>
      </c>
      <c r="X205" s="8" t="s">
        <v>2388</v>
      </c>
      <c r="Z205" t="s">
        <v>642</v>
      </c>
      <c r="AA205" t="s">
        <v>2389</v>
      </c>
    </row>
    <row r="206" spans="1:27" x14ac:dyDescent="0.3">
      <c r="A206" s="20">
        <v>205</v>
      </c>
      <c r="B206" s="20">
        <v>201</v>
      </c>
      <c r="C206" s="8" t="s">
        <v>629</v>
      </c>
      <c r="D206" t="s">
        <v>628</v>
      </c>
      <c r="E206" s="80" t="s">
        <v>643</v>
      </c>
      <c r="F206" s="8" t="s">
        <v>644</v>
      </c>
      <c r="G206" s="14" t="s">
        <v>645</v>
      </c>
      <c r="I206" s="20" t="s">
        <v>19</v>
      </c>
      <c r="N206" s="20" t="s">
        <v>2166</v>
      </c>
      <c r="R206" t="s">
        <v>2171</v>
      </c>
      <c r="X206" s="8" t="s">
        <v>2390</v>
      </c>
      <c r="Z206" t="s">
        <v>646</v>
      </c>
    </row>
    <row r="207" spans="1:27" x14ac:dyDescent="0.3">
      <c r="A207" s="20">
        <v>206</v>
      </c>
      <c r="B207" s="20">
        <v>202</v>
      </c>
      <c r="C207" s="8" t="s">
        <v>629</v>
      </c>
      <c r="D207" t="s">
        <v>628</v>
      </c>
      <c r="E207" s="80" t="s">
        <v>647</v>
      </c>
      <c r="F207" s="8" t="s">
        <v>648</v>
      </c>
      <c r="G207" s="14" t="s">
        <v>649</v>
      </c>
      <c r="H207" s="15" t="s">
        <v>9759</v>
      </c>
      <c r="I207" s="20" t="s">
        <v>19</v>
      </c>
      <c r="N207" s="20" t="s">
        <v>2166</v>
      </c>
      <c r="Q207" t="s">
        <v>2391</v>
      </c>
      <c r="R207" t="s">
        <v>2171</v>
      </c>
      <c r="U207" s="80" t="s">
        <v>2392</v>
      </c>
      <c r="X207" s="8" t="s">
        <v>2393</v>
      </c>
      <c r="Z207" t="s">
        <v>650</v>
      </c>
    </row>
    <row r="208" spans="1:27" x14ac:dyDescent="0.3">
      <c r="A208" s="20">
        <v>207</v>
      </c>
      <c r="B208" s="20">
        <v>203</v>
      </c>
      <c r="C208" s="8" t="s">
        <v>629</v>
      </c>
      <c r="D208" t="s">
        <v>628</v>
      </c>
      <c r="E208" s="80" t="s">
        <v>651</v>
      </c>
      <c r="F208" s="8" t="s">
        <v>652</v>
      </c>
      <c r="G208" s="14" t="s">
        <v>653</v>
      </c>
      <c r="H208" s="15" t="s">
        <v>9760</v>
      </c>
      <c r="I208" s="20" t="s">
        <v>19</v>
      </c>
      <c r="N208" s="20" t="s">
        <v>2166</v>
      </c>
    </row>
    <row r="209" spans="1:27" x14ac:dyDescent="0.3">
      <c r="A209" s="20">
        <v>208</v>
      </c>
      <c r="B209" s="20">
        <v>204</v>
      </c>
      <c r="C209" s="8" t="s">
        <v>629</v>
      </c>
      <c r="D209" t="s">
        <v>628</v>
      </c>
      <c r="E209" s="80" t="s">
        <v>654</v>
      </c>
      <c r="F209" s="8" t="s">
        <v>655</v>
      </c>
      <c r="G209" s="14" t="s">
        <v>656</v>
      </c>
      <c r="I209" s="20" t="s">
        <v>19</v>
      </c>
      <c r="N209" s="20" t="s">
        <v>2166</v>
      </c>
      <c r="Q209" t="s">
        <v>2354</v>
      </c>
      <c r="R209" t="s">
        <v>2171</v>
      </c>
      <c r="Z209" t="s">
        <v>657</v>
      </c>
    </row>
    <row r="210" spans="1:27" x14ac:dyDescent="0.3">
      <c r="A210" s="20">
        <v>209</v>
      </c>
      <c r="B210" s="20">
        <v>205</v>
      </c>
      <c r="C210" s="8" t="s">
        <v>629</v>
      </c>
      <c r="D210" t="s">
        <v>628</v>
      </c>
      <c r="E210" s="80" t="s">
        <v>658</v>
      </c>
      <c r="F210" s="8" t="s">
        <v>659</v>
      </c>
      <c r="G210" s="14" t="s">
        <v>660</v>
      </c>
      <c r="I210" s="20" t="s">
        <v>19</v>
      </c>
      <c r="N210" s="20" t="s">
        <v>2166</v>
      </c>
      <c r="P210" t="s">
        <v>2330</v>
      </c>
      <c r="R210" t="s">
        <v>2394</v>
      </c>
      <c r="S210" t="s">
        <v>2394</v>
      </c>
      <c r="V210" s="8" t="s">
        <v>2395</v>
      </c>
      <c r="AA210" t="s">
        <v>2396</v>
      </c>
    </row>
    <row r="211" spans="1:27" x14ac:dyDescent="0.3">
      <c r="A211" s="20">
        <v>210</v>
      </c>
      <c r="B211" s="20">
        <v>206</v>
      </c>
      <c r="C211" s="8" t="s">
        <v>629</v>
      </c>
      <c r="D211" t="s">
        <v>628</v>
      </c>
      <c r="E211" s="80" t="s">
        <v>661</v>
      </c>
      <c r="F211" s="8" t="s">
        <v>662</v>
      </c>
      <c r="G211" s="14" t="s">
        <v>663</v>
      </c>
      <c r="H211" s="15" t="s">
        <v>9761</v>
      </c>
      <c r="I211" s="20" t="s">
        <v>19</v>
      </c>
      <c r="N211" s="20" t="s">
        <v>2166</v>
      </c>
    </row>
    <row r="212" spans="1:27" x14ac:dyDescent="0.3">
      <c r="A212" s="20">
        <v>211</v>
      </c>
      <c r="B212" s="20">
        <v>207</v>
      </c>
      <c r="C212" s="8" t="s">
        <v>629</v>
      </c>
      <c r="D212" t="s">
        <v>628</v>
      </c>
      <c r="E212" s="80" t="s">
        <v>664</v>
      </c>
      <c r="F212" s="8" t="s">
        <v>665</v>
      </c>
      <c r="G212" s="14" t="s">
        <v>666</v>
      </c>
      <c r="I212" s="20" t="s">
        <v>19</v>
      </c>
      <c r="N212" s="20" t="s">
        <v>2166</v>
      </c>
      <c r="P212" t="s">
        <v>2330</v>
      </c>
      <c r="Q212" t="s">
        <v>2397</v>
      </c>
      <c r="R212" t="s">
        <v>2171</v>
      </c>
      <c r="Z212" t="s">
        <v>667</v>
      </c>
      <c r="AA212" t="s">
        <v>2398</v>
      </c>
    </row>
    <row r="213" spans="1:27" x14ac:dyDescent="0.3">
      <c r="A213" s="20">
        <v>212</v>
      </c>
      <c r="B213" s="20">
        <v>208</v>
      </c>
      <c r="C213" s="8" t="s">
        <v>629</v>
      </c>
      <c r="D213" t="s">
        <v>628</v>
      </c>
      <c r="E213" s="80" t="s">
        <v>668</v>
      </c>
      <c r="F213" s="8" t="s">
        <v>669</v>
      </c>
      <c r="G213" s="14" t="s">
        <v>201</v>
      </c>
      <c r="I213" s="20" t="s">
        <v>50</v>
      </c>
      <c r="U213" s="80" t="s">
        <v>2399</v>
      </c>
      <c r="Z213" t="s">
        <v>123</v>
      </c>
    </row>
    <row r="214" spans="1:27" x14ac:dyDescent="0.3">
      <c r="A214" s="20">
        <v>213</v>
      </c>
      <c r="B214" s="20">
        <v>209</v>
      </c>
      <c r="C214" s="8" t="s">
        <v>629</v>
      </c>
      <c r="D214" t="s">
        <v>628</v>
      </c>
      <c r="E214" s="80" t="s">
        <v>670</v>
      </c>
      <c r="F214" s="8" t="s">
        <v>671</v>
      </c>
      <c r="G214" s="14" t="s">
        <v>672</v>
      </c>
      <c r="H214" s="15" t="s">
        <v>9762</v>
      </c>
      <c r="I214" s="20" t="s">
        <v>50</v>
      </c>
    </row>
    <row r="215" spans="1:27" x14ac:dyDescent="0.3">
      <c r="A215" s="20">
        <v>214</v>
      </c>
      <c r="B215" s="20">
        <v>210</v>
      </c>
      <c r="C215" s="8" t="s">
        <v>629</v>
      </c>
      <c r="D215" t="s">
        <v>628</v>
      </c>
      <c r="E215" s="80" t="s">
        <v>673</v>
      </c>
      <c r="F215" s="8" t="s">
        <v>674</v>
      </c>
      <c r="G215" s="14" t="s">
        <v>675</v>
      </c>
      <c r="I215" s="20" t="s">
        <v>15</v>
      </c>
      <c r="M215" s="20" t="s">
        <v>66</v>
      </c>
      <c r="P215" t="s">
        <v>2174</v>
      </c>
      <c r="R215" t="s">
        <v>2400</v>
      </c>
      <c r="S215" t="s">
        <v>2400</v>
      </c>
      <c r="Y215" s="8" t="s">
        <v>11375</v>
      </c>
      <c r="AA215" t="s">
        <v>2401</v>
      </c>
    </row>
    <row r="216" spans="1:27" x14ac:dyDescent="0.3">
      <c r="A216" s="20">
        <v>215</v>
      </c>
      <c r="B216" s="20">
        <v>211</v>
      </c>
      <c r="C216" s="8" t="s">
        <v>629</v>
      </c>
      <c r="D216" t="s">
        <v>628</v>
      </c>
      <c r="E216" s="80" t="s">
        <v>676</v>
      </c>
      <c r="F216" s="8" t="s">
        <v>677</v>
      </c>
      <c r="G216" s="14" t="s">
        <v>678</v>
      </c>
      <c r="H216" s="15" t="s">
        <v>9763</v>
      </c>
      <c r="I216" s="20" t="s">
        <v>19</v>
      </c>
      <c r="K216" s="20" t="s">
        <v>85</v>
      </c>
      <c r="L216" s="20" t="s">
        <v>85</v>
      </c>
      <c r="M216" s="20" t="s">
        <v>85</v>
      </c>
      <c r="N216" s="20" t="s">
        <v>2166</v>
      </c>
      <c r="Q216" t="s">
        <v>2402</v>
      </c>
      <c r="Y216" s="8" t="s">
        <v>11376</v>
      </c>
    </row>
    <row r="217" spans="1:27" x14ac:dyDescent="0.3">
      <c r="A217" s="20">
        <v>216</v>
      </c>
      <c r="B217" s="20">
        <v>212</v>
      </c>
      <c r="C217" s="8" t="s">
        <v>629</v>
      </c>
      <c r="D217" t="s">
        <v>628</v>
      </c>
      <c r="E217" s="80" t="s">
        <v>679</v>
      </c>
      <c r="F217" s="8" t="s">
        <v>680</v>
      </c>
      <c r="G217" s="14" t="s">
        <v>681</v>
      </c>
      <c r="I217" s="20" t="s">
        <v>236</v>
      </c>
      <c r="Y217" s="8" t="s">
        <v>11377</v>
      </c>
    </row>
    <row r="218" spans="1:27" x14ac:dyDescent="0.3">
      <c r="A218" s="20">
        <v>217</v>
      </c>
      <c r="B218" s="20">
        <v>213</v>
      </c>
      <c r="C218" s="8" t="s">
        <v>629</v>
      </c>
      <c r="D218" t="s">
        <v>628</v>
      </c>
      <c r="E218" s="80" t="s">
        <v>682</v>
      </c>
      <c r="F218" s="8" t="s">
        <v>683</v>
      </c>
      <c r="G218" s="14" t="s">
        <v>684</v>
      </c>
      <c r="H218" s="15" t="s">
        <v>9764</v>
      </c>
      <c r="I218" s="20" t="s">
        <v>19</v>
      </c>
      <c r="K218" s="20" t="s">
        <v>66</v>
      </c>
      <c r="L218" s="20" t="s">
        <v>66</v>
      </c>
      <c r="N218" s="20" t="s">
        <v>2166</v>
      </c>
      <c r="Q218" t="s">
        <v>2403</v>
      </c>
      <c r="Y218" s="8" t="s">
        <v>11378</v>
      </c>
    </row>
    <row r="219" spans="1:27" x14ac:dyDescent="0.3">
      <c r="A219" s="20">
        <v>218</v>
      </c>
      <c r="B219" s="20">
        <v>214</v>
      </c>
      <c r="C219" s="8" t="s">
        <v>629</v>
      </c>
      <c r="D219" t="s">
        <v>628</v>
      </c>
      <c r="E219" s="80" t="s">
        <v>685</v>
      </c>
      <c r="F219" s="8" t="s">
        <v>686</v>
      </c>
      <c r="G219" s="14" t="s">
        <v>181</v>
      </c>
      <c r="I219" s="20" t="s">
        <v>15</v>
      </c>
      <c r="M219" s="20" t="s">
        <v>130</v>
      </c>
      <c r="Y219" s="8" t="s">
        <v>11379</v>
      </c>
    </row>
    <row r="220" spans="1:27" x14ac:dyDescent="0.3">
      <c r="A220" s="20">
        <v>219</v>
      </c>
      <c r="B220" s="20">
        <v>215</v>
      </c>
      <c r="C220" s="8" t="s">
        <v>629</v>
      </c>
      <c r="D220" t="s">
        <v>628</v>
      </c>
      <c r="E220" s="80" t="s">
        <v>687</v>
      </c>
      <c r="F220" s="8" t="s">
        <v>688</v>
      </c>
      <c r="G220" s="14" t="s">
        <v>181</v>
      </c>
      <c r="I220" s="20" t="s">
        <v>236</v>
      </c>
      <c r="M220" s="20" t="s">
        <v>66</v>
      </c>
      <c r="Y220" s="8" t="s">
        <v>11380</v>
      </c>
    </row>
    <row r="221" spans="1:27" x14ac:dyDescent="0.3">
      <c r="A221" s="20">
        <v>220</v>
      </c>
      <c r="B221" s="20">
        <v>216</v>
      </c>
      <c r="C221" s="8" t="s">
        <v>629</v>
      </c>
      <c r="D221" t="s">
        <v>628</v>
      </c>
      <c r="E221" s="80" t="s">
        <v>689</v>
      </c>
      <c r="F221" s="8" t="s">
        <v>690</v>
      </c>
      <c r="G221" s="14" t="s">
        <v>691</v>
      </c>
      <c r="I221" s="20" t="s">
        <v>317</v>
      </c>
      <c r="N221" s="20" t="s">
        <v>2166</v>
      </c>
    </row>
    <row r="222" spans="1:27" x14ac:dyDescent="0.3">
      <c r="A222" s="20">
        <v>221</v>
      </c>
      <c r="B222" s="20">
        <v>217</v>
      </c>
      <c r="C222" s="8" t="s">
        <v>629</v>
      </c>
      <c r="D222" t="s">
        <v>628</v>
      </c>
      <c r="E222" s="80" t="s">
        <v>692</v>
      </c>
      <c r="F222" s="8" t="s">
        <v>693</v>
      </c>
      <c r="G222" s="14" t="s">
        <v>694</v>
      </c>
      <c r="I222" s="20" t="s">
        <v>15</v>
      </c>
      <c r="Q222" t="s">
        <v>2404</v>
      </c>
      <c r="Z222" t="s">
        <v>123</v>
      </c>
    </row>
    <row r="223" spans="1:27" x14ac:dyDescent="0.3">
      <c r="A223" s="20">
        <v>222</v>
      </c>
      <c r="B223" s="20">
        <v>218</v>
      </c>
      <c r="C223" s="8" t="s">
        <v>629</v>
      </c>
      <c r="D223" t="s">
        <v>628</v>
      </c>
      <c r="E223" s="80" t="s">
        <v>695</v>
      </c>
      <c r="F223" s="8" t="s">
        <v>696</v>
      </c>
      <c r="G223" s="14" t="s">
        <v>697</v>
      </c>
      <c r="I223" s="20" t="s">
        <v>15</v>
      </c>
      <c r="Q223" t="s">
        <v>2405</v>
      </c>
      <c r="Z223" t="s">
        <v>123</v>
      </c>
    </row>
    <row r="224" spans="1:27" x14ac:dyDescent="0.3">
      <c r="A224" s="20">
        <v>223</v>
      </c>
      <c r="B224" s="20">
        <v>219</v>
      </c>
      <c r="C224" s="8" t="s">
        <v>629</v>
      </c>
      <c r="D224" t="s">
        <v>628</v>
      </c>
      <c r="E224" s="80" t="s">
        <v>698</v>
      </c>
      <c r="F224" s="8" t="s">
        <v>699</v>
      </c>
      <c r="G224" s="14" t="s">
        <v>681</v>
      </c>
      <c r="I224" s="20" t="s">
        <v>50</v>
      </c>
      <c r="Q224" t="s">
        <v>2346</v>
      </c>
      <c r="Y224" s="8" t="s">
        <v>11381</v>
      </c>
    </row>
    <row r="225" spans="1:27" x14ac:dyDescent="0.3">
      <c r="A225" s="20">
        <v>224</v>
      </c>
      <c r="B225" s="20">
        <v>220</v>
      </c>
      <c r="C225" s="8" t="s">
        <v>629</v>
      </c>
      <c r="D225" t="s">
        <v>628</v>
      </c>
      <c r="E225" s="80" t="s">
        <v>700</v>
      </c>
      <c r="F225" s="8" t="s">
        <v>701</v>
      </c>
      <c r="G225" s="14" t="s">
        <v>613</v>
      </c>
      <c r="H225" s="15" t="s">
        <v>9765</v>
      </c>
      <c r="I225" s="20" t="s">
        <v>50</v>
      </c>
      <c r="Q225" t="s">
        <v>2346</v>
      </c>
      <c r="Z225" t="s">
        <v>123</v>
      </c>
    </row>
    <row r="226" spans="1:27" x14ac:dyDescent="0.3">
      <c r="A226" s="20">
        <v>225</v>
      </c>
      <c r="B226" s="20">
        <v>221</v>
      </c>
      <c r="C226" s="8" t="s">
        <v>703</v>
      </c>
      <c r="D226" t="s">
        <v>702</v>
      </c>
      <c r="E226" s="80" t="s">
        <v>704</v>
      </c>
      <c r="F226" s="8" t="s">
        <v>705</v>
      </c>
      <c r="G226" s="14" t="s">
        <v>482</v>
      </c>
      <c r="H226" s="15" t="s">
        <v>9766</v>
      </c>
      <c r="I226" s="20" t="s">
        <v>50</v>
      </c>
      <c r="N226" s="20" t="s">
        <v>2166</v>
      </c>
      <c r="P226" t="s">
        <v>2174</v>
      </c>
      <c r="Q226" t="s">
        <v>2406</v>
      </c>
      <c r="AA226" t="s">
        <v>2407</v>
      </c>
    </row>
    <row r="227" spans="1:27" x14ac:dyDescent="0.3">
      <c r="A227" s="20">
        <v>226</v>
      </c>
      <c r="B227" s="20">
        <v>222</v>
      </c>
      <c r="C227" s="8" t="s">
        <v>703</v>
      </c>
      <c r="D227" t="s">
        <v>702</v>
      </c>
      <c r="E227" s="80" t="s">
        <v>706</v>
      </c>
      <c r="F227" s="8" t="s">
        <v>707</v>
      </c>
      <c r="G227" s="14" t="s">
        <v>482</v>
      </c>
      <c r="H227" s="15" t="s">
        <v>9766</v>
      </c>
      <c r="I227" s="20" t="s">
        <v>19</v>
      </c>
      <c r="N227" s="20" t="s">
        <v>2166</v>
      </c>
      <c r="P227" t="s">
        <v>2174</v>
      </c>
      <c r="Q227" t="s">
        <v>2408</v>
      </c>
      <c r="R227" t="s">
        <v>2171</v>
      </c>
      <c r="U227" s="80" t="s">
        <v>2409</v>
      </c>
      <c r="Z227" t="s">
        <v>708</v>
      </c>
      <c r="AA227" t="s">
        <v>2410</v>
      </c>
    </row>
    <row r="228" spans="1:27" x14ac:dyDescent="0.3">
      <c r="A228" s="20">
        <v>227</v>
      </c>
      <c r="B228" s="20">
        <v>223</v>
      </c>
      <c r="C228" s="8" t="s">
        <v>703</v>
      </c>
      <c r="D228" t="s">
        <v>702</v>
      </c>
      <c r="E228" s="80" t="s">
        <v>709</v>
      </c>
      <c r="F228" s="8" t="s">
        <v>710</v>
      </c>
      <c r="G228" s="14" t="s">
        <v>482</v>
      </c>
      <c r="I228" s="20" t="s">
        <v>19</v>
      </c>
      <c r="N228" s="20" t="s">
        <v>2166</v>
      </c>
      <c r="Q228" t="s">
        <v>2411</v>
      </c>
      <c r="R228" t="s">
        <v>2171</v>
      </c>
      <c r="Z228" t="s">
        <v>711</v>
      </c>
    </row>
    <row r="229" spans="1:27" x14ac:dyDescent="0.3">
      <c r="A229" s="20">
        <v>228</v>
      </c>
      <c r="B229" s="20">
        <v>224</v>
      </c>
      <c r="C229" s="8" t="s">
        <v>713</v>
      </c>
      <c r="D229" t="s">
        <v>712</v>
      </c>
      <c r="E229" s="80" t="s">
        <v>714</v>
      </c>
      <c r="F229" s="8" t="s">
        <v>715</v>
      </c>
      <c r="G229" s="14" t="s">
        <v>201</v>
      </c>
      <c r="I229" s="20" t="s">
        <v>107</v>
      </c>
      <c r="P229" t="s">
        <v>2174</v>
      </c>
      <c r="S229" t="s">
        <v>2412</v>
      </c>
      <c r="Z229" t="s">
        <v>716</v>
      </c>
      <c r="AA229" t="s">
        <v>2413</v>
      </c>
    </row>
    <row r="230" spans="1:27" x14ac:dyDescent="0.3">
      <c r="A230" s="20">
        <v>229</v>
      </c>
      <c r="B230" s="20">
        <v>225</v>
      </c>
      <c r="C230" s="8" t="s">
        <v>713</v>
      </c>
      <c r="D230" t="s">
        <v>712</v>
      </c>
      <c r="E230" s="80" t="s">
        <v>717</v>
      </c>
      <c r="F230" s="8" t="s">
        <v>718</v>
      </c>
      <c r="G230" s="14" t="s">
        <v>719</v>
      </c>
      <c r="I230" s="20" t="s">
        <v>15</v>
      </c>
    </row>
    <row r="231" spans="1:27" x14ac:dyDescent="0.3">
      <c r="A231" s="20">
        <v>230</v>
      </c>
      <c r="B231" s="20">
        <v>232</v>
      </c>
      <c r="C231" s="8" t="s">
        <v>713</v>
      </c>
      <c r="D231" t="s">
        <v>712</v>
      </c>
      <c r="E231" s="80" t="s">
        <v>720</v>
      </c>
      <c r="F231" s="8" t="s">
        <v>721</v>
      </c>
      <c r="G231" s="14" t="s">
        <v>722</v>
      </c>
      <c r="I231" s="20" t="s">
        <v>19</v>
      </c>
      <c r="R231" t="s">
        <v>2171</v>
      </c>
      <c r="S231" t="s">
        <v>2414</v>
      </c>
      <c r="Z231" t="s">
        <v>11327</v>
      </c>
    </row>
    <row r="232" spans="1:27" x14ac:dyDescent="0.3">
      <c r="A232" s="20">
        <v>231</v>
      </c>
      <c r="B232" s="20">
        <v>226</v>
      </c>
      <c r="C232" s="8" t="s">
        <v>713</v>
      </c>
      <c r="D232" t="s">
        <v>712</v>
      </c>
      <c r="E232" s="80" t="s">
        <v>723</v>
      </c>
      <c r="F232" s="8" t="s">
        <v>724</v>
      </c>
      <c r="G232" s="14" t="s">
        <v>725</v>
      </c>
      <c r="H232" s="15" t="s">
        <v>9767</v>
      </c>
      <c r="I232" s="20" t="s">
        <v>15</v>
      </c>
      <c r="L232" s="20" t="s">
        <v>66</v>
      </c>
      <c r="M232" s="20" t="s">
        <v>67</v>
      </c>
      <c r="R232" t="s">
        <v>2415</v>
      </c>
      <c r="S232" t="s">
        <v>2415</v>
      </c>
      <c r="U232" s="80" t="s">
        <v>2416</v>
      </c>
      <c r="X232" s="8" t="s">
        <v>2417</v>
      </c>
    </row>
    <row r="233" spans="1:27" x14ac:dyDescent="0.3">
      <c r="A233" s="20">
        <v>232</v>
      </c>
      <c r="B233" s="20">
        <v>227</v>
      </c>
      <c r="C233" s="8" t="s">
        <v>713</v>
      </c>
      <c r="D233" t="s">
        <v>712</v>
      </c>
      <c r="E233" s="80" t="s">
        <v>726</v>
      </c>
      <c r="F233" s="8" t="s">
        <v>727</v>
      </c>
      <c r="G233" s="14" t="s">
        <v>43</v>
      </c>
      <c r="I233" s="20" t="s">
        <v>15</v>
      </c>
      <c r="R233" t="s">
        <v>2418</v>
      </c>
      <c r="S233" t="s">
        <v>2419</v>
      </c>
      <c r="U233" s="80" t="s">
        <v>2420</v>
      </c>
    </row>
    <row r="234" spans="1:27" x14ac:dyDescent="0.3">
      <c r="A234" s="20">
        <v>233</v>
      </c>
      <c r="B234" s="20">
        <v>228</v>
      </c>
      <c r="C234" s="8" t="s">
        <v>713</v>
      </c>
      <c r="D234" t="s">
        <v>712</v>
      </c>
      <c r="E234" s="80" t="s">
        <v>728</v>
      </c>
      <c r="F234" s="8" t="s">
        <v>729</v>
      </c>
      <c r="G234" s="14" t="s">
        <v>43</v>
      </c>
      <c r="I234" s="20" t="s">
        <v>15</v>
      </c>
      <c r="U234" s="80" t="s">
        <v>2421</v>
      </c>
      <c r="V234" s="8" t="s">
        <v>2422</v>
      </c>
    </row>
    <row r="235" spans="1:27" x14ac:dyDescent="0.3">
      <c r="A235" s="20">
        <v>234</v>
      </c>
      <c r="B235" s="20">
        <v>229</v>
      </c>
      <c r="C235" s="8" t="s">
        <v>713</v>
      </c>
      <c r="D235" t="s">
        <v>712</v>
      </c>
      <c r="E235" s="80" t="s">
        <v>730</v>
      </c>
      <c r="F235" s="8" t="s">
        <v>731</v>
      </c>
      <c r="G235" s="14" t="s">
        <v>733</v>
      </c>
      <c r="H235" s="15" t="s">
        <v>9768</v>
      </c>
      <c r="I235" s="20" t="s">
        <v>732</v>
      </c>
      <c r="P235" t="s">
        <v>2423</v>
      </c>
      <c r="R235" t="s">
        <v>2424</v>
      </c>
      <c r="AA235" t="s">
        <v>2425</v>
      </c>
    </row>
    <row r="236" spans="1:27" x14ac:dyDescent="0.3">
      <c r="A236" s="20">
        <v>235</v>
      </c>
      <c r="B236" s="20">
        <v>230</v>
      </c>
      <c r="C236" s="8" t="s">
        <v>713</v>
      </c>
      <c r="D236" t="s">
        <v>712</v>
      </c>
      <c r="E236" s="80" t="s">
        <v>734</v>
      </c>
      <c r="F236" s="8" t="s">
        <v>735</v>
      </c>
      <c r="G236" s="14" t="s">
        <v>119</v>
      </c>
      <c r="I236" s="20" t="s">
        <v>15</v>
      </c>
      <c r="R236" t="s">
        <v>2426</v>
      </c>
      <c r="S236" t="s">
        <v>2427</v>
      </c>
      <c r="U236" s="80" t="s">
        <v>2428</v>
      </c>
    </row>
    <row r="237" spans="1:27" x14ac:dyDescent="0.3">
      <c r="A237" s="20">
        <v>236</v>
      </c>
      <c r="B237" s="20">
        <v>231</v>
      </c>
      <c r="C237" s="8" t="s">
        <v>713</v>
      </c>
      <c r="D237" t="s">
        <v>712</v>
      </c>
      <c r="E237" s="80" t="s">
        <v>736</v>
      </c>
      <c r="F237" s="8" t="s">
        <v>737</v>
      </c>
      <c r="G237" s="14" t="s">
        <v>738</v>
      </c>
      <c r="H237" s="15" t="s">
        <v>9769</v>
      </c>
      <c r="I237" s="20" t="s">
        <v>15</v>
      </c>
    </row>
    <row r="238" spans="1:27" x14ac:dyDescent="0.3">
      <c r="A238" s="20">
        <v>237</v>
      </c>
      <c r="B238" s="20">
        <v>233</v>
      </c>
      <c r="C238" s="8" t="s">
        <v>713</v>
      </c>
      <c r="D238" t="s">
        <v>712</v>
      </c>
      <c r="E238" s="80" t="s">
        <v>739</v>
      </c>
      <c r="F238" s="8" t="s">
        <v>740</v>
      </c>
      <c r="G238" s="14" t="s">
        <v>741</v>
      </c>
      <c r="I238" s="20" t="s">
        <v>15</v>
      </c>
      <c r="K238" s="20" t="s">
        <v>58</v>
      </c>
      <c r="L238" s="20" t="s">
        <v>58</v>
      </c>
      <c r="M238" s="20" t="s">
        <v>67</v>
      </c>
    </row>
    <row r="239" spans="1:27" x14ac:dyDescent="0.3">
      <c r="A239" s="20">
        <v>238</v>
      </c>
      <c r="B239" s="20">
        <v>234</v>
      </c>
      <c r="C239" s="8" t="s">
        <v>713</v>
      </c>
      <c r="D239" t="s">
        <v>712</v>
      </c>
      <c r="E239" s="80" t="s">
        <v>742</v>
      </c>
      <c r="F239" s="8" t="s">
        <v>743</v>
      </c>
      <c r="G239" s="14" t="s">
        <v>68</v>
      </c>
      <c r="I239" s="20" t="s">
        <v>65</v>
      </c>
      <c r="J239" s="20" t="s">
        <v>2019</v>
      </c>
      <c r="K239" s="20" t="s">
        <v>58</v>
      </c>
      <c r="L239" s="20" t="s">
        <v>58</v>
      </c>
      <c r="M239" s="20" t="s">
        <v>66</v>
      </c>
    </row>
    <row r="240" spans="1:27" x14ac:dyDescent="0.3">
      <c r="A240" s="20">
        <v>239</v>
      </c>
      <c r="B240" s="20">
        <v>235</v>
      </c>
      <c r="C240" s="8" t="s">
        <v>713</v>
      </c>
      <c r="D240" t="s">
        <v>712</v>
      </c>
      <c r="E240" s="80" t="s">
        <v>744</v>
      </c>
      <c r="F240" s="8" t="s">
        <v>745</v>
      </c>
      <c r="G240" s="14" t="s">
        <v>68</v>
      </c>
      <c r="I240" s="20" t="s">
        <v>65</v>
      </c>
      <c r="J240" s="20" t="s">
        <v>2020</v>
      </c>
      <c r="K240" s="20" t="s">
        <v>66</v>
      </c>
      <c r="L240" s="20" t="s">
        <v>66</v>
      </c>
      <c r="M240" s="20" t="s">
        <v>66</v>
      </c>
      <c r="Y240" s="8" t="s">
        <v>11382</v>
      </c>
    </row>
    <row r="241" spans="1:27" x14ac:dyDescent="0.3">
      <c r="A241" s="20">
        <v>240</v>
      </c>
      <c r="B241" s="20">
        <v>236</v>
      </c>
      <c r="C241" s="8" t="s">
        <v>713</v>
      </c>
      <c r="D241" t="s">
        <v>712</v>
      </c>
      <c r="E241" s="80" t="s">
        <v>746</v>
      </c>
      <c r="F241" s="8" t="s">
        <v>747</v>
      </c>
      <c r="G241" s="14" t="s">
        <v>68</v>
      </c>
      <c r="H241" s="15" t="s">
        <v>9770</v>
      </c>
      <c r="I241" s="20" t="s">
        <v>65</v>
      </c>
      <c r="J241" s="20" t="s">
        <v>2021</v>
      </c>
      <c r="K241" s="20" t="s">
        <v>85</v>
      </c>
      <c r="L241" s="20" t="s">
        <v>85</v>
      </c>
      <c r="M241" s="20" t="s">
        <v>85</v>
      </c>
      <c r="N241" s="20" t="s">
        <v>2166</v>
      </c>
    </row>
    <row r="242" spans="1:27" x14ac:dyDescent="0.3">
      <c r="A242" s="20">
        <v>241</v>
      </c>
      <c r="B242" s="20">
        <v>237</v>
      </c>
      <c r="C242" s="8" t="s">
        <v>713</v>
      </c>
      <c r="D242" t="s">
        <v>712</v>
      </c>
      <c r="E242" s="80" t="s">
        <v>748</v>
      </c>
      <c r="F242" s="8" t="s">
        <v>749</v>
      </c>
      <c r="G242" s="14" t="s">
        <v>68</v>
      </c>
      <c r="H242" s="15" t="s">
        <v>9771</v>
      </c>
      <c r="I242" s="20" t="s">
        <v>65</v>
      </c>
      <c r="J242" s="20" t="s">
        <v>2022</v>
      </c>
      <c r="K242" s="20" t="s">
        <v>85</v>
      </c>
      <c r="L242" s="20" t="s">
        <v>85</v>
      </c>
      <c r="M242" s="20" t="s">
        <v>85</v>
      </c>
      <c r="N242" s="20" t="s">
        <v>2166</v>
      </c>
    </row>
    <row r="243" spans="1:27" x14ac:dyDescent="0.3">
      <c r="A243" s="20">
        <v>242</v>
      </c>
      <c r="B243" s="20">
        <v>238</v>
      </c>
      <c r="C243" s="8" t="s">
        <v>713</v>
      </c>
      <c r="D243" t="s">
        <v>712</v>
      </c>
      <c r="E243" s="80" t="s">
        <v>750</v>
      </c>
      <c r="F243" s="8" t="s">
        <v>751</v>
      </c>
      <c r="G243" s="14" t="s">
        <v>68</v>
      </c>
      <c r="H243" s="15" t="s">
        <v>9772</v>
      </c>
      <c r="I243" s="20" t="s">
        <v>65</v>
      </c>
      <c r="J243" s="20" t="s">
        <v>2023</v>
      </c>
      <c r="K243" s="20" t="s">
        <v>85</v>
      </c>
      <c r="L243" s="20" t="s">
        <v>85</v>
      </c>
      <c r="M243" s="20" t="s">
        <v>85</v>
      </c>
      <c r="N243" s="20" t="s">
        <v>2166</v>
      </c>
      <c r="Z243" t="s">
        <v>752</v>
      </c>
    </row>
    <row r="244" spans="1:27" x14ac:dyDescent="0.3">
      <c r="A244" s="20">
        <v>243</v>
      </c>
      <c r="B244" s="20">
        <v>239</v>
      </c>
      <c r="C244" s="8" t="s">
        <v>713</v>
      </c>
      <c r="D244" t="s">
        <v>712</v>
      </c>
      <c r="E244" s="80" t="s">
        <v>753</v>
      </c>
      <c r="F244" s="8" t="s">
        <v>754</v>
      </c>
      <c r="G244" s="14" t="s">
        <v>68</v>
      </c>
      <c r="I244" s="20" t="s">
        <v>65</v>
      </c>
      <c r="J244" s="20" t="s">
        <v>2015</v>
      </c>
      <c r="R244" t="s">
        <v>2429</v>
      </c>
      <c r="S244" t="s">
        <v>2429</v>
      </c>
      <c r="U244" s="80" t="s">
        <v>2430</v>
      </c>
    </row>
    <row r="245" spans="1:27" x14ac:dyDescent="0.3">
      <c r="A245" s="20">
        <v>244</v>
      </c>
      <c r="B245" s="20">
        <v>240</v>
      </c>
      <c r="C245" s="8" t="s">
        <v>713</v>
      </c>
      <c r="D245" t="s">
        <v>712</v>
      </c>
      <c r="E245" s="80" t="s">
        <v>755</v>
      </c>
      <c r="F245" s="8" t="s">
        <v>756</v>
      </c>
      <c r="G245" s="14" t="s">
        <v>68</v>
      </c>
      <c r="I245" s="20" t="s">
        <v>65</v>
      </c>
      <c r="J245" s="20" t="s">
        <v>2015</v>
      </c>
      <c r="M245" s="20" t="s">
        <v>85</v>
      </c>
      <c r="R245" t="s">
        <v>2431</v>
      </c>
      <c r="S245" t="s">
        <v>2431</v>
      </c>
      <c r="U245" s="80" t="s">
        <v>2432</v>
      </c>
      <c r="Y245" s="8" t="s">
        <v>11383</v>
      </c>
    </row>
    <row r="246" spans="1:27" x14ac:dyDescent="0.3">
      <c r="A246" s="20">
        <v>245</v>
      </c>
      <c r="B246" s="20">
        <v>241</v>
      </c>
      <c r="C246" s="8" t="s">
        <v>713</v>
      </c>
      <c r="D246" t="s">
        <v>712</v>
      </c>
      <c r="E246" s="80" t="s">
        <v>757</v>
      </c>
      <c r="F246" s="8" t="s">
        <v>758</v>
      </c>
      <c r="G246" s="14" t="s">
        <v>759</v>
      </c>
      <c r="H246" s="15" t="s">
        <v>9773</v>
      </c>
      <c r="I246" s="20" t="s">
        <v>65</v>
      </c>
      <c r="J246" s="20" t="s">
        <v>2023</v>
      </c>
      <c r="K246" s="20" t="s">
        <v>67</v>
      </c>
      <c r="L246" s="20" t="s">
        <v>67</v>
      </c>
      <c r="M246" s="20" t="s">
        <v>85</v>
      </c>
      <c r="N246" s="20" t="s">
        <v>2166</v>
      </c>
      <c r="P246" t="s">
        <v>2174</v>
      </c>
      <c r="R246" t="s">
        <v>2433</v>
      </c>
      <c r="S246" t="s">
        <v>2434</v>
      </c>
      <c r="U246" s="80" t="s">
        <v>2435</v>
      </c>
      <c r="AA246" t="s">
        <v>2436</v>
      </c>
    </row>
    <row r="247" spans="1:27" x14ac:dyDescent="0.3">
      <c r="A247" s="20">
        <v>246</v>
      </c>
      <c r="B247" s="20">
        <v>242</v>
      </c>
      <c r="C247" s="8" t="s">
        <v>713</v>
      </c>
      <c r="D247" t="s">
        <v>712</v>
      </c>
      <c r="E247" s="80" t="s">
        <v>760</v>
      </c>
      <c r="F247" s="8" t="s">
        <v>761</v>
      </c>
      <c r="G247" s="14" t="s">
        <v>762</v>
      </c>
      <c r="H247" s="15" t="s">
        <v>9774</v>
      </c>
      <c r="I247" s="20" t="s">
        <v>65</v>
      </c>
      <c r="J247" s="20" t="s">
        <v>2020</v>
      </c>
      <c r="K247" s="20" t="s">
        <v>66</v>
      </c>
      <c r="L247" s="20" t="s">
        <v>66</v>
      </c>
      <c r="M247" s="20" t="s">
        <v>66</v>
      </c>
      <c r="P247" t="s">
        <v>2179</v>
      </c>
      <c r="R247" t="s">
        <v>2433</v>
      </c>
      <c r="S247" t="s">
        <v>2437</v>
      </c>
      <c r="U247" s="80" t="s">
        <v>2438</v>
      </c>
      <c r="AA247" t="s">
        <v>2439</v>
      </c>
    </row>
    <row r="248" spans="1:27" x14ac:dyDescent="0.3">
      <c r="A248" s="20">
        <v>247</v>
      </c>
      <c r="B248" s="20">
        <v>243</v>
      </c>
      <c r="C248" s="8" t="s">
        <v>713</v>
      </c>
      <c r="D248" t="s">
        <v>712</v>
      </c>
      <c r="E248" s="80" t="s">
        <v>763</v>
      </c>
      <c r="F248" s="8" t="s">
        <v>764</v>
      </c>
      <c r="G248" s="14" t="s">
        <v>765</v>
      </c>
      <c r="H248" s="15" t="s">
        <v>9775</v>
      </c>
      <c r="I248" s="20" t="s">
        <v>15</v>
      </c>
      <c r="R248" t="s">
        <v>2440</v>
      </c>
      <c r="S248" t="s">
        <v>2441</v>
      </c>
      <c r="U248" s="80" t="s">
        <v>2442</v>
      </c>
    </row>
    <row r="249" spans="1:27" x14ac:dyDescent="0.3">
      <c r="A249" s="20">
        <v>248</v>
      </c>
      <c r="B249" s="20">
        <v>244</v>
      </c>
      <c r="C249" s="8" t="s">
        <v>713</v>
      </c>
      <c r="D249" t="s">
        <v>712</v>
      </c>
      <c r="E249" s="80" t="s">
        <v>766</v>
      </c>
      <c r="F249" s="8" t="s">
        <v>767</v>
      </c>
      <c r="G249" s="14" t="s">
        <v>68</v>
      </c>
      <c r="I249" s="20" t="s">
        <v>65</v>
      </c>
      <c r="J249" s="20" t="s">
        <v>2015</v>
      </c>
      <c r="M249" s="20" t="s">
        <v>66</v>
      </c>
      <c r="P249" t="s">
        <v>2179</v>
      </c>
      <c r="R249" t="s">
        <v>2443</v>
      </c>
      <c r="S249" t="s">
        <v>2444</v>
      </c>
      <c r="U249" s="80" t="s">
        <v>2445</v>
      </c>
      <c r="AA249" t="s">
        <v>2446</v>
      </c>
    </row>
    <row r="250" spans="1:27" x14ac:dyDescent="0.3">
      <c r="A250" s="20">
        <v>249</v>
      </c>
      <c r="B250" s="20">
        <v>245</v>
      </c>
      <c r="C250" s="8" t="s">
        <v>713</v>
      </c>
      <c r="D250" t="s">
        <v>712</v>
      </c>
      <c r="E250" s="80" t="s">
        <v>768</v>
      </c>
      <c r="F250" s="8" t="s">
        <v>769</v>
      </c>
      <c r="G250" s="14" t="s">
        <v>43</v>
      </c>
      <c r="I250" s="20" t="s">
        <v>15</v>
      </c>
      <c r="R250" t="s">
        <v>2447</v>
      </c>
      <c r="S250" t="s">
        <v>2448</v>
      </c>
      <c r="U250" s="80" t="s">
        <v>2449</v>
      </c>
    </row>
    <row r="251" spans="1:27" x14ac:dyDescent="0.3">
      <c r="A251" s="20">
        <v>250</v>
      </c>
      <c r="B251" s="20">
        <v>246</v>
      </c>
      <c r="C251" s="8" t="s">
        <v>713</v>
      </c>
      <c r="D251" t="s">
        <v>712</v>
      </c>
      <c r="E251" s="80" t="s">
        <v>770</v>
      </c>
      <c r="F251" s="8" t="s">
        <v>771</v>
      </c>
      <c r="G251" s="14" t="s">
        <v>772</v>
      </c>
      <c r="I251" s="20" t="s">
        <v>15</v>
      </c>
      <c r="K251" s="20" t="s">
        <v>58</v>
      </c>
      <c r="L251" s="20" t="s">
        <v>58</v>
      </c>
      <c r="M251" s="20" t="s">
        <v>66</v>
      </c>
      <c r="R251" t="s">
        <v>2450</v>
      </c>
      <c r="S251" t="s">
        <v>2450</v>
      </c>
      <c r="U251" s="80" t="s">
        <v>2451</v>
      </c>
    </row>
    <row r="252" spans="1:27" x14ac:dyDescent="0.3">
      <c r="A252" s="20">
        <v>251</v>
      </c>
      <c r="B252" s="20">
        <v>247</v>
      </c>
      <c r="C252" s="8" t="s">
        <v>713</v>
      </c>
      <c r="D252" t="s">
        <v>712</v>
      </c>
      <c r="E252" s="80" t="s">
        <v>773</v>
      </c>
      <c r="F252" s="8" t="s">
        <v>774</v>
      </c>
      <c r="G252" s="14" t="s">
        <v>68</v>
      </c>
      <c r="H252" s="15" t="s">
        <v>9776</v>
      </c>
      <c r="I252" s="20" t="s">
        <v>65</v>
      </c>
      <c r="J252" s="20" t="s">
        <v>2017</v>
      </c>
      <c r="K252" s="20" t="s">
        <v>66</v>
      </c>
      <c r="L252" s="20" t="s">
        <v>66</v>
      </c>
      <c r="M252" s="20" t="s">
        <v>67</v>
      </c>
      <c r="R252" t="s">
        <v>2452</v>
      </c>
      <c r="S252" t="s">
        <v>2452</v>
      </c>
      <c r="U252" s="80" t="s">
        <v>2453</v>
      </c>
      <c r="X252" s="8" t="s">
        <v>2454</v>
      </c>
    </row>
    <row r="253" spans="1:27" x14ac:dyDescent="0.3">
      <c r="A253" s="20">
        <v>252</v>
      </c>
      <c r="B253" s="20">
        <v>248</v>
      </c>
      <c r="C253" s="8" t="s">
        <v>713</v>
      </c>
      <c r="D253" t="s">
        <v>712</v>
      </c>
      <c r="E253" s="80" t="s">
        <v>775</v>
      </c>
      <c r="F253" s="8" t="s">
        <v>776</v>
      </c>
      <c r="G253" s="14" t="s">
        <v>68</v>
      </c>
      <c r="I253" s="20" t="s">
        <v>65</v>
      </c>
      <c r="J253" s="20" t="s">
        <v>2019</v>
      </c>
      <c r="K253" s="20" t="s">
        <v>58</v>
      </c>
      <c r="L253" s="20" t="s">
        <v>58</v>
      </c>
      <c r="M253" s="20" t="s">
        <v>66</v>
      </c>
      <c r="R253" t="s">
        <v>2455</v>
      </c>
      <c r="S253" t="s">
        <v>2456</v>
      </c>
      <c r="U253" s="80" t="s">
        <v>2457</v>
      </c>
      <c r="X253" s="8" t="s">
        <v>2458</v>
      </c>
    </row>
    <row r="254" spans="1:27" x14ac:dyDescent="0.3">
      <c r="A254" s="20">
        <v>253</v>
      </c>
      <c r="B254" s="20">
        <v>249</v>
      </c>
      <c r="C254" s="8" t="s">
        <v>713</v>
      </c>
      <c r="D254" t="s">
        <v>712</v>
      </c>
      <c r="E254" s="80" t="s">
        <v>777</v>
      </c>
      <c r="F254" s="8" t="s">
        <v>778</v>
      </c>
      <c r="G254" s="14" t="s">
        <v>68</v>
      </c>
      <c r="I254" s="20" t="s">
        <v>65</v>
      </c>
      <c r="J254" s="20" t="s">
        <v>2015</v>
      </c>
      <c r="R254" t="s">
        <v>2459</v>
      </c>
      <c r="S254" t="s">
        <v>2459</v>
      </c>
      <c r="U254" s="80" t="s">
        <v>2460</v>
      </c>
      <c r="X254" s="8" t="s">
        <v>2461</v>
      </c>
    </row>
    <row r="255" spans="1:27" x14ac:dyDescent="0.3">
      <c r="A255" s="20">
        <v>254</v>
      </c>
      <c r="B255" s="20">
        <v>250</v>
      </c>
      <c r="C255" s="8" t="s">
        <v>713</v>
      </c>
      <c r="D255" t="s">
        <v>712</v>
      </c>
      <c r="E255" s="80" t="s">
        <v>779</v>
      </c>
      <c r="F255" s="8" t="s">
        <v>780</v>
      </c>
      <c r="G255" s="14" t="s">
        <v>781</v>
      </c>
      <c r="I255" s="20" t="s">
        <v>732</v>
      </c>
      <c r="R255" t="s">
        <v>2462</v>
      </c>
      <c r="S255" t="s">
        <v>2462</v>
      </c>
      <c r="U255" s="80" t="s">
        <v>2463</v>
      </c>
      <c r="X255" s="8" t="s">
        <v>2464</v>
      </c>
    </row>
    <row r="256" spans="1:27" x14ac:dyDescent="0.3">
      <c r="A256" s="20">
        <v>255</v>
      </c>
      <c r="B256" s="20">
        <v>251</v>
      </c>
      <c r="C256" s="8" t="s">
        <v>713</v>
      </c>
      <c r="D256" t="s">
        <v>712</v>
      </c>
      <c r="E256" s="80" t="s">
        <v>782</v>
      </c>
      <c r="F256" s="8" t="s">
        <v>783</v>
      </c>
      <c r="G256" s="14" t="s">
        <v>784</v>
      </c>
      <c r="I256" s="20" t="s">
        <v>10</v>
      </c>
      <c r="N256" s="20" t="s">
        <v>2166</v>
      </c>
      <c r="R256" t="s">
        <v>2465</v>
      </c>
      <c r="S256" t="s">
        <v>2465</v>
      </c>
      <c r="Z256" t="s">
        <v>785</v>
      </c>
    </row>
    <row r="257" spans="1:27" x14ac:dyDescent="0.3">
      <c r="A257" s="20">
        <v>256</v>
      </c>
      <c r="B257" s="20">
        <v>252</v>
      </c>
      <c r="C257" s="8" t="s">
        <v>713</v>
      </c>
      <c r="D257" t="s">
        <v>712</v>
      </c>
      <c r="E257" s="80" t="s">
        <v>786</v>
      </c>
      <c r="F257" s="8" t="s">
        <v>787</v>
      </c>
      <c r="G257" s="14" t="s">
        <v>788</v>
      </c>
      <c r="I257" s="20" t="s">
        <v>15</v>
      </c>
      <c r="R257" t="s">
        <v>2466</v>
      </c>
      <c r="S257" t="s">
        <v>2466</v>
      </c>
      <c r="U257" s="80" t="s">
        <v>2467</v>
      </c>
      <c r="Y257" s="8" t="s">
        <v>11384</v>
      </c>
    </row>
    <row r="258" spans="1:27" x14ac:dyDescent="0.3">
      <c r="A258" s="20">
        <v>257</v>
      </c>
      <c r="B258" s="20">
        <v>253</v>
      </c>
      <c r="C258" s="8" t="s">
        <v>713</v>
      </c>
      <c r="D258" t="s">
        <v>712</v>
      </c>
      <c r="E258" s="80" t="s">
        <v>789</v>
      </c>
      <c r="F258" s="8" t="s">
        <v>790</v>
      </c>
      <c r="G258" s="14" t="s">
        <v>68</v>
      </c>
      <c r="H258" s="15" t="s">
        <v>9777</v>
      </c>
      <c r="I258" s="20" t="s">
        <v>65</v>
      </c>
      <c r="J258" s="20" t="s">
        <v>2024</v>
      </c>
      <c r="K258" s="20" t="s">
        <v>85</v>
      </c>
      <c r="L258" s="20" t="s">
        <v>85</v>
      </c>
      <c r="M258" s="20" t="s">
        <v>85</v>
      </c>
      <c r="N258" s="20" t="s">
        <v>2166</v>
      </c>
      <c r="R258" t="s">
        <v>2468</v>
      </c>
      <c r="S258" t="s">
        <v>2468</v>
      </c>
      <c r="U258" s="80" t="s">
        <v>2469</v>
      </c>
      <c r="Z258" t="s">
        <v>791</v>
      </c>
    </row>
    <row r="259" spans="1:27" x14ac:dyDescent="0.3">
      <c r="A259" s="20">
        <v>258</v>
      </c>
      <c r="B259" s="20">
        <v>254</v>
      </c>
      <c r="C259" s="8" t="s">
        <v>713</v>
      </c>
      <c r="D259" t="s">
        <v>712</v>
      </c>
      <c r="E259" s="80" t="s">
        <v>792</v>
      </c>
      <c r="F259" s="8" t="s">
        <v>793</v>
      </c>
      <c r="G259" s="14" t="s">
        <v>68</v>
      </c>
      <c r="H259" s="15" t="s">
        <v>9778</v>
      </c>
      <c r="I259" s="20" t="s">
        <v>65</v>
      </c>
      <c r="J259" s="20" t="s">
        <v>2015</v>
      </c>
      <c r="K259" s="20" t="s">
        <v>58</v>
      </c>
      <c r="L259" s="20" t="s">
        <v>58</v>
      </c>
      <c r="M259" s="20" t="s">
        <v>85</v>
      </c>
      <c r="R259" t="s">
        <v>2470</v>
      </c>
      <c r="S259" t="s">
        <v>2470</v>
      </c>
      <c r="U259" s="80" t="s">
        <v>2471</v>
      </c>
    </row>
    <row r="260" spans="1:27" x14ac:dyDescent="0.3">
      <c r="A260" s="20">
        <v>259</v>
      </c>
      <c r="B260" s="20">
        <v>255</v>
      </c>
      <c r="C260" s="8" t="s">
        <v>713</v>
      </c>
      <c r="D260" t="s">
        <v>712</v>
      </c>
      <c r="E260" s="80" t="s">
        <v>794</v>
      </c>
      <c r="F260" s="8" t="s">
        <v>795</v>
      </c>
      <c r="G260" s="14" t="s">
        <v>68</v>
      </c>
      <c r="H260" s="15" t="s">
        <v>9779</v>
      </c>
      <c r="I260" s="20" t="s">
        <v>65</v>
      </c>
      <c r="J260" s="20" t="s">
        <v>2021</v>
      </c>
      <c r="K260" s="20" t="s">
        <v>67</v>
      </c>
      <c r="L260" s="20" t="s">
        <v>67</v>
      </c>
      <c r="M260" s="20" t="s">
        <v>67</v>
      </c>
      <c r="R260" t="s">
        <v>2472</v>
      </c>
      <c r="S260" t="s">
        <v>2472</v>
      </c>
      <c r="U260" s="80" t="s">
        <v>2473</v>
      </c>
    </row>
    <row r="261" spans="1:27" x14ac:dyDescent="0.3">
      <c r="A261" s="20">
        <v>260</v>
      </c>
      <c r="B261" s="20">
        <v>256</v>
      </c>
      <c r="C261" s="8" t="s">
        <v>713</v>
      </c>
      <c r="D261" t="s">
        <v>712</v>
      </c>
      <c r="E261" s="80" t="s">
        <v>796</v>
      </c>
      <c r="F261" s="8" t="s">
        <v>797</v>
      </c>
      <c r="G261" s="14" t="s">
        <v>68</v>
      </c>
      <c r="I261" s="20" t="s">
        <v>65</v>
      </c>
      <c r="J261" s="20" t="s">
        <v>2015</v>
      </c>
      <c r="K261" s="20" t="s">
        <v>66</v>
      </c>
      <c r="L261" s="20" t="s">
        <v>66</v>
      </c>
      <c r="M261" s="20" t="s">
        <v>67</v>
      </c>
      <c r="R261" t="s">
        <v>2474</v>
      </c>
      <c r="S261" t="s">
        <v>2474</v>
      </c>
      <c r="U261" s="80" t="s">
        <v>2475</v>
      </c>
    </row>
    <row r="262" spans="1:27" x14ac:dyDescent="0.3">
      <c r="A262" s="20">
        <v>261</v>
      </c>
      <c r="B262" s="20">
        <v>257</v>
      </c>
      <c r="C262" s="8" t="s">
        <v>713</v>
      </c>
      <c r="D262" t="s">
        <v>712</v>
      </c>
      <c r="E262" s="80" t="s">
        <v>798</v>
      </c>
      <c r="F262" s="8" t="s">
        <v>799</v>
      </c>
      <c r="G262" s="14" t="s">
        <v>43</v>
      </c>
      <c r="I262" s="20" t="s">
        <v>15</v>
      </c>
      <c r="R262" t="s">
        <v>2476</v>
      </c>
      <c r="S262" t="s">
        <v>2476</v>
      </c>
      <c r="U262" s="80" t="s">
        <v>2477</v>
      </c>
    </row>
    <row r="263" spans="1:27" x14ac:dyDescent="0.3">
      <c r="A263" s="20">
        <v>262</v>
      </c>
      <c r="B263" s="20">
        <v>258</v>
      </c>
      <c r="C263" s="8" t="s">
        <v>713</v>
      </c>
      <c r="D263" t="s">
        <v>712</v>
      </c>
      <c r="E263" s="80" t="s">
        <v>800</v>
      </c>
      <c r="F263" s="8" t="s">
        <v>801</v>
      </c>
      <c r="G263" s="14" t="s">
        <v>802</v>
      </c>
      <c r="I263" s="20" t="s">
        <v>732</v>
      </c>
      <c r="K263" s="20" t="s">
        <v>66</v>
      </c>
      <c r="L263" s="20" t="s">
        <v>66</v>
      </c>
      <c r="M263" s="20" t="s">
        <v>67</v>
      </c>
      <c r="R263" t="s">
        <v>2478</v>
      </c>
      <c r="S263" t="s">
        <v>2479</v>
      </c>
      <c r="U263" s="80" t="s">
        <v>2480</v>
      </c>
    </row>
    <row r="264" spans="1:27" x14ac:dyDescent="0.3">
      <c r="A264" s="20">
        <v>263</v>
      </c>
      <c r="B264" s="20">
        <v>259</v>
      </c>
      <c r="C264" s="8" t="s">
        <v>713</v>
      </c>
      <c r="D264" t="s">
        <v>712</v>
      </c>
      <c r="E264" s="80" t="s">
        <v>803</v>
      </c>
      <c r="F264" s="8" t="s">
        <v>804</v>
      </c>
      <c r="G264" s="14" t="s">
        <v>805</v>
      </c>
      <c r="I264" s="20" t="s">
        <v>15</v>
      </c>
      <c r="P264" t="s">
        <v>2200</v>
      </c>
      <c r="R264" t="s">
        <v>2481</v>
      </c>
      <c r="S264" t="s">
        <v>2481</v>
      </c>
      <c r="U264" s="80" t="s">
        <v>2482</v>
      </c>
      <c r="AA264" t="s">
        <v>2483</v>
      </c>
    </row>
    <row r="265" spans="1:27" x14ac:dyDescent="0.3">
      <c r="A265" s="20">
        <v>264</v>
      </c>
      <c r="B265" s="20">
        <v>260</v>
      </c>
      <c r="C265" s="8" t="s">
        <v>807</v>
      </c>
      <c r="D265" t="s">
        <v>806</v>
      </c>
      <c r="E265" s="80" t="s">
        <v>808</v>
      </c>
      <c r="F265" s="8" t="s">
        <v>809</v>
      </c>
      <c r="G265" s="14" t="s">
        <v>68</v>
      </c>
      <c r="H265" s="15" t="s">
        <v>9780</v>
      </c>
      <c r="I265" s="20" t="s">
        <v>65</v>
      </c>
      <c r="J265" s="20" t="s">
        <v>2019</v>
      </c>
      <c r="K265" s="20" t="s">
        <v>58</v>
      </c>
      <c r="L265" s="20" t="s">
        <v>58</v>
      </c>
      <c r="M265" s="20" t="s">
        <v>130</v>
      </c>
    </row>
    <row r="266" spans="1:27" x14ac:dyDescent="0.3">
      <c r="A266" s="20">
        <v>265</v>
      </c>
      <c r="B266" s="20">
        <v>261</v>
      </c>
      <c r="C266" s="8" t="s">
        <v>807</v>
      </c>
      <c r="D266" t="s">
        <v>806</v>
      </c>
      <c r="E266" s="80" t="s">
        <v>810</v>
      </c>
      <c r="F266" s="8" t="s">
        <v>811</v>
      </c>
      <c r="G266" s="14" t="s">
        <v>68</v>
      </c>
      <c r="I266" s="20" t="s">
        <v>65</v>
      </c>
      <c r="J266" s="20" t="s">
        <v>2020</v>
      </c>
      <c r="P266" t="s">
        <v>2200</v>
      </c>
      <c r="AA266" t="s">
        <v>2484</v>
      </c>
    </row>
    <row r="267" spans="1:27" x14ac:dyDescent="0.3">
      <c r="A267" s="20">
        <v>266</v>
      </c>
      <c r="B267" s="20">
        <v>262</v>
      </c>
      <c r="C267" s="8" t="s">
        <v>807</v>
      </c>
      <c r="D267" t="s">
        <v>806</v>
      </c>
      <c r="E267" s="80" t="s">
        <v>812</v>
      </c>
      <c r="F267" s="8" t="s">
        <v>813</v>
      </c>
      <c r="G267" s="14" t="s">
        <v>68</v>
      </c>
      <c r="H267" s="15" t="s">
        <v>9781</v>
      </c>
      <c r="I267" s="20" t="s">
        <v>65</v>
      </c>
      <c r="J267" s="20" t="s">
        <v>2021</v>
      </c>
      <c r="K267" s="20" t="s">
        <v>85</v>
      </c>
      <c r="L267" s="20" t="s">
        <v>85</v>
      </c>
      <c r="M267" s="20" t="s">
        <v>85</v>
      </c>
      <c r="N267" s="20" t="s">
        <v>2166</v>
      </c>
    </row>
    <row r="268" spans="1:27" x14ac:dyDescent="0.3">
      <c r="A268" s="20">
        <v>267</v>
      </c>
      <c r="B268" s="20">
        <v>263</v>
      </c>
      <c r="C268" s="8" t="s">
        <v>807</v>
      </c>
      <c r="D268" t="s">
        <v>806</v>
      </c>
      <c r="E268" s="80" t="s">
        <v>814</v>
      </c>
      <c r="F268" s="8" t="s">
        <v>815</v>
      </c>
      <c r="G268" s="14" t="s">
        <v>43</v>
      </c>
      <c r="I268" s="20" t="s">
        <v>15</v>
      </c>
    </row>
    <row r="269" spans="1:27" x14ac:dyDescent="0.3">
      <c r="A269" s="20">
        <v>268</v>
      </c>
      <c r="B269" s="20">
        <v>264</v>
      </c>
      <c r="C269" s="8" t="s">
        <v>807</v>
      </c>
      <c r="D269" t="s">
        <v>806</v>
      </c>
      <c r="E269" s="80" t="s">
        <v>816</v>
      </c>
      <c r="F269" s="8" t="s">
        <v>817</v>
      </c>
      <c r="G269" s="14" t="s">
        <v>68</v>
      </c>
      <c r="I269" s="20" t="s">
        <v>65</v>
      </c>
      <c r="J269" s="20" t="s">
        <v>2015</v>
      </c>
    </row>
    <row r="270" spans="1:27" x14ac:dyDescent="0.3">
      <c r="A270" s="20">
        <v>269</v>
      </c>
      <c r="B270" s="20">
        <v>265</v>
      </c>
      <c r="C270" s="8" t="s">
        <v>807</v>
      </c>
      <c r="D270" t="s">
        <v>806</v>
      </c>
      <c r="E270" s="80" t="s">
        <v>818</v>
      </c>
      <c r="F270" s="8" t="s">
        <v>819</v>
      </c>
      <c r="G270" s="14" t="s">
        <v>43</v>
      </c>
      <c r="I270" s="20" t="s">
        <v>15</v>
      </c>
    </row>
    <row r="271" spans="1:27" x14ac:dyDescent="0.3">
      <c r="A271" s="20">
        <v>270</v>
      </c>
      <c r="B271" s="20">
        <v>266</v>
      </c>
      <c r="C271" s="8" t="s">
        <v>807</v>
      </c>
      <c r="D271" t="s">
        <v>806</v>
      </c>
      <c r="E271" s="80" t="s">
        <v>820</v>
      </c>
      <c r="F271" s="8" t="s">
        <v>821</v>
      </c>
      <c r="G271" s="14" t="s">
        <v>822</v>
      </c>
      <c r="I271" s="20" t="s">
        <v>15</v>
      </c>
      <c r="Z271" t="s">
        <v>123</v>
      </c>
    </row>
    <row r="272" spans="1:27" x14ac:dyDescent="0.3">
      <c r="A272" s="20">
        <v>271</v>
      </c>
      <c r="B272" s="20">
        <v>267</v>
      </c>
      <c r="C272" s="8" t="s">
        <v>807</v>
      </c>
      <c r="D272" t="s">
        <v>806</v>
      </c>
      <c r="E272" s="80" t="s">
        <v>823</v>
      </c>
      <c r="F272" s="8" t="s">
        <v>824</v>
      </c>
      <c r="G272" s="14" t="s">
        <v>68</v>
      </c>
      <c r="I272" s="20" t="s">
        <v>65</v>
      </c>
      <c r="J272" s="20" t="s">
        <v>2019</v>
      </c>
      <c r="R272" t="s">
        <v>2485</v>
      </c>
      <c r="S272" t="s">
        <v>2485</v>
      </c>
      <c r="U272" s="80" t="s">
        <v>2485</v>
      </c>
      <c r="Y272" s="8" t="s">
        <v>11385</v>
      </c>
    </row>
    <row r="273" spans="1:27" x14ac:dyDescent="0.3">
      <c r="A273" s="20">
        <v>272</v>
      </c>
      <c r="B273" s="20">
        <v>268</v>
      </c>
      <c r="C273" s="8" t="s">
        <v>807</v>
      </c>
      <c r="D273" t="s">
        <v>806</v>
      </c>
      <c r="E273" s="80" t="s">
        <v>825</v>
      </c>
      <c r="F273" s="8" t="s">
        <v>826</v>
      </c>
      <c r="G273" s="14" t="s">
        <v>68</v>
      </c>
      <c r="H273" s="15" t="s">
        <v>9782</v>
      </c>
      <c r="I273" s="20" t="s">
        <v>65</v>
      </c>
      <c r="J273" s="20" t="s">
        <v>2019</v>
      </c>
      <c r="X273" s="8" t="s">
        <v>2486</v>
      </c>
      <c r="Y273" s="8" t="s">
        <v>11386</v>
      </c>
    </row>
    <row r="274" spans="1:27" x14ac:dyDescent="0.3">
      <c r="A274" s="20">
        <v>273</v>
      </c>
      <c r="B274" s="20">
        <v>269</v>
      </c>
      <c r="C274" s="8" t="s">
        <v>807</v>
      </c>
      <c r="D274" t="s">
        <v>806</v>
      </c>
      <c r="E274" s="80" t="s">
        <v>827</v>
      </c>
      <c r="F274" s="8" t="s">
        <v>828</v>
      </c>
      <c r="G274" s="14" t="s">
        <v>829</v>
      </c>
      <c r="H274" s="15" t="s">
        <v>9783</v>
      </c>
      <c r="I274" s="20" t="s">
        <v>50</v>
      </c>
    </row>
    <row r="275" spans="1:27" x14ac:dyDescent="0.3">
      <c r="A275" s="20">
        <v>274</v>
      </c>
      <c r="B275" s="20">
        <v>270</v>
      </c>
      <c r="C275" s="8" t="s">
        <v>807</v>
      </c>
      <c r="D275" t="s">
        <v>806</v>
      </c>
      <c r="E275" s="80" t="s">
        <v>830</v>
      </c>
      <c r="F275" s="8" t="s">
        <v>831</v>
      </c>
      <c r="G275" s="14" t="s">
        <v>832</v>
      </c>
      <c r="I275" s="20" t="s">
        <v>19</v>
      </c>
      <c r="N275" s="20" t="s">
        <v>2166</v>
      </c>
      <c r="R275" t="s">
        <v>2171</v>
      </c>
      <c r="S275" t="s">
        <v>2487</v>
      </c>
      <c r="Z275" t="s">
        <v>833</v>
      </c>
    </row>
    <row r="276" spans="1:27" x14ac:dyDescent="0.3">
      <c r="A276" s="20">
        <v>275</v>
      </c>
      <c r="B276" s="20">
        <v>271</v>
      </c>
      <c r="C276" s="8" t="s">
        <v>807</v>
      </c>
      <c r="D276" t="s">
        <v>806</v>
      </c>
      <c r="E276" s="80" t="s">
        <v>834</v>
      </c>
      <c r="F276" s="8" t="s">
        <v>835</v>
      </c>
      <c r="G276" s="14" t="s">
        <v>836</v>
      </c>
      <c r="I276" s="20" t="s">
        <v>15</v>
      </c>
      <c r="R276" t="s">
        <v>2488</v>
      </c>
      <c r="U276" s="80" t="s">
        <v>2489</v>
      </c>
      <c r="Y276" s="8" t="s">
        <v>11387</v>
      </c>
    </row>
    <row r="277" spans="1:27" x14ac:dyDescent="0.3">
      <c r="A277" s="20">
        <v>276</v>
      </c>
      <c r="B277" s="20">
        <v>272</v>
      </c>
      <c r="C277" s="8" t="s">
        <v>807</v>
      </c>
      <c r="D277" t="s">
        <v>806</v>
      </c>
      <c r="E277" s="80" t="s">
        <v>837</v>
      </c>
      <c r="F277" s="8" t="s">
        <v>838</v>
      </c>
      <c r="G277" s="14" t="s">
        <v>233</v>
      </c>
      <c r="I277" s="20" t="s">
        <v>19</v>
      </c>
      <c r="N277" s="20" t="s">
        <v>2166</v>
      </c>
      <c r="R277" t="s">
        <v>2171</v>
      </c>
      <c r="Z277" t="s">
        <v>11328</v>
      </c>
    </row>
    <row r="278" spans="1:27" x14ac:dyDescent="0.3">
      <c r="A278" s="20">
        <v>277</v>
      </c>
      <c r="B278" s="20">
        <v>273</v>
      </c>
      <c r="C278" s="8" t="s">
        <v>807</v>
      </c>
      <c r="D278" t="s">
        <v>806</v>
      </c>
      <c r="E278" s="80" t="s">
        <v>839</v>
      </c>
      <c r="F278" s="8" t="s">
        <v>840</v>
      </c>
      <c r="G278" s="14" t="s">
        <v>841</v>
      </c>
      <c r="I278" s="20" t="s">
        <v>15</v>
      </c>
    </row>
    <row r="279" spans="1:27" x14ac:dyDescent="0.3">
      <c r="A279" s="20">
        <v>278</v>
      </c>
      <c r="B279" s="20">
        <v>274</v>
      </c>
      <c r="C279" s="8" t="s">
        <v>807</v>
      </c>
      <c r="D279" t="s">
        <v>806</v>
      </c>
      <c r="E279" s="80" t="s">
        <v>842</v>
      </c>
      <c r="F279" s="8" t="s">
        <v>843</v>
      </c>
      <c r="G279" s="14" t="s">
        <v>844</v>
      </c>
      <c r="I279" s="20" t="s">
        <v>15</v>
      </c>
      <c r="P279" t="s">
        <v>2330</v>
      </c>
      <c r="R279" t="s">
        <v>2490</v>
      </c>
      <c r="S279" t="s">
        <v>2491</v>
      </c>
      <c r="U279" s="80" t="s">
        <v>2492</v>
      </c>
      <c r="X279" s="8" t="s">
        <v>2493</v>
      </c>
      <c r="Z279" t="s">
        <v>123</v>
      </c>
      <c r="AA279" t="s">
        <v>2494</v>
      </c>
    </row>
    <row r="280" spans="1:27" x14ac:dyDescent="0.3">
      <c r="A280" s="20">
        <v>279</v>
      </c>
      <c r="B280" s="20">
        <v>275</v>
      </c>
      <c r="C280" s="8" t="s">
        <v>807</v>
      </c>
      <c r="D280" t="s">
        <v>806</v>
      </c>
      <c r="E280" s="80" t="s">
        <v>845</v>
      </c>
      <c r="F280" s="8" t="s">
        <v>846</v>
      </c>
      <c r="G280" s="14" t="s">
        <v>43</v>
      </c>
      <c r="I280" s="20" t="s">
        <v>317</v>
      </c>
    </row>
    <row r="281" spans="1:27" x14ac:dyDescent="0.3">
      <c r="A281" s="20">
        <v>280</v>
      </c>
      <c r="B281" s="20">
        <v>276</v>
      </c>
      <c r="C281" s="8" t="s">
        <v>807</v>
      </c>
      <c r="D281" t="s">
        <v>806</v>
      </c>
      <c r="E281" s="80" t="s">
        <v>847</v>
      </c>
      <c r="F281" s="8" t="s">
        <v>848</v>
      </c>
      <c r="G281" s="14" t="s">
        <v>841</v>
      </c>
      <c r="I281" s="20" t="s">
        <v>15</v>
      </c>
    </row>
    <row r="282" spans="1:27" x14ac:dyDescent="0.3">
      <c r="A282" s="20">
        <v>281</v>
      </c>
      <c r="B282" s="20">
        <v>277</v>
      </c>
      <c r="C282" s="8" t="s">
        <v>807</v>
      </c>
      <c r="D282" t="s">
        <v>806</v>
      </c>
      <c r="E282" s="80" t="s">
        <v>849</v>
      </c>
      <c r="F282" s="8" t="s">
        <v>850</v>
      </c>
      <c r="G282" s="14" t="s">
        <v>851</v>
      </c>
      <c r="I282" s="20" t="s">
        <v>15</v>
      </c>
      <c r="R282" t="s">
        <v>2495</v>
      </c>
      <c r="S282" t="s">
        <v>2495</v>
      </c>
      <c r="U282" s="80" t="s">
        <v>2495</v>
      </c>
      <c r="V282" s="8" t="s">
        <v>2496</v>
      </c>
      <c r="X282" s="8" t="s">
        <v>2496</v>
      </c>
    </row>
    <row r="283" spans="1:27" x14ac:dyDescent="0.3">
      <c r="A283" s="20">
        <v>282</v>
      </c>
      <c r="B283" s="20">
        <v>278</v>
      </c>
      <c r="C283" s="8" t="s">
        <v>807</v>
      </c>
      <c r="D283" t="s">
        <v>806</v>
      </c>
      <c r="E283" s="80" t="s">
        <v>852</v>
      </c>
      <c r="F283" s="8" t="s">
        <v>853</v>
      </c>
      <c r="G283" s="14" t="s">
        <v>68</v>
      </c>
      <c r="I283" s="20" t="s">
        <v>65</v>
      </c>
      <c r="J283" s="20" t="s">
        <v>2015</v>
      </c>
      <c r="P283" t="s">
        <v>2179</v>
      </c>
      <c r="R283" t="s">
        <v>2497</v>
      </c>
      <c r="AA283" t="s">
        <v>2498</v>
      </c>
    </row>
    <row r="284" spans="1:27" x14ac:dyDescent="0.3">
      <c r="A284" s="20">
        <v>283</v>
      </c>
      <c r="B284" s="20">
        <v>279</v>
      </c>
      <c r="C284" s="8" t="s">
        <v>807</v>
      </c>
      <c r="D284" t="s">
        <v>806</v>
      </c>
      <c r="E284" s="80" t="s">
        <v>854</v>
      </c>
      <c r="F284" s="8" t="s">
        <v>855</v>
      </c>
      <c r="G284" s="14" t="s">
        <v>856</v>
      </c>
      <c r="I284" s="20" t="s">
        <v>15</v>
      </c>
      <c r="P284" t="s">
        <v>2174</v>
      </c>
      <c r="R284" t="s">
        <v>2497</v>
      </c>
      <c r="AA284" t="s">
        <v>2499</v>
      </c>
    </row>
    <row r="285" spans="1:27" x14ac:dyDescent="0.3">
      <c r="A285" s="20">
        <v>284</v>
      </c>
      <c r="B285" s="20">
        <v>280</v>
      </c>
      <c r="C285" s="8" t="s">
        <v>807</v>
      </c>
      <c r="D285" t="s">
        <v>806</v>
      </c>
      <c r="E285" s="80" t="s">
        <v>857</v>
      </c>
      <c r="F285" s="8" t="s">
        <v>858</v>
      </c>
      <c r="G285" s="14" t="s">
        <v>43</v>
      </c>
      <c r="H285" s="15" t="s">
        <v>9784</v>
      </c>
      <c r="I285" s="20" t="s">
        <v>50</v>
      </c>
    </row>
    <row r="286" spans="1:27" x14ac:dyDescent="0.3">
      <c r="A286" s="20">
        <v>285</v>
      </c>
      <c r="B286" s="20">
        <v>281</v>
      </c>
      <c r="C286" s="8" t="s">
        <v>807</v>
      </c>
      <c r="D286" t="s">
        <v>806</v>
      </c>
      <c r="E286" s="80" t="s">
        <v>859</v>
      </c>
      <c r="F286" s="8" t="s">
        <v>860</v>
      </c>
      <c r="G286" s="14" t="s">
        <v>68</v>
      </c>
      <c r="H286" s="15" t="s">
        <v>9660</v>
      </c>
      <c r="I286" s="20" t="s">
        <v>65</v>
      </c>
      <c r="J286" s="20" t="s">
        <v>2015</v>
      </c>
      <c r="R286" t="s">
        <v>2500</v>
      </c>
    </row>
    <row r="287" spans="1:27" x14ac:dyDescent="0.3">
      <c r="A287" s="20">
        <v>286</v>
      </c>
      <c r="B287" s="20">
        <v>282</v>
      </c>
      <c r="C287" s="8" t="s">
        <v>807</v>
      </c>
      <c r="D287" t="s">
        <v>806</v>
      </c>
      <c r="E287" s="80" t="s">
        <v>861</v>
      </c>
      <c r="F287" s="8" t="s">
        <v>862</v>
      </c>
      <c r="G287" s="14" t="s">
        <v>215</v>
      </c>
      <c r="I287" s="20" t="s">
        <v>50</v>
      </c>
      <c r="N287" s="20" t="s">
        <v>2166</v>
      </c>
    </row>
    <row r="288" spans="1:27" x14ac:dyDescent="0.3">
      <c r="A288" s="20">
        <v>287</v>
      </c>
      <c r="B288" s="20">
        <v>283</v>
      </c>
      <c r="C288" s="8" t="s">
        <v>807</v>
      </c>
      <c r="D288" t="s">
        <v>806</v>
      </c>
      <c r="E288" s="80" t="s">
        <v>863</v>
      </c>
      <c r="F288" s="8" t="s">
        <v>864</v>
      </c>
      <c r="G288" s="14" t="s">
        <v>865</v>
      </c>
      <c r="H288" s="15" t="s">
        <v>9785</v>
      </c>
      <c r="I288" s="20" t="s">
        <v>50</v>
      </c>
      <c r="N288" s="20" t="s">
        <v>2166</v>
      </c>
      <c r="P288" t="s">
        <v>2174</v>
      </c>
      <c r="Q288" t="s">
        <v>2501</v>
      </c>
      <c r="R288" t="s">
        <v>866</v>
      </c>
      <c r="U288" s="80" t="s">
        <v>866</v>
      </c>
      <c r="AA288" t="s">
        <v>2502</v>
      </c>
    </row>
    <row r="289" spans="1:27" x14ac:dyDescent="0.3">
      <c r="A289" s="20">
        <v>288</v>
      </c>
      <c r="B289" s="20">
        <v>284</v>
      </c>
      <c r="C289" s="8" t="s">
        <v>807</v>
      </c>
      <c r="D289" t="s">
        <v>806</v>
      </c>
      <c r="E289" s="80" t="s">
        <v>866</v>
      </c>
      <c r="F289" s="8" t="s">
        <v>867</v>
      </c>
      <c r="G289" s="14" t="s">
        <v>868</v>
      </c>
      <c r="H289" s="15" t="s">
        <v>9786</v>
      </c>
      <c r="I289" s="20" t="s">
        <v>50</v>
      </c>
      <c r="N289" s="20" t="s">
        <v>2166</v>
      </c>
      <c r="P289" t="s">
        <v>2179</v>
      </c>
      <c r="Q289" t="s">
        <v>2503</v>
      </c>
      <c r="AA289" t="s">
        <v>2504</v>
      </c>
    </row>
    <row r="290" spans="1:27" x14ac:dyDescent="0.3">
      <c r="A290" s="20">
        <v>289</v>
      </c>
      <c r="B290" s="20">
        <v>285</v>
      </c>
      <c r="C290" s="8" t="s">
        <v>870</v>
      </c>
      <c r="D290" t="s">
        <v>869</v>
      </c>
      <c r="E290" s="80" t="s">
        <v>871</v>
      </c>
      <c r="F290" s="8" t="s">
        <v>872</v>
      </c>
      <c r="G290" s="14" t="s">
        <v>873</v>
      </c>
      <c r="I290" s="20" t="s">
        <v>15</v>
      </c>
      <c r="P290" t="s">
        <v>2179</v>
      </c>
      <c r="R290" t="s">
        <v>2505</v>
      </c>
      <c r="S290" t="s">
        <v>2506</v>
      </c>
      <c r="U290" s="80" t="s">
        <v>2507</v>
      </c>
      <c r="AA290" t="s">
        <v>2508</v>
      </c>
    </row>
    <row r="291" spans="1:27" x14ac:dyDescent="0.3">
      <c r="A291" s="20">
        <v>290</v>
      </c>
      <c r="B291" s="20">
        <v>286</v>
      </c>
      <c r="C291" s="8" t="s">
        <v>875</v>
      </c>
      <c r="D291" t="s">
        <v>874</v>
      </c>
      <c r="E291" s="80" t="s">
        <v>876</v>
      </c>
      <c r="F291" s="8" t="s">
        <v>877</v>
      </c>
      <c r="G291" s="14" t="s">
        <v>68</v>
      </c>
      <c r="H291" s="15" t="s">
        <v>9787</v>
      </c>
      <c r="I291" s="20" t="s">
        <v>65</v>
      </c>
      <c r="J291" s="20" t="s">
        <v>2020</v>
      </c>
      <c r="K291" s="20" t="s">
        <v>66</v>
      </c>
      <c r="L291" s="20" t="s">
        <v>66</v>
      </c>
      <c r="M291" s="20" t="s">
        <v>67</v>
      </c>
      <c r="P291" t="s">
        <v>2509</v>
      </c>
      <c r="R291" t="s">
        <v>2510</v>
      </c>
      <c r="S291" t="s">
        <v>2510</v>
      </c>
      <c r="U291" s="80" t="s">
        <v>2511</v>
      </c>
      <c r="Y291" s="8" t="s">
        <v>11388</v>
      </c>
      <c r="AA291" t="s">
        <v>2512</v>
      </c>
    </row>
    <row r="292" spans="1:27" x14ac:dyDescent="0.3">
      <c r="A292" s="20">
        <v>291</v>
      </c>
      <c r="B292" s="20">
        <v>287</v>
      </c>
      <c r="C292" s="8" t="s">
        <v>875</v>
      </c>
      <c r="D292" t="s">
        <v>874</v>
      </c>
      <c r="E292" s="80" t="s">
        <v>878</v>
      </c>
      <c r="F292" s="8" t="s">
        <v>879</v>
      </c>
      <c r="G292" s="14" t="s">
        <v>880</v>
      </c>
      <c r="H292" s="15" t="s">
        <v>9788</v>
      </c>
      <c r="I292" s="20" t="s">
        <v>65</v>
      </c>
      <c r="J292" s="20" t="s">
        <v>2016</v>
      </c>
      <c r="K292" s="20" t="s">
        <v>58</v>
      </c>
      <c r="L292" s="20" t="s">
        <v>58</v>
      </c>
      <c r="M292" s="20" t="s">
        <v>67</v>
      </c>
      <c r="R292" t="s">
        <v>2513</v>
      </c>
      <c r="S292" t="s">
        <v>2513</v>
      </c>
      <c r="U292" s="80" t="s">
        <v>2514</v>
      </c>
    </row>
    <row r="293" spans="1:27" x14ac:dyDescent="0.3">
      <c r="A293" s="20">
        <v>292</v>
      </c>
      <c r="B293" s="20">
        <v>288</v>
      </c>
      <c r="C293" s="8" t="s">
        <v>875</v>
      </c>
      <c r="D293" t="s">
        <v>874</v>
      </c>
      <c r="E293" s="80" t="s">
        <v>881</v>
      </c>
      <c r="F293" s="8" t="s">
        <v>882</v>
      </c>
      <c r="G293" s="14" t="s">
        <v>883</v>
      </c>
      <c r="H293" s="15" t="s">
        <v>9789</v>
      </c>
      <c r="I293" s="20" t="s">
        <v>65</v>
      </c>
      <c r="J293" s="20" t="s">
        <v>2019</v>
      </c>
      <c r="R293" t="s">
        <v>2515</v>
      </c>
      <c r="S293" t="s">
        <v>2515</v>
      </c>
      <c r="U293" s="80" t="s">
        <v>2516</v>
      </c>
    </row>
    <row r="294" spans="1:27" x14ac:dyDescent="0.3">
      <c r="A294" s="20">
        <v>293</v>
      </c>
      <c r="B294" s="20">
        <v>289</v>
      </c>
      <c r="C294" s="8" t="s">
        <v>875</v>
      </c>
      <c r="D294" t="s">
        <v>874</v>
      </c>
      <c r="E294" s="80" t="s">
        <v>884</v>
      </c>
      <c r="F294" s="8" t="s">
        <v>885</v>
      </c>
      <c r="G294" s="14" t="s">
        <v>886</v>
      </c>
      <c r="H294" s="15" t="s">
        <v>9790</v>
      </c>
      <c r="I294" s="20" t="s">
        <v>65</v>
      </c>
      <c r="J294" s="20" t="s">
        <v>2020</v>
      </c>
      <c r="P294" t="s">
        <v>2179</v>
      </c>
      <c r="R294" t="s">
        <v>2515</v>
      </c>
      <c r="S294" t="s">
        <v>2517</v>
      </c>
      <c r="U294" s="80" t="s">
        <v>2518</v>
      </c>
      <c r="AA294" t="s">
        <v>2519</v>
      </c>
    </row>
    <row r="295" spans="1:27" x14ac:dyDescent="0.3">
      <c r="A295" s="20">
        <v>294</v>
      </c>
      <c r="B295" s="20">
        <v>290</v>
      </c>
      <c r="C295" s="8" t="s">
        <v>875</v>
      </c>
      <c r="D295" t="s">
        <v>874</v>
      </c>
      <c r="E295" s="80" t="s">
        <v>887</v>
      </c>
      <c r="F295" s="8" t="s">
        <v>888</v>
      </c>
      <c r="G295" s="14" t="s">
        <v>889</v>
      </c>
      <c r="H295" s="15" t="s">
        <v>9791</v>
      </c>
      <c r="I295" s="20" t="s">
        <v>65</v>
      </c>
      <c r="J295" s="20" t="s">
        <v>2022</v>
      </c>
      <c r="K295" s="20" t="s">
        <v>66</v>
      </c>
      <c r="L295" s="20" t="s">
        <v>66</v>
      </c>
      <c r="M295" s="20" t="s">
        <v>66</v>
      </c>
      <c r="P295" t="s">
        <v>2179</v>
      </c>
      <c r="R295" t="s">
        <v>2515</v>
      </c>
      <c r="S295" t="s">
        <v>2520</v>
      </c>
      <c r="U295" s="80" t="s">
        <v>2521</v>
      </c>
      <c r="AA295" t="s">
        <v>2522</v>
      </c>
    </row>
    <row r="296" spans="1:27" x14ac:dyDescent="0.3">
      <c r="A296" s="20">
        <v>295</v>
      </c>
      <c r="B296" s="20">
        <v>291</v>
      </c>
      <c r="C296" s="8" t="s">
        <v>875</v>
      </c>
      <c r="D296" t="s">
        <v>874</v>
      </c>
      <c r="E296" s="80" t="s">
        <v>890</v>
      </c>
      <c r="F296" s="8" t="s">
        <v>891</v>
      </c>
      <c r="G296" s="14" t="s">
        <v>892</v>
      </c>
      <c r="H296" s="15" t="s">
        <v>9792</v>
      </c>
      <c r="I296" s="20" t="s">
        <v>65</v>
      </c>
      <c r="J296" s="20" t="s">
        <v>2025</v>
      </c>
      <c r="K296" s="20" t="s">
        <v>58</v>
      </c>
      <c r="L296" s="20" t="s">
        <v>58</v>
      </c>
      <c r="R296" t="s">
        <v>2523</v>
      </c>
      <c r="S296" t="s">
        <v>2523</v>
      </c>
      <c r="U296" s="80" t="s">
        <v>2524</v>
      </c>
    </row>
    <row r="297" spans="1:27" x14ac:dyDescent="0.3">
      <c r="A297" s="20">
        <v>296</v>
      </c>
      <c r="B297" s="20">
        <v>292</v>
      </c>
      <c r="C297" s="8" t="s">
        <v>875</v>
      </c>
      <c r="D297" t="s">
        <v>874</v>
      </c>
      <c r="E297" s="80" t="s">
        <v>893</v>
      </c>
      <c r="F297" s="8" t="s">
        <v>894</v>
      </c>
      <c r="G297" s="14" t="s">
        <v>895</v>
      </c>
      <c r="H297" s="15" t="s">
        <v>9776</v>
      </c>
      <c r="I297" s="20" t="s">
        <v>65</v>
      </c>
      <c r="J297" s="20" t="s">
        <v>2017</v>
      </c>
      <c r="K297" s="20" t="s">
        <v>58</v>
      </c>
      <c r="L297" s="20" t="s">
        <v>58</v>
      </c>
      <c r="M297" s="20" t="s">
        <v>66</v>
      </c>
      <c r="R297" t="s">
        <v>2525</v>
      </c>
      <c r="S297" t="s">
        <v>2525</v>
      </c>
      <c r="U297" s="80" t="s">
        <v>2526</v>
      </c>
    </row>
    <row r="298" spans="1:27" x14ac:dyDescent="0.3">
      <c r="A298" s="20">
        <v>297</v>
      </c>
      <c r="B298" s="20">
        <v>293</v>
      </c>
      <c r="C298" s="8" t="s">
        <v>875</v>
      </c>
      <c r="D298" t="s">
        <v>874</v>
      </c>
      <c r="E298" s="80" t="s">
        <v>896</v>
      </c>
      <c r="F298" s="8" t="s">
        <v>897</v>
      </c>
      <c r="G298" s="14" t="s">
        <v>898</v>
      </c>
      <c r="H298" s="15" t="s">
        <v>9793</v>
      </c>
      <c r="I298" s="20" t="s">
        <v>65</v>
      </c>
      <c r="J298" s="20" t="s">
        <v>2021</v>
      </c>
      <c r="K298" s="20" t="s">
        <v>58</v>
      </c>
      <c r="L298" s="20" t="s">
        <v>58</v>
      </c>
      <c r="M298" s="20" t="s">
        <v>66</v>
      </c>
      <c r="R298" t="s">
        <v>2527</v>
      </c>
      <c r="S298" t="s">
        <v>2527</v>
      </c>
      <c r="U298" s="80" t="s">
        <v>2528</v>
      </c>
    </row>
    <row r="299" spans="1:27" x14ac:dyDescent="0.3">
      <c r="A299" s="20">
        <v>298</v>
      </c>
      <c r="B299" s="20">
        <v>294</v>
      </c>
      <c r="C299" s="8" t="s">
        <v>875</v>
      </c>
      <c r="D299" t="s">
        <v>874</v>
      </c>
      <c r="E299" s="80" t="s">
        <v>899</v>
      </c>
      <c r="F299" s="8" t="s">
        <v>900</v>
      </c>
      <c r="G299" s="14" t="s">
        <v>215</v>
      </c>
      <c r="I299" s="20" t="s">
        <v>19</v>
      </c>
      <c r="N299" s="20" t="s">
        <v>2166</v>
      </c>
      <c r="R299" t="s">
        <v>2171</v>
      </c>
      <c r="S299" t="s">
        <v>2529</v>
      </c>
      <c r="U299" s="80" t="s">
        <v>2530</v>
      </c>
      <c r="Z299" t="s">
        <v>11329</v>
      </c>
    </row>
    <row r="300" spans="1:27" x14ac:dyDescent="0.3">
      <c r="A300" s="20">
        <v>299</v>
      </c>
      <c r="B300" s="20">
        <v>295</v>
      </c>
      <c r="C300" s="8" t="s">
        <v>875</v>
      </c>
      <c r="D300" t="s">
        <v>874</v>
      </c>
      <c r="E300" s="80" t="s">
        <v>901</v>
      </c>
      <c r="F300" s="8" t="s">
        <v>902</v>
      </c>
      <c r="G300" s="14" t="s">
        <v>68</v>
      </c>
      <c r="I300" s="20" t="s">
        <v>732</v>
      </c>
      <c r="K300" s="20" t="s">
        <v>58</v>
      </c>
      <c r="L300" s="20" t="s">
        <v>58</v>
      </c>
      <c r="M300" s="20" t="s">
        <v>66</v>
      </c>
      <c r="R300" t="s">
        <v>2531</v>
      </c>
      <c r="S300" t="s">
        <v>2531</v>
      </c>
      <c r="U300" s="80" t="s">
        <v>2532</v>
      </c>
    </row>
    <row r="301" spans="1:27" x14ac:dyDescent="0.3">
      <c r="A301" s="20">
        <v>300</v>
      </c>
      <c r="B301" s="20">
        <v>296</v>
      </c>
      <c r="C301" s="8" t="s">
        <v>875</v>
      </c>
      <c r="D301" t="s">
        <v>874</v>
      </c>
      <c r="E301" s="80" t="s">
        <v>903</v>
      </c>
      <c r="F301" s="8" t="s">
        <v>904</v>
      </c>
      <c r="G301" s="14" t="s">
        <v>905</v>
      </c>
      <c r="I301" s="20" t="s">
        <v>15</v>
      </c>
      <c r="K301" s="20" t="s">
        <v>58</v>
      </c>
      <c r="L301" s="20" t="s">
        <v>58</v>
      </c>
      <c r="M301" s="20" t="s">
        <v>130</v>
      </c>
      <c r="R301" t="s">
        <v>2533</v>
      </c>
      <c r="S301" t="s">
        <v>2533</v>
      </c>
      <c r="U301" s="80" t="s">
        <v>2534</v>
      </c>
    </row>
    <row r="302" spans="1:27" x14ac:dyDescent="0.3">
      <c r="A302" s="20">
        <v>301</v>
      </c>
      <c r="B302" s="20">
        <v>297</v>
      </c>
      <c r="C302" s="8" t="s">
        <v>875</v>
      </c>
      <c r="D302" t="s">
        <v>874</v>
      </c>
      <c r="E302" s="80" t="s">
        <v>906</v>
      </c>
      <c r="F302" s="8" t="s">
        <v>907</v>
      </c>
      <c r="G302" s="14" t="s">
        <v>68</v>
      </c>
      <c r="I302" s="20" t="s">
        <v>65</v>
      </c>
      <c r="J302" s="20" t="s">
        <v>2015</v>
      </c>
      <c r="K302" s="20" t="s">
        <v>66</v>
      </c>
      <c r="L302" s="20" t="s">
        <v>66</v>
      </c>
      <c r="M302" s="20" t="s">
        <v>67</v>
      </c>
    </row>
    <row r="303" spans="1:27" x14ac:dyDescent="0.3">
      <c r="A303" s="20">
        <v>302</v>
      </c>
      <c r="B303" s="20">
        <v>298</v>
      </c>
      <c r="C303" s="8" t="s">
        <v>875</v>
      </c>
      <c r="D303" t="s">
        <v>874</v>
      </c>
      <c r="E303" s="80" t="s">
        <v>908</v>
      </c>
      <c r="F303" s="8" t="s">
        <v>909</v>
      </c>
      <c r="G303" s="14" t="s">
        <v>910</v>
      </c>
      <c r="I303" s="20" t="s">
        <v>15</v>
      </c>
      <c r="R303" t="s">
        <v>2535</v>
      </c>
      <c r="S303" t="s">
        <v>2535</v>
      </c>
      <c r="U303" s="80" t="s">
        <v>2536</v>
      </c>
    </row>
    <row r="304" spans="1:27" x14ac:dyDescent="0.3">
      <c r="A304" s="20">
        <v>303</v>
      </c>
      <c r="B304" s="20">
        <v>299</v>
      </c>
      <c r="C304" s="8" t="s">
        <v>875</v>
      </c>
      <c r="D304" t="s">
        <v>874</v>
      </c>
      <c r="E304" s="80" t="s">
        <v>911</v>
      </c>
      <c r="F304" s="8" t="s">
        <v>912</v>
      </c>
      <c r="G304" s="14" t="s">
        <v>913</v>
      </c>
      <c r="I304" s="20" t="s">
        <v>15</v>
      </c>
      <c r="Q304" t="s">
        <v>2537</v>
      </c>
      <c r="S304" t="s">
        <v>2538</v>
      </c>
      <c r="U304" s="80" t="s">
        <v>2538</v>
      </c>
    </row>
    <row r="305" spans="1:27" x14ac:dyDescent="0.3">
      <c r="A305" s="20">
        <v>304</v>
      </c>
      <c r="B305" s="20">
        <v>300</v>
      </c>
      <c r="C305" s="8" t="s">
        <v>875</v>
      </c>
      <c r="D305" t="s">
        <v>874</v>
      </c>
      <c r="E305" s="80" t="s">
        <v>914</v>
      </c>
      <c r="F305" s="8" t="s">
        <v>915</v>
      </c>
      <c r="G305" s="14" t="s">
        <v>916</v>
      </c>
      <c r="I305" s="20" t="s">
        <v>236</v>
      </c>
      <c r="P305" t="s">
        <v>2179</v>
      </c>
      <c r="R305" t="s">
        <v>911</v>
      </c>
      <c r="Z305" t="s">
        <v>11330</v>
      </c>
      <c r="AA305" t="s">
        <v>2539</v>
      </c>
    </row>
    <row r="306" spans="1:27" x14ac:dyDescent="0.3">
      <c r="A306" s="20">
        <v>305</v>
      </c>
      <c r="B306" s="20">
        <v>301</v>
      </c>
      <c r="C306" s="8" t="s">
        <v>875</v>
      </c>
      <c r="D306" t="s">
        <v>874</v>
      </c>
      <c r="E306" s="80" t="s">
        <v>917</v>
      </c>
      <c r="F306" s="8" t="s">
        <v>918</v>
      </c>
      <c r="G306" s="14" t="s">
        <v>919</v>
      </c>
      <c r="H306" s="15" t="s">
        <v>9794</v>
      </c>
      <c r="I306" s="20" t="s">
        <v>732</v>
      </c>
      <c r="K306" s="20" t="s">
        <v>58</v>
      </c>
      <c r="L306" s="20" t="s">
        <v>58</v>
      </c>
      <c r="M306" s="20" t="s">
        <v>66</v>
      </c>
      <c r="P306" t="s">
        <v>2179</v>
      </c>
      <c r="R306" t="s">
        <v>911</v>
      </c>
      <c r="AA306" t="s">
        <v>2540</v>
      </c>
    </row>
    <row r="307" spans="1:27" x14ac:dyDescent="0.3">
      <c r="A307" s="20">
        <v>306</v>
      </c>
      <c r="B307" s="20">
        <v>302</v>
      </c>
      <c r="C307" s="8" t="s">
        <v>875</v>
      </c>
      <c r="D307" t="s">
        <v>874</v>
      </c>
      <c r="E307" s="80" t="s">
        <v>920</v>
      </c>
      <c r="F307" s="8" t="s">
        <v>921</v>
      </c>
      <c r="G307" s="14" t="s">
        <v>68</v>
      </c>
      <c r="I307" s="20" t="s">
        <v>65</v>
      </c>
      <c r="J307" s="20" t="s">
        <v>2015</v>
      </c>
      <c r="P307" t="s">
        <v>2541</v>
      </c>
      <c r="R307" t="s">
        <v>2542</v>
      </c>
      <c r="S307" t="s">
        <v>2543</v>
      </c>
      <c r="U307" s="80" t="s">
        <v>2543</v>
      </c>
      <c r="AA307" t="s">
        <v>2544</v>
      </c>
    </row>
    <row r="308" spans="1:27" x14ac:dyDescent="0.3">
      <c r="A308" s="20">
        <v>307</v>
      </c>
      <c r="B308" s="20">
        <v>303</v>
      </c>
      <c r="C308" s="8" t="s">
        <v>875</v>
      </c>
      <c r="D308" t="s">
        <v>874</v>
      </c>
      <c r="E308" s="80" t="s">
        <v>922</v>
      </c>
      <c r="F308" s="8" t="s">
        <v>923</v>
      </c>
      <c r="G308" s="14" t="s">
        <v>924</v>
      </c>
      <c r="H308" s="15" t="s">
        <v>9795</v>
      </c>
      <c r="I308" s="20" t="s">
        <v>65</v>
      </c>
      <c r="J308" s="20" t="s">
        <v>2020</v>
      </c>
      <c r="K308" s="20" t="s">
        <v>58</v>
      </c>
      <c r="L308" s="20" t="s">
        <v>58</v>
      </c>
      <c r="M308" s="20" t="s">
        <v>66</v>
      </c>
      <c r="P308" t="s">
        <v>2179</v>
      </c>
      <c r="R308" t="s">
        <v>2542</v>
      </c>
      <c r="S308" t="s">
        <v>2545</v>
      </c>
      <c r="U308" s="80" t="s">
        <v>2545</v>
      </c>
      <c r="AA308" t="s">
        <v>2546</v>
      </c>
    </row>
    <row r="309" spans="1:27" x14ac:dyDescent="0.3">
      <c r="A309" s="20">
        <v>308</v>
      </c>
      <c r="B309" s="20">
        <v>304</v>
      </c>
      <c r="C309" s="8" t="s">
        <v>875</v>
      </c>
      <c r="D309" t="s">
        <v>874</v>
      </c>
      <c r="E309" s="80" t="s">
        <v>925</v>
      </c>
      <c r="F309" s="8" t="s">
        <v>926</v>
      </c>
      <c r="G309" s="14" t="s">
        <v>927</v>
      </c>
      <c r="H309" s="15" t="s">
        <v>9796</v>
      </c>
      <c r="I309" s="20" t="s">
        <v>65</v>
      </c>
      <c r="J309" s="20" t="s">
        <v>2021</v>
      </c>
      <c r="K309" s="20" t="s">
        <v>66</v>
      </c>
      <c r="L309" s="20" t="s">
        <v>66</v>
      </c>
      <c r="M309" s="20" t="s">
        <v>66</v>
      </c>
      <c r="P309" t="s">
        <v>2179</v>
      </c>
      <c r="R309" t="s">
        <v>2542</v>
      </c>
      <c r="S309" t="s">
        <v>2547</v>
      </c>
      <c r="U309" s="80" t="s">
        <v>2547</v>
      </c>
      <c r="AA309" t="s">
        <v>2548</v>
      </c>
    </row>
    <row r="310" spans="1:27" x14ac:dyDescent="0.3">
      <c r="A310" s="20">
        <v>309</v>
      </c>
      <c r="B310" s="20">
        <v>305</v>
      </c>
      <c r="C310" s="8" t="s">
        <v>875</v>
      </c>
      <c r="D310" t="s">
        <v>874</v>
      </c>
      <c r="E310" s="80" t="s">
        <v>928</v>
      </c>
      <c r="F310" s="8" t="s">
        <v>929</v>
      </c>
      <c r="G310" s="14" t="s">
        <v>930</v>
      </c>
      <c r="I310" s="20" t="s">
        <v>65</v>
      </c>
      <c r="J310" s="20" t="s">
        <v>2026</v>
      </c>
      <c r="K310" s="20" t="s">
        <v>67</v>
      </c>
      <c r="L310" s="20" t="s">
        <v>67</v>
      </c>
      <c r="M310" s="20" t="s">
        <v>67</v>
      </c>
      <c r="P310" t="s">
        <v>2179</v>
      </c>
      <c r="R310" t="s">
        <v>2542</v>
      </c>
      <c r="S310" t="s">
        <v>2549</v>
      </c>
      <c r="U310" s="80" t="s">
        <v>2549</v>
      </c>
      <c r="W310" s="8" t="s">
        <v>2550</v>
      </c>
      <c r="AA310" t="s">
        <v>2551</v>
      </c>
    </row>
    <row r="311" spans="1:27" x14ac:dyDescent="0.3">
      <c r="A311" s="20">
        <v>310</v>
      </c>
      <c r="B311" s="20">
        <v>306</v>
      </c>
      <c r="C311" s="8" t="s">
        <v>875</v>
      </c>
      <c r="D311" t="s">
        <v>874</v>
      </c>
      <c r="E311" s="80" t="s">
        <v>931</v>
      </c>
      <c r="F311" s="8" t="s">
        <v>932</v>
      </c>
      <c r="G311" s="14" t="s">
        <v>933</v>
      </c>
      <c r="H311" s="15" t="s">
        <v>9797</v>
      </c>
      <c r="I311" s="20" t="s">
        <v>65</v>
      </c>
      <c r="J311" s="20" t="s">
        <v>2027</v>
      </c>
      <c r="K311" s="20" t="s">
        <v>67</v>
      </c>
      <c r="L311" s="20" t="s">
        <v>67</v>
      </c>
      <c r="M311" s="20" t="s">
        <v>67</v>
      </c>
      <c r="P311" t="s">
        <v>2552</v>
      </c>
      <c r="R311" t="s">
        <v>2171</v>
      </c>
      <c r="S311" t="s">
        <v>2553</v>
      </c>
      <c r="U311" s="80" t="s">
        <v>2553</v>
      </c>
      <c r="Z311" t="s">
        <v>11331</v>
      </c>
      <c r="AA311" t="s">
        <v>2554</v>
      </c>
    </row>
    <row r="312" spans="1:27" x14ac:dyDescent="0.3">
      <c r="A312" s="20">
        <v>311</v>
      </c>
      <c r="B312" s="20">
        <v>307</v>
      </c>
      <c r="C312" s="8" t="s">
        <v>875</v>
      </c>
      <c r="D312" t="s">
        <v>874</v>
      </c>
      <c r="E312" s="80" t="s">
        <v>934</v>
      </c>
      <c r="F312" s="8" t="s">
        <v>935</v>
      </c>
      <c r="G312" s="14" t="s">
        <v>936</v>
      </c>
      <c r="H312" s="15" t="s">
        <v>9798</v>
      </c>
      <c r="I312" s="20" t="s">
        <v>65</v>
      </c>
      <c r="J312" s="20" t="s">
        <v>2028</v>
      </c>
      <c r="K312" s="20" t="s">
        <v>67</v>
      </c>
      <c r="L312" s="20" t="s">
        <v>67</v>
      </c>
      <c r="M312" s="20" t="s">
        <v>67</v>
      </c>
      <c r="P312" t="s">
        <v>2552</v>
      </c>
      <c r="R312" t="s">
        <v>2171</v>
      </c>
      <c r="S312" t="s">
        <v>2555</v>
      </c>
      <c r="U312" s="80" t="s">
        <v>2555</v>
      </c>
      <c r="Z312" t="s">
        <v>11331</v>
      </c>
      <c r="AA312" t="s">
        <v>2554</v>
      </c>
    </row>
    <row r="313" spans="1:27" x14ac:dyDescent="0.3">
      <c r="A313" s="20">
        <v>312</v>
      </c>
      <c r="B313" s="20">
        <v>308</v>
      </c>
      <c r="C313" s="8" t="s">
        <v>875</v>
      </c>
      <c r="D313" t="s">
        <v>874</v>
      </c>
      <c r="E313" s="80" t="s">
        <v>937</v>
      </c>
      <c r="F313" s="8" t="s">
        <v>938</v>
      </c>
      <c r="G313" s="14" t="s">
        <v>939</v>
      </c>
      <c r="H313" s="15" t="s">
        <v>9799</v>
      </c>
      <c r="I313" s="20" t="s">
        <v>65</v>
      </c>
      <c r="J313" s="20" t="s">
        <v>2029</v>
      </c>
      <c r="K313" s="20" t="s">
        <v>66</v>
      </c>
      <c r="L313" s="20" t="s">
        <v>66</v>
      </c>
      <c r="M313" s="20" t="s">
        <v>66</v>
      </c>
      <c r="P313" t="s">
        <v>2179</v>
      </c>
      <c r="R313" t="s">
        <v>2542</v>
      </c>
      <c r="S313" t="s">
        <v>2556</v>
      </c>
      <c r="U313" s="80" t="s">
        <v>2556</v>
      </c>
      <c r="AA313" t="s">
        <v>2557</v>
      </c>
    </row>
    <row r="314" spans="1:27" x14ac:dyDescent="0.3">
      <c r="A314" s="20">
        <v>313</v>
      </c>
      <c r="B314" s="20">
        <v>309</v>
      </c>
      <c r="C314" s="8" t="s">
        <v>875</v>
      </c>
      <c r="D314" t="s">
        <v>874</v>
      </c>
      <c r="E314" s="80" t="s">
        <v>940</v>
      </c>
      <c r="F314" s="8" t="s">
        <v>941</v>
      </c>
      <c r="G314" s="14" t="s">
        <v>942</v>
      </c>
      <c r="I314" s="20" t="s">
        <v>19</v>
      </c>
      <c r="N314" s="20" t="s">
        <v>2166</v>
      </c>
    </row>
    <row r="315" spans="1:27" x14ac:dyDescent="0.3">
      <c r="A315" s="20">
        <v>314</v>
      </c>
      <c r="B315" s="20">
        <v>310</v>
      </c>
      <c r="C315" s="8" t="s">
        <v>944</v>
      </c>
      <c r="D315" t="s">
        <v>943</v>
      </c>
      <c r="E315" s="80" t="s">
        <v>945</v>
      </c>
      <c r="F315" s="8" t="s">
        <v>946</v>
      </c>
      <c r="G315" s="14" t="s">
        <v>68</v>
      </c>
      <c r="I315" s="20" t="s">
        <v>65</v>
      </c>
      <c r="J315" s="20" t="s">
        <v>2015</v>
      </c>
    </row>
    <row r="316" spans="1:27" x14ac:dyDescent="0.3">
      <c r="A316" s="20">
        <v>315</v>
      </c>
      <c r="B316" s="20">
        <v>311</v>
      </c>
      <c r="C316" s="8" t="s">
        <v>944</v>
      </c>
      <c r="D316" t="s">
        <v>943</v>
      </c>
      <c r="E316" s="80" t="s">
        <v>947</v>
      </c>
      <c r="F316" s="8" t="s">
        <v>948</v>
      </c>
      <c r="G316" s="14" t="s">
        <v>949</v>
      </c>
      <c r="H316" s="15" t="s">
        <v>9800</v>
      </c>
      <c r="I316" s="20" t="s">
        <v>65</v>
      </c>
      <c r="J316" s="20" t="s">
        <v>2030</v>
      </c>
      <c r="K316" s="20" t="s">
        <v>732</v>
      </c>
      <c r="M316" s="20" t="s">
        <v>66</v>
      </c>
      <c r="P316" t="s">
        <v>2179</v>
      </c>
      <c r="R316" t="s">
        <v>2558</v>
      </c>
      <c r="AA316" t="s">
        <v>2559</v>
      </c>
    </row>
    <row r="317" spans="1:27" x14ac:dyDescent="0.3">
      <c r="A317" s="20">
        <v>316</v>
      </c>
      <c r="B317" s="20">
        <v>312</v>
      </c>
      <c r="C317" s="8" t="s">
        <v>951</v>
      </c>
      <c r="D317" t="s">
        <v>950</v>
      </c>
      <c r="E317" s="80" t="s">
        <v>952</v>
      </c>
      <c r="F317" s="8" t="s">
        <v>953</v>
      </c>
      <c r="G317" s="14" t="s">
        <v>954</v>
      </c>
      <c r="I317" s="20" t="s">
        <v>15</v>
      </c>
      <c r="S317" t="s">
        <v>2560</v>
      </c>
      <c r="U317" s="80" t="s">
        <v>2561</v>
      </c>
      <c r="Y317" s="8" t="s">
        <v>11389</v>
      </c>
    </row>
    <row r="318" spans="1:27" x14ac:dyDescent="0.3">
      <c r="A318" s="20">
        <v>317</v>
      </c>
      <c r="B318" s="20">
        <v>313</v>
      </c>
      <c r="C318" s="8" t="s">
        <v>951</v>
      </c>
      <c r="D318" t="s">
        <v>950</v>
      </c>
      <c r="E318" s="80" t="s">
        <v>955</v>
      </c>
      <c r="F318" s="8" t="s">
        <v>956</v>
      </c>
      <c r="G318" s="14" t="s">
        <v>957</v>
      </c>
      <c r="I318" s="20" t="s">
        <v>50</v>
      </c>
      <c r="N318" s="20" t="s">
        <v>2166</v>
      </c>
      <c r="P318" t="s">
        <v>2179</v>
      </c>
      <c r="Q318" t="s">
        <v>2562</v>
      </c>
      <c r="S318" t="s">
        <v>2563</v>
      </c>
      <c r="Z318" t="s">
        <v>11332</v>
      </c>
      <c r="AA318" t="s">
        <v>2564</v>
      </c>
    </row>
    <row r="319" spans="1:27" x14ac:dyDescent="0.3">
      <c r="A319" s="20">
        <v>318</v>
      </c>
      <c r="B319" s="20">
        <v>314</v>
      </c>
      <c r="C319" s="8" t="s">
        <v>951</v>
      </c>
      <c r="D319" t="s">
        <v>950</v>
      </c>
      <c r="E319" s="80" t="s">
        <v>958</v>
      </c>
      <c r="F319" s="8" t="s">
        <v>959</v>
      </c>
      <c r="G319" s="14" t="s">
        <v>960</v>
      </c>
      <c r="I319" s="20" t="s">
        <v>15</v>
      </c>
    </row>
    <row r="320" spans="1:27" x14ac:dyDescent="0.3">
      <c r="A320" s="20">
        <v>319</v>
      </c>
      <c r="B320" s="20">
        <v>315</v>
      </c>
      <c r="C320" s="8" t="s">
        <v>951</v>
      </c>
      <c r="D320" t="s">
        <v>950</v>
      </c>
      <c r="E320" s="80" t="s">
        <v>961</v>
      </c>
      <c r="F320" s="8" t="s">
        <v>962</v>
      </c>
      <c r="G320" s="14" t="s">
        <v>68</v>
      </c>
      <c r="H320" s="15" t="s">
        <v>9708</v>
      </c>
      <c r="I320" s="20" t="s">
        <v>65</v>
      </c>
      <c r="J320" s="20" t="s">
        <v>2015</v>
      </c>
    </row>
    <row r="321" spans="1:27" x14ac:dyDescent="0.3">
      <c r="A321" s="20">
        <v>320</v>
      </c>
      <c r="B321" s="20">
        <v>316</v>
      </c>
      <c r="C321" s="8" t="s">
        <v>951</v>
      </c>
      <c r="D321" t="s">
        <v>950</v>
      </c>
      <c r="E321" s="80" t="s">
        <v>963</v>
      </c>
      <c r="F321" s="8" t="s">
        <v>964</v>
      </c>
      <c r="G321" s="14" t="s">
        <v>43</v>
      </c>
      <c r="I321" s="20" t="s">
        <v>15</v>
      </c>
    </row>
    <row r="322" spans="1:27" x14ac:dyDescent="0.3">
      <c r="A322" s="20">
        <v>321</v>
      </c>
      <c r="B322" s="20">
        <v>317</v>
      </c>
      <c r="C322" s="8" t="s">
        <v>966</v>
      </c>
      <c r="D322" t="s">
        <v>965</v>
      </c>
      <c r="E322" s="80" t="s">
        <v>967</v>
      </c>
      <c r="F322" s="8" t="s">
        <v>968</v>
      </c>
      <c r="G322" s="14" t="s">
        <v>969</v>
      </c>
      <c r="I322" s="20" t="s">
        <v>15</v>
      </c>
      <c r="N322" s="20" t="s">
        <v>2166</v>
      </c>
      <c r="S322" t="s">
        <v>2565</v>
      </c>
    </row>
    <row r="323" spans="1:27" x14ac:dyDescent="0.3">
      <c r="A323" s="20">
        <v>322</v>
      </c>
      <c r="B323" s="20">
        <v>318</v>
      </c>
      <c r="C323" s="8" t="s">
        <v>966</v>
      </c>
      <c r="D323" t="s">
        <v>965</v>
      </c>
      <c r="E323" s="80" t="s">
        <v>970</v>
      </c>
      <c r="F323" s="8" t="s">
        <v>971</v>
      </c>
      <c r="G323" s="14" t="s">
        <v>972</v>
      </c>
      <c r="I323" s="20" t="s">
        <v>15</v>
      </c>
    </row>
    <row r="324" spans="1:27" x14ac:dyDescent="0.3">
      <c r="A324" s="20">
        <v>323</v>
      </c>
      <c r="B324" s="20">
        <v>319</v>
      </c>
      <c r="C324" s="8" t="s">
        <v>974</v>
      </c>
      <c r="D324" t="s">
        <v>973</v>
      </c>
      <c r="E324" s="80" t="s">
        <v>975</v>
      </c>
      <c r="F324" s="8" t="s">
        <v>976</v>
      </c>
      <c r="G324" s="14" t="s">
        <v>977</v>
      </c>
      <c r="I324" s="20" t="s">
        <v>65</v>
      </c>
      <c r="J324" s="20" t="s">
        <v>2015</v>
      </c>
      <c r="K324" s="20" t="s">
        <v>732</v>
      </c>
      <c r="P324" t="s">
        <v>2179</v>
      </c>
      <c r="R324" t="s">
        <v>2566</v>
      </c>
      <c r="S324" t="s">
        <v>2567</v>
      </c>
      <c r="U324" s="80" t="s">
        <v>2566</v>
      </c>
      <c r="X324" s="8" t="s">
        <v>2568</v>
      </c>
      <c r="AA324" t="s">
        <v>2569</v>
      </c>
    </row>
    <row r="325" spans="1:27" x14ac:dyDescent="0.3">
      <c r="A325" s="20">
        <v>324</v>
      </c>
      <c r="B325" s="20">
        <v>320</v>
      </c>
      <c r="C325" s="8" t="s">
        <v>974</v>
      </c>
      <c r="D325" t="s">
        <v>973</v>
      </c>
      <c r="E325" s="80" t="s">
        <v>978</v>
      </c>
      <c r="F325" s="8" t="s">
        <v>979</v>
      </c>
      <c r="G325" s="14" t="s">
        <v>977</v>
      </c>
      <c r="I325" s="20" t="s">
        <v>65</v>
      </c>
      <c r="J325" s="20" t="s">
        <v>2015</v>
      </c>
      <c r="K325" s="20" t="s">
        <v>732</v>
      </c>
      <c r="P325" t="s">
        <v>2179</v>
      </c>
      <c r="R325" t="s">
        <v>2566</v>
      </c>
      <c r="AA325" t="s">
        <v>2570</v>
      </c>
    </row>
    <row r="326" spans="1:27" x14ac:dyDescent="0.3">
      <c r="A326" s="20">
        <v>325</v>
      </c>
      <c r="B326" s="20">
        <v>321</v>
      </c>
      <c r="C326" s="8" t="s">
        <v>974</v>
      </c>
      <c r="D326" t="s">
        <v>973</v>
      </c>
      <c r="E326" s="80" t="s">
        <v>980</v>
      </c>
      <c r="F326" s="8" t="s">
        <v>981</v>
      </c>
      <c r="G326" s="14" t="s">
        <v>68</v>
      </c>
      <c r="H326" s="15" t="s">
        <v>9801</v>
      </c>
      <c r="I326" s="20" t="s">
        <v>65</v>
      </c>
      <c r="J326" s="20" t="s">
        <v>2015</v>
      </c>
    </row>
    <row r="327" spans="1:27" x14ac:dyDescent="0.3">
      <c r="A327" s="20">
        <v>326</v>
      </c>
      <c r="B327" s="20">
        <v>322</v>
      </c>
      <c r="C327" s="8" t="s">
        <v>974</v>
      </c>
      <c r="D327" t="s">
        <v>973</v>
      </c>
      <c r="E327" s="80" t="s">
        <v>982</v>
      </c>
      <c r="F327" s="8" t="s">
        <v>983</v>
      </c>
      <c r="G327" s="14" t="s">
        <v>68</v>
      </c>
      <c r="H327" s="15" t="s">
        <v>9802</v>
      </c>
      <c r="I327" s="20" t="s">
        <v>65</v>
      </c>
      <c r="J327" s="20" t="s">
        <v>2015</v>
      </c>
      <c r="Y327" s="8" t="s">
        <v>11390</v>
      </c>
    </row>
    <row r="328" spans="1:27" x14ac:dyDescent="0.3">
      <c r="A328" s="20">
        <v>327</v>
      </c>
      <c r="B328" s="20">
        <v>323</v>
      </c>
      <c r="C328" s="8" t="s">
        <v>974</v>
      </c>
      <c r="D328" t="s">
        <v>973</v>
      </c>
      <c r="E328" s="80" t="s">
        <v>984</v>
      </c>
      <c r="F328" s="8" t="s">
        <v>985</v>
      </c>
      <c r="G328" s="14" t="s">
        <v>68</v>
      </c>
      <c r="I328" s="20" t="s">
        <v>65</v>
      </c>
      <c r="J328" s="20" t="s">
        <v>2015</v>
      </c>
      <c r="K328" s="20" t="s">
        <v>406</v>
      </c>
      <c r="L328" s="20" t="s">
        <v>406</v>
      </c>
      <c r="N328" s="20" t="s">
        <v>2166</v>
      </c>
      <c r="Y328" s="8" t="s">
        <v>11391</v>
      </c>
    </row>
    <row r="329" spans="1:27" x14ac:dyDescent="0.3">
      <c r="A329" s="20">
        <v>328</v>
      </c>
      <c r="B329" s="20">
        <v>324</v>
      </c>
      <c r="C329" s="8" t="s">
        <v>974</v>
      </c>
      <c r="D329" t="s">
        <v>973</v>
      </c>
      <c r="E329" s="80" t="s">
        <v>986</v>
      </c>
      <c r="F329" s="8" t="s">
        <v>987</v>
      </c>
      <c r="G329" s="14" t="s">
        <v>988</v>
      </c>
      <c r="I329" s="20" t="s">
        <v>10</v>
      </c>
      <c r="N329" s="20" t="s">
        <v>2166</v>
      </c>
      <c r="Y329" s="8" t="s">
        <v>11392</v>
      </c>
    </row>
    <row r="330" spans="1:27" x14ac:dyDescent="0.3">
      <c r="A330" s="20">
        <v>329</v>
      </c>
      <c r="B330" s="20">
        <v>325</v>
      </c>
      <c r="C330" s="8" t="s">
        <v>974</v>
      </c>
      <c r="D330" t="s">
        <v>973</v>
      </c>
      <c r="E330" s="80" t="s">
        <v>989</v>
      </c>
      <c r="F330" s="8" t="s">
        <v>990</v>
      </c>
      <c r="G330" s="14" t="s">
        <v>68</v>
      </c>
      <c r="I330" s="20" t="s">
        <v>65</v>
      </c>
      <c r="J330" s="20" t="s">
        <v>2015</v>
      </c>
      <c r="K330" s="20" t="s">
        <v>732</v>
      </c>
      <c r="P330" t="s">
        <v>2179</v>
      </c>
      <c r="R330" t="s">
        <v>2571</v>
      </c>
      <c r="AA330" t="s">
        <v>2572</v>
      </c>
    </row>
    <row r="331" spans="1:27" x14ac:dyDescent="0.3">
      <c r="A331" s="20">
        <v>330</v>
      </c>
      <c r="B331" s="20">
        <v>326</v>
      </c>
      <c r="C331" s="8" t="s">
        <v>974</v>
      </c>
      <c r="D331" t="s">
        <v>973</v>
      </c>
      <c r="E331" s="80" t="s">
        <v>991</v>
      </c>
      <c r="F331" s="8" t="s">
        <v>992</v>
      </c>
      <c r="G331" s="14" t="s">
        <v>822</v>
      </c>
      <c r="I331" s="20" t="s">
        <v>10</v>
      </c>
      <c r="N331" s="20" t="s">
        <v>2166</v>
      </c>
      <c r="Y331" s="8" t="s">
        <v>11393</v>
      </c>
    </row>
    <row r="332" spans="1:27" x14ac:dyDescent="0.3">
      <c r="A332" s="20">
        <v>331</v>
      </c>
      <c r="B332" s="20">
        <v>327</v>
      </c>
      <c r="C332" s="8" t="s">
        <v>974</v>
      </c>
      <c r="D332" t="s">
        <v>973</v>
      </c>
      <c r="E332" s="80" t="s">
        <v>993</v>
      </c>
      <c r="F332" s="8" t="s">
        <v>994</v>
      </c>
      <c r="G332" s="14" t="s">
        <v>995</v>
      </c>
      <c r="I332" s="20" t="s">
        <v>15</v>
      </c>
      <c r="R332" t="s">
        <v>2573</v>
      </c>
      <c r="U332" s="80" t="s">
        <v>2573</v>
      </c>
      <c r="X332" s="8" t="s">
        <v>2574</v>
      </c>
    </row>
    <row r="333" spans="1:27" x14ac:dyDescent="0.3">
      <c r="A333" s="20">
        <v>332</v>
      </c>
      <c r="B333" s="20">
        <v>328</v>
      </c>
      <c r="C333" s="8" t="s">
        <v>974</v>
      </c>
      <c r="D333" t="s">
        <v>973</v>
      </c>
      <c r="E333" s="80" t="s">
        <v>996</v>
      </c>
      <c r="F333" s="8" t="s">
        <v>997</v>
      </c>
      <c r="G333" s="14" t="s">
        <v>998</v>
      </c>
      <c r="H333" s="15" t="s">
        <v>9803</v>
      </c>
      <c r="I333" s="20" t="s">
        <v>65</v>
      </c>
      <c r="J333" s="20" t="s">
        <v>2015</v>
      </c>
      <c r="K333" s="20" t="s">
        <v>58</v>
      </c>
      <c r="L333" s="20" t="s">
        <v>58</v>
      </c>
      <c r="M333" s="20" t="s">
        <v>66</v>
      </c>
      <c r="R333" t="s">
        <v>2575</v>
      </c>
      <c r="S333" t="s">
        <v>2576</v>
      </c>
      <c r="U333" s="80" t="s">
        <v>2577</v>
      </c>
    </row>
    <row r="334" spans="1:27" x14ac:dyDescent="0.3">
      <c r="A334" s="20">
        <v>333</v>
      </c>
      <c r="B334" s="20">
        <v>329</v>
      </c>
      <c r="C334" s="8" t="s">
        <v>974</v>
      </c>
      <c r="D334" t="s">
        <v>973</v>
      </c>
      <c r="E334" s="80" t="s">
        <v>999</v>
      </c>
      <c r="F334" s="8" t="s">
        <v>1000</v>
      </c>
      <c r="G334" s="14" t="s">
        <v>1001</v>
      </c>
      <c r="I334" s="20" t="s">
        <v>19</v>
      </c>
      <c r="N334" s="20" t="s">
        <v>2166</v>
      </c>
      <c r="Q334" t="s">
        <v>2186</v>
      </c>
      <c r="R334" t="s">
        <v>2171</v>
      </c>
      <c r="Z334" t="s">
        <v>11333</v>
      </c>
    </row>
    <row r="335" spans="1:27" x14ac:dyDescent="0.3">
      <c r="A335" s="20">
        <v>334</v>
      </c>
      <c r="B335" s="20">
        <v>330</v>
      </c>
      <c r="C335" s="8" t="s">
        <v>974</v>
      </c>
      <c r="D335" t="s">
        <v>973</v>
      </c>
      <c r="E335" s="80" t="s">
        <v>1002</v>
      </c>
      <c r="F335" s="8" t="s">
        <v>1003</v>
      </c>
      <c r="G335" s="14" t="s">
        <v>43</v>
      </c>
      <c r="I335" s="20" t="s">
        <v>15</v>
      </c>
    </row>
    <row r="336" spans="1:27" x14ac:dyDescent="0.3">
      <c r="A336" s="20">
        <v>335</v>
      </c>
      <c r="B336" s="20">
        <v>331</v>
      </c>
      <c r="C336" s="8" t="s">
        <v>974</v>
      </c>
      <c r="D336" t="s">
        <v>973</v>
      </c>
      <c r="E336" s="80" t="s">
        <v>1004</v>
      </c>
      <c r="F336" s="8" t="s">
        <v>1005</v>
      </c>
      <c r="G336" s="14" t="s">
        <v>1006</v>
      </c>
      <c r="H336" s="15" t="s">
        <v>9804</v>
      </c>
      <c r="I336" s="20" t="s">
        <v>15</v>
      </c>
    </row>
    <row r="337" spans="1:27" x14ac:dyDescent="0.3">
      <c r="A337" s="20">
        <v>336</v>
      </c>
      <c r="B337" s="20">
        <v>332</v>
      </c>
      <c r="C337" s="8" t="s">
        <v>974</v>
      </c>
      <c r="D337" t="s">
        <v>973</v>
      </c>
      <c r="E337" s="80" t="s">
        <v>1007</v>
      </c>
      <c r="F337" s="8" t="s">
        <v>1008</v>
      </c>
      <c r="G337" s="14" t="s">
        <v>43</v>
      </c>
      <c r="I337" s="20" t="s">
        <v>15</v>
      </c>
      <c r="R337" t="s">
        <v>2578</v>
      </c>
      <c r="S337" t="s">
        <v>2578</v>
      </c>
      <c r="U337" s="80" t="s">
        <v>2579</v>
      </c>
    </row>
    <row r="338" spans="1:27" x14ac:dyDescent="0.3">
      <c r="A338" s="20">
        <v>337</v>
      </c>
      <c r="B338" s="20">
        <v>333</v>
      </c>
      <c r="C338" s="8" t="s">
        <v>974</v>
      </c>
      <c r="D338" t="s">
        <v>973</v>
      </c>
      <c r="E338" s="80" t="s">
        <v>1009</v>
      </c>
      <c r="F338" s="8" t="s">
        <v>1010</v>
      </c>
      <c r="G338" s="14" t="s">
        <v>1011</v>
      </c>
      <c r="I338" s="20" t="s">
        <v>317</v>
      </c>
      <c r="P338" t="s">
        <v>2174</v>
      </c>
      <c r="Q338" t="s">
        <v>2336</v>
      </c>
      <c r="R338" t="s">
        <v>2580</v>
      </c>
      <c r="Z338" t="s">
        <v>123</v>
      </c>
      <c r="AA338" t="s">
        <v>2581</v>
      </c>
    </row>
    <row r="339" spans="1:27" x14ac:dyDescent="0.3">
      <c r="A339" s="20">
        <v>338</v>
      </c>
      <c r="B339" s="20">
        <v>334</v>
      </c>
      <c r="C339" s="8" t="s">
        <v>974</v>
      </c>
      <c r="D339" t="s">
        <v>973</v>
      </c>
      <c r="E339" s="80" t="s">
        <v>1012</v>
      </c>
      <c r="F339" s="8" t="s">
        <v>1013</v>
      </c>
      <c r="G339" s="14" t="s">
        <v>1014</v>
      </c>
      <c r="I339" s="20" t="s">
        <v>15</v>
      </c>
    </row>
    <row r="340" spans="1:27" x14ac:dyDescent="0.3">
      <c r="A340" s="20">
        <v>339</v>
      </c>
      <c r="B340" s="20">
        <v>335</v>
      </c>
      <c r="C340" s="8" t="s">
        <v>1016</v>
      </c>
      <c r="D340" t="s">
        <v>1015</v>
      </c>
      <c r="E340" s="80" t="s">
        <v>1017</v>
      </c>
      <c r="F340" s="8" t="s">
        <v>1018</v>
      </c>
      <c r="G340" s="14" t="s">
        <v>68</v>
      </c>
      <c r="I340" s="20" t="s">
        <v>65</v>
      </c>
      <c r="J340" s="20" t="s">
        <v>2015</v>
      </c>
    </row>
    <row r="341" spans="1:27" x14ac:dyDescent="0.3">
      <c r="A341" s="20">
        <v>340</v>
      </c>
      <c r="B341" s="20">
        <v>336</v>
      </c>
      <c r="C341" s="8" t="s">
        <v>1020</v>
      </c>
      <c r="D341" t="s">
        <v>1019</v>
      </c>
      <c r="E341" s="80" t="s">
        <v>1021</v>
      </c>
      <c r="F341" s="8" t="s">
        <v>1022</v>
      </c>
      <c r="G341" s="14" t="s">
        <v>1023</v>
      </c>
      <c r="I341" s="20" t="s">
        <v>15</v>
      </c>
      <c r="R341" t="s">
        <v>2582</v>
      </c>
      <c r="S341" t="s">
        <v>2582</v>
      </c>
    </row>
    <row r="342" spans="1:27" x14ac:dyDescent="0.3">
      <c r="A342" s="20">
        <v>341</v>
      </c>
      <c r="B342" s="20">
        <v>337</v>
      </c>
      <c r="C342" s="8" t="s">
        <v>1025</v>
      </c>
      <c r="D342" t="s">
        <v>1024</v>
      </c>
      <c r="E342" s="80" t="s">
        <v>1026</v>
      </c>
      <c r="F342" s="8" t="s">
        <v>1027</v>
      </c>
      <c r="G342" s="14" t="s">
        <v>68</v>
      </c>
      <c r="I342" s="20" t="s">
        <v>65</v>
      </c>
      <c r="J342" s="20" t="s">
        <v>2015</v>
      </c>
      <c r="R342" t="s">
        <v>2583</v>
      </c>
      <c r="S342" t="s">
        <v>2584</v>
      </c>
      <c r="U342" s="80" t="s">
        <v>2584</v>
      </c>
    </row>
    <row r="343" spans="1:27" x14ac:dyDescent="0.3">
      <c r="A343" s="20">
        <v>342</v>
      </c>
      <c r="B343" s="20">
        <v>338</v>
      </c>
      <c r="C343" s="8" t="s">
        <v>1025</v>
      </c>
      <c r="D343" t="s">
        <v>1024</v>
      </c>
      <c r="E343" s="80" t="s">
        <v>2587</v>
      </c>
      <c r="F343" s="8" t="s">
        <v>1029</v>
      </c>
      <c r="G343" s="14" t="s">
        <v>68</v>
      </c>
      <c r="H343" s="15" t="s">
        <v>9805</v>
      </c>
      <c r="I343" s="20" t="s">
        <v>65</v>
      </c>
      <c r="J343" s="20" t="s">
        <v>2025</v>
      </c>
      <c r="K343" s="20" t="s">
        <v>66</v>
      </c>
      <c r="L343" s="20" t="s">
        <v>66</v>
      </c>
      <c r="M343" s="20" t="s">
        <v>66</v>
      </c>
      <c r="R343" t="s">
        <v>2585</v>
      </c>
      <c r="S343" t="s">
        <v>2586</v>
      </c>
      <c r="T343" t="s">
        <v>1028</v>
      </c>
      <c r="U343" s="80" t="s">
        <v>2586</v>
      </c>
    </row>
    <row r="344" spans="1:27" x14ac:dyDescent="0.3">
      <c r="A344" s="20">
        <v>343</v>
      </c>
      <c r="B344" s="20">
        <v>339</v>
      </c>
      <c r="C344" s="8" t="s">
        <v>1025</v>
      </c>
      <c r="D344" t="s">
        <v>1024</v>
      </c>
      <c r="E344" s="80" t="s">
        <v>1030</v>
      </c>
      <c r="F344" s="8" t="s">
        <v>1031</v>
      </c>
      <c r="G344" s="14" t="s">
        <v>43</v>
      </c>
      <c r="I344" s="20" t="s">
        <v>15</v>
      </c>
      <c r="Y344" s="8" t="s">
        <v>11394</v>
      </c>
    </row>
    <row r="345" spans="1:27" x14ac:dyDescent="0.3">
      <c r="A345" s="20">
        <v>344</v>
      </c>
      <c r="B345" s="20">
        <v>340</v>
      </c>
      <c r="C345" s="8" t="s">
        <v>1025</v>
      </c>
      <c r="D345" t="s">
        <v>1024</v>
      </c>
      <c r="E345" s="80" t="s">
        <v>1032</v>
      </c>
      <c r="F345" s="8" t="s">
        <v>1033</v>
      </c>
      <c r="G345" s="14" t="s">
        <v>215</v>
      </c>
      <c r="I345" s="20" t="s">
        <v>236</v>
      </c>
    </row>
    <row r="346" spans="1:27" x14ac:dyDescent="0.3">
      <c r="A346" s="20">
        <v>345</v>
      </c>
      <c r="B346" s="20">
        <v>341</v>
      </c>
      <c r="C346" s="8" t="s">
        <v>1025</v>
      </c>
      <c r="D346" t="s">
        <v>1024</v>
      </c>
      <c r="E346" s="80" t="s">
        <v>1034</v>
      </c>
      <c r="F346" s="8" t="s">
        <v>1035</v>
      </c>
      <c r="G346" s="14" t="s">
        <v>1036</v>
      </c>
      <c r="I346" s="20" t="s">
        <v>15</v>
      </c>
      <c r="X346" s="8" t="s">
        <v>2588</v>
      </c>
    </row>
    <row r="347" spans="1:27" x14ac:dyDescent="0.3">
      <c r="A347" s="20">
        <v>346</v>
      </c>
      <c r="B347" s="20">
        <v>342</v>
      </c>
      <c r="C347" s="8" t="s">
        <v>1025</v>
      </c>
      <c r="D347" t="s">
        <v>1024</v>
      </c>
      <c r="E347" s="80" t="s">
        <v>1037</v>
      </c>
      <c r="F347" s="8" t="s">
        <v>1038</v>
      </c>
      <c r="G347" s="14" t="s">
        <v>1039</v>
      </c>
      <c r="H347" s="15" t="s">
        <v>9806</v>
      </c>
      <c r="I347" s="20" t="s">
        <v>15</v>
      </c>
      <c r="N347" s="20" t="s">
        <v>2166</v>
      </c>
      <c r="Q347" t="s">
        <v>2209</v>
      </c>
    </row>
    <row r="348" spans="1:27" x14ac:dyDescent="0.3">
      <c r="A348" s="20">
        <v>347</v>
      </c>
      <c r="B348" s="20">
        <v>343</v>
      </c>
      <c r="C348" s="8" t="s">
        <v>1025</v>
      </c>
      <c r="D348" t="s">
        <v>1024</v>
      </c>
      <c r="E348" s="80" t="s">
        <v>2589</v>
      </c>
      <c r="F348" s="8" t="s">
        <v>1041</v>
      </c>
      <c r="G348" s="14" t="s">
        <v>68</v>
      </c>
      <c r="I348" s="20" t="s">
        <v>65</v>
      </c>
      <c r="J348" s="20" t="s">
        <v>2015</v>
      </c>
      <c r="K348" s="20" t="s">
        <v>66</v>
      </c>
      <c r="L348" s="20" t="s">
        <v>66</v>
      </c>
      <c r="M348" s="20" t="s">
        <v>66</v>
      </c>
      <c r="T348" t="s">
        <v>1040</v>
      </c>
      <c r="Y348" s="8" t="s">
        <v>11395</v>
      </c>
    </row>
    <row r="349" spans="1:27" x14ac:dyDescent="0.3">
      <c r="A349" s="20">
        <v>348</v>
      </c>
      <c r="B349" s="20">
        <v>344</v>
      </c>
      <c r="C349" s="8" t="s">
        <v>1025</v>
      </c>
      <c r="D349" t="s">
        <v>1024</v>
      </c>
      <c r="E349" s="80" t="s">
        <v>1042</v>
      </c>
      <c r="F349" s="8" t="s">
        <v>1043</v>
      </c>
      <c r="G349" s="14" t="s">
        <v>1044</v>
      </c>
      <c r="I349" s="20" t="s">
        <v>15</v>
      </c>
      <c r="P349" t="s">
        <v>2590</v>
      </c>
      <c r="R349" t="s">
        <v>2591</v>
      </c>
      <c r="Y349" s="8" t="s">
        <v>11396</v>
      </c>
      <c r="AA349" t="s">
        <v>2592</v>
      </c>
    </row>
    <row r="350" spans="1:27" x14ac:dyDescent="0.3">
      <c r="A350" s="20">
        <v>349</v>
      </c>
      <c r="B350" s="20">
        <v>345</v>
      </c>
      <c r="C350" s="8" t="s">
        <v>1025</v>
      </c>
      <c r="D350" t="s">
        <v>1024</v>
      </c>
      <c r="E350" s="80" t="s">
        <v>1045</v>
      </c>
      <c r="F350" s="8" t="s">
        <v>1046</v>
      </c>
      <c r="G350" s="14" t="s">
        <v>1047</v>
      </c>
      <c r="I350" s="20" t="s">
        <v>19</v>
      </c>
      <c r="N350" s="20" t="s">
        <v>2166</v>
      </c>
      <c r="Q350" t="s">
        <v>2593</v>
      </c>
      <c r="R350" t="s">
        <v>2171</v>
      </c>
      <c r="Z350" t="s">
        <v>11334</v>
      </c>
    </row>
    <row r="351" spans="1:27" x14ac:dyDescent="0.3">
      <c r="A351" s="20">
        <v>350</v>
      </c>
      <c r="B351" s="20">
        <v>346</v>
      </c>
      <c r="C351" s="8" t="s">
        <v>1025</v>
      </c>
      <c r="D351" t="s">
        <v>1024</v>
      </c>
      <c r="E351" s="80" t="s">
        <v>1048</v>
      </c>
      <c r="F351" s="8" t="s">
        <v>1049</v>
      </c>
      <c r="G351" s="14" t="s">
        <v>43</v>
      </c>
      <c r="I351" s="20" t="s">
        <v>15</v>
      </c>
      <c r="Z351" t="s">
        <v>123</v>
      </c>
    </row>
    <row r="352" spans="1:27" x14ac:dyDescent="0.3">
      <c r="A352" s="20">
        <v>351</v>
      </c>
      <c r="B352" s="20">
        <v>347</v>
      </c>
      <c r="C352" s="8" t="s">
        <v>1025</v>
      </c>
      <c r="D352" t="s">
        <v>1024</v>
      </c>
      <c r="E352" s="80" t="s">
        <v>1050</v>
      </c>
      <c r="F352" s="8" t="s">
        <v>1051</v>
      </c>
      <c r="G352" s="14" t="s">
        <v>1052</v>
      </c>
      <c r="I352" s="20" t="s">
        <v>50</v>
      </c>
    </row>
    <row r="353" spans="1:27" x14ac:dyDescent="0.3">
      <c r="A353" s="20">
        <v>352</v>
      </c>
      <c r="B353" s="20">
        <v>348</v>
      </c>
      <c r="C353" s="8" t="s">
        <v>1025</v>
      </c>
      <c r="D353" t="s">
        <v>1024</v>
      </c>
      <c r="E353" s="80" t="s">
        <v>1053</v>
      </c>
      <c r="F353" s="8" t="s">
        <v>1054</v>
      </c>
      <c r="G353" s="14" t="s">
        <v>43</v>
      </c>
      <c r="I353" s="20" t="s">
        <v>15</v>
      </c>
      <c r="P353" t="s">
        <v>2254</v>
      </c>
      <c r="R353" t="s">
        <v>2594</v>
      </c>
      <c r="S353" t="s">
        <v>2595</v>
      </c>
      <c r="U353" s="80" t="s">
        <v>2596</v>
      </c>
      <c r="V353" s="8" t="s">
        <v>2597</v>
      </c>
      <c r="AA353" t="s">
        <v>2598</v>
      </c>
    </row>
    <row r="354" spans="1:27" x14ac:dyDescent="0.3">
      <c r="A354" s="20">
        <v>353</v>
      </c>
      <c r="B354" s="20">
        <v>349</v>
      </c>
      <c r="C354" s="8" t="s">
        <v>1025</v>
      </c>
      <c r="D354" t="s">
        <v>1024</v>
      </c>
      <c r="E354" s="80" t="s">
        <v>1055</v>
      </c>
      <c r="F354" s="8" t="s">
        <v>1056</v>
      </c>
      <c r="G354" s="14" t="s">
        <v>68</v>
      </c>
      <c r="I354" s="20" t="s">
        <v>65</v>
      </c>
      <c r="J354" s="20" t="s">
        <v>2015</v>
      </c>
      <c r="K354" s="20" t="s">
        <v>66</v>
      </c>
      <c r="L354" s="20" t="s">
        <v>66</v>
      </c>
      <c r="M354" s="20" t="s">
        <v>66</v>
      </c>
      <c r="R354" t="s">
        <v>2599</v>
      </c>
      <c r="S354" t="s">
        <v>2599</v>
      </c>
      <c r="U354" s="80" t="s">
        <v>2600</v>
      </c>
    </row>
    <row r="355" spans="1:27" x14ac:dyDescent="0.3">
      <c r="A355" s="20">
        <v>354</v>
      </c>
      <c r="B355" s="20">
        <v>350</v>
      </c>
      <c r="C355" s="8" t="s">
        <v>1025</v>
      </c>
      <c r="D355" t="s">
        <v>1024</v>
      </c>
      <c r="E355" s="80" t="s">
        <v>1057</v>
      </c>
      <c r="F355" s="8" t="s">
        <v>1058</v>
      </c>
      <c r="G355" s="14" t="s">
        <v>1059</v>
      </c>
      <c r="H355" s="15" t="s">
        <v>9807</v>
      </c>
      <c r="I355" s="20" t="s">
        <v>65</v>
      </c>
      <c r="J355" s="20" t="s">
        <v>2015</v>
      </c>
      <c r="M355" s="20" t="s">
        <v>130</v>
      </c>
      <c r="P355" t="s">
        <v>2179</v>
      </c>
      <c r="R355" t="s">
        <v>2601</v>
      </c>
      <c r="S355" t="s">
        <v>2602</v>
      </c>
      <c r="U355" s="80" t="s">
        <v>2603</v>
      </c>
      <c r="AA355" t="s">
        <v>2604</v>
      </c>
    </row>
    <row r="356" spans="1:27" x14ac:dyDescent="0.3">
      <c r="A356" s="20">
        <v>355</v>
      </c>
      <c r="B356" s="20">
        <v>351</v>
      </c>
      <c r="C356" s="8" t="s">
        <v>1025</v>
      </c>
      <c r="D356" t="s">
        <v>1024</v>
      </c>
      <c r="E356" s="80" t="s">
        <v>1060</v>
      </c>
      <c r="F356" s="8" t="s">
        <v>1061</v>
      </c>
      <c r="G356" s="14" t="s">
        <v>68</v>
      </c>
      <c r="I356" s="20" t="s">
        <v>65</v>
      </c>
      <c r="J356" s="20" t="s">
        <v>2015</v>
      </c>
      <c r="M356" s="20" t="s">
        <v>85</v>
      </c>
      <c r="P356" t="s">
        <v>2330</v>
      </c>
      <c r="U356" s="80" t="s">
        <v>2605</v>
      </c>
      <c r="Y356" s="8" t="s">
        <v>11397</v>
      </c>
      <c r="AA356" t="s">
        <v>2606</v>
      </c>
    </row>
    <row r="357" spans="1:27" x14ac:dyDescent="0.3">
      <c r="A357" s="20">
        <v>356</v>
      </c>
      <c r="B357" s="20">
        <v>352</v>
      </c>
      <c r="C357" s="8" t="s">
        <v>1025</v>
      </c>
      <c r="D357" t="s">
        <v>1024</v>
      </c>
      <c r="E357" s="80" t="s">
        <v>1062</v>
      </c>
      <c r="F357" s="8" t="s">
        <v>1063</v>
      </c>
      <c r="G357" s="14" t="s">
        <v>1064</v>
      </c>
      <c r="H357" s="15" t="s">
        <v>9808</v>
      </c>
      <c r="I357" s="20" t="s">
        <v>65</v>
      </c>
      <c r="J357" s="20" t="s">
        <v>2020</v>
      </c>
      <c r="K357" s="20" t="s">
        <v>58</v>
      </c>
      <c r="L357" s="20" t="s">
        <v>58</v>
      </c>
      <c r="M357" s="20" t="s">
        <v>66</v>
      </c>
      <c r="R357" t="s">
        <v>2607</v>
      </c>
      <c r="S357" t="s">
        <v>2608</v>
      </c>
    </row>
    <row r="358" spans="1:27" x14ac:dyDescent="0.3">
      <c r="A358" s="20">
        <v>357</v>
      </c>
      <c r="B358" s="20">
        <v>353</v>
      </c>
      <c r="C358" s="8" t="s">
        <v>1025</v>
      </c>
      <c r="D358" t="s">
        <v>1024</v>
      </c>
      <c r="E358" s="80" t="s">
        <v>1065</v>
      </c>
      <c r="F358" s="8" t="s">
        <v>1066</v>
      </c>
      <c r="G358" s="14" t="s">
        <v>1067</v>
      </c>
      <c r="H358" s="15" t="s">
        <v>9809</v>
      </c>
      <c r="I358" s="20" t="s">
        <v>65</v>
      </c>
      <c r="J358" s="20" t="s">
        <v>2020</v>
      </c>
      <c r="K358" s="20" t="s">
        <v>58</v>
      </c>
      <c r="L358" s="20" t="s">
        <v>58</v>
      </c>
      <c r="M358" s="20" t="s">
        <v>66</v>
      </c>
      <c r="P358" t="s">
        <v>2179</v>
      </c>
      <c r="R358" t="s">
        <v>2607</v>
      </c>
      <c r="S358" t="s">
        <v>2609</v>
      </c>
      <c r="V358" s="8" t="s">
        <v>2610</v>
      </c>
      <c r="Y358" s="8" t="s">
        <v>11398</v>
      </c>
      <c r="AA358" t="s">
        <v>2611</v>
      </c>
    </row>
    <row r="359" spans="1:27" x14ac:dyDescent="0.3">
      <c r="A359" s="20">
        <v>358</v>
      </c>
      <c r="B359" s="20">
        <v>354</v>
      </c>
      <c r="C359" s="8" t="s">
        <v>1069</v>
      </c>
      <c r="D359" t="s">
        <v>1068</v>
      </c>
      <c r="E359" s="80" t="s">
        <v>1070</v>
      </c>
      <c r="F359" s="8" t="s">
        <v>1071</v>
      </c>
      <c r="G359" s="14" t="s">
        <v>1072</v>
      </c>
      <c r="H359" s="15" t="s">
        <v>9810</v>
      </c>
      <c r="I359" s="20" t="s">
        <v>15</v>
      </c>
      <c r="P359" t="s">
        <v>2200</v>
      </c>
      <c r="Q359" t="s">
        <v>2612</v>
      </c>
      <c r="AA359" t="s">
        <v>2613</v>
      </c>
    </row>
    <row r="360" spans="1:27" x14ac:dyDescent="0.3">
      <c r="A360" s="20">
        <v>359</v>
      </c>
      <c r="B360" s="20">
        <v>355</v>
      </c>
      <c r="C360" s="8" t="s">
        <v>1069</v>
      </c>
      <c r="D360" t="s">
        <v>1068</v>
      </c>
      <c r="E360" s="80" t="s">
        <v>1073</v>
      </c>
      <c r="F360" s="8" t="s">
        <v>1074</v>
      </c>
      <c r="G360" s="14" t="s">
        <v>1075</v>
      </c>
      <c r="H360" s="15" t="s">
        <v>9811</v>
      </c>
      <c r="I360" s="20" t="s">
        <v>15</v>
      </c>
      <c r="U360" s="80" t="s">
        <v>2614</v>
      </c>
      <c r="X360" s="8" t="s">
        <v>2615</v>
      </c>
    </row>
    <row r="361" spans="1:27" x14ac:dyDescent="0.3">
      <c r="A361" s="20">
        <v>360</v>
      </c>
      <c r="B361" s="20">
        <v>356</v>
      </c>
      <c r="C361" s="8" t="s">
        <v>1077</v>
      </c>
      <c r="D361" t="s">
        <v>1076</v>
      </c>
      <c r="E361" s="80" t="s">
        <v>1078</v>
      </c>
      <c r="F361" s="8" t="s">
        <v>1079</v>
      </c>
      <c r="G361" s="14" t="s">
        <v>488</v>
      </c>
      <c r="I361" s="20" t="s">
        <v>19</v>
      </c>
      <c r="N361" s="20" t="s">
        <v>2166</v>
      </c>
      <c r="R361" t="s">
        <v>2616</v>
      </c>
      <c r="U361" s="80" t="s">
        <v>2617</v>
      </c>
    </row>
    <row r="362" spans="1:27" x14ac:dyDescent="0.3">
      <c r="A362" s="20">
        <v>361</v>
      </c>
      <c r="B362" s="20">
        <v>357</v>
      </c>
      <c r="C362" s="8" t="s">
        <v>1081</v>
      </c>
      <c r="D362" t="s">
        <v>1080</v>
      </c>
      <c r="E362" s="80" t="s">
        <v>1082</v>
      </c>
      <c r="F362" s="8" t="s">
        <v>1083</v>
      </c>
      <c r="G362" s="14" t="s">
        <v>68</v>
      </c>
      <c r="I362" s="20" t="s">
        <v>65</v>
      </c>
      <c r="J362" s="20" t="s">
        <v>2015</v>
      </c>
      <c r="K362" s="20" t="s">
        <v>66</v>
      </c>
      <c r="L362" s="20" t="s">
        <v>66</v>
      </c>
      <c r="M362" s="20" t="s">
        <v>67</v>
      </c>
      <c r="U362" s="80" t="s">
        <v>2618</v>
      </c>
    </row>
    <row r="363" spans="1:27" x14ac:dyDescent="0.3">
      <c r="A363" s="20">
        <v>362</v>
      </c>
      <c r="B363" s="20">
        <v>358</v>
      </c>
      <c r="C363" s="8" t="s">
        <v>1081</v>
      </c>
      <c r="D363" t="s">
        <v>1080</v>
      </c>
      <c r="E363" s="80" t="s">
        <v>1084</v>
      </c>
      <c r="F363" s="8" t="s">
        <v>1085</v>
      </c>
      <c r="G363" s="14" t="s">
        <v>68</v>
      </c>
      <c r="H363" s="15" t="s">
        <v>9812</v>
      </c>
      <c r="I363" s="20" t="s">
        <v>65</v>
      </c>
      <c r="J363" s="20" t="s">
        <v>2030</v>
      </c>
      <c r="K363" s="20" t="s">
        <v>66</v>
      </c>
      <c r="L363" s="20" t="s">
        <v>66</v>
      </c>
      <c r="M363" s="20" t="s">
        <v>66</v>
      </c>
    </row>
    <row r="364" spans="1:27" x14ac:dyDescent="0.3">
      <c r="A364" s="20">
        <v>363</v>
      </c>
      <c r="B364" s="20">
        <v>359</v>
      </c>
      <c r="C364" s="8" t="s">
        <v>1081</v>
      </c>
      <c r="D364" t="s">
        <v>1080</v>
      </c>
      <c r="E364" s="80" t="s">
        <v>1086</v>
      </c>
      <c r="F364" s="8" t="s">
        <v>1087</v>
      </c>
      <c r="G364" s="14" t="s">
        <v>1088</v>
      </c>
      <c r="H364" s="15" t="s">
        <v>9813</v>
      </c>
      <c r="I364" s="20" t="s">
        <v>65</v>
      </c>
      <c r="J364" s="20" t="s">
        <v>2029</v>
      </c>
      <c r="K364" s="20" t="s">
        <v>85</v>
      </c>
      <c r="L364" s="20" t="s">
        <v>85</v>
      </c>
      <c r="M364" s="20" t="s">
        <v>85</v>
      </c>
    </row>
    <row r="365" spans="1:27" x14ac:dyDescent="0.3">
      <c r="A365" s="20">
        <v>364</v>
      </c>
      <c r="B365" s="20">
        <v>360</v>
      </c>
      <c r="C365" s="8" t="s">
        <v>1081</v>
      </c>
      <c r="D365" t="s">
        <v>1080</v>
      </c>
      <c r="E365" s="80" t="s">
        <v>1089</v>
      </c>
      <c r="F365" s="8" t="s">
        <v>1090</v>
      </c>
      <c r="G365" s="14" t="s">
        <v>68</v>
      </c>
      <c r="H365" s="15" t="s">
        <v>9814</v>
      </c>
      <c r="I365" s="20" t="s">
        <v>65</v>
      </c>
      <c r="J365" s="20" t="s">
        <v>2022</v>
      </c>
      <c r="K365" s="20" t="s">
        <v>85</v>
      </c>
      <c r="L365" s="20" t="s">
        <v>85</v>
      </c>
      <c r="M365" s="20" t="s">
        <v>85</v>
      </c>
      <c r="N365" s="20" t="s">
        <v>2166</v>
      </c>
      <c r="S365" t="s">
        <v>2619</v>
      </c>
      <c r="U365" s="80" t="s">
        <v>2620</v>
      </c>
      <c r="Z365" t="s">
        <v>123</v>
      </c>
    </row>
    <row r="366" spans="1:27" x14ac:dyDescent="0.3">
      <c r="A366" s="20">
        <v>365</v>
      </c>
      <c r="B366" s="20">
        <v>361</v>
      </c>
      <c r="C366" s="8" t="s">
        <v>1081</v>
      </c>
      <c r="D366" t="s">
        <v>1080</v>
      </c>
      <c r="E366" s="80" t="s">
        <v>1091</v>
      </c>
      <c r="F366" s="8" t="s">
        <v>1092</v>
      </c>
      <c r="G366" s="14" t="s">
        <v>68</v>
      </c>
      <c r="H366" s="15" t="s">
        <v>9815</v>
      </c>
      <c r="I366" s="20" t="s">
        <v>65</v>
      </c>
      <c r="J366" s="20" t="s">
        <v>2020</v>
      </c>
      <c r="K366" s="20" t="s">
        <v>58</v>
      </c>
      <c r="L366" s="20" t="s">
        <v>58</v>
      </c>
      <c r="M366" s="20" t="s">
        <v>66</v>
      </c>
      <c r="Z366" t="s">
        <v>123</v>
      </c>
    </row>
    <row r="367" spans="1:27" x14ac:dyDescent="0.3">
      <c r="A367" s="20">
        <v>366</v>
      </c>
      <c r="B367" s="20">
        <v>362</v>
      </c>
      <c r="C367" s="8" t="s">
        <v>1081</v>
      </c>
      <c r="D367" t="s">
        <v>1080</v>
      </c>
      <c r="E367" s="80" t="s">
        <v>1093</v>
      </c>
      <c r="F367" s="8" t="s">
        <v>1094</v>
      </c>
      <c r="G367" s="14" t="s">
        <v>1095</v>
      </c>
      <c r="H367" s="15" t="s">
        <v>9816</v>
      </c>
      <c r="I367" s="20" t="s">
        <v>65</v>
      </c>
      <c r="J367" s="20" t="s">
        <v>2019</v>
      </c>
      <c r="M367" s="20" t="s">
        <v>66</v>
      </c>
      <c r="P367" t="s">
        <v>2179</v>
      </c>
      <c r="R367" t="s">
        <v>2621</v>
      </c>
      <c r="AA367" t="s">
        <v>2622</v>
      </c>
    </row>
    <row r="368" spans="1:27" x14ac:dyDescent="0.3">
      <c r="A368" s="20">
        <v>367</v>
      </c>
      <c r="B368" s="20">
        <v>363</v>
      </c>
      <c r="C368" s="8" t="s">
        <v>1081</v>
      </c>
      <c r="D368" t="s">
        <v>1080</v>
      </c>
      <c r="E368" s="80" t="s">
        <v>1096</v>
      </c>
      <c r="F368" s="8" t="s">
        <v>1097</v>
      </c>
      <c r="G368" s="14" t="s">
        <v>1098</v>
      </c>
      <c r="H368" s="15" t="s">
        <v>9817</v>
      </c>
      <c r="I368" s="20" t="s">
        <v>65</v>
      </c>
      <c r="J368" s="20" t="s">
        <v>2021</v>
      </c>
      <c r="K368" s="20" t="s">
        <v>67</v>
      </c>
      <c r="L368" s="20" t="s">
        <v>67</v>
      </c>
      <c r="M368" s="20" t="s">
        <v>67</v>
      </c>
      <c r="P368" t="s">
        <v>2179</v>
      </c>
      <c r="R368" t="s">
        <v>2621</v>
      </c>
      <c r="AA368" t="s">
        <v>2623</v>
      </c>
    </row>
    <row r="369" spans="1:27" x14ac:dyDescent="0.3">
      <c r="A369" s="20">
        <v>368</v>
      </c>
      <c r="B369" s="20">
        <v>364</v>
      </c>
      <c r="C369" s="8" t="s">
        <v>1081</v>
      </c>
      <c r="D369" t="s">
        <v>1080</v>
      </c>
      <c r="E369" s="80" t="s">
        <v>1099</v>
      </c>
      <c r="F369" s="8" t="s">
        <v>1100</v>
      </c>
      <c r="G369" s="14" t="s">
        <v>998</v>
      </c>
      <c r="I369" s="20" t="s">
        <v>65</v>
      </c>
      <c r="J369" s="20" t="s">
        <v>2020</v>
      </c>
      <c r="M369" s="20" t="s">
        <v>67</v>
      </c>
      <c r="P369" t="s">
        <v>2179</v>
      </c>
      <c r="R369" t="s">
        <v>2621</v>
      </c>
      <c r="AA369" t="s">
        <v>2624</v>
      </c>
    </row>
    <row r="370" spans="1:27" x14ac:dyDescent="0.3">
      <c r="A370" s="20">
        <v>369</v>
      </c>
      <c r="B370" s="20">
        <v>365</v>
      </c>
      <c r="C370" s="8" t="s">
        <v>1081</v>
      </c>
      <c r="D370" t="s">
        <v>1080</v>
      </c>
      <c r="E370" s="80" t="s">
        <v>1101</v>
      </c>
      <c r="F370" s="8" t="s">
        <v>1102</v>
      </c>
      <c r="G370" s="14" t="s">
        <v>1103</v>
      </c>
      <c r="H370" s="15" t="s">
        <v>9818</v>
      </c>
      <c r="I370" s="20" t="s">
        <v>65</v>
      </c>
      <c r="J370" s="20" t="s">
        <v>2020</v>
      </c>
      <c r="M370" s="20" t="s">
        <v>67</v>
      </c>
      <c r="P370" t="s">
        <v>2179</v>
      </c>
      <c r="R370" t="s">
        <v>2621</v>
      </c>
      <c r="AA370" t="s">
        <v>2625</v>
      </c>
    </row>
    <row r="371" spans="1:27" x14ac:dyDescent="0.3">
      <c r="A371" s="20">
        <v>370</v>
      </c>
      <c r="B371" s="20">
        <v>366</v>
      </c>
      <c r="C371" s="8" t="s">
        <v>1081</v>
      </c>
      <c r="D371" t="s">
        <v>1080</v>
      </c>
      <c r="E371" s="80" t="s">
        <v>1104</v>
      </c>
      <c r="F371" s="8" t="s">
        <v>1105</v>
      </c>
      <c r="G371" s="14" t="s">
        <v>68</v>
      </c>
      <c r="I371" s="20" t="s">
        <v>65</v>
      </c>
      <c r="J371" s="20" t="s">
        <v>2022</v>
      </c>
      <c r="K371" s="20" t="s">
        <v>67</v>
      </c>
      <c r="L371" s="20" t="s">
        <v>67</v>
      </c>
      <c r="M371" s="20" t="s">
        <v>85</v>
      </c>
      <c r="P371" t="s">
        <v>2174</v>
      </c>
      <c r="R371" t="s">
        <v>2621</v>
      </c>
      <c r="AA371" t="s">
        <v>2626</v>
      </c>
    </row>
    <row r="372" spans="1:27" x14ac:dyDescent="0.3">
      <c r="A372" s="20">
        <v>371</v>
      </c>
      <c r="B372" s="20">
        <v>367</v>
      </c>
      <c r="C372" s="8" t="s">
        <v>1107</v>
      </c>
      <c r="D372" t="s">
        <v>1106</v>
      </c>
      <c r="E372" s="80" t="s">
        <v>1108</v>
      </c>
      <c r="F372" s="8" t="s">
        <v>1109</v>
      </c>
      <c r="G372" s="14" t="s">
        <v>43</v>
      </c>
      <c r="I372" s="20" t="s">
        <v>15</v>
      </c>
      <c r="W372" s="8" t="s">
        <v>2627</v>
      </c>
    </row>
    <row r="373" spans="1:27" x14ac:dyDescent="0.3">
      <c r="A373" s="20">
        <v>372</v>
      </c>
      <c r="B373" s="20">
        <v>368</v>
      </c>
      <c r="C373" s="8" t="s">
        <v>1111</v>
      </c>
      <c r="D373" t="s">
        <v>1110</v>
      </c>
      <c r="E373" s="80" t="s">
        <v>1112</v>
      </c>
      <c r="F373" s="8" t="s">
        <v>1113</v>
      </c>
      <c r="G373" s="14" t="s">
        <v>68</v>
      </c>
      <c r="I373" s="20" t="s">
        <v>65</v>
      </c>
      <c r="J373" s="20" t="s">
        <v>2015</v>
      </c>
      <c r="S373" t="s">
        <v>2628</v>
      </c>
      <c r="W373" s="8" t="s">
        <v>2629</v>
      </c>
      <c r="X373" s="8" t="s">
        <v>2630</v>
      </c>
    </row>
    <row r="374" spans="1:27" x14ac:dyDescent="0.3">
      <c r="A374" s="20">
        <v>373</v>
      </c>
      <c r="B374" s="20">
        <v>369</v>
      </c>
      <c r="C374" s="8" t="s">
        <v>1111</v>
      </c>
      <c r="D374" t="s">
        <v>1110</v>
      </c>
      <c r="E374" s="80" t="s">
        <v>1114</v>
      </c>
      <c r="F374" s="8" t="s">
        <v>1115</v>
      </c>
      <c r="G374" s="14" t="s">
        <v>939</v>
      </c>
      <c r="H374" s="15" t="s">
        <v>9819</v>
      </c>
      <c r="I374" s="20" t="s">
        <v>65</v>
      </c>
      <c r="J374" s="20" t="s">
        <v>2029</v>
      </c>
      <c r="K374" s="20" t="s">
        <v>66</v>
      </c>
      <c r="L374" s="20" t="s">
        <v>66</v>
      </c>
      <c r="M374" s="20" t="s">
        <v>66</v>
      </c>
      <c r="P374" t="s">
        <v>2631</v>
      </c>
      <c r="R374" t="s">
        <v>1112</v>
      </c>
      <c r="S374" t="s">
        <v>2632</v>
      </c>
      <c r="W374" s="8" t="s">
        <v>2633</v>
      </c>
      <c r="X374" s="8" t="s">
        <v>2634</v>
      </c>
      <c r="AA374" t="s">
        <v>2635</v>
      </c>
    </row>
    <row r="375" spans="1:27" x14ac:dyDescent="0.3">
      <c r="A375" s="20">
        <v>374</v>
      </c>
      <c r="B375" s="20">
        <v>370</v>
      </c>
      <c r="C375" s="8" t="s">
        <v>1111</v>
      </c>
      <c r="D375" t="s">
        <v>1110</v>
      </c>
      <c r="E375" s="80" t="s">
        <v>1116</v>
      </c>
      <c r="F375" s="8" t="s">
        <v>1117</v>
      </c>
      <c r="G375" s="14" t="s">
        <v>43</v>
      </c>
      <c r="I375" s="20" t="s">
        <v>15</v>
      </c>
    </row>
    <row r="376" spans="1:27" x14ac:dyDescent="0.3">
      <c r="A376" s="20">
        <v>375</v>
      </c>
      <c r="B376" s="20">
        <v>371</v>
      </c>
      <c r="C376" s="8" t="s">
        <v>1111</v>
      </c>
      <c r="D376" t="s">
        <v>1110</v>
      </c>
      <c r="E376" s="80" t="s">
        <v>1118</v>
      </c>
      <c r="F376" s="8" t="s">
        <v>1119</v>
      </c>
      <c r="G376" s="14" t="s">
        <v>1120</v>
      </c>
      <c r="H376" s="15" t="s">
        <v>9820</v>
      </c>
      <c r="I376" s="20" t="s">
        <v>65</v>
      </c>
      <c r="J376" s="20" t="s">
        <v>2030</v>
      </c>
      <c r="K376" s="20" t="s">
        <v>58</v>
      </c>
      <c r="L376" s="20" t="s">
        <v>58</v>
      </c>
      <c r="M376" s="20" t="s">
        <v>130</v>
      </c>
      <c r="P376" t="s">
        <v>2179</v>
      </c>
      <c r="R376" t="s">
        <v>2636</v>
      </c>
      <c r="AA376" t="s">
        <v>2637</v>
      </c>
    </row>
    <row r="377" spans="1:27" x14ac:dyDescent="0.3">
      <c r="A377" s="20">
        <v>376</v>
      </c>
      <c r="B377" s="20">
        <v>372</v>
      </c>
      <c r="C377" s="8" t="s">
        <v>1111</v>
      </c>
      <c r="D377" t="s">
        <v>1110</v>
      </c>
      <c r="E377" s="80" t="s">
        <v>1121</v>
      </c>
      <c r="F377" s="8" t="s">
        <v>1122</v>
      </c>
      <c r="G377" s="14" t="s">
        <v>1123</v>
      </c>
      <c r="I377" s="20" t="s">
        <v>65</v>
      </c>
      <c r="J377" s="20" t="s">
        <v>2020</v>
      </c>
      <c r="P377" t="s">
        <v>2174</v>
      </c>
      <c r="R377" t="s">
        <v>2638</v>
      </c>
      <c r="AA377" t="s">
        <v>2639</v>
      </c>
    </row>
    <row r="378" spans="1:27" x14ac:dyDescent="0.3">
      <c r="A378" s="20">
        <v>377</v>
      </c>
      <c r="B378" s="20">
        <v>373</v>
      </c>
      <c r="C378" s="8" t="s">
        <v>1111</v>
      </c>
      <c r="D378" t="s">
        <v>1110</v>
      </c>
      <c r="E378" s="80" t="s">
        <v>1124</v>
      </c>
      <c r="F378" s="8" t="s">
        <v>1125</v>
      </c>
      <c r="G378" s="14" t="s">
        <v>1095</v>
      </c>
      <c r="H378" s="15" t="s">
        <v>9821</v>
      </c>
      <c r="I378" s="20" t="s">
        <v>65</v>
      </c>
      <c r="J378" s="20" t="s">
        <v>2019</v>
      </c>
      <c r="P378" t="s">
        <v>2179</v>
      </c>
      <c r="R378" t="s">
        <v>2638</v>
      </c>
      <c r="AA378" t="s">
        <v>2640</v>
      </c>
    </row>
    <row r="379" spans="1:27" x14ac:dyDescent="0.3">
      <c r="A379" s="20">
        <v>378</v>
      </c>
      <c r="B379" s="20">
        <v>374</v>
      </c>
      <c r="C379" s="8" t="s">
        <v>1111</v>
      </c>
      <c r="D379" t="s">
        <v>1110</v>
      </c>
      <c r="E379" s="80" t="s">
        <v>1126</v>
      </c>
      <c r="F379" s="8" t="s">
        <v>1127</v>
      </c>
      <c r="G379" s="14" t="s">
        <v>1128</v>
      </c>
      <c r="H379" s="15" t="s">
        <v>9822</v>
      </c>
      <c r="I379" s="20" t="s">
        <v>65</v>
      </c>
      <c r="J379" s="20" t="s">
        <v>2022</v>
      </c>
      <c r="K379" s="20" t="s">
        <v>67</v>
      </c>
      <c r="L379" s="20" t="s">
        <v>67</v>
      </c>
      <c r="M379" s="20" t="s">
        <v>67</v>
      </c>
      <c r="P379" t="s">
        <v>2179</v>
      </c>
      <c r="R379" t="s">
        <v>2638</v>
      </c>
      <c r="AA379" t="s">
        <v>2641</v>
      </c>
    </row>
    <row r="380" spans="1:27" x14ac:dyDescent="0.3">
      <c r="A380" s="20">
        <v>379</v>
      </c>
      <c r="B380" s="20">
        <v>375</v>
      </c>
      <c r="C380" s="8" t="s">
        <v>1111</v>
      </c>
      <c r="D380" t="s">
        <v>1110</v>
      </c>
      <c r="E380" s="80" t="s">
        <v>1129</v>
      </c>
      <c r="F380" s="8" t="s">
        <v>1130</v>
      </c>
      <c r="G380" s="14" t="s">
        <v>1131</v>
      </c>
      <c r="H380" s="15" t="s">
        <v>9823</v>
      </c>
      <c r="I380" s="20" t="s">
        <v>65</v>
      </c>
      <c r="J380" s="20" t="s">
        <v>2016</v>
      </c>
      <c r="K380" s="20" t="s">
        <v>67</v>
      </c>
      <c r="L380" s="20" t="s">
        <v>67</v>
      </c>
      <c r="M380" s="20" t="s">
        <v>67</v>
      </c>
      <c r="P380" t="s">
        <v>2179</v>
      </c>
      <c r="R380" t="s">
        <v>2638</v>
      </c>
      <c r="AA380" t="s">
        <v>2642</v>
      </c>
    </row>
    <row r="381" spans="1:27" x14ac:dyDescent="0.3">
      <c r="A381" s="20">
        <v>380</v>
      </c>
      <c r="B381" s="20">
        <v>376</v>
      </c>
      <c r="C381" s="8" t="s">
        <v>1111</v>
      </c>
      <c r="D381" t="s">
        <v>1110</v>
      </c>
      <c r="E381" s="80" t="s">
        <v>1132</v>
      </c>
      <c r="F381" s="8" t="s">
        <v>1133</v>
      </c>
      <c r="G381" s="14" t="s">
        <v>68</v>
      </c>
      <c r="I381" s="20" t="s">
        <v>65</v>
      </c>
      <c r="J381" s="20" t="s">
        <v>2015</v>
      </c>
      <c r="K381" s="20" t="s">
        <v>58</v>
      </c>
      <c r="L381" s="20" t="s">
        <v>58</v>
      </c>
      <c r="S381" t="s">
        <v>2643</v>
      </c>
      <c r="U381" s="80" t="s">
        <v>2644</v>
      </c>
    </row>
    <row r="382" spans="1:27" x14ac:dyDescent="0.3">
      <c r="A382" s="20">
        <v>381</v>
      </c>
      <c r="B382" s="20">
        <v>377</v>
      </c>
      <c r="C382" s="8" t="s">
        <v>1111</v>
      </c>
      <c r="D382" t="s">
        <v>1110</v>
      </c>
      <c r="E382" s="80" t="s">
        <v>1134</v>
      </c>
      <c r="F382" s="8" t="s">
        <v>1135</v>
      </c>
      <c r="G382" s="14" t="s">
        <v>43</v>
      </c>
      <c r="I382" s="20" t="s">
        <v>15</v>
      </c>
      <c r="K382" s="20" t="s">
        <v>66</v>
      </c>
      <c r="L382" s="20" t="s">
        <v>66</v>
      </c>
      <c r="M382" s="20" t="s">
        <v>66</v>
      </c>
    </row>
    <row r="383" spans="1:27" x14ac:dyDescent="0.3">
      <c r="A383" s="20">
        <v>382</v>
      </c>
      <c r="B383" s="20">
        <v>378</v>
      </c>
      <c r="C383" s="8" t="s">
        <v>1137</v>
      </c>
      <c r="D383" t="s">
        <v>1136</v>
      </c>
      <c r="E383" s="80" t="s">
        <v>1138</v>
      </c>
      <c r="F383" s="8" t="s">
        <v>1139</v>
      </c>
      <c r="G383" s="14" t="s">
        <v>68</v>
      </c>
      <c r="I383" s="20" t="s">
        <v>65</v>
      </c>
      <c r="J383" s="20" t="s">
        <v>2015</v>
      </c>
    </row>
    <row r="384" spans="1:27" x14ac:dyDescent="0.3">
      <c r="A384" s="20">
        <v>383</v>
      </c>
      <c r="B384" s="20">
        <v>379</v>
      </c>
      <c r="C384" s="8" t="s">
        <v>1137</v>
      </c>
      <c r="D384" t="s">
        <v>1136</v>
      </c>
      <c r="E384" s="80" t="s">
        <v>1140</v>
      </c>
      <c r="F384" s="8" t="s">
        <v>1141</v>
      </c>
      <c r="G384" s="14" t="s">
        <v>1142</v>
      </c>
      <c r="I384" s="20" t="s">
        <v>50</v>
      </c>
      <c r="Q384" t="s">
        <v>2293</v>
      </c>
      <c r="R384" t="s">
        <v>2645</v>
      </c>
      <c r="S384" t="s">
        <v>2645</v>
      </c>
    </row>
    <row r="385" spans="1:27" x14ac:dyDescent="0.3">
      <c r="A385" s="20">
        <v>384</v>
      </c>
      <c r="B385" s="20">
        <v>380</v>
      </c>
      <c r="C385" s="8" t="s">
        <v>1137</v>
      </c>
      <c r="D385" t="s">
        <v>1136</v>
      </c>
      <c r="E385" s="80" t="s">
        <v>1143</v>
      </c>
      <c r="F385" s="8" t="s">
        <v>1144</v>
      </c>
      <c r="G385" s="14" t="s">
        <v>1145</v>
      </c>
      <c r="I385" s="20" t="s">
        <v>15</v>
      </c>
      <c r="N385" s="20" t="s">
        <v>2166</v>
      </c>
      <c r="R385" t="s">
        <v>2171</v>
      </c>
      <c r="Z385" t="s">
        <v>11335</v>
      </c>
    </row>
    <row r="386" spans="1:27" x14ac:dyDescent="0.3">
      <c r="A386" s="20">
        <v>385</v>
      </c>
      <c r="B386" s="20">
        <v>381</v>
      </c>
      <c r="C386" s="8" t="s">
        <v>1137</v>
      </c>
      <c r="D386" t="s">
        <v>1136</v>
      </c>
      <c r="E386" s="80" t="s">
        <v>1146</v>
      </c>
      <c r="F386" s="8" t="s">
        <v>1147</v>
      </c>
      <c r="G386" s="14" t="s">
        <v>1148</v>
      </c>
      <c r="H386" s="15" t="s">
        <v>9824</v>
      </c>
      <c r="I386" s="20" t="s">
        <v>19</v>
      </c>
      <c r="N386" s="20" t="s">
        <v>2166</v>
      </c>
      <c r="Q386" t="s">
        <v>2646</v>
      </c>
      <c r="R386" t="s">
        <v>2171</v>
      </c>
      <c r="Z386" t="s">
        <v>1149</v>
      </c>
    </row>
    <row r="387" spans="1:27" x14ac:dyDescent="0.3">
      <c r="A387" s="20">
        <v>386</v>
      </c>
      <c r="B387" s="20">
        <v>382</v>
      </c>
      <c r="C387" s="8" t="s">
        <v>1137</v>
      </c>
      <c r="D387" t="s">
        <v>1136</v>
      </c>
      <c r="E387" s="80" t="s">
        <v>1150</v>
      </c>
      <c r="F387" s="8" t="s">
        <v>1151</v>
      </c>
      <c r="G387" s="14" t="s">
        <v>20</v>
      </c>
      <c r="I387" s="20" t="s">
        <v>19</v>
      </c>
      <c r="N387" s="20" t="s">
        <v>2166</v>
      </c>
      <c r="Q387" t="s">
        <v>2647</v>
      </c>
    </row>
    <row r="388" spans="1:27" x14ac:dyDescent="0.3">
      <c r="A388" s="20">
        <v>387</v>
      </c>
      <c r="B388" s="20">
        <v>383</v>
      </c>
      <c r="C388" s="8" t="s">
        <v>1137</v>
      </c>
      <c r="D388" t="s">
        <v>1136</v>
      </c>
      <c r="E388" s="80" t="s">
        <v>1152</v>
      </c>
      <c r="F388" s="8" t="s">
        <v>1153</v>
      </c>
      <c r="G388" s="14" t="s">
        <v>92</v>
      </c>
      <c r="I388" s="20" t="s">
        <v>19</v>
      </c>
      <c r="N388" s="20" t="s">
        <v>2166</v>
      </c>
      <c r="Q388" t="s">
        <v>2648</v>
      </c>
      <c r="R388" t="s">
        <v>2171</v>
      </c>
      <c r="Z388" t="s">
        <v>11336</v>
      </c>
    </row>
    <row r="389" spans="1:27" x14ac:dyDescent="0.3">
      <c r="A389" s="20">
        <v>388</v>
      </c>
      <c r="B389" s="20">
        <v>384</v>
      </c>
      <c r="C389" s="8" t="s">
        <v>1137</v>
      </c>
      <c r="D389" t="s">
        <v>1136</v>
      </c>
      <c r="E389" s="80" t="s">
        <v>1154</v>
      </c>
      <c r="F389" s="8" t="s">
        <v>1155</v>
      </c>
      <c r="G389" s="14" t="s">
        <v>1156</v>
      </c>
      <c r="H389" s="15" t="s">
        <v>9825</v>
      </c>
      <c r="I389" s="20" t="s">
        <v>15</v>
      </c>
      <c r="P389" t="s">
        <v>2200</v>
      </c>
      <c r="AA389" t="s">
        <v>2649</v>
      </c>
    </row>
    <row r="390" spans="1:27" x14ac:dyDescent="0.3">
      <c r="A390" s="20">
        <v>389</v>
      </c>
      <c r="B390" s="20">
        <v>385</v>
      </c>
      <c r="C390" s="8" t="s">
        <v>1137</v>
      </c>
      <c r="D390" t="s">
        <v>1136</v>
      </c>
      <c r="E390" s="80" t="s">
        <v>1157</v>
      </c>
      <c r="F390" s="8" t="s">
        <v>1158</v>
      </c>
      <c r="G390" s="14" t="s">
        <v>201</v>
      </c>
      <c r="I390" s="20" t="s">
        <v>236</v>
      </c>
    </row>
    <row r="391" spans="1:27" x14ac:dyDescent="0.3">
      <c r="A391" s="20">
        <v>390</v>
      </c>
      <c r="B391" s="20">
        <v>386</v>
      </c>
      <c r="C391" s="8" t="s">
        <v>1160</v>
      </c>
      <c r="D391" t="s">
        <v>1159</v>
      </c>
      <c r="E391" s="80" t="s">
        <v>1161</v>
      </c>
      <c r="F391" s="8" t="s">
        <v>1162</v>
      </c>
      <c r="G391" s="14" t="s">
        <v>68</v>
      </c>
      <c r="H391" s="15" t="s">
        <v>9826</v>
      </c>
      <c r="I391" s="20" t="s">
        <v>65</v>
      </c>
      <c r="J391" s="20" t="s">
        <v>2015</v>
      </c>
      <c r="K391" s="20" t="s">
        <v>85</v>
      </c>
      <c r="L391" s="20" t="s">
        <v>85</v>
      </c>
      <c r="M391" s="20" t="s">
        <v>85</v>
      </c>
      <c r="N391" s="20" t="s">
        <v>2166</v>
      </c>
      <c r="P391" t="s">
        <v>2174</v>
      </c>
      <c r="R391" t="s">
        <v>2650</v>
      </c>
      <c r="S391" t="s">
        <v>2650</v>
      </c>
      <c r="U391" s="80" t="s">
        <v>2650</v>
      </c>
      <c r="AA391" t="s">
        <v>2651</v>
      </c>
    </row>
    <row r="392" spans="1:27" x14ac:dyDescent="0.3">
      <c r="A392" s="20">
        <v>391</v>
      </c>
      <c r="B392" s="20">
        <v>387</v>
      </c>
      <c r="C392" s="8" t="s">
        <v>1164</v>
      </c>
      <c r="D392" t="s">
        <v>1163</v>
      </c>
      <c r="E392" s="80" t="s">
        <v>1165</v>
      </c>
      <c r="F392" s="8" t="s">
        <v>1166</v>
      </c>
      <c r="G392" s="14" t="s">
        <v>1167</v>
      </c>
      <c r="H392" s="15" t="s">
        <v>9827</v>
      </c>
      <c r="I392" s="20" t="s">
        <v>65</v>
      </c>
      <c r="J392" s="20" t="s">
        <v>2025</v>
      </c>
      <c r="K392" s="20" t="s">
        <v>58</v>
      </c>
      <c r="L392" s="20" t="s">
        <v>58</v>
      </c>
      <c r="M392" s="20" t="s">
        <v>66</v>
      </c>
      <c r="P392" t="s">
        <v>2179</v>
      </c>
      <c r="R392" t="s">
        <v>2652</v>
      </c>
      <c r="S392" t="s">
        <v>2653</v>
      </c>
      <c r="U392" s="80" t="s">
        <v>2653</v>
      </c>
      <c r="AA392" t="s">
        <v>2654</v>
      </c>
    </row>
    <row r="393" spans="1:27" x14ac:dyDescent="0.3">
      <c r="A393" s="20">
        <v>392</v>
      </c>
      <c r="B393" s="20">
        <v>388</v>
      </c>
      <c r="C393" s="8" t="s">
        <v>1164</v>
      </c>
      <c r="D393" t="s">
        <v>1163</v>
      </c>
      <c r="E393" s="80" t="s">
        <v>1168</v>
      </c>
      <c r="F393" s="8" t="s">
        <v>1169</v>
      </c>
      <c r="G393" s="14" t="s">
        <v>68</v>
      </c>
      <c r="H393" s="15" t="s">
        <v>9828</v>
      </c>
      <c r="I393" s="20" t="s">
        <v>65</v>
      </c>
      <c r="J393" s="20" t="s">
        <v>2017</v>
      </c>
      <c r="K393" s="20" t="s">
        <v>58</v>
      </c>
      <c r="L393" s="20" t="s">
        <v>58</v>
      </c>
      <c r="M393" s="20" t="s">
        <v>67</v>
      </c>
      <c r="R393" t="s">
        <v>2652</v>
      </c>
      <c r="S393" t="s">
        <v>2655</v>
      </c>
      <c r="U393" s="80" t="s">
        <v>2652</v>
      </c>
    </row>
    <row r="394" spans="1:27" x14ac:dyDescent="0.3">
      <c r="A394" s="20">
        <v>393</v>
      </c>
      <c r="B394" s="20">
        <v>389</v>
      </c>
      <c r="C394" s="8" t="s">
        <v>1164</v>
      </c>
      <c r="D394" t="s">
        <v>1163</v>
      </c>
      <c r="E394" s="80" t="s">
        <v>1170</v>
      </c>
      <c r="F394" s="8" t="s">
        <v>1171</v>
      </c>
      <c r="G394" s="14" t="s">
        <v>68</v>
      </c>
      <c r="H394" s="15" t="s">
        <v>9829</v>
      </c>
      <c r="I394" s="20" t="s">
        <v>65</v>
      </c>
      <c r="J394" s="20" t="s">
        <v>2030</v>
      </c>
      <c r="K394" s="20" t="s">
        <v>66</v>
      </c>
      <c r="L394" s="20" t="s">
        <v>66</v>
      </c>
      <c r="M394" s="20" t="s">
        <v>66</v>
      </c>
      <c r="R394" t="s">
        <v>2656</v>
      </c>
      <c r="S394" t="s">
        <v>2656</v>
      </c>
      <c r="U394" s="80" t="s">
        <v>2656</v>
      </c>
    </row>
    <row r="395" spans="1:27" x14ac:dyDescent="0.3">
      <c r="A395" s="20">
        <v>394</v>
      </c>
      <c r="B395" s="20">
        <v>390</v>
      </c>
      <c r="C395" s="8" t="s">
        <v>1164</v>
      </c>
      <c r="D395" t="s">
        <v>1163</v>
      </c>
      <c r="E395" s="80" t="s">
        <v>1172</v>
      </c>
      <c r="F395" s="8" t="s">
        <v>1173</v>
      </c>
      <c r="G395" s="14" t="s">
        <v>898</v>
      </c>
      <c r="H395" s="15" t="s">
        <v>9830</v>
      </c>
      <c r="I395" s="20" t="s">
        <v>65</v>
      </c>
      <c r="J395" s="20" t="s">
        <v>2021</v>
      </c>
      <c r="K395" s="20" t="s">
        <v>66</v>
      </c>
      <c r="L395" s="20" t="s">
        <v>66</v>
      </c>
      <c r="M395" s="20" t="s">
        <v>67</v>
      </c>
      <c r="P395" t="s">
        <v>2179</v>
      </c>
      <c r="R395" t="s">
        <v>2657</v>
      </c>
      <c r="S395" t="s">
        <v>2658</v>
      </c>
      <c r="U395" s="80" t="s">
        <v>2658</v>
      </c>
      <c r="AA395" t="s">
        <v>2659</v>
      </c>
    </row>
    <row r="396" spans="1:27" x14ac:dyDescent="0.3">
      <c r="A396" s="20">
        <v>395</v>
      </c>
      <c r="B396" s="20">
        <v>391</v>
      </c>
      <c r="C396" s="8" t="s">
        <v>1164</v>
      </c>
      <c r="D396" t="s">
        <v>1163</v>
      </c>
      <c r="E396" s="80" t="s">
        <v>1174</v>
      </c>
      <c r="F396" s="8" t="s">
        <v>1175</v>
      </c>
      <c r="G396" s="14" t="s">
        <v>68</v>
      </c>
      <c r="H396" s="15" t="s">
        <v>9831</v>
      </c>
      <c r="I396" s="20" t="s">
        <v>65</v>
      </c>
      <c r="J396" s="20" t="s">
        <v>2029</v>
      </c>
      <c r="K396" s="20" t="s">
        <v>85</v>
      </c>
      <c r="L396" s="20" t="s">
        <v>85</v>
      </c>
      <c r="M396" s="20" t="s">
        <v>85</v>
      </c>
      <c r="N396" s="20" t="s">
        <v>2166</v>
      </c>
      <c r="R396" t="s">
        <v>2660</v>
      </c>
      <c r="S396" t="s">
        <v>2660</v>
      </c>
      <c r="U396" s="80" t="s">
        <v>2661</v>
      </c>
    </row>
    <row r="397" spans="1:27" x14ac:dyDescent="0.3">
      <c r="A397" s="20">
        <v>396</v>
      </c>
      <c r="B397" s="20">
        <v>392</v>
      </c>
      <c r="C397" s="8" t="s">
        <v>1164</v>
      </c>
      <c r="D397" t="s">
        <v>1163</v>
      </c>
      <c r="E397" s="80" t="s">
        <v>1176</v>
      </c>
      <c r="F397" s="8" t="s">
        <v>1177</v>
      </c>
      <c r="G397" s="14" t="s">
        <v>68</v>
      </c>
      <c r="H397" s="15" t="s">
        <v>9832</v>
      </c>
      <c r="I397" s="20" t="s">
        <v>65</v>
      </c>
      <c r="J397" s="20" t="s">
        <v>2019</v>
      </c>
      <c r="K397" s="20" t="s">
        <v>67</v>
      </c>
      <c r="L397" s="20" t="s">
        <v>67</v>
      </c>
      <c r="M397" s="20" t="s">
        <v>85</v>
      </c>
      <c r="R397" t="s">
        <v>2662</v>
      </c>
      <c r="S397" t="s">
        <v>2662</v>
      </c>
      <c r="U397" s="80" t="s">
        <v>2662</v>
      </c>
    </row>
    <row r="398" spans="1:27" x14ac:dyDescent="0.3">
      <c r="A398" s="20">
        <v>397</v>
      </c>
      <c r="B398" s="20">
        <v>393</v>
      </c>
      <c r="C398" s="8" t="s">
        <v>1164</v>
      </c>
      <c r="D398" t="s">
        <v>1163</v>
      </c>
      <c r="E398" s="80" t="s">
        <v>1178</v>
      </c>
      <c r="F398" s="8" t="s">
        <v>1179</v>
      </c>
      <c r="G398" s="14" t="s">
        <v>68</v>
      </c>
      <c r="I398" s="20" t="s">
        <v>65</v>
      </c>
      <c r="J398" s="20" t="s">
        <v>2015</v>
      </c>
      <c r="M398" s="20" t="s">
        <v>130</v>
      </c>
      <c r="R398" t="s">
        <v>2657</v>
      </c>
      <c r="S398" t="s">
        <v>2657</v>
      </c>
      <c r="U398" s="80" t="s">
        <v>2657</v>
      </c>
    </row>
    <row r="399" spans="1:27" x14ac:dyDescent="0.3">
      <c r="A399" s="20">
        <v>398</v>
      </c>
      <c r="B399" s="20">
        <v>394</v>
      </c>
      <c r="C399" s="8" t="s">
        <v>1164</v>
      </c>
      <c r="D399" t="s">
        <v>1163</v>
      </c>
      <c r="E399" s="80" t="s">
        <v>1180</v>
      </c>
      <c r="F399" s="8" t="s">
        <v>1181</v>
      </c>
      <c r="G399" s="14" t="s">
        <v>1182</v>
      </c>
      <c r="I399" s="20" t="s">
        <v>15</v>
      </c>
      <c r="N399" s="20" t="s">
        <v>2166</v>
      </c>
      <c r="Z399" t="s">
        <v>1183</v>
      </c>
    </row>
    <row r="400" spans="1:27" x14ac:dyDescent="0.3">
      <c r="A400" s="20">
        <v>399</v>
      </c>
      <c r="B400" s="20">
        <v>395</v>
      </c>
      <c r="C400" s="8" t="s">
        <v>1164</v>
      </c>
      <c r="D400" t="s">
        <v>1163</v>
      </c>
      <c r="E400" s="80" t="s">
        <v>1184</v>
      </c>
      <c r="F400" s="8" t="s">
        <v>1185</v>
      </c>
      <c r="G400" s="14" t="s">
        <v>68</v>
      </c>
      <c r="I400" s="20" t="s">
        <v>732</v>
      </c>
      <c r="K400" s="20" t="s">
        <v>58</v>
      </c>
      <c r="L400" s="20" t="s">
        <v>58</v>
      </c>
      <c r="M400" s="20" t="s">
        <v>85</v>
      </c>
    </row>
    <row r="401" spans="1:27" x14ac:dyDescent="0.3">
      <c r="A401" s="20">
        <v>400</v>
      </c>
      <c r="B401" s="20">
        <v>396</v>
      </c>
      <c r="C401" s="8" t="s">
        <v>1164</v>
      </c>
      <c r="D401" t="s">
        <v>1163</v>
      </c>
      <c r="E401" s="80" t="s">
        <v>1186</v>
      </c>
      <c r="F401" s="8" t="s">
        <v>1187</v>
      </c>
      <c r="G401" s="14" t="s">
        <v>1188</v>
      </c>
      <c r="I401" s="20" t="s">
        <v>15</v>
      </c>
      <c r="M401" s="20" t="s">
        <v>85</v>
      </c>
      <c r="S401" t="s">
        <v>2663</v>
      </c>
    </row>
    <row r="402" spans="1:27" x14ac:dyDescent="0.3">
      <c r="A402" s="20">
        <v>401</v>
      </c>
      <c r="B402" s="20">
        <v>397</v>
      </c>
      <c r="C402" s="8" t="s">
        <v>1164</v>
      </c>
      <c r="D402" t="s">
        <v>1163</v>
      </c>
      <c r="E402" s="80" t="s">
        <v>1189</v>
      </c>
      <c r="F402" s="8" t="s">
        <v>1190</v>
      </c>
      <c r="G402" s="14" t="s">
        <v>1191</v>
      </c>
      <c r="I402" s="20" t="s">
        <v>107</v>
      </c>
      <c r="Z402" t="s">
        <v>1192</v>
      </c>
    </row>
    <row r="403" spans="1:27" x14ac:dyDescent="0.3">
      <c r="A403" s="20">
        <v>402</v>
      </c>
      <c r="B403" s="20">
        <v>398</v>
      </c>
      <c r="C403" s="8" t="s">
        <v>1164</v>
      </c>
      <c r="D403" t="s">
        <v>1163</v>
      </c>
      <c r="E403" s="80" t="s">
        <v>1193</v>
      </c>
      <c r="F403" s="8" t="s">
        <v>1194</v>
      </c>
      <c r="G403" s="14" t="s">
        <v>68</v>
      </c>
      <c r="H403" s="15" t="s">
        <v>9833</v>
      </c>
      <c r="I403" s="20" t="s">
        <v>65</v>
      </c>
      <c r="J403" s="20" t="s">
        <v>2025</v>
      </c>
      <c r="K403" s="20" t="s">
        <v>58</v>
      </c>
      <c r="L403" s="20" t="s">
        <v>58</v>
      </c>
      <c r="M403" s="20" t="s">
        <v>66</v>
      </c>
    </row>
    <row r="404" spans="1:27" x14ac:dyDescent="0.3">
      <c r="A404" s="20">
        <v>403</v>
      </c>
      <c r="B404" s="20">
        <v>399</v>
      </c>
      <c r="C404" s="8" t="s">
        <v>1164</v>
      </c>
      <c r="D404" t="s">
        <v>1163</v>
      </c>
      <c r="E404" s="80" t="s">
        <v>1195</v>
      </c>
      <c r="F404" s="8" t="s">
        <v>1196</v>
      </c>
      <c r="G404" s="14" t="s">
        <v>68</v>
      </c>
      <c r="I404" s="20" t="s">
        <v>65</v>
      </c>
      <c r="J404" s="20" t="s">
        <v>2015</v>
      </c>
    </row>
    <row r="405" spans="1:27" x14ac:dyDescent="0.3">
      <c r="A405" s="20">
        <v>404</v>
      </c>
      <c r="B405" s="20">
        <v>400</v>
      </c>
      <c r="C405" s="8" t="s">
        <v>1164</v>
      </c>
      <c r="D405" t="s">
        <v>1163</v>
      </c>
      <c r="E405" s="80" t="s">
        <v>2666</v>
      </c>
      <c r="F405" s="8" t="s">
        <v>1198</v>
      </c>
      <c r="G405" s="14" t="s">
        <v>68</v>
      </c>
      <c r="I405" s="20" t="s">
        <v>65</v>
      </c>
      <c r="J405" s="20" t="s">
        <v>2015</v>
      </c>
      <c r="M405" s="20" t="s">
        <v>85</v>
      </c>
      <c r="R405" t="s">
        <v>2664</v>
      </c>
      <c r="S405" t="s">
        <v>2665</v>
      </c>
      <c r="T405" t="s">
        <v>1197</v>
      </c>
      <c r="U405" s="80" t="s">
        <v>2667</v>
      </c>
    </row>
    <row r="406" spans="1:27" x14ac:dyDescent="0.3">
      <c r="A406" s="20">
        <v>405</v>
      </c>
      <c r="B406" s="20">
        <v>401</v>
      </c>
      <c r="C406" s="8" t="s">
        <v>1164</v>
      </c>
      <c r="D406" t="s">
        <v>1163</v>
      </c>
      <c r="E406" s="80" t="s">
        <v>1199</v>
      </c>
      <c r="F406" s="8" t="s">
        <v>1200</v>
      </c>
      <c r="G406" s="14" t="s">
        <v>1201</v>
      </c>
      <c r="H406" s="15" t="s">
        <v>9834</v>
      </c>
      <c r="I406" s="20" t="s">
        <v>65</v>
      </c>
      <c r="J406" s="20" t="s">
        <v>2028</v>
      </c>
      <c r="K406" s="20" t="s">
        <v>732</v>
      </c>
      <c r="L406" s="20" t="s">
        <v>732</v>
      </c>
      <c r="P406" t="s">
        <v>2552</v>
      </c>
      <c r="R406" t="s">
        <v>2171</v>
      </c>
      <c r="S406" t="s">
        <v>2668</v>
      </c>
      <c r="Z406" t="s">
        <v>11337</v>
      </c>
      <c r="AA406" t="s">
        <v>2669</v>
      </c>
    </row>
    <row r="407" spans="1:27" x14ac:dyDescent="0.3">
      <c r="A407" s="20">
        <v>406</v>
      </c>
      <c r="B407" s="20">
        <v>402</v>
      </c>
      <c r="C407" s="8" t="s">
        <v>1203</v>
      </c>
      <c r="D407" t="s">
        <v>1202</v>
      </c>
      <c r="E407" s="80" t="s">
        <v>1204</v>
      </c>
      <c r="F407" s="8" t="s">
        <v>1205</v>
      </c>
      <c r="G407" s="14" t="s">
        <v>68</v>
      </c>
      <c r="I407" s="20" t="s">
        <v>65</v>
      </c>
      <c r="J407" s="20" t="s">
        <v>2020</v>
      </c>
      <c r="K407" s="20" t="s">
        <v>66</v>
      </c>
      <c r="L407" s="20" t="s">
        <v>66</v>
      </c>
      <c r="M407" s="20" t="s">
        <v>66</v>
      </c>
      <c r="U407" s="80" t="s">
        <v>2670</v>
      </c>
      <c r="V407" s="8" t="s">
        <v>2671</v>
      </c>
    </row>
    <row r="408" spans="1:27" x14ac:dyDescent="0.3">
      <c r="A408" s="20">
        <v>407</v>
      </c>
      <c r="B408" s="20">
        <v>403</v>
      </c>
      <c r="C408" s="8" t="s">
        <v>1203</v>
      </c>
      <c r="D408" t="s">
        <v>1202</v>
      </c>
      <c r="E408" s="80" t="s">
        <v>1206</v>
      </c>
      <c r="F408" s="8" t="s">
        <v>1207</v>
      </c>
      <c r="G408" s="14" t="s">
        <v>68</v>
      </c>
      <c r="H408" s="15" t="s">
        <v>9835</v>
      </c>
      <c r="I408" s="20" t="s">
        <v>65</v>
      </c>
      <c r="J408" s="20" t="s">
        <v>2020</v>
      </c>
      <c r="K408" s="20" t="s">
        <v>66</v>
      </c>
      <c r="L408" s="20" t="s">
        <v>66</v>
      </c>
      <c r="M408" s="20" t="s">
        <v>66</v>
      </c>
      <c r="R408" t="s">
        <v>1204</v>
      </c>
      <c r="U408" s="80" t="s">
        <v>2672</v>
      </c>
      <c r="V408" s="8" t="s">
        <v>2673</v>
      </c>
    </row>
    <row r="409" spans="1:27" x14ac:dyDescent="0.3">
      <c r="A409" s="20">
        <v>408</v>
      </c>
      <c r="B409" s="20">
        <v>404</v>
      </c>
      <c r="C409" s="8" t="s">
        <v>1209</v>
      </c>
      <c r="D409" t="s">
        <v>1208</v>
      </c>
      <c r="E409" s="80" t="s">
        <v>1210</v>
      </c>
      <c r="F409" s="8" t="s">
        <v>1211</v>
      </c>
      <c r="G409" s="14" t="s">
        <v>68</v>
      </c>
      <c r="H409" s="15" t="s">
        <v>9836</v>
      </c>
      <c r="I409" s="20" t="s">
        <v>65</v>
      </c>
      <c r="J409" s="20" t="s">
        <v>2017</v>
      </c>
      <c r="K409" s="20" t="s">
        <v>58</v>
      </c>
      <c r="L409" s="20" t="s">
        <v>58</v>
      </c>
      <c r="M409" s="20" t="s">
        <v>66</v>
      </c>
      <c r="Y409" s="8" t="s">
        <v>11399</v>
      </c>
    </row>
    <row r="410" spans="1:27" x14ac:dyDescent="0.3">
      <c r="A410" s="20">
        <v>409</v>
      </c>
      <c r="B410" s="20">
        <v>405</v>
      </c>
      <c r="C410" s="8" t="s">
        <v>1209</v>
      </c>
      <c r="D410" t="s">
        <v>1208</v>
      </c>
      <c r="E410" s="80" t="s">
        <v>1212</v>
      </c>
      <c r="F410" s="8" t="s">
        <v>1213</v>
      </c>
      <c r="G410" s="14" t="s">
        <v>1214</v>
      </c>
      <c r="I410" s="20" t="s">
        <v>732</v>
      </c>
      <c r="P410" t="s">
        <v>2257</v>
      </c>
      <c r="R410" t="s">
        <v>2674</v>
      </c>
      <c r="S410" t="s">
        <v>2675</v>
      </c>
      <c r="Y410" s="8" t="s">
        <v>11400</v>
      </c>
      <c r="AA410" t="s">
        <v>2676</v>
      </c>
    </row>
    <row r="411" spans="1:27" x14ac:dyDescent="0.3">
      <c r="A411" s="20">
        <v>410</v>
      </c>
      <c r="B411" s="20">
        <v>406</v>
      </c>
      <c r="C411" s="8" t="s">
        <v>1209</v>
      </c>
      <c r="D411" t="s">
        <v>1208</v>
      </c>
      <c r="E411" s="80" t="s">
        <v>1215</v>
      </c>
      <c r="F411" s="8" t="s">
        <v>1216</v>
      </c>
      <c r="G411" s="14" t="s">
        <v>1217</v>
      </c>
      <c r="I411" s="20" t="s">
        <v>15</v>
      </c>
      <c r="U411" s="80" t="s">
        <v>2677</v>
      </c>
    </row>
    <row r="412" spans="1:27" x14ac:dyDescent="0.3">
      <c r="A412" s="20">
        <v>411</v>
      </c>
      <c r="B412" s="20">
        <v>407</v>
      </c>
      <c r="C412" s="8" t="s">
        <v>1209</v>
      </c>
      <c r="D412" t="s">
        <v>1208</v>
      </c>
      <c r="E412" s="80" t="s">
        <v>1218</v>
      </c>
      <c r="F412" s="8" t="s">
        <v>1219</v>
      </c>
      <c r="G412" s="14" t="s">
        <v>68</v>
      </c>
      <c r="I412" s="20" t="s">
        <v>65</v>
      </c>
      <c r="J412" s="20" t="s">
        <v>2020</v>
      </c>
      <c r="K412" s="20" t="s">
        <v>66</v>
      </c>
      <c r="L412" s="20" t="s">
        <v>66</v>
      </c>
      <c r="M412" s="20" t="s">
        <v>66</v>
      </c>
      <c r="R412" t="s">
        <v>2678</v>
      </c>
    </row>
    <row r="413" spans="1:27" x14ac:dyDescent="0.3">
      <c r="A413" s="20">
        <v>412</v>
      </c>
      <c r="B413" s="20">
        <v>409</v>
      </c>
      <c r="C413" s="8" t="s">
        <v>1209</v>
      </c>
      <c r="D413" t="s">
        <v>1208</v>
      </c>
      <c r="E413" s="80" t="s">
        <v>1220</v>
      </c>
      <c r="F413" s="8" t="s">
        <v>1221</v>
      </c>
      <c r="G413" s="14" t="s">
        <v>1222</v>
      </c>
      <c r="H413" s="15" t="s">
        <v>9837</v>
      </c>
      <c r="I413" s="20" t="s">
        <v>19</v>
      </c>
      <c r="K413" s="20" t="s">
        <v>66</v>
      </c>
      <c r="L413" s="20" t="s">
        <v>66</v>
      </c>
      <c r="M413" s="20" t="s">
        <v>66</v>
      </c>
      <c r="N413" s="20" t="s">
        <v>2166</v>
      </c>
      <c r="Q413" t="s">
        <v>2679</v>
      </c>
      <c r="R413" t="s">
        <v>2171</v>
      </c>
      <c r="Z413" t="s">
        <v>1223</v>
      </c>
    </row>
    <row r="414" spans="1:27" x14ac:dyDescent="0.3">
      <c r="A414" s="20">
        <v>413</v>
      </c>
      <c r="B414" s="20">
        <v>408</v>
      </c>
      <c r="C414" s="8" t="s">
        <v>1209</v>
      </c>
      <c r="D414" t="s">
        <v>1208</v>
      </c>
      <c r="E414" s="80" t="s">
        <v>1224</v>
      </c>
      <c r="F414" s="8" t="s">
        <v>1225</v>
      </c>
      <c r="G414" s="14" t="s">
        <v>108</v>
      </c>
      <c r="H414" s="15" t="s">
        <v>9838</v>
      </c>
      <c r="I414" s="20" t="s">
        <v>19</v>
      </c>
      <c r="N414" s="20" t="s">
        <v>2166</v>
      </c>
      <c r="Q414" t="s">
        <v>2680</v>
      </c>
    </row>
    <row r="415" spans="1:27" x14ac:dyDescent="0.3">
      <c r="A415" s="20">
        <v>414</v>
      </c>
      <c r="B415" s="20">
        <v>410</v>
      </c>
      <c r="C415" s="8" t="s">
        <v>1227</v>
      </c>
      <c r="D415" t="s">
        <v>1226</v>
      </c>
      <c r="E415" s="80" t="s">
        <v>1228</v>
      </c>
      <c r="F415" s="8" t="s">
        <v>1229</v>
      </c>
      <c r="G415" s="14" t="s">
        <v>1230</v>
      </c>
      <c r="I415" s="20" t="s">
        <v>15</v>
      </c>
      <c r="R415" t="s">
        <v>2681</v>
      </c>
    </row>
    <row r="416" spans="1:27" x14ac:dyDescent="0.3">
      <c r="A416" s="20">
        <v>415</v>
      </c>
      <c r="B416" s="20">
        <v>411</v>
      </c>
      <c r="C416" s="8" t="s">
        <v>1232</v>
      </c>
      <c r="D416" t="s">
        <v>1231</v>
      </c>
      <c r="E416" s="80" t="s">
        <v>1233</v>
      </c>
      <c r="F416" s="8" t="s">
        <v>1234</v>
      </c>
      <c r="G416" s="14" t="s">
        <v>1235</v>
      </c>
      <c r="I416" s="20" t="s">
        <v>15</v>
      </c>
      <c r="R416" t="s">
        <v>2682</v>
      </c>
      <c r="X416" s="8" t="s">
        <v>2683</v>
      </c>
    </row>
    <row r="417" spans="1:27" x14ac:dyDescent="0.3">
      <c r="A417" s="20">
        <v>416</v>
      </c>
      <c r="B417" s="20">
        <v>412</v>
      </c>
      <c r="C417" s="8" t="s">
        <v>1237</v>
      </c>
      <c r="D417" t="s">
        <v>1236</v>
      </c>
      <c r="E417" s="80" t="s">
        <v>1238</v>
      </c>
      <c r="F417" s="8" t="s">
        <v>1239</v>
      </c>
      <c r="G417" s="14" t="s">
        <v>43</v>
      </c>
      <c r="I417" s="20" t="s">
        <v>15</v>
      </c>
    </row>
    <row r="418" spans="1:27" x14ac:dyDescent="0.3">
      <c r="A418" s="20">
        <v>417</v>
      </c>
      <c r="B418" s="20">
        <v>422</v>
      </c>
      <c r="C418" s="8" t="s">
        <v>1241</v>
      </c>
      <c r="D418" t="s">
        <v>1240</v>
      </c>
      <c r="E418" s="80" t="s">
        <v>1242</v>
      </c>
      <c r="F418" s="8" t="s">
        <v>1243</v>
      </c>
      <c r="G418" s="14" t="s">
        <v>1244</v>
      </c>
      <c r="I418" s="20" t="s">
        <v>15</v>
      </c>
      <c r="K418" s="20" t="s">
        <v>58</v>
      </c>
      <c r="L418" s="20" t="s">
        <v>58</v>
      </c>
      <c r="M418" s="20" t="s">
        <v>66</v>
      </c>
      <c r="R418" t="s">
        <v>2684</v>
      </c>
    </row>
    <row r="419" spans="1:27" x14ac:dyDescent="0.3">
      <c r="A419" s="20">
        <v>418</v>
      </c>
      <c r="B419" s="20">
        <v>423</v>
      </c>
      <c r="C419" s="8" t="s">
        <v>1241</v>
      </c>
      <c r="D419" t="s">
        <v>1240</v>
      </c>
      <c r="E419" s="80" t="s">
        <v>1245</v>
      </c>
      <c r="F419" s="8" t="s">
        <v>1246</v>
      </c>
      <c r="G419" s="14" t="s">
        <v>1247</v>
      </c>
      <c r="I419" s="20" t="s">
        <v>15</v>
      </c>
      <c r="K419" s="20" t="s">
        <v>732</v>
      </c>
      <c r="P419" t="s">
        <v>2179</v>
      </c>
      <c r="X419" s="8" t="s">
        <v>2685</v>
      </c>
      <c r="AA419" t="s">
        <v>2686</v>
      </c>
    </row>
    <row r="420" spans="1:27" x14ac:dyDescent="0.3">
      <c r="A420" s="20">
        <v>419</v>
      </c>
      <c r="B420" s="20">
        <v>421</v>
      </c>
      <c r="C420" s="8" t="s">
        <v>1241</v>
      </c>
      <c r="D420" t="s">
        <v>1240</v>
      </c>
      <c r="E420" s="80" t="s">
        <v>1248</v>
      </c>
      <c r="F420" s="8" t="s">
        <v>1249</v>
      </c>
      <c r="G420" s="14" t="s">
        <v>1250</v>
      </c>
      <c r="H420" s="15" t="s">
        <v>9839</v>
      </c>
      <c r="I420" s="20" t="s">
        <v>50</v>
      </c>
      <c r="Q420" t="s">
        <v>2209</v>
      </c>
    </row>
    <row r="421" spans="1:27" x14ac:dyDescent="0.3">
      <c r="A421" s="20">
        <v>420</v>
      </c>
      <c r="B421" s="20">
        <v>413</v>
      </c>
      <c r="C421" s="8" t="s">
        <v>1241</v>
      </c>
      <c r="D421" t="s">
        <v>1240</v>
      </c>
      <c r="E421" s="80" t="s">
        <v>1251</v>
      </c>
      <c r="F421" s="8" t="s">
        <v>1252</v>
      </c>
      <c r="G421" s="14" t="s">
        <v>1253</v>
      </c>
      <c r="I421" s="20" t="s">
        <v>15</v>
      </c>
      <c r="R421" t="s">
        <v>2687</v>
      </c>
    </row>
    <row r="422" spans="1:27" x14ac:dyDescent="0.3">
      <c r="A422" s="20">
        <v>421</v>
      </c>
      <c r="B422" s="20">
        <v>417</v>
      </c>
      <c r="C422" s="8" t="s">
        <v>1241</v>
      </c>
      <c r="D422" t="s">
        <v>1240</v>
      </c>
      <c r="E422" s="80" t="s">
        <v>1254</v>
      </c>
      <c r="F422" s="8" t="s">
        <v>1255</v>
      </c>
      <c r="G422" s="14" t="s">
        <v>68</v>
      </c>
      <c r="H422" s="15" t="s">
        <v>9840</v>
      </c>
      <c r="I422" s="20" t="s">
        <v>65</v>
      </c>
      <c r="J422" s="20" t="s">
        <v>2025</v>
      </c>
      <c r="M422" s="20" t="s">
        <v>66</v>
      </c>
      <c r="R422" t="s">
        <v>2688</v>
      </c>
      <c r="W422" s="8" t="s">
        <v>2689</v>
      </c>
    </row>
    <row r="423" spans="1:27" x14ac:dyDescent="0.3">
      <c r="A423" s="20">
        <v>422</v>
      </c>
      <c r="B423" s="20">
        <v>416</v>
      </c>
      <c r="C423" s="8" t="s">
        <v>1241</v>
      </c>
      <c r="D423" t="s">
        <v>1240</v>
      </c>
      <c r="E423" s="80" t="s">
        <v>1256</v>
      </c>
      <c r="F423" s="8" t="s">
        <v>1257</v>
      </c>
      <c r="G423" s="14" t="s">
        <v>68</v>
      </c>
      <c r="H423" s="15" t="s">
        <v>9841</v>
      </c>
      <c r="I423" s="20" t="s">
        <v>65</v>
      </c>
      <c r="J423" s="20" t="s">
        <v>2022</v>
      </c>
      <c r="K423" s="20" t="s">
        <v>66</v>
      </c>
      <c r="L423" s="20" t="s">
        <v>66</v>
      </c>
      <c r="M423" s="20" t="s">
        <v>66</v>
      </c>
      <c r="R423" t="s">
        <v>2690</v>
      </c>
      <c r="U423" s="80" t="s">
        <v>2691</v>
      </c>
      <c r="V423" s="8" t="s">
        <v>2692</v>
      </c>
      <c r="W423" s="8" t="s">
        <v>2693</v>
      </c>
    </row>
    <row r="424" spans="1:27" x14ac:dyDescent="0.3">
      <c r="A424" s="20">
        <v>423</v>
      </c>
      <c r="B424" s="20">
        <v>414</v>
      </c>
      <c r="C424" s="8" t="s">
        <v>1241</v>
      </c>
      <c r="D424" t="s">
        <v>1240</v>
      </c>
      <c r="E424" s="80" t="s">
        <v>1258</v>
      </c>
      <c r="F424" s="8" t="s">
        <v>1259</v>
      </c>
      <c r="G424" s="14" t="s">
        <v>68</v>
      </c>
      <c r="I424" s="20" t="s">
        <v>65</v>
      </c>
      <c r="J424" s="20" t="s">
        <v>2015</v>
      </c>
      <c r="R424" t="s">
        <v>2694</v>
      </c>
      <c r="U424" s="80" t="s">
        <v>2695</v>
      </c>
      <c r="V424" s="8" t="s">
        <v>2696</v>
      </c>
      <c r="W424" s="8" t="s">
        <v>2697</v>
      </c>
    </row>
    <row r="425" spans="1:27" x14ac:dyDescent="0.3">
      <c r="A425" s="20">
        <v>424</v>
      </c>
      <c r="B425" s="20">
        <v>415</v>
      </c>
      <c r="C425" s="8" t="s">
        <v>1241</v>
      </c>
      <c r="D425" t="s">
        <v>1240</v>
      </c>
      <c r="E425" s="80" t="s">
        <v>2699</v>
      </c>
      <c r="F425" s="8" t="s">
        <v>1261</v>
      </c>
      <c r="G425" s="14" t="s">
        <v>68</v>
      </c>
      <c r="I425" s="20" t="s">
        <v>65</v>
      </c>
      <c r="J425" s="20" t="s">
        <v>2015</v>
      </c>
      <c r="K425" s="20" t="s">
        <v>66</v>
      </c>
      <c r="L425" s="20" t="s">
        <v>66</v>
      </c>
      <c r="M425" s="20" t="s">
        <v>66</v>
      </c>
      <c r="R425" t="s">
        <v>2698</v>
      </c>
      <c r="T425" t="s">
        <v>1260</v>
      </c>
      <c r="W425" s="8" t="s">
        <v>2700</v>
      </c>
    </row>
    <row r="426" spans="1:27" x14ac:dyDescent="0.3">
      <c r="A426" s="20">
        <v>425</v>
      </c>
      <c r="B426" s="20">
        <v>419</v>
      </c>
      <c r="C426" s="8" t="s">
        <v>1241</v>
      </c>
      <c r="D426" t="s">
        <v>1240</v>
      </c>
      <c r="E426" s="80" t="s">
        <v>1262</v>
      </c>
      <c r="F426" s="8" t="s">
        <v>1263</v>
      </c>
      <c r="G426" s="14" t="s">
        <v>68</v>
      </c>
      <c r="I426" s="20" t="s">
        <v>65</v>
      </c>
      <c r="J426" s="20" t="s">
        <v>2015</v>
      </c>
      <c r="U426" s="80" t="s">
        <v>2701</v>
      </c>
    </row>
    <row r="427" spans="1:27" x14ac:dyDescent="0.3">
      <c r="A427" s="20">
        <v>426</v>
      </c>
      <c r="B427" s="20">
        <v>420</v>
      </c>
      <c r="C427" s="8" t="s">
        <v>1241</v>
      </c>
      <c r="D427" t="s">
        <v>1240</v>
      </c>
      <c r="E427" s="80" t="s">
        <v>1264</v>
      </c>
      <c r="F427" s="8" t="s">
        <v>1265</v>
      </c>
      <c r="G427" s="14" t="s">
        <v>1266</v>
      </c>
      <c r="I427" s="20" t="s">
        <v>15</v>
      </c>
    </row>
    <row r="428" spans="1:27" x14ac:dyDescent="0.3">
      <c r="A428" s="20">
        <v>427</v>
      </c>
      <c r="B428" s="20">
        <v>418</v>
      </c>
      <c r="C428" s="8" t="s">
        <v>1241</v>
      </c>
      <c r="D428" t="s">
        <v>1240</v>
      </c>
      <c r="E428" s="80" t="s">
        <v>1267</v>
      </c>
      <c r="F428" s="8" t="s">
        <v>1268</v>
      </c>
      <c r="G428" s="14" t="s">
        <v>1269</v>
      </c>
      <c r="I428" s="20" t="s">
        <v>19</v>
      </c>
      <c r="N428" s="20" t="s">
        <v>2166</v>
      </c>
      <c r="P428" t="s">
        <v>2323</v>
      </c>
      <c r="R428" t="s">
        <v>2171</v>
      </c>
      <c r="W428" s="8" t="s">
        <v>2702</v>
      </c>
      <c r="Z428" t="s">
        <v>1270</v>
      </c>
      <c r="AA428" t="s">
        <v>2703</v>
      </c>
    </row>
    <row r="429" spans="1:27" x14ac:dyDescent="0.3">
      <c r="A429" s="20">
        <v>428</v>
      </c>
      <c r="B429" s="20">
        <v>424</v>
      </c>
      <c r="C429" s="8" t="s">
        <v>1272</v>
      </c>
      <c r="D429" t="s">
        <v>1271</v>
      </c>
      <c r="E429" s="80" t="s">
        <v>1273</v>
      </c>
      <c r="F429" s="8" t="s">
        <v>1274</v>
      </c>
      <c r="G429" s="14" t="s">
        <v>43</v>
      </c>
      <c r="H429" s="15" t="s">
        <v>9842</v>
      </c>
      <c r="I429" s="20" t="s">
        <v>15</v>
      </c>
      <c r="P429" t="s">
        <v>2330</v>
      </c>
      <c r="Z429" t="s">
        <v>123</v>
      </c>
      <c r="AA429" t="s">
        <v>2704</v>
      </c>
    </row>
    <row r="430" spans="1:27" x14ac:dyDescent="0.3">
      <c r="A430" s="20">
        <v>429</v>
      </c>
      <c r="B430" s="20">
        <v>425</v>
      </c>
      <c r="C430" s="8" t="s">
        <v>1272</v>
      </c>
      <c r="D430" t="s">
        <v>1271</v>
      </c>
      <c r="E430" s="80" t="s">
        <v>1275</v>
      </c>
      <c r="F430" s="8" t="s">
        <v>1276</v>
      </c>
      <c r="G430" s="14" t="s">
        <v>68</v>
      </c>
      <c r="H430" s="15" t="s">
        <v>9843</v>
      </c>
      <c r="I430" s="20" t="s">
        <v>65</v>
      </c>
      <c r="J430" s="20" t="s">
        <v>2015</v>
      </c>
      <c r="Z430" t="s">
        <v>123</v>
      </c>
    </row>
    <row r="431" spans="1:27" x14ac:dyDescent="0.3">
      <c r="A431" s="20">
        <v>430</v>
      </c>
      <c r="B431" s="20">
        <v>426</v>
      </c>
      <c r="C431" s="8" t="s">
        <v>1272</v>
      </c>
      <c r="D431" t="s">
        <v>1271</v>
      </c>
      <c r="E431" s="80" t="s">
        <v>1277</v>
      </c>
      <c r="F431" s="8" t="s">
        <v>1278</v>
      </c>
      <c r="G431" s="14" t="s">
        <v>1279</v>
      </c>
      <c r="I431" s="20" t="s">
        <v>732</v>
      </c>
      <c r="Z431" t="s">
        <v>123</v>
      </c>
    </row>
    <row r="432" spans="1:27" x14ac:dyDescent="0.3">
      <c r="A432" s="20">
        <v>431</v>
      </c>
      <c r="B432" s="20">
        <v>427</v>
      </c>
      <c r="C432" s="8" t="s">
        <v>1272</v>
      </c>
      <c r="D432" t="s">
        <v>1271</v>
      </c>
      <c r="E432" s="80" t="s">
        <v>1280</v>
      </c>
      <c r="F432" s="8" t="s">
        <v>1281</v>
      </c>
      <c r="G432" s="14" t="s">
        <v>68</v>
      </c>
      <c r="I432" s="20" t="s">
        <v>65</v>
      </c>
      <c r="J432" s="20" t="s">
        <v>2015</v>
      </c>
      <c r="Z432" t="s">
        <v>123</v>
      </c>
    </row>
    <row r="433" spans="1:27" x14ac:dyDescent="0.3">
      <c r="A433" s="20">
        <v>432</v>
      </c>
      <c r="B433" s="20">
        <v>428</v>
      </c>
      <c r="C433" s="8" t="s">
        <v>1283</v>
      </c>
      <c r="D433" t="s">
        <v>1282</v>
      </c>
      <c r="E433" s="80" t="s">
        <v>1284</v>
      </c>
      <c r="F433" s="8" t="s">
        <v>1285</v>
      </c>
      <c r="G433" s="14" t="s">
        <v>1286</v>
      </c>
      <c r="H433" s="15" t="s">
        <v>9844</v>
      </c>
      <c r="I433" s="20" t="s">
        <v>19</v>
      </c>
      <c r="N433" s="20" t="s">
        <v>2166</v>
      </c>
      <c r="Q433" t="s">
        <v>2705</v>
      </c>
      <c r="Z433" t="s">
        <v>123</v>
      </c>
    </row>
    <row r="434" spans="1:27" x14ac:dyDescent="0.3">
      <c r="A434" s="20">
        <v>433</v>
      </c>
      <c r="B434" s="20">
        <v>429</v>
      </c>
      <c r="C434" s="8" t="s">
        <v>1283</v>
      </c>
      <c r="D434" t="s">
        <v>1282</v>
      </c>
      <c r="E434" s="80" t="s">
        <v>1287</v>
      </c>
      <c r="F434" s="8" t="s">
        <v>1288</v>
      </c>
      <c r="G434" s="14" t="s">
        <v>1011</v>
      </c>
      <c r="I434" s="20" t="s">
        <v>50</v>
      </c>
      <c r="Q434" t="s">
        <v>2293</v>
      </c>
    </row>
    <row r="435" spans="1:27" x14ac:dyDescent="0.3">
      <c r="A435" s="20">
        <v>434</v>
      </c>
      <c r="B435" s="20">
        <v>430</v>
      </c>
      <c r="C435" s="8" t="s">
        <v>1283</v>
      </c>
      <c r="D435" t="s">
        <v>1282</v>
      </c>
      <c r="E435" s="80" t="s">
        <v>1289</v>
      </c>
      <c r="F435" s="8" t="s">
        <v>1290</v>
      </c>
      <c r="G435" s="14" t="s">
        <v>1291</v>
      </c>
      <c r="I435" s="20" t="s">
        <v>15</v>
      </c>
    </row>
    <row r="436" spans="1:27" x14ac:dyDescent="0.3">
      <c r="A436" s="20">
        <v>435</v>
      </c>
      <c r="B436" s="20">
        <v>431</v>
      </c>
      <c r="C436" s="8" t="s">
        <v>1283</v>
      </c>
      <c r="D436" t="s">
        <v>1282</v>
      </c>
      <c r="E436" s="80" t="s">
        <v>1292</v>
      </c>
      <c r="F436" s="8" t="s">
        <v>1293</v>
      </c>
      <c r="G436" s="14" t="s">
        <v>68</v>
      </c>
      <c r="I436" s="20" t="s">
        <v>65</v>
      </c>
      <c r="J436" s="20" t="s">
        <v>2015</v>
      </c>
      <c r="K436" s="20" t="s">
        <v>58</v>
      </c>
      <c r="L436" s="20" t="s">
        <v>58</v>
      </c>
      <c r="M436" s="20" t="s">
        <v>66</v>
      </c>
      <c r="S436" t="s">
        <v>2706</v>
      </c>
    </row>
    <row r="437" spans="1:27" x14ac:dyDescent="0.3">
      <c r="A437" s="20">
        <v>436</v>
      </c>
      <c r="B437" s="20">
        <v>432</v>
      </c>
      <c r="C437" s="8" t="s">
        <v>1295</v>
      </c>
      <c r="D437" t="s">
        <v>1294</v>
      </c>
      <c r="E437" s="80" t="s">
        <v>1296</v>
      </c>
      <c r="F437" s="8" t="s">
        <v>1297</v>
      </c>
      <c r="G437" s="14" t="s">
        <v>1298</v>
      </c>
      <c r="I437" s="20" t="s">
        <v>15</v>
      </c>
      <c r="K437" s="20" t="s">
        <v>58</v>
      </c>
      <c r="L437" s="20" t="s">
        <v>58</v>
      </c>
      <c r="M437" s="20" t="s">
        <v>66</v>
      </c>
    </row>
    <row r="438" spans="1:27" x14ac:dyDescent="0.3">
      <c r="A438" s="20">
        <v>437</v>
      </c>
      <c r="B438" s="20">
        <v>433</v>
      </c>
      <c r="C438" s="8" t="s">
        <v>1295</v>
      </c>
      <c r="D438" t="s">
        <v>1294</v>
      </c>
      <c r="E438" s="80" t="s">
        <v>1299</v>
      </c>
      <c r="F438" s="8" t="s">
        <v>1300</v>
      </c>
      <c r="G438" s="14" t="s">
        <v>68</v>
      </c>
      <c r="I438" s="20" t="s">
        <v>65</v>
      </c>
      <c r="J438" s="20" t="s">
        <v>2017</v>
      </c>
    </row>
    <row r="439" spans="1:27" x14ac:dyDescent="0.3">
      <c r="A439" s="20">
        <v>438</v>
      </c>
      <c r="B439" s="20">
        <v>434</v>
      </c>
      <c r="C439" s="8" t="s">
        <v>1295</v>
      </c>
      <c r="D439" t="s">
        <v>1294</v>
      </c>
      <c r="E439" s="80" t="s">
        <v>1301</v>
      </c>
      <c r="F439" s="8" t="s">
        <v>1302</v>
      </c>
      <c r="G439" s="14" t="s">
        <v>68</v>
      </c>
      <c r="H439" s="15" t="s">
        <v>9845</v>
      </c>
      <c r="I439" s="20" t="s">
        <v>65</v>
      </c>
      <c r="J439" s="20" t="s">
        <v>2017</v>
      </c>
      <c r="R439" t="s">
        <v>1299</v>
      </c>
    </row>
    <row r="440" spans="1:27" x14ac:dyDescent="0.3">
      <c r="A440" s="20">
        <v>439</v>
      </c>
      <c r="B440" s="20">
        <v>435</v>
      </c>
      <c r="C440" s="8" t="s">
        <v>1295</v>
      </c>
      <c r="D440" t="s">
        <v>1294</v>
      </c>
      <c r="E440" s="80" t="s">
        <v>1303</v>
      </c>
      <c r="F440" s="8" t="s">
        <v>1304</v>
      </c>
      <c r="G440" s="14" t="s">
        <v>68</v>
      </c>
      <c r="H440" s="15" t="s">
        <v>9846</v>
      </c>
      <c r="I440" s="20" t="s">
        <v>65</v>
      </c>
      <c r="J440" s="20" t="s">
        <v>2017</v>
      </c>
      <c r="K440" s="20" t="s">
        <v>85</v>
      </c>
      <c r="L440" s="20" t="s">
        <v>85</v>
      </c>
      <c r="M440" s="20" t="s">
        <v>85</v>
      </c>
      <c r="N440" s="20" t="s">
        <v>2166</v>
      </c>
      <c r="P440" t="s">
        <v>2174</v>
      </c>
      <c r="Z440" t="s">
        <v>123</v>
      </c>
      <c r="AA440" t="s">
        <v>2707</v>
      </c>
    </row>
    <row r="441" spans="1:27" x14ac:dyDescent="0.3">
      <c r="A441" s="20">
        <v>440</v>
      </c>
      <c r="B441" s="20">
        <v>436</v>
      </c>
      <c r="C441" s="8" t="s">
        <v>1295</v>
      </c>
      <c r="D441" t="s">
        <v>1294</v>
      </c>
      <c r="E441" s="80" t="s">
        <v>1305</v>
      </c>
      <c r="F441" s="8" t="s">
        <v>1306</v>
      </c>
      <c r="G441" s="14" t="s">
        <v>43</v>
      </c>
      <c r="I441" s="20" t="s">
        <v>15</v>
      </c>
      <c r="P441" t="s">
        <v>2254</v>
      </c>
      <c r="AA441" t="s">
        <v>2708</v>
      </c>
    </row>
    <row r="442" spans="1:27" x14ac:dyDescent="0.3">
      <c r="A442" s="20">
        <v>441</v>
      </c>
      <c r="B442" s="20">
        <v>437</v>
      </c>
      <c r="C442" s="8" t="s">
        <v>1308</v>
      </c>
      <c r="D442" t="s">
        <v>1307</v>
      </c>
      <c r="E442" s="80" t="s">
        <v>1309</v>
      </c>
      <c r="F442" s="8" t="s">
        <v>1310</v>
      </c>
      <c r="G442" s="14" t="s">
        <v>43</v>
      </c>
      <c r="I442" s="20" t="s">
        <v>19</v>
      </c>
      <c r="N442" s="20" t="s">
        <v>2166</v>
      </c>
      <c r="R442" t="s">
        <v>2171</v>
      </c>
      <c r="Z442" t="s">
        <v>11338</v>
      </c>
    </row>
    <row r="443" spans="1:27" x14ac:dyDescent="0.3">
      <c r="A443" s="20">
        <v>442</v>
      </c>
      <c r="B443" s="20">
        <v>438</v>
      </c>
      <c r="C443" s="8" t="s">
        <v>1308</v>
      </c>
      <c r="D443" t="s">
        <v>1307</v>
      </c>
      <c r="E443" s="80" t="s">
        <v>1311</v>
      </c>
      <c r="F443" s="8" t="s">
        <v>1312</v>
      </c>
      <c r="G443" s="14" t="s">
        <v>43</v>
      </c>
      <c r="I443" s="20" t="s">
        <v>236</v>
      </c>
      <c r="Z443" t="s">
        <v>11339</v>
      </c>
    </row>
    <row r="444" spans="1:27" x14ac:dyDescent="0.3">
      <c r="A444" s="20">
        <v>443</v>
      </c>
      <c r="B444" s="20">
        <v>439</v>
      </c>
      <c r="C444" s="8" t="s">
        <v>1308</v>
      </c>
      <c r="D444" t="s">
        <v>1307</v>
      </c>
      <c r="E444" s="80" t="s">
        <v>1313</v>
      </c>
      <c r="F444" s="8" t="s">
        <v>1314</v>
      </c>
      <c r="G444" s="14" t="s">
        <v>1315</v>
      </c>
      <c r="H444" s="15" t="s">
        <v>9847</v>
      </c>
      <c r="I444" s="20" t="s">
        <v>19</v>
      </c>
      <c r="N444" s="20" t="s">
        <v>2166</v>
      </c>
      <c r="P444" t="s">
        <v>2330</v>
      </c>
      <c r="W444" s="8" t="s">
        <v>2709</v>
      </c>
      <c r="AA444" t="s">
        <v>2710</v>
      </c>
    </row>
    <row r="445" spans="1:27" x14ac:dyDescent="0.3">
      <c r="A445" s="20">
        <v>444</v>
      </c>
      <c r="B445" s="20">
        <v>440</v>
      </c>
      <c r="C445" s="8" t="s">
        <v>1308</v>
      </c>
      <c r="D445" t="s">
        <v>1307</v>
      </c>
      <c r="E445" s="80" t="s">
        <v>1316</v>
      </c>
      <c r="F445" s="8" t="s">
        <v>1317</v>
      </c>
      <c r="G445" s="14" t="s">
        <v>68</v>
      </c>
      <c r="I445" s="20" t="s">
        <v>65</v>
      </c>
      <c r="J445" s="20" t="s">
        <v>2015</v>
      </c>
    </row>
    <row r="446" spans="1:27" x14ac:dyDescent="0.3">
      <c r="A446" s="20">
        <v>445</v>
      </c>
      <c r="B446" s="20">
        <v>441</v>
      </c>
      <c r="C446" s="8" t="s">
        <v>1308</v>
      </c>
      <c r="D446" t="s">
        <v>1307</v>
      </c>
      <c r="E446" s="80" t="s">
        <v>1318</v>
      </c>
      <c r="F446" s="8" t="s">
        <v>1319</v>
      </c>
      <c r="G446" s="14" t="s">
        <v>1320</v>
      </c>
      <c r="I446" s="20" t="s">
        <v>15</v>
      </c>
      <c r="R446" t="s">
        <v>2711</v>
      </c>
      <c r="Z446" t="s">
        <v>123</v>
      </c>
    </row>
    <row r="447" spans="1:27" x14ac:dyDescent="0.3">
      <c r="A447" s="20">
        <v>446</v>
      </c>
      <c r="B447" s="20">
        <v>442</v>
      </c>
      <c r="C447" s="8" t="s">
        <v>1308</v>
      </c>
      <c r="D447" t="s">
        <v>1307</v>
      </c>
      <c r="E447" s="80" t="s">
        <v>1321</v>
      </c>
      <c r="F447" s="8" t="s">
        <v>1322</v>
      </c>
      <c r="G447" s="14" t="s">
        <v>1323</v>
      </c>
      <c r="H447" s="15" t="s">
        <v>9848</v>
      </c>
      <c r="I447" s="20" t="s">
        <v>65</v>
      </c>
      <c r="J447" s="20" t="s">
        <v>2031</v>
      </c>
      <c r="K447" s="20" t="s">
        <v>67</v>
      </c>
      <c r="L447" s="20" t="s">
        <v>67</v>
      </c>
      <c r="M447" s="20" t="s">
        <v>85</v>
      </c>
      <c r="P447" t="s">
        <v>2179</v>
      </c>
      <c r="R447" t="s">
        <v>2711</v>
      </c>
      <c r="AA447" t="s">
        <v>2712</v>
      </c>
    </row>
    <row r="448" spans="1:27" x14ac:dyDescent="0.3">
      <c r="A448" s="20">
        <v>447</v>
      </c>
      <c r="B448" s="20">
        <v>443</v>
      </c>
      <c r="C448" s="8" t="s">
        <v>1325</v>
      </c>
      <c r="D448" t="s">
        <v>1324</v>
      </c>
      <c r="E448" s="80" t="s">
        <v>1326</v>
      </c>
      <c r="F448" s="8" t="s">
        <v>1327</v>
      </c>
      <c r="G448" s="14" t="s">
        <v>68</v>
      </c>
      <c r="I448" s="20" t="s">
        <v>65</v>
      </c>
      <c r="J448" s="20" t="s">
        <v>2020</v>
      </c>
      <c r="P448" t="s">
        <v>2174</v>
      </c>
      <c r="R448" t="s">
        <v>2713</v>
      </c>
      <c r="S448" t="s">
        <v>2714</v>
      </c>
      <c r="AA448" t="s">
        <v>2715</v>
      </c>
    </row>
    <row r="449" spans="1:27" x14ac:dyDescent="0.3">
      <c r="A449" s="20">
        <v>448</v>
      </c>
      <c r="B449" s="20">
        <v>444</v>
      </c>
      <c r="C449" s="8" t="s">
        <v>1325</v>
      </c>
      <c r="D449" t="s">
        <v>1324</v>
      </c>
      <c r="E449" s="80" t="s">
        <v>1328</v>
      </c>
      <c r="F449" s="8" t="s">
        <v>1329</v>
      </c>
      <c r="G449" s="14" t="s">
        <v>1330</v>
      </c>
      <c r="H449" s="15" t="s">
        <v>9849</v>
      </c>
      <c r="I449" s="20" t="s">
        <v>65</v>
      </c>
      <c r="J449" s="20" t="s">
        <v>2020</v>
      </c>
      <c r="P449" t="s">
        <v>2179</v>
      </c>
      <c r="R449" t="s">
        <v>2713</v>
      </c>
      <c r="S449" t="s">
        <v>2716</v>
      </c>
      <c r="AA449" t="s">
        <v>2717</v>
      </c>
    </row>
    <row r="450" spans="1:27" x14ac:dyDescent="0.3">
      <c r="A450" s="20">
        <v>449</v>
      </c>
      <c r="B450" s="20">
        <v>445</v>
      </c>
      <c r="C450" s="8" t="s">
        <v>1325</v>
      </c>
      <c r="D450" t="s">
        <v>1324</v>
      </c>
      <c r="E450" s="80" t="s">
        <v>1331</v>
      </c>
      <c r="F450" s="8" t="s">
        <v>1332</v>
      </c>
      <c r="G450" s="14" t="s">
        <v>68</v>
      </c>
      <c r="I450" s="20" t="s">
        <v>65</v>
      </c>
      <c r="J450" s="20" t="s">
        <v>2019</v>
      </c>
    </row>
    <row r="451" spans="1:27" x14ac:dyDescent="0.3">
      <c r="A451" s="20">
        <v>450</v>
      </c>
      <c r="B451" s="20">
        <v>446</v>
      </c>
      <c r="C451" s="8" t="s">
        <v>1325</v>
      </c>
      <c r="D451" t="s">
        <v>1324</v>
      </c>
      <c r="E451" s="80" t="s">
        <v>1333</v>
      </c>
      <c r="F451" s="8" t="s">
        <v>1334</v>
      </c>
      <c r="G451" s="14" t="s">
        <v>1335</v>
      </c>
      <c r="H451" s="15" t="s">
        <v>9848</v>
      </c>
      <c r="I451" s="20" t="s">
        <v>65</v>
      </c>
      <c r="J451" s="20" t="s">
        <v>2031</v>
      </c>
      <c r="K451" s="20" t="s">
        <v>66</v>
      </c>
      <c r="L451" s="20" t="s">
        <v>66</v>
      </c>
      <c r="M451" s="20" t="s">
        <v>67</v>
      </c>
      <c r="P451" t="s">
        <v>2179</v>
      </c>
      <c r="R451" t="s">
        <v>1331</v>
      </c>
      <c r="AA451" t="s">
        <v>2718</v>
      </c>
    </row>
    <row r="452" spans="1:27" x14ac:dyDescent="0.3">
      <c r="A452" s="20">
        <v>451</v>
      </c>
      <c r="B452" s="20">
        <v>447</v>
      </c>
      <c r="C452" s="8" t="s">
        <v>1325</v>
      </c>
      <c r="D452" t="s">
        <v>1324</v>
      </c>
      <c r="E452" s="80" t="s">
        <v>1336</v>
      </c>
      <c r="F452" s="8" t="s">
        <v>1337</v>
      </c>
      <c r="G452" s="14" t="s">
        <v>1338</v>
      </c>
      <c r="H452" s="15" t="s">
        <v>9850</v>
      </c>
      <c r="I452" s="20" t="s">
        <v>65</v>
      </c>
      <c r="J452" s="20" t="s">
        <v>2022</v>
      </c>
      <c r="P452" t="s">
        <v>2179</v>
      </c>
      <c r="R452" t="s">
        <v>1331</v>
      </c>
      <c r="AA452" t="s">
        <v>2719</v>
      </c>
    </row>
    <row r="453" spans="1:27" x14ac:dyDescent="0.3">
      <c r="A453" s="20">
        <v>452</v>
      </c>
      <c r="B453" s="20">
        <v>448</v>
      </c>
      <c r="C453" s="8" t="s">
        <v>1325</v>
      </c>
      <c r="D453" t="s">
        <v>1324</v>
      </c>
      <c r="E453" s="80" t="s">
        <v>1339</v>
      </c>
      <c r="F453" s="8" t="s">
        <v>1340</v>
      </c>
      <c r="G453" s="14" t="s">
        <v>68</v>
      </c>
      <c r="H453" s="15" t="s">
        <v>9851</v>
      </c>
      <c r="I453" s="20" t="s">
        <v>65</v>
      </c>
      <c r="J453" s="20" t="s">
        <v>2015</v>
      </c>
      <c r="P453" t="s">
        <v>2179</v>
      </c>
      <c r="R453" t="s">
        <v>2720</v>
      </c>
      <c r="S453" t="s">
        <v>2721</v>
      </c>
      <c r="AA453" t="s">
        <v>2722</v>
      </c>
    </row>
    <row r="454" spans="1:27" x14ac:dyDescent="0.3">
      <c r="A454" s="20">
        <v>453</v>
      </c>
      <c r="B454" s="20">
        <v>449</v>
      </c>
      <c r="C454" s="8" t="s">
        <v>1325</v>
      </c>
      <c r="D454" t="s">
        <v>1324</v>
      </c>
      <c r="E454" s="80" t="s">
        <v>1341</v>
      </c>
      <c r="F454" s="8" t="s">
        <v>1342</v>
      </c>
      <c r="G454" s="14" t="s">
        <v>998</v>
      </c>
      <c r="I454" s="20" t="s">
        <v>65</v>
      </c>
      <c r="J454" s="20" t="s">
        <v>2025</v>
      </c>
    </row>
    <row r="455" spans="1:27" x14ac:dyDescent="0.3">
      <c r="A455" s="20">
        <v>454</v>
      </c>
      <c r="B455" s="20">
        <v>450</v>
      </c>
      <c r="C455" s="8" t="s">
        <v>1344</v>
      </c>
      <c r="D455" t="s">
        <v>1343</v>
      </c>
      <c r="E455" s="80" t="s">
        <v>1345</v>
      </c>
      <c r="F455" s="8" t="s">
        <v>1346</v>
      </c>
      <c r="G455" s="14" t="s">
        <v>836</v>
      </c>
      <c r="I455" s="20" t="s">
        <v>15</v>
      </c>
    </row>
    <row r="456" spans="1:27" x14ac:dyDescent="0.3">
      <c r="A456" s="20">
        <v>455</v>
      </c>
      <c r="B456" s="20">
        <v>451</v>
      </c>
      <c r="C456" s="8" t="s">
        <v>1344</v>
      </c>
      <c r="D456" t="s">
        <v>1343</v>
      </c>
      <c r="E456" s="80" t="s">
        <v>1347</v>
      </c>
      <c r="F456" s="8" t="s">
        <v>1348</v>
      </c>
      <c r="G456" s="14" t="s">
        <v>68</v>
      </c>
      <c r="I456" s="20" t="s">
        <v>65</v>
      </c>
      <c r="J456" s="20" t="s">
        <v>2015</v>
      </c>
      <c r="K456" s="20" t="s">
        <v>58</v>
      </c>
      <c r="L456" s="20" t="s">
        <v>58</v>
      </c>
      <c r="M456" s="20" t="s">
        <v>130</v>
      </c>
    </row>
    <row r="457" spans="1:27" x14ac:dyDescent="0.3">
      <c r="A457" s="20">
        <v>456</v>
      </c>
      <c r="B457" s="20">
        <v>452</v>
      </c>
      <c r="C457" s="8" t="s">
        <v>1344</v>
      </c>
      <c r="D457" t="s">
        <v>1343</v>
      </c>
      <c r="E457" s="80" t="s">
        <v>1349</v>
      </c>
      <c r="F457" s="8" t="s">
        <v>1350</v>
      </c>
      <c r="G457" s="14" t="s">
        <v>68</v>
      </c>
      <c r="H457" s="15" t="s">
        <v>9660</v>
      </c>
      <c r="I457" s="20" t="s">
        <v>65</v>
      </c>
      <c r="J457" s="20" t="s">
        <v>2015</v>
      </c>
      <c r="K457" s="20" t="s">
        <v>66</v>
      </c>
      <c r="L457" s="20" t="s">
        <v>66</v>
      </c>
      <c r="M457" s="20" t="s">
        <v>85</v>
      </c>
    </row>
    <row r="458" spans="1:27" x14ac:dyDescent="0.3">
      <c r="A458" s="20">
        <v>457</v>
      </c>
      <c r="B458" s="20">
        <v>453</v>
      </c>
      <c r="C458" s="8" t="s">
        <v>1344</v>
      </c>
      <c r="D458" t="s">
        <v>1343</v>
      </c>
      <c r="E458" s="80" t="s">
        <v>1351</v>
      </c>
      <c r="F458" s="8" t="s">
        <v>1352</v>
      </c>
      <c r="G458" s="14" t="s">
        <v>1353</v>
      </c>
      <c r="H458" s="15" t="s">
        <v>9852</v>
      </c>
      <c r="I458" s="20" t="s">
        <v>19</v>
      </c>
      <c r="N458" s="20" t="s">
        <v>2166</v>
      </c>
      <c r="P458" t="s">
        <v>2179</v>
      </c>
      <c r="Q458" t="s">
        <v>2723</v>
      </c>
      <c r="R458" t="s">
        <v>2171</v>
      </c>
      <c r="S458" t="s">
        <v>2724</v>
      </c>
      <c r="U458" s="80" t="s">
        <v>2725</v>
      </c>
      <c r="Z458" t="s">
        <v>11340</v>
      </c>
      <c r="AA458" t="s">
        <v>2726</v>
      </c>
    </row>
    <row r="459" spans="1:27" x14ac:dyDescent="0.3">
      <c r="A459" s="20">
        <v>458</v>
      </c>
      <c r="B459" s="20">
        <v>454</v>
      </c>
      <c r="C459" s="8" t="s">
        <v>1344</v>
      </c>
      <c r="D459" t="s">
        <v>1343</v>
      </c>
      <c r="E459" s="80" t="s">
        <v>1354</v>
      </c>
      <c r="F459" s="8" t="s">
        <v>1355</v>
      </c>
      <c r="G459" s="14" t="s">
        <v>1356</v>
      </c>
      <c r="I459" s="20" t="s">
        <v>236</v>
      </c>
      <c r="K459" s="20" t="s">
        <v>58</v>
      </c>
      <c r="L459" s="20" t="s">
        <v>58</v>
      </c>
      <c r="M459" s="20" t="s">
        <v>66</v>
      </c>
      <c r="Q459" t="s">
        <v>2727</v>
      </c>
      <c r="R459" t="s">
        <v>2728</v>
      </c>
      <c r="S459" t="s">
        <v>2728</v>
      </c>
      <c r="U459" s="80" t="s">
        <v>2729</v>
      </c>
    </row>
    <row r="460" spans="1:27" x14ac:dyDescent="0.3">
      <c r="A460" s="20">
        <v>459</v>
      </c>
      <c r="B460" s="20">
        <v>455</v>
      </c>
      <c r="C460" s="8" t="s">
        <v>1344</v>
      </c>
      <c r="D460" t="s">
        <v>1343</v>
      </c>
      <c r="E460" s="80" t="s">
        <v>1357</v>
      </c>
      <c r="F460" s="8" t="s">
        <v>1358</v>
      </c>
      <c r="G460" s="14" t="s">
        <v>68</v>
      </c>
      <c r="H460" s="15" t="s">
        <v>9853</v>
      </c>
      <c r="I460" s="20" t="s">
        <v>65</v>
      </c>
      <c r="J460" s="20" t="s">
        <v>2030</v>
      </c>
      <c r="R460" t="s">
        <v>2730</v>
      </c>
      <c r="S460" t="s">
        <v>2730</v>
      </c>
      <c r="U460" s="80" t="s">
        <v>2731</v>
      </c>
    </row>
    <row r="461" spans="1:27" x14ac:dyDescent="0.3">
      <c r="A461" s="20">
        <v>460</v>
      </c>
      <c r="B461" s="20">
        <v>456</v>
      </c>
      <c r="C461" s="8" t="s">
        <v>1344</v>
      </c>
      <c r="D461" t="s">
        <v>1343</v>
      </c>
      <c r="E461" s="80" t="s">
        <v>1359</v>
      </c>
      <c r="F461" s="8" t="s">
        <v>1360</v>
      </c>
      <c r="G461" s="14" t="s">
        <v>68</v>
      </c>
      <c r="I461" s="20" t="s">
        <v>732</v>
      </c>
      <c r="R461" t="s">
        <v>2732</v>
      </c>
      <c r="S461" t="s">
        <v>2732</v>
      </c>
      <c r="U461" s="80" t="s">
        <v>2733</v>
      </c>
    </row>
    <row r="462" spans="1:27" x14ac:dyDescent="0.3">
      <c r="A462" s="20">
        <v>461</v>
      </c>
      <c r="B462" s="20">
        <v>457</v>
      </c>
      <c r="C462" s="8" t="s">
        <v>1362</v>
      </c>
      <c r="D462" t="s">
        <v>1361</v>
      </c>
      <c r="E462" s="80" t="s">
        <v>1363</v>
      </c>
      <c r="F462" s="8" t="s">
        <v>1364</v>
      </c>
      <c r="G462" s="14" t="s">
        <v>1365</v>
      </c>
      <c r="I462" s="20" t="s">
        <v>15</v>
      </c>
    </row>
    <row r="463" spans="1:27" x14ac:dyDescent="0.3">
      <c r="A463" s="20">
        <v>462</v>
      </c>
      <c r="B463" s="20">
        <v>458</v>
      </c>
      <c r="C463" s="8" t="s">
        <v>1362</v>
      </c>
      <c r="D463" t="s">
        <v>1361</v>
      </c>
      <c r="E463" s="80" t="s">
        <v>1366</v>
      </c>
      <c r="F463" s="8" t="s">
        <v>1367</v>
      </c>
      <c r="G463" s="14" t="s">
        <v>1368</v>
      </c>
      <c r="I463" s="20" t="s">
        <v>15</v>
      </c>
    </row>
    <row r="464" spans="1:27" x14ac:dyDescent="0.3">
      <c r="A464" s="20">
        <v>463</v>
      </c>
      <c r="B464" s="20">
        <v>459</v>
      </c>
      <c r="C464" s="8" t="s">
        <v>1370</v>
      </c>
      <c r="D464" t="s">
        <v>1369</v>
      </c>
      <c r="E464" s="80" t="s">
        <v>1371</v>
      </c>
      <c r="F464" s="8" t="s">
        <v>1372</v>
      </c>
      <c r="G464" s="14" t="s">
        <v>270</v>
      </c>
      <c r="H464" s="15" t="s">
        <v>9854</v>
      </c>
      <c r="I464" s="20" t="s">
        <v>19</v>
      </c>
      <c r="K464" s="20" t="s">
        <v>58</v>
      </c>
      <c r="L464" s="20" t="s">
        <v>58</v>
      </c>
      <c r="M464" s="20" t="s">
        <v>130</v>
      </c>
      <c r="N464" s="20" t="s">
        <v>2166</v>
      </c>
      <c r="R464" t="s">
        <v>2171</v>
      </c>
      <c r="Z464" t="s">
        <v>1373</v>
      </c>
    </row>
    <row r="465" spans="1:27" x14ac:dyDescent="0.3">
      <c r="A465" s="20">
        <v>464</v>
      </c>
      <c r="B465" s="20">
        <v>460</v>
      </c>
      <c r="C465" s="8" t="s">
        <v>1375</v>
      </c>
      <c r="D465" t="s">
        <v>1374</v>
      </c>
      <c r="E465" s="80" t="s">
        <v>1376</v>
      </c>
      <c r="F465" s="8" t="s">
        <v>1377</v>
      </c>
      <c r="G465" s="14" t="s">
        <v>1378</v>
      </c>
      <c r="I465" s="20" t="s">
        <v>15</v>
      </c>
    </row>
    <row r="466" spans="1:27" x14ac:dyDescent="0.3">
      <c r="A466" s="20">
        <v>465</v>
      </c>
      <c r="B466" s="20">
        <v>461</v>
      </c>
      <c r="C466" s="8" t="s">
        <v>1380</v>
      </c>
      <c r="D466" t="s">
        <v>1379</v>
      </c>
      <c r="E466" s="80" t="s">
        <v>1381</v>
      </c>
      <c r="F466" s="8" t="s">
        <v>1382</v>
      </c>
      <c r="G466" s="14" t="s">
        <v>68</v>
      </c>
      <c r="I466" s="20" t="s">
        <v>65</v>
      </c>
      <c r="J466" s="20" t="s">
        <v>2015</v>
      </c>
      <c r="V466" s="8" t="s">
        <v>2734</v>
      </c>
      <c r="W466" s="8" t="s">
        <v>2734</v>
      </c>
      <c r="Y466" s="8" t="s">
        <v>11401</v>
      </c>
    </row>
    <row r="467" spans="1:27" x14ac:dyDescent="0.3">
      <c r="A467" s="20">
        <v>466</v>
      </c>
      <c r="B467" s="20">
        <v>462</v>
      </c>
      <c r="C467" s="8" t="s">
        <v>1380</v>
      </c>
      <c r="D467" t="s">
        <v>1379</v>
      </c>
      <c r="E467" s="80" t="s">
        <v>1383</v>
      </c>
      <c r="F467" s="8" t="s">
        <v>1384</v>
      </c>
      <c r="G467" s="14" t="s">
        <v>68</v>
      </c>
      <c r="H467" s="15" t="s">
        <v>9855</v>
      </c>
      <c r="I467" s="20" t="s">
        <v>65</v>
      </c>
      <c r="J467" s="20" t="s">
        <v>2030</v>
      </c>
      <c r="K467" s="20" t="s">
        <v>58</v>
      </c>
      <c r="L467" s="20" t="s">
        <v>58</v>
      </c>
      <c r="M467" s="20" t="s">
        <v>130</v>
      </c>
      <c r="V467" s="8" t="s">
        <v>2735</v>
      </c>
      <c r="W467" s="8" t="s">
        <v>2735</v>
      </c>
      <c r="Y467" s="8" t="s">
        <v>11402</v>
      </c>
    </row>
    <row r="468" spans="1:27" x14ac:dyDescent="0.3">
      <c r="A468" s="20">
        <v>467</v>
      </c>
      <c r="B468" s="20">
        <v>463</v>
      </c>
      <c r="C468" s="8" t="s">
        <v>1380</v>
      </c>
      <c r="D468" t="s">
        <v>1379</v>
      </c>
      <c r="E468" s="80" t="s">
        <v>1385</v>
      </c>
      <c r="F468" s="8" t="s">
        <v>1386</v>
      </c>
      <c r="G468" s="14" t="s">
        <v>68</v>
      </c>
      <c r="I468" s="20" t="s">
        <v>65</v>
      </c>
      <c r="J468" s="20" t="s">
        <v>2015</v>
      </c>
      <c r="K468" s="20" t="s">
        <v>58</v>
      </c>
      <c r="L468" s="20" t="s">
        <v>58</v>
      </c>
      <c r="M468" s="20" t="s">
        <v>130</v>
      </c>
      <c r="W468" s="8" t="s">
        <v>2736</v>
      </c>
    </row>
    <row r="469" spans="1:27" x14ac:dyDescent="0.3">
      <c r="A469" s="20">
        <v>468</v>
      </c>
      <c r="B469" s="20">
        <v>464</v>
      </c>
      <c r="C469" s="8" t="s">
        <v>1388</v>
      </c>
      <c r="D469" t="s">
        <v>1387</v>
      </c>
      <c r="E469" s="80" t="s">
        <v>1389</v>
      </c>
      <c r="F469" s="8" t="s">
        <v>1390</v>
      </c>
      <c r="G469" s="14" t="s">
        <v>1391</v>
      </c>
      <c r="I469" s="20" t="s">
        <v>15</v>
      </c>
      <c r="R469" t="s">
        <v>2737</v>
      </c>
      <c r="S469" t="s">
        <v>2738</v>
      </c>
      <c r="U469" s="80" t="s">
        <v>2739</v>
      </c>
      <c r="Z469" t="s">
        <v>123</v>
      </c>
    </row>
    <row r="470" spans="1:27" x14ac:dyDescent="0.3">
      <c r="A470" s="20">
        <v>469</v>
      </c>
      <c r="B470" s="20">
        <v>465</v>
      </c>
      <c r="C470" s="8" t="s">
        <v>1388</v>
      </c>
      <c r="D470" t="s">
        <v>1387</v>
      </c>
      <c r="E470" s="80" t="s">
        <v>1392</v>
      </c>
      <c r="F470" s="8" t="s">
        <v>1393</v>
      </c>
      <c r="G470" s="14" t="s">
        <v>1394</v>
      </c>
      <c r="I470" s="20" t="s">
        <v>15</v>
      </c>
    </row>
    <row r="471" spans="1:27" x14ac:dyDescent="0.3">
      <c r="A471" s="20">
        <v>470</v>
      </c>
      <c r="B471" s="20">
        <v>466</v>
      </c>
      <c r="C471" s="8" t="s">
        <v>1396</v>
      </c>
      <c r="D471" t="s">
        <v>1395</v>
      </c>
      <c r="E471" s="80" t="s">
        <v>1397</v>
      </c>
      <c r="F471" s="8" t="s">
        <v>1398</v>
      </c>
      <c r="G471" s="14" t="s">
        <v>43</v>
      </c>
      <c r="I471" s="20" t="s">
        <v>15</v>
      </c>
      <c r="V471" s="8" t="s">
        <v>2740</v>
      </c>
      <c r="X471" s="8" t="s">
        <v>2740</v>
      </c>
    </row>
    <row r="472" spans="1:27" x14ac:dyDescent="0.3">
      <c r="A472" s="20">
        <v>471</v>
      </c>
      <c r="B472" s="20">
        <v>467</v>
      </c>
      <c r="C472" s="8" t="s">
        <v>1396</v>
      </c>
      <c r="D472" t="s">
        <v>1395</v>
      </c>
      <c r="E472" s="80" t="s">
        <v>1399</v>
      </c>
      <c r="F472" s="8" t="s">
        <v>1400</v>
      </c>
      <c r="G472" s="14" t="s">
        <v>68</v>
      </c>
      <c r="I472" s="20" t="s">
        <v>65</v>
      </c>
      <c r="J472" s="20" t="s">
        <v>2015</v>
      </c>
      <c r="V472" s="8" t="s">
        <v>2741</v>
      </c>
      <c r="X472" s="8" t="s">
        <v>2742</v>
      </c>
    </row>
    <row r="473" spans="1:27" x14ac:dyDescent="0.3">
      <c r="A473" s="20">
        <v>472</v>
      </c>
      <c r="B473" s="20">
        <v>468</v>
      </c>
      <c r="C473" s="8" t="s">
        <v>1396</v>
      </c>
      <c r="D473" t="s">
        <v>1395</v>
      </c>
      <c r="E473" s="80" t="s">
        <v>1401</v>
      </c>
      <c r="F473" s="8" t="s">
        <v>1402</v>
      </c>
      <c r="G473" s="14" t="s">
        <v>1403</v>
      </c>
      <c r="I473" s="20" t="s">
        <v>15</v>
      </c>
    </row>
    <row r="474" spans="1:27" x14ac:dyDescent="0.3">
      <c r="A474" s="20">
        <v>473</v>
      </c>
      <c r="B474" s="20">
        <v>469</v>
      </c>
      <c r="C474" s="8" t="s">
        <v>1396</v>
      </c>
      <c r="D474" t="s">
        <v>1395</v>
      </c>
      <c r="E474" s="80" t="s">
        <v>1404</v>
      </c>
      <c r="F474" s="8" t="s">
        <v>1405</v>
      </c>
      <c r="G474" s="14" t="s">
        <v>1406</v>
      </c>
      <c r="I474" s="20" t="s">
        <v>15</v>
      </c>
    </row>
    <row r="475" spans="1:27" x14ac:dyDescent="0.3">
      <c r="A475" s="20">
        <v>474</v>
      </c>
      <c r="B475" s="20">
        <v>470</v>
      </c>
      <c r="C475" s="8" t="s">
        <v>1396</v>
      </c>
      <c r="D475" t="s">
        <v>1395</v>
      </c>
      <c r="E475" s="80" t="s">
        <v>1407</v>
      </c>
      <c r="F475" s="8" t="s">
        <v>1408</v>
      </c>
      <c r="G475" s="14" t="s">
        <v>1409</v>
      </c>
      <c r="H475" s="15" t="s">
        <v>9856</v>
      </c>
      <c r="I475" s="20" t="s">
        <v>65</v>
      </c>
      <c r="J475" s="20" t="s">
        <v>2030</v>
      </c>
      <c r="P475" t="s">
        <v>2179</v>
      </c>
      <c r="R475" t="s">
        <v>1404</v>
      </c>
      <c r="AA475" t="s">
        <v>2743</v>
      </c>
    </row>
    <row r="476" spans="1:27" x14ac:dyDescent="0.3">
      <c r="A476" s="20">
        <v>475</v>
      </c>
      <c r="B476" s="20">
        <v>471</v>
      </c>
      <c r="C476" s="8" t="s">
        <v>1396</v>
      </c>
      <c r="D476" t="s">
        <v>1395</v>
      </c>
      <c r="E476" s="80" t="s">
        <v>1410</v>
      </c>
      <c r="F476" s="8" t="s">
        <v>1411</v>
      </c>
      <c r="G476" s="14" t="s">
        <v>1409</v>
      </c>
      <c r="H476" s="15" t="s">
        <v>9857</v>
      </c>
      <c r="I476" s="20" t="s">
        <v>65</v>
      </c>
      <c r="J476" s="20" t="s">
        <v>2030</v>
      </c>
      <c r="M476" s="20" t="s">
        <v>130</v>
      </c>
      <c r="P476" t="s">
        <v>2179</v>
      </c>
      <c r="R476" t="s">
        <v>2744</v>
      </c>
      <c r="S476" t="s">
        <v>2745</v>
      </c>
      <c r="AA476" t="s">
        <v>2746</v>
      </c>
    </row>
    <row r="477" spans="1:27" x14ac:dyDescent="0.3">
      <c r="A477" s="20">
        <v>476</v>
      </c>
      <c r="B477" s="20">
        <v>472</v>
      </c>
      <c r="C477" s="8" t="s">
        <v>1396</v>
      </c>
      <c r="D477" t="s">
        <v>1395</v>
      </c>
      <c r="E477" s="80" t="s">
        <v>1412</v>
      </c>
      <c r="F477" s="8" t="s">
        <v>1413</v>
      </c>
      <c r="G477" s="14" t="s">
        <v>68</v>
      </c>
      <c r="H477" s="15" t="s">
        <v>9858</v>
      </c>
      <c r="I477" s="20" t="s">
        <v>65</v>
      </c>
      <c r="J477" s="20" t="s">
        <v>2016</v>
      </c>
      <c r="Y477" s="8" t="s">
        <v>11403</v>
      </c>
    </row>
    <row r="478" spans="1:27" x14ac:dyDescent="0.3">
      <c r="A478" s="20">
        <v>477</v>
      </c>
      <c r="B478" s="20">
        <v>700</v>
      </c>
      <c r="C478" s="8" t="s">
        <v>1396</v>
      </c>
      <c r="D478" t="s">
        <v>1395</v>
      </c>
      <c r="E478" s="80" t="s">
        <v>1414</v>
      </c>
      <c r="F478" s="8" t="s">
        <v>1415</v>
      </c>
      <c r="G478" s="14" t="s">
        <v>43</v>
      </c>
      <c r="I478" s="20" t="s">
        <v>19</v>
      </c>
      <c r="N478" s="20" t="s">
        <v>2166</v>
      </c>
      <c r="R478" t="s">
        <v>2171</v>
      </c>
      <c r="Z478" t="s">
        <v>11341</v>
      </c>
    </row>
    <row r="479" spans="1:27" x14ac:dyDescent="0.3">
      <c r="A479" s="20">
        <v>478</v>
      </c>
      <c r="B479" s="20">
        <v>473</v>
      </c>
      <c r="C479" s="8" t="s">
        <v>1396</v>
      </c>
      <c r="D479" t="s">
        <v>1395</v>
      </c>
      <c r="E479" s="80" t="s">
        <v>1416</v>
      </c>
      <c r="F479" s="8" t="s">
        <v>1417</v>
      </c>
      <c r="G479" s="14" t="s">
        <v>68</v>
      </c>
      <c r="I479" s="20" t="s">
        <v>65</v>
      </c>
      <c r="J479" s="20" t="s">
        <v>2015</v>
      </c>
      <c r="P479" t="s">
        <v>2330</v>
      </c>
      <c r="AA479" t="s">
        <v>2747</v>
      </c>
    </row>
    <row r="480" spans="1:27" x14ac:dyDescent="0.3">
      <c r="A480" s="20">
        <v>479</v>
      </c>
      <c r="B480" s="20">
        <v>474</v>
      </c>
      <c r="C480" s="8" t="s">
        <v>1396</v>
      </c>
      <c r="D480" t="s">
        <v>1395</v>
      </c>
      <c r="E480" s="80" t="s">
        <v>1418</v>
      </c>
      <c r="F480" s="8" t="s">
        <v>1419</v>
      </c>
      <c r="G480" s="14" t="s">
        <v>1420</v>
      </c>
      <c r="H480" s="15" t="s">
        <v>9859</v>
      </c>
      <c r="I480" s="20" t="s">
        <v>65</v>
      </c>
      <c r="J480" s="20" t="s">
        <v>2032</v>
      </c>
      <c r="K480" s="20" t="s">
        <v>732</v>
      </c>
      <c r="P480" t="s">
        <v>2179</v>
      </c>
      <c r="R480" t="s">
        <v>1416</v>
      </c>
      <c r="AA480" t="s">
        <v>2748</v>
      </c>
    </row>
    <row r="481" spans="1:27" x14ac:dyDescent="0.3">
      <c r="A481" s="20">
        <v>480</v>
      </c>
      <c r="B481" s="20">
        <v>475</v>
      </c>
      <c r="C481" s="8" t="s">
        <v>1396</v>
      </c>
      <c r="D481" t="s">
        <v>1395</v>
      </c>
      <c r="E481" s="80" t="s">
        <v>1421</v>
      </c>
      <c r="F481" s="8" t="s">
        <v>1422</v>
      </c>
      <c r="G481" s="14" t="s">
        <v>1423</v>
      </c>
      <c r="H481" s="15" t="s">
        <v>9860</v>
      </c>
      <c r="I481" s="20" t="s">
        <v>65</v>
      </c>
      <c r="J481" s="20" t="s">
        <v>2022</v>
      </c>
      <c r="K481" s="20" t="s">
        <v>732</v>
      </c>
      <c r="P481" t="s">
        <v>2179</v>
      </c>
      <c r="R481" t="s">
        <v>1416</v>
      </c>
      <c r="AA481" t="s">
        <v>2749</v>
      </c>
    </row>
    <row r="482" spans="1:27" x14ac:dyDescent="0.3">
      <c r="A482" s="20">
        <v>481</v>
      </c>
      <c r="B482" s="20">
        <v>476</v>
      </c>
      <c r="C482" s="8" t="s">
        <v>1396</v>
      </c>
      <c r="D482" t="s">
        <v>1395</v>
      </c>
      <c r="E482" s="80" t="s">
        <v>1424</v>
      </c>
      <c r="F482" s="8" t="s">
        <v>1425</v>
      </c>
      <c r="G482" s="14" t="s">
        <v>68</v>
      </c>
      <c r="H482" s="15" t="s">
        <v>9861</v>
      </c>
      <c r="I482" s="20" t="s">
        <v>65</v>
      </c>
      <c r="J482" s="20" t="s">
        <v>2020</v>
      </c>
      <c r="K482" s="20" t="s">
        <v>58</v>
      </c>
      <c r="L482" s="20" t="s">
        <v>58</v>
      </c>
      <c r="M482" s="20" t="s">
        <v>66</v>
      </c>
      <c r="P482" t="s">
        <v>2330</v>
      </c>
      <c r="Z482" t="s">
        <v>123</v>
      </c>
      <c r="AA482" t="s">
        <v>2750</v>
      </c>
    </row>
    <row r="483" spans="1:27" x14ac:dyDescent="0.3">
      <c r="A483" s="20">
        <v>482</v>
      </c>
      <c r="B483" s="20">
        <v>477</v>
      </c>
      <c r="C483" s="8" t="s">
        <v>1396</v>
      </c>
      <c r="D483" t="s">
        <v>1395</v>
      </c>
      <c r="E483" s="80" t="s">
        <v>1426</v>
      </c>
      <c r="F483" s="8" t="s">
        <v>1427</v>
      </c>
      <c r="G483" s="14" t="s">
        <v>68</v>
      </c>
      <c r="I483" s="20" t="s">
        <v>65</v>
      </c>
      <c r="J483" s="20" t="s">
        <v>2015</v>
      </c>
      <c r="K483" s="20" t="s">
        <v>67</v>
      </c>
      <c r="L483" s="20" t="s">
        <v>67</v>
      </c>
      <c r="M483" s="20" t="s">
        <v>85</v>
      </c>
      <c r="P483" t="s">
        <v>2330</v>
      </c>
      <c r="Z483" t="s">
        <v>123</v>
      </c>
      <c r="AA483" t="s">
        <v>2751</v>
      </c>
    </row>
    <row r="484" spans="1:27" x14ac:dyDescent="0.3">
      <c r="A484" s="20">
        <v>483</v>
      </c>
      <c r="B484" s="20">
        <v>478</v>
      </c>
      <c r="C484" s="8" t="s">
        <v>1396</v>
      </c>
      <c r="D484" t="s">
        <v>1395</v>
      </c>
      <c r="E484" s="80" t="s">
        <v>1428</v>
      </c>
      <c r="F484" s="8" t="s">
        <v>1429</v>
      </c>
      <c r="G484" s="14" t="s">
        <v>68</v>
      </c>
      <c r="I484" s="20" t="s">
        <v>65</v>
      </c>
      <c r="J484" s="20" t="s">
        <v>2015</v>
      </c>
      <c r="P484" t="s">
        <v>2330</v>
      </c>
      <c r="Z484" t="s">
        <v>123</v>
      </c>
      <c r="AA484" t="s">
        <v>2752</v>
      </c>
    </row>
    <row r="485" spans="1:27" x14ac:dyDescent="0.3">
      <c r="A485" s="20">
        <v>484</v>
      </c>
      <c r="B485" s="20">
        <v>479</v>
      </c>
      <c r="C485" s="8" t="s">
        <v>1396</v>
      </c>
      <c r="D485" t="s">
        <v>1395</v>
      </c>
      <c r="E485" s="80" t="s">
        <v>1430</v>
      </c>
      <c r="F485" s="8" t="s">
        <v>1431</v>
      </c>
      <c r="G485" s="14" t="s">
        <v>1432</v>
      </c>
      <c r="I485" s="20" t="s">
        <v>15</v>
      </c>
      <c r="P485" t="s">
        <v>2330</v>
      </c>
      <c r="R485" t="s">
        <v>2753</v>
      </c>
      <c r="Z485" t="s">
        <v>123</v>
      </c>
      <c r="AA485" t="s">
        <v>2754</v>
      </c>
    </row>
    <row r="486" spans="1:27" x14ac:dyDescent="0.3">
      <c r="A486" s="20">
        <v>485</v>
      </c>
      <c r="B486" s="20">
        <v>480</v>
      </c>
      <c r="C486" s="8" t="s">
        <v>1434</v>
      </c>
      <c r="D486" t="s">
        <v>1433</v>
      </c>
      <c r="E486" s="80" t="s">
        <v>1435</v>
      </c>
      <c r="F486" s="8" t="s">
        <v>1436</v>
      </c>
      <c r="G486" s="14" t="s">
        <v>1437</v>
      </c>
      <c r="I486" s="20" t="s">
        <v>15</v>
      </c>
      <c r="P486" t="s">
        <v>2179</v>
      </c>
      <c r="R486" t="s">
        <v>2755</v>
      </c>
      <c r="S486" t="s">
        <v>2756</v>
      </c>
      <c r="U486" s="80" t="s">
        <v>2757</v>
      </c>
      <c r="AA486" t="s">
        <v>2758</v>
      </c>
    </row>
    <row r="487" spans="1:27" x14ac:dyDescent="0.3">
      <c r="A487" s="20">
        <v>486</v>
      </c>
      <c r="B487" s="20">
        <v>481</v>
      </c>
      <c r="C487" s="8" t="s">
        <v>1434</v>
      </c>
      <c r="D487" t="s">
        <v>1433</v>
      </c>
      <c r="E487" s="80" t="s">
        <v>1438</v>
      </c>
      <c r="F487" s="8" t="s">
        <v>1439</v>
      </c>
      <c r="G487" s="14" t="s">
        <v>201</v>
      </c>
      <c r="I487" s="20" t="s">
        <v>50</v>
      </c>
      <c r="S487" t="s">
        <v>2759</v>
      </c>
      <c r="U487" s="80" t="s">
        <v>2760</v>
      </c>
    </row>
    <row r="488" spans="1:27" x14ac:dyDescent="0.3">
      <c r="A488" s="20">
        <v>487</v>
      </c>
      <c r="B488" s="20">
        <v>482</v>
      </c>
      <c r="C488" s="8" t="s">
        <v>1434</v>
      </c>
      <c r="D488" t="s">
        <v>1433</v>
      </c>
      <c r="E488" s="80" t="s">
        <v>1440</v>
      </c>
      <c r="F488" s="8" t="s">
        <v>1441</v>
      </c>
      <c r="G488" s="14" t="s">
        <v>201</v>
      </c>
      <c r="I488" s="20" t="s">
        <v>50</v>
      </c>
    </row>
    <row r="489" spans="1:27" x14ac:dyDescent="0.3">
      <c r="A489" s="20">
        <v>488</v>
      </c>
      <c r="B489" s="20">
        <v>483</v>
      </c>
      <c r="C489" s="8" t="s">
        <v>1434</v>
      </c>
      <c r="D489" t="s">
        <v>1433</v>
      </c>
      <c r="E489" s="80" t="s">
        <v>1442</v>
      </c>
      <c r="F489" s="8" t="s">
        <v>1443</v>
      </c>
      <c r="G489" s="14" t="s">
        <v>1444</v>
      </c>
      <c r="I489" s="20" t="s">
        <v>15</v>
      </c>
      <c r="U489" s="80" t="s">
        <v>2761</v>
      </c>
      <c r="X489" s="8" t="s">
        <v>2762</v>
      </c>
    </row>
    <row r="490" spans="1:27" x14ac:dyDescent="0.3">
      <c r="A490" s="20">
        <v>489</v>
      </c>
      <c r="B490" s="20">
        <v>484</v>
      </c>
      <c r="C490" s="8" t="s">
        <v>1434</v>
      </c>
      <c r="D490" t="s">
        <v>1433</v>
      </c>
      <c r="E490" s="80" t="s">
        <v>1445</v>
      </c>
      <c r="F490" s="8" t="s">
        <v>1446</v>
      </c>
      <c r="G490" s="14" t="s">
        <v>1447</v>
      </c>
      <c r="I490" s="20" t="s">
        <v>19</v>
      </c>
      <c r="N490" s="20" t="s">
        <v>2166</v>
      </c>
      <c r="Q490" t="s">
        <v>2293</v>
      </c>
      <c r="R490" t="s">
        <v>2763</v>
      </c>
      <c r="S490" t="s">
        <v>2763</v>
      </c>
    </row>
    <row r="491" spans="1:27" x14ac:dyDescent="0.3">
      <c r="A491" s="20">
        <v>490</v>
      </c>
      <c r="B491" s="20">
        <v>485</v>
      </c>
      <c r="C491" s="8" t="s">
        <v>1434</v>
      </c>
      <c r="D491" t="s">
        <v>1433</v>
      </c>
      <c r="E491" s="80" t="s">
        <v>1448</v>
      </c>
      <c r="F491" s="8" t="s">
        <v>1449</v>
      </c>
      <c r="G491" s="14" t="s">
        <v>43</v>
      </c>
      <c r="I491" s="20" t="s">
        <v>15</v>
      </c>
      <c r="K491" s="20" t="s">
        <v>732</v>
      </c>
      <c r="R491" t="s">
        <v>2764</v>
      </c>
      <c r="U491" s="80" t="s">
        <v>2764</v>
      </c>
      <c r="X491" s="8" t="s">
        <v>2765</v>
      </c>
    </row>
    <row r="492" spans="1:27" x14ac:dyDescent="0.3">
      <c r="A492" s="20">
        <v>491</v>
      </c>
      <c r="B492" s="20">
        <v>486</v>
      </c>
      <c r="C492" s="8" t="s">
        <v>1451</v>
      </c>
      <c r="D492" t="s">
        <v>1450</v>
      </c>
      <c r="E492" s="80" t="s">
        <v>1452</v>
      </c>
      <c r="F492" s="8" t="s">
        <v>1453</v>
      </c>
      <c r="G492" s="14" t="s">
        <v>954</v>
      </c>
      <c r="I492" s="20" t="s">
        <v>15</v>
      </c>
      <c r="P492" t="s">
        <v>2330</v>
      </c>
      <c r="Y492" s="8" t="s">
        <v>11404</v>
      </c>
      <c r="AA492" t="s">
        <v>2766</v>
      </c>
    </row>
    <row r="493" spans="1:27" x14ac:dyDescent="0.3">
      <c r="A493" s="20">
        <v>492</v>
      </c>
      <c r="B493" s="20">
        <v>487</v>
      </c>
      <c r="C493" s="8" t="s">
        <v>1451</v>
      </c>
      <c r="D493" t="s">
        <v>1450</v>
      </c>
      <c r="E493" s="80" t="s">
        <v>1454</v>
      </c>
      <c r="F493" s="8" t="s">
        <v>1455</v>
      </c>
      <c r="G493" s="14" t="s">
        <v>998</v>
      </c>
      <c r="H493" s="15" t="s">
        <v>9827</v>
      </c>
      <c r="I493" s="20" t="s">
        <v>65</v>
      </c>
      <c r="J493" s="20" t="s">
        <v>2025</v>
      </c>
      <c r="P493" t="s">
        <v>2179</v>
      </c>
      <c r="R493" t="s">
        <v>1452</v>
      </c>
      <c r="Y493" s="8" t="s">
        <v>11405</v>
      </c>
      <c r="AA493" t="s">
        <v>2767</v>
      </c>
    </row>
    <row r="494" spans="1:27" x14ac:dyDescent="0.3">
      <c r="A494" s="20">
        <v>493</v>
      </c>
      <c r="B494" s="20">
        <v>488</v>
      </c>
      <c r="C494" s="8" t="s">
        <v>1451</v>
      </c>
      <c r="D494" t="s">
        <v>1450</v>
      </c>
      <c r="E494" s="80" t="s">
        <v>1456</v>
      </c>
      <c r="F494" s="8" t="s">
        <v>1457</v>
      </c>
      <c r="G494" s="14" t="s">
        <v>68</v>
      </c>
      <c r="H494" s="15" t="s">
        <v>9862</v>
      </c>
      <c r="I494" s="20" t="s">
        <v>65</v>
      </c>
      <c r="J494" s="20" t="s">
        <v>2017</v>
      </c>
      <c r="R494" t="s">
        <v>2768</v>
      </c>
      <c r="U494" s="80" t="s">
        <v>2769</v>
      </c>
      <c r="Y494" s="8" t="s">
        <v>11406</v>
      </c>
    </row>
    <row r="495" spans="1:27" x14ac:dyDescent="0.3">
      <c r="A495" s="20">
        <v>494</v>
      </c>
      <c r="B495" s="20">
        <v>489</v>
      </c>
      <c r="C495" s="8" t="s">
        <v>1451</v>
      </c>
      <c r="D495" t="s">
        <v>1450</v>
      </c>
      <c r="E495" s="80" t="s">
        <v>1458</v>
      </c>
      <c r="F495" s="8" t="s">
        <v>1459</v>
      </c>
      <c r="G495" s="14" t="s">
        <v>1460</v>
      </c>
      <c r="I495" s="20" t="s">
        <v>50</v>
      </c>
      <c r="N495" s="20" t="s">
        <v>2166</v>
      </c>
      <c r="Q495" t="s">
        <v>2770</v>
      </c>
      <c r="R495" t="s">
        <v>2771</v>
      </c>
      <c r="Y495" s="8" t="s">
        <v>11407</v>
      </c>
    </row>
    <row r="496" spans="1:27" x14ac:dyDescent="0.3">
      <c r="A496" s="20">
        <v>495</v>
      </c>
      <c r="B496" s="20">
        <v>490</v>
      </c>
      <c r="C496" s="8" t="s">
        <v>1451</v>
      </c>
      <c r="D496" t="s">
        <v>1450</v>
      </c>
      <c r="E496" s="80" t="s">
        <v>1461</v>
      </c>
      <c r="F496" s="8" t="s">
        <v>1462</v>
      </c>
      <c r="G496" s="14" t="s">
        <v>1463</v>
      </c>
      <c r="H496" s="15" t="s">
        <v>9863</v>
      </c>
      <c r="I496" s="20" t="s">
        <v>50</v>
      </c>
      <c r="K496" s="20" t="s">
        <v>732</v>
      </c>
      <c r="N496" s="20" t="s">
        <v>2166</v>
      </c>
      <c r="P496" t="s">
        <v>2772</v>
      </c>
      <c r="Q496" t="s">
        <v>2773</v>
      </c>
      <c r="R496" t="s">
        <v>2771</v>
      </c>
      <c r="U496" s="80" t="s">
        <v>2774</v>
      </c>
      <c r="V496" s="8" t="s">
        <v>2775</v>
      </c>
      <c r="W496" s="8" t="s">
        <v>2775</v>
      </c>
      <c r="Y496" s="8" t="s">
        <v>11407</v>
      </c>
      <c r="AA496" t="s">
        <v>2776</v>
      </c>
    </row>
    <row r="497" spans="1:27" x14ac:dyDescent="0.3">
      <c r="A497" s="20">
        <v>496</v>
      </c>
      <c r="B497" s="20">
        <v>491</v>
      </c>
      <c r="C497" s="8" t="s">
        <v>1451</v>
      </c>
      <c r="D497" t="s">
        <v>1450</v>
      </c>
      <c r="E497" s="80" t="s">
        <v>1464</v>
      </c>
      <c r="F497" s="8" t="s">
        <v>1465</v>
      </c>
      <c r="G497" s="14" t="s">
        <v>1466</v>
      </c>
      <c r="I497" s="20" t="s">
        <v>15</v>
      </c>
      <c r="K497" s="20" t="s">
        <v>732</v>
      </c>
      <c r="Y497" s="8" t="s">
        <v>11408</v>
      </c>
    </row>
    <row r="498" spans="1:27" x14ac:dyDescent="0.3">
      <c r="A498" s="20">
        <v>497</v>
      </c>
      <c r="B498" s="20">
        <v>492</v>
      </c>
      <c r="C498" s="8" t="s">
        <v>1451</v>
      </c>
      <c r="D498" t="s">
        <v>1450</v>
      </c>
      <c r="E498" s="80" t="s">
        <v>1467</v>
      </c>
      <c r="F498" s="8" t="s">
        <v>1468</v>
      </c>
      <c r="G498" s="14" t="s">
        <v>1469</v>
      </c>
      <c r="H498" s="15" t="s">
        <v>9864</v>
      </c>
      <c r="I498" s="20" t="s">
        <v>19</v>
      </c>
      <c r="N498" s="20" t="s">
        <v>2166</v>
      </c>
      <c r="Q498" t="s">
        <v>2209</v>
      </c>
      <c r="R498" t="s">
        <v>2171</v>
      </c>
      <c r="Z498" t="s">
        <v>11342</v>
      </c>
    </row>
    <row r="499" spans="1:27" x14ac:dyDescent="0.3">
      <c r="A499" s="20">
        <v>498</v>
      </c>
      <c r="B499" s="20">
        <v>496</v>
      </c>
      <c r="C499" s="8" t="s">
        <v>1471</v>
      </c>
      <c r="D499" t="s">
        <v>1470</v>
      </c>
      <c r="E499" s="80" t="s">
        <v>1472</v>
      </c>
      <c r="F499" s="8" t="s">
        <v>1473</v>
      </c>
      <c r="G499" s="14" t="s">
        <v>1474</v>
      </c>
      <c r="H499" s="15" t="s">
        <v>9865</v>
      </c>
      <c r="I499" s="20" t="s">
        <v>19</v>
      </c>
      <c r="N499" s="20" t="s">
        <v>2166</v>
      </c>
      <c r="Q499" t="s">
        <v>2195</v>
      </c>
      <c r="R499" t="s">
        <v>2171</v>
      </c>
      <c r="Z499" t="s">
        <v>11343</v>
      </c>
    </row>
    <row r="500" spans="1:27" x14ac:dyDescent="0.3">
      <c r="A500" s="20">
        <v>499</v>
      </c>
      <c r="B500" s="20">
        <v>495</v>
      </c>
      <c r="C500" s="8" t="s">
        <v>1471</v>
      </c>
      <c r="D500" t="s">
        <v>1470</v>
      </c>
      <c r="E500" s="80" t="s">
        <v>1475</v>
      </c>
      <c r="F500" s="8" t="s">
        <v>1476</v>
      </c>
      <c r="G500" s="14" t="s">
        <v>1477</v>
      </c>
      <c r="H500" s="15" t="s">
        <v>9866</v>
      </c>
      <c r="I500" s="20" t="s">
        <v>19</v>
      </c>
      <c r="N500" s="20" t="s">
        <v>2166</v>
      </c>
      <c r="Q500" t="s">
        <v>2209</v>
      </c>
    </row>
    <row r="501" spans="1:27" x14ac:dyDescent="0.3">
      <c r="A501" s="20">
        <v>500</v>
      </c>
      <c r="B501" s="20">
        <v>494</v>
      </c>
      <c r="C501" s="8" t="s">
        <v>1471</v>
      </c>
      <c r="D501" t="s">
        <v>1470</v>
      </c>
      <c r="E501" s="80" t="s">
        <v>1478</v>
      </c>
      <c r="F501" s="8" t="s">
        <v>1479</v>
      </c>
      <c r="G501" s="14" t="s">
        <v>1480</v>
      </c>
      <c r="I501" s="20" t="s">
        <v>19</v>
      </c>
      <c r="N501" s="20" t="s">
        <v>2166</v>
      </c>
      <c r="Q501" t="s">
        <v>2293</v>
      </c>
    </row>
    <row r="502" spans="1:27" x14ac:dyDescent="0.3">
      <c r="A502" s="20">
        <v>501</v>
      </c>
      <c r="B502" s="20">
        <v>493</v>
      </c>
      <c r="C502" s="8" t="s">
        <v>1471</v>
      </c>
      <c r="D502" t="s">
        <v>1470</v>
      </c>
      <c r="E502" s="80" t="s">
        <v>1481</v>
      </c>
      <c r="F502" s="8" t="s">
        <v>1482</v>
      </c>
      <c r="G502" s="14" t="s">
        <v>92</v>
      </c>
      <c r="I502" s="20" t="s">
        <v>19</v>
      </c>
      <c r="N502" s="20" t="s">
        <v>2166</v>
      </c>
      <c r="Q502" t="s">
        <v>2206</v>
      </c>
      <c r="R502" t="s">
        <v>2171</v>
      </c>
      <c r="Z502" t="s">
        <v>1483</v>
      </c>
    </row>
    <row r="503" spans="1:27" x14ac:dyDescent="0.3">
      <c r="A503" s="20">
        <v>502</v>
      </c>
      <c r="B503" s="20">
        <v>500</v>
      </c>
      <c r="C503" s="8" t="s">
        <v>1471</v>
      </c>
      <c r="D503" t="s">
        <v>1470</v>
      </c>
      <c r="E503" s="80" t="s">
        <v>1484</v>
      </c>
      <c r="F503" s="8" t="s">
        <v>1485</v>
      </c>
      <c r="G503" s="14" t="s">
        <v>1486</v>
      </c>
      <c r="H503" s="15" t="s">
        <v>9867</v>
      </c>
      <c r="I503" s="20" t="s">
        <v>19</v>
      </c>
      <c r="K503" s="20" t="s">
        <v>66</v>
      </c>
      <c r="L503" s="20" t="s">
        <v>66</v>
      </c>
      <c r="M503" s="20" t="s">
        <v>66</v>
      </c>
      <c r="N503" s="20" t="s">
        <v>2166</v>
      </c>
      <c r="Q503" t="s">
        <v>2015</v>
      </c>
      <c r="R503" t="s">
        <v>2777</v>
      </c>
      <c r="U503" s="80" t="s">
        <v>2778</v>
      </c>
    </row>
    <row r="504" spans="1:27" x14ac:dyDescent="0.3">
      <c r="A504" s="20">
        <v>503</v>
      </c>
      <c r="B504" s="20">
        <v>501</v>
      </c>
      <c r="C504" s="8" t="s">
        <v>1471</v>
      </c>
      <c r="D504" t="s">
        <v>1470</v>
      </c>
      <c r="E504" s="80" t="s">
        <v>1487</v>
      </c>
      <c r="F504" s="8" t="s">
        <v>1488</v>
      </c>
      <c r="G504" s="14" t="s">
        <v>68</v>
      </c>
      <c r="H504" s="15" t="s">
        <v>9868</v>
      </c>
      <c r="I504" s="20" t="s">
        <v>65</v>
      </c>
      <c r="J504" s="20" t="s">
        <v>2015</v>
      </c>
      <c r="R504" t="s">
        <v>2779</v>
      </c>
      <c r="U504" s="80" t="s">
        <v>2780</v>
      </c>
    </row>
    <row r="505" spans="1:27" x14ac:dyDescent="0.3">
      <c r="A505" s="20">
        <v>504</v>
      </c>
      <c r="B505" s="20">
        <v>502</v>
      </c>
      <c r="C505" s="8" t="s">
        <v>1471</v>
      </c>
      <c r="D505" t="s">
        <v>1470</v>
      </c>
      <c r="E505" s="80" t="s">
        <v>1489</v>
      </c>
      <c r="F505" s="8" t="s">
        <v>1490</v>
      </c>
      <c r="G505" s="14" t="s">
        <v>68</v>
      </c>
      <c r="I505" s="20" t="s">
        <v>65</v>
      </c>
      <c r="J505" s="20" t="s">
        <v>2015</v>
      </c>
      <c r="R505" t="s">
        <v>2781</v>
      </c>
      <c r="U505" s="80" t="s">
        <v>2782</v>
      </c>
    </row>
    <row r="506" spans="1:27" x14ac:dyDescent="0.3">
      <c r="A506" s="20">
        <v>505</v>
      </c>
      <c r="B506" s="20">
        <v>499</v>
      </c>
      <c r="C506" s="8" t="s">
        <v>1471</v>
      </c>
      <c r="D506" t="s">
        <v>1470</v>
      </c>
      <c r="E506" s="80" t="s">
        <v>1491</v>
      </c>
      <c r="F506" s="8" t="s">
        <v>1492</v>
      </c>
      <c r="G506" s="14" t="s">
        <v>1493</v>
      </c>
      <c r="H506" s="15" t="s">
        <v>9869</v>
      </c>
      <c r="I506" s="20" t="s">
        <v>50</v>
      </c>
      <c r="P506" t="s">
        <v>2179</v>
      </c>
      <c r="R506" t="s">
        <v>1497</v>
      </c>
      <c r="U506" s="80" t="s">
        <v>2783</v>
      </c>
      <c r="AA506" t="s">
        <v>2784</v>
      </c>
    </row>
    <row r="507" spans="1:27" x14ac:dyDescent="0.3">
      <c r="A507" s="20">
        <v>506</v>
      </c>
      <c r="B507" s="20">
        <v>498</v>
      </c>
      <c r="C507" s="8" t="s">
        <v>1471</v>
      </c>
      <c r="D507" t="s">
        <v>1470</v>
      </c>
      <c r="E507" s="80" t="s">
        <v>1494</v>
      </c>
      <c r="F507" s="8" t="s">
        <v>1495</v>
      </c>
      <c r="G507" s="14" t="s">
        <v>1496</v>
      </c>
      <c r="H507" s="15" t="s">
        <v>9870</v>
      </c>
      <c r="I507" s="20" t="s">
        <v>50</v>
      </c>
      <c r="P507" t="s">
        <v>2179</v>
      </c>
      <c r="Q507" t="s">
        <v>2785</v>
      </c>
      <c r="R507" t="s">
        <v>1497</v>
      </c>
      <c r="U507" s="80" t="s">
        <v>2786</v>
      </c>
      <c r="AA507" t="s">
        <v>2787</v>
      </c>
    </row>
    <row r="508" spans="1:27" x14ac:dyDescent="0.3">
      <c r="A508" s="20">
        <v>507</v>
      </c>
      <c r="B508" s="20">
        <v>497</v>
      </c>
      <c r="C508" s="8" t="s">
        <v>1471</v>
      </c>
      <c r="D508" t="s">
        <v>1470</v>
      </c>
      <c r="E508" s="80" t="s">
        <v>1497</v>
      </c>
      <c r="F508" s="8" t="s">
        <v>1498</v>
      </c>
      <c r="G508" s="14" t="s">
        <v>1499</v>
      </c>
      <c r="I508" s="20" t="s">
        <v>50</v>
      </c>
      <c r="P508" t="s">
        <v>2200</v>
      </c>
      <c r="Q508" t="s">
        <v>2788</v>
      </c>
      <c r="AA508" t="s">
        <v>2789</v>
      </c>
    </row>
    <row r="509" spans="1:27" x14ac:dyDescent="0.3">
      <c r="A509" s="20">
        <v>508</v>
      </c>
      <c r="B509" s="20">
        <v>504</v>
      </c>
      <c r="C509" s="8" t="s">
        <v>1471</v>
      </c>
      <c r="D509" t="s">
        <v>1470</v>
      </c>
      <c r="E509" s="80" t="s">
        <v>1500</v>
      </c>
      <c r="F509" s="8" t="s">
        <v>1501</v>
      </c>
      <c r="G509" s="14" t="s">
        <v>1502</v>
      </c>
      <c r="I509" s="20" t="s">
        <v>15</v>
      </c>
      <c r="P509" t="s">
        <v>2330</v>
      </c>
      <c r="W509" s="8" t="s">
        <v>2790</v>
      </c>
      <c r="AA509" t="s">
        <v>2791</v>
      </c>
    </row>
    <row r="510" spans="1:27" x14ac:dyDescent="0.3">
      <c r="A510" s="20">
        <v>509</v>
      </c>
      <c r="B510" s="20">
        <v>503</v>
      </c>
      <c r="C510" s="8" t="s">
        <v>1471</v>
      </c>
      <c r="D510" t="s">
        <v>1470</v>
      </c>
      <c r="E510" s="80" t="s">
        <v>1503</v>
      </c>
      <c r="F510" s="8" t="s">
        <v>1504</v>
      </c>
      <c r="G510" s="14" t="s">
        <v>68</v>
      </c>
      <c r="I510" s="20" t="s">
        <v>65</v>
      </c>
      <c r="J510" s="20" t="s">
        <v>2015</v>
      </c>
      <c r="K510" s="20" t="s">
        <v>732</v>
      </c>
      <c r="P510" t="s">
        <v>2423</v>
      </c>
      <c r="R510" t="s">
        <v>2792</v>
      </c>
      <c r="S510" t="s">
        <v>2793</v>
      </c>
      <c r="V510" s="8" t="s">
        <v>2794</v>
      </c>
      <c r="AA510" t="s">
        <v>2795</v>
      </c>
    </row>
    <row r="511" spans="1:27" x14ac:dyDescent="0.3">
      <c r="A511" s="20">
        <v>510</v>
      </c>
      <c r="B511" s="20">
        <v>505</v>
      </c>
      <c r="C511" s="8" t="s">
        <v>1506</v>
      </c>
      <c r="D511" t="s">
        <v>1505</v>
      </c>
      <c r="E511" s="80" t="s">
        <v>1507</v>
      </c>
      <c r="F511" s="8" t="s">
        <v>1508</v>
      </c>
      <c r="G511" s="14" t="s">
        <v>1509</v>
      </c>
      <c r="H511" s="15" t="s">
        <v>9871</v>
      </c>
      <c r="I511" s="20" t="s">
        <v>50</v>
      </c>
      <c r="Q511" t="s">
        <v>2796</v>
      </c>
      <c r="R511" t="s">
        <v>2797</v>
      </c>
      <c r="U511" s="80" t="s">
        <v>2798</v>
      </c>
    </row>
    <row r="512" spans="1:27" x14ac:dyDescent="0.3">
      <c r="A512" s="20">
        <v>511</v>
      </c>
      <c r="B512" s="20">
        <v>506</v>
      </c>
      <c r="C512" s="8" t="s">
        <v>1506</v>
      </c>
      <c r="D512" t="s">
        <v>1505</v>
      </c>
      <c r="E512" s="80" t="s">
        <v>2033</v>
      </c>
      <c r="F512" s="8" t="s">
        <v>2034</v>
      </c>
      <c r="G512" s="14" t="s">
        <v>488</v>
      </c>
      <c r="I512" s="20" t="s">
        <v>15</v>
      </c>
      <c r="R512" t="s">
        <v>2799</v>
      </c>
    </row>
    <row r="513" spans="1:27" x14ac:dyDescent="0.3">
      <c r="A513" s="20">
        <v>512</v>
      </c>
      <c r="B513" s="20">
        <v>507</v>
      </c>
      <c r="C513" s="8" t="s">
        <v>1506</v>
      </c>
      <c r="D513" t="s">
        <v>1505</v>
      </c>
      <c r="E513" s="80" t="s">
        <v>1510</v>
      </c>
      <c r="F513" s="8" t="s">
        <v>1511</v>
      </c>
      <c r="G513" s="14" t="s">
        <v>1512</v>
      </c>
      <c r="H513" s="15" t="s">
        <v>9872</v>
      </c>
      <c r="I513" s="20" t="s">
        <v>19</v>
      </c>
      <c r="N513" s="20" t="s">
        <v>2166</v>
      </c>
      <c r="Q513" t="s">
        <v>2209</v>
      </c>
      <c r="R513" t="s">
        <v>2171</v>
      </c>
      <c r="U513" s="80" t="s">
        <v>2800</v>
      </c>
      <c r="Z513" t="s">
        <v>11344</v>
      </c>
    </row>
    <row r="514" spans="1:27" x14ac:dyDescent="0.3">
      <c r="A514" s="20">
        <v>513</v>
      </c>
      <c r="B514" s="20">
        <v>508</v>
      </c>
      <c r="C514" s="8" t="s">
        <v>1506</v>
      </c>
      <c r="D514" t="s">
        <v>1505</v>
      </c>
      <c r="E514" s="80" t="s">
        <v>1513</v>
      </c>
      <c r="F514" s="8" t="s">
        <v>1514</v>
      </c>
      <c r="G514" s="14" t="s">
        <v>1515</v>
      </c>
      <c r="H514" s="15" t="s">
        <v>9873</v>
      </c>
      <c r="I514" s="20" t="s">
        <v>50</v>
      </c>
      <c r="K514" s="20" t="s">
        <v>67</v>
      </c>
      <c r="L514" s="20" t="s">
        <v>67</v>
      </c>
      <c r="M514" s="20" t="s">
        <v>85</v>
      </c>
      <c r="N514" s="20" t="s">
        <v>2166</v>
      </c>
      <c r="Q514" t="s">
        <v>2232</v>
      </c>
      <c r="R514" t="s">
        <v>2801</v>
      </c>
      <c r="S514" t="s">
        <v>2802</v>
      </c>
      <c r="U514" s="80" t="s">
        <v>2803</v>
      </c>
    </row>
    <row r="515" spans="1:27" x14ac:dyDescent="0.3">
      <c r="A515" s="20">
        <v>514</v>
      </c>
      <c r="B515" s="20">
        <v>509</v>
      </c>
      <c r="C515" s="8" t="s">
        <v>1517</v>
      </c>
      <c r="D515" t="s">
        <v>1516</v>
      </c>
      <c r="E515" s="80" t="s">
        <v>1518</v>
      </c>
      <c r="F515" s="8" t="s">
        <v>1519</v>
      </c>
      <c r="G515" s="14" t="s">
        <v>1520</v>
      </c>
      <c r="H515" s="15" t="s">
        <v>9874</v>
      </c>
      <c r="I515" s="20" t="s">
        <v>65</v>
      </c>
      <c r="J515" s="20" t="s">
        <v>2017</v>
      </c>
      <c r="K515" s="20" t="s">
        <v>66</v>
      </c>
      <c r="L515" s="20" t="s">
        <v>66</v>
      </c>
      <c r="M515" s="20" t="s">
        <v>66</v>
      </c>
      <c r="P515" t="s">
        <v>2541</v>
      </c>
      <c r="R515" t="s">
        <v>2804</v>
      </c>
      <c r="S515" t="s">
        <v>2805</v>
      </c>
      <c r="U515" s="80" t="s">
        <v>2806</v>
      </c>
      <c r="Y515" s="8" t="s">
        <v>11409</v>
      </c>
      <c r="AA515" t="s">
        <v>2807</v>
      </c>
    </row>
    <row r="516" spans="1:27" x14ac:dyDescent="0.3">
      <c r="A516" s="20">
        <v>515</v>
      </c>
      <c r="B516" s="20">
        <v>510</v>
      </c>
      <c r="C516" s="8" t="s">
        <v>1517</v>
      </c>
      <c r="D516" t="s">
        <v>1516</v>
      </c>
      <c r="E516" s="80" t="s">
        <v>1521</v>
      </c>
      <c r="F516" s="8" t="s">
        <v>1522</v>
      </c>
      <c r="G516" s="14" t="s">
        <v>1523</v>
      </c>
      <c r="H516" s="15" t="s">
        <v>9875</v>
      </c>
      <c r="I516" s="20" t="s">
        <v>65</v>
      </c>
      <c r="J516" s="20" t="s">
        <v>2017</v>
      </c>
      <c r="M516" s="20" t="s">
        <v>130</v>
      </c>
      <c r="P516" t="s">
        <v>2552</v>
      </c>
      <c r="R516" t="s">
        <v>2171</v>
      </c>
      <c r="S516" t="s">
        <v>2808</v>
      </c>
      <c r="U516" s="80" t="s">
        <v>2809</v>
      </c>
      <c r="Z516" t="s">
        <v>11345</v>
      </c>
      <c r="AA516" t="s">
        <v>2810</v>
      </c>
    </row>
    <row r="517" spans="1:27" x14ac:dyDescent="0.3">
      <c r="A517" s="20">
        <v>516</v>
      </c>
      <c r="B517" s="20">
        <v>511</v>
      </c>
      <c r="C517" s="8" t="s">
        <v>1517</v>
      </c>
      <c r="D517" t="s">
        <v>1516</v>
      </c>
      <c r="E517" s="80" t="s">
        <v>1524</v>
      </c>
      <c r="F517" s="8" t="s">
        <v>1525</v>
      </c>
      <c r="G517" s="14" t="s">
        <v>1526</v>
      </c>
      <c r="H517" s="15" t="s">
        <v>9876</v>
      </c>
      <c r="I517" s="20" t="s">
        <v>65</v>
      </c>
      <c r="J517" s="20" t="s">
        <v>2017</v>
      </c>
      <c r="K517" s="20" t="s">
        <v>58</v>
      </c>
      <c r="L517" s="20" t="s">
        <v>58</v>
      </c>
      <c r="M517" s="20" t="s">
        <v>66</v>
      </c>
      <c r="P517" t="s">
        <v>2811</v>
      </c>
      <c r="R517" t="s">
        <v>2804</v>
      </c>
      <c r="S517" t="s">
        <v>2812</v>
      </c>
      <c r="U517" s="80" t="s">
        <v>2813</v>
      </c>
      <c r="AA517" t="s">
        <v>2814</v>
      </c>
    </row>
    <row r="518" spans="1:27" x14ac:dyDescent="0.3">
      <c r="A518" s="20">
        <v>517</v>
      </c>
      <c r="B518" s="20">
        <v>516</v>
      </c>
      <c r="C518" s="8" t="s">
        <v>1517</v>
      </c>
      <c r="D518" t="s">
        <v>1516</v>
      </c>
      <c r="E518" s="80" t="s">
        <v>1527</v>
      </c>
      <c r="F518" s="8" t="s">
        <v>1528</v>
      </c>
      <c r="G518" s="14" t="s">
        <v>1529</v>
      </c>
      <c r="H518" s="15" t="s">
        <v>9877</v>
      </c>
      <c r="I518" s="20" t="s">
        <v>50</v>
      </c>
      <c r="N518" s="20" t="s">
        <v>2166</v>
      </c>
      <c r="P518" t="s">
        <v>2174</v>
      </c>
      <c r="Q518" t="s">
        <v>2815</v>
      </c>
      <c r="R518" t="s">
        <v>2816</v>
      </c>
      <c r="S518" t="s">
        <v>2816</v>
      </c>
      <c r="U518" s="80" t="s">
        <v>2817</v>
      </c>
      <c r="V518" s="8" t="s">
        <v>2818</v>
      </c>
      <c r="W518" s="8" t="s">
        <v>2818</v>
      </c>
      <c r="X518" s="8" t="s">
        <v>2818</v>
      </c>
      <c r="Z518" t="s">
        <v>123</v>
      </c>
      <c r="AA518" t="s">
        <v>2819</v>
      </c>
    </row>
    <row r="519" spans="1:27" x14ac:dyDescent="0.3">
      <c r="A519" s="20">
        <v>518</v>
      </c>
      <c r="B519" s="20">
        <v>515</v>
      </c>
      <c r="C519" s="8" t="s">
        <v>1517</v>
      </c>
      <c r="D519" t="s">
        <v>1516</v>
      </c>
      <c r="E519" s="80" t="s">
        <v>1530</v>
      </c>
      <c r="F519" s="8" t="s">
        <v>1531</v>
      </c>
      <c r="G519" s="14" t="s">
        <v>1011</v>
      </c>
      <c r="I519" s="20" t="s">
        <v>19</v>
      </c>
      <c r="N519" s="20" t="s">
        <v>2166</v>
      </c>
      <c r="Q519" t="s">
        <v>2293</v>
      </c>
      <c r="R519" t="s">
        <v>2171</v>
      </c>
      <c r="S519" t="s">
        <v>2820</v>
      </c>
      <c r="U519" s="80" t="s">
        <v>2821</v>
      </c>
      <c r="V519" s="8" t="s">
        <v>2822</v>
      </c>
      <c r="W519" s="8" t="s">
        <v>2822</v>
      </c>
      <c r="X519" s="8" t="s">
        <v>2822</v>
      </c>
      <c r="Z519" t="s">
        <v>11346</v>
      </c>
    </row>
    <row r="520" spans="1:27" x14ac:dyDescent="0.3">
      <c r="A520" s="20">
        <v>519</v>
      </c>
      <c r="B520" s="20">
        <v>514</v>
      </c>
      <c r="C520" s="8" t="s">
        <v>1517</v>
      </c>
      <c r="D520" t="s">
        <v>1516</v>
      </c>
      <c r="E520" s="80" t="s">
        <v>1532</v>
      </c>
      <c r="F520" s="8" t="s">
        <v>1533</v>
      </c>
      <c r="G520" s="14" t="s">
        <v>1534</v>
      </c>
      <c r="I520" s="20" t="s">
        <v>50</v>
      </c>
      <c r="P520" t="s">
        <v>2200</v>
      </c>
      <c r="Q520" t="s">
        <v>2823</v>
      </c>
      <c r="R520" t="s">
        <v>2824</v>
      </c>
      <c r="S520" t="s">
        <v>2824</v>
      </c>
      <c r="U520" s="80" t="s">
        <v>2825</v>
      </c>
      <c r="V520" s="8" t="s">
        <v>2826</v>
      </c>
      <c r="W520" s="8" t="s">
        <v>2826</v>
      </c>
      <c r="X520" s="8" t="s">
        <v>2826</v>
      </c>
      <c r="AA520" t="s">
        <v>2827</v>
      </c>
    </row>
    <row r="521" spans="1:27" x14ac:dyDescent="0.3">
      <c r="A521" s="20">
        <v>520</v>
      </c>
      <c r="B521" s="20">
        <v>513</v>
      </c>
      <c r="C521" s="8" t="s">
        <v>1517</v>
      </c>
      <c r="D521" t="s">
        <v>1516</v>
      </c>
      <c r="E521" s="80" t="s">
        <v>1535</v>
      </c>
      <c r="F521" s="8" t="s">
        <v>1536</v>
      </c>
      <c r="G521" s="14" t="s">
        <v>1537</v>
      </c>
      <c r="H521" s="15" t="s">
        <v>9878</v>
      </c>
      <c r="I521" s="20" t="s">
        <v>50</v>
      </c>
      <c r="Q521" t="s">
        <v>2209</v>
      </c>
      <c r="Z521" t="s">
        <v>123</v>
      </c>
    </row>
    <row r="522" spans="1:27" x14ac:dyDescent="0.3">
      <c r="A522" s="20">
        <v>521</v>
      </c>
      <c r="B522" s="20">
        <v>512</v>
      </c>
      <c r="C522" s="8" t="s">
        <v>1517</v>
      </c>
      <c r="D522" t="s">
        <v>1516</v>
      </c>
      <c r="E522" s="80" t="s">
        <v>1538</v>
      </c>
      <c r="F522" s="8" t="s">
        <v>1539</v>
      </c>
      <c r="G522" s="14" t="s">
        <v>68</v>
      </c>
      <c r="I522" s="20" t="s">
        <v>65</v>
      </c>
      <c r="J522" s="20" t="s">
        <v>2015</v>
      </c>
      <c r="R522" t="s">
        <v>2828</v>
      </c>
      <c r="U522" s="80" t="s">
        <v>2829</v>
      </c>
      <c r="Y522" s="8" t="s">
        <v>11410</v>
      </c>
    </row>
    <row r="523" spans="1:27" x14ac:dyDescent="0.3">
      <c r="A523" s="20">
        <v>522</v>
      </c>
      <c r="B523" s="20">
        <v>517</v>
      </c>
      <c r="C523" s="8" t="s">
        <v>1517</v>
      </c>
      <c r="D523" t="s">
        <v>1516</v>
      </c>
      <c r="E523" s="80" t="s">
        <v>1540</v>
      </c>
      <c r="F523" s="8" t="s">
        <v>1541</v>
      </c>
      <c r="G523" s="14" t="s">
        <v>68</v>
      </c>
      <c r="H523" s="15" t="s">
        <v>9836</v>
      </c>
      <c r="I523" s="20" t="s">
        <v>65</v>
      </c>
      <c r="J523" s="20" t="s">
        <v>2017</v>
      </c>
      <c r="N523" s="20" t="s">
        <v>2166</v>
      </c>
      <c r="R523" t="s">
        <v>2830</v>
      </c>
      <c r="U523" s="80" t="s">
        <v>2831</v>
      </c>
      <c r="Y523" s="8" t="s">
        <v>11411</v>
      </c>
    </row>
    <row r="524" spans="1:27" x14ac:dyDescent="0.3">
      <c r="A524" s="20">
        <v>523</v>
      </c>
      <c r="B524" s="20">
        <v>519</v>
      </c>
      <c r="C524" s="8" t="s">
        <v>1517</v>
      </c>
      <c r="D524" t="s">
        <v>1516</v>
      </c>
      <c r="E524" s="80" t="s">
        <v>1542</v>
      </c>
      <c r="F524" s="8" t="s">
        <v>1543</v>
      </c>
      <c r="G524" s="14" t="s">
        <v>401</v>
      </c>
      <c r="I524" s="20" t="s">
        <v>15</v>
      </c>
      <c r="P524" t="s">
        <v>2323</v>
      </c>
      <c r="V524" s="8" t="s">
        <v>2832</v>
      </c>
      <c r="W524" s="8" t="s">
        <v>2832</v>
      </c>
      <c r="AA524" t="s">
        <v>2833</v>
      </c>
    </row>
    <row r="525" spans="1:27" x14ac:dyDescent="0.3">
      <c r="A525" s="20">
        <v>524</v>
      </c>
      <c r="B525" s="20">
        <v>518</v>
      </c>
      <c r="C525" s="8" t="s">
        <v>1517</v>
      </c>
      <c r="D525" t="s">
        <v>1516</v>
      </c>
      <c r="E525" s="80" t="s">
        <v>1544</v>
      </c>
      <c r="F525" s="8" t="s">
        <v>1545</v>
      </c>
      <c r="G525" s="14" t="s">
        <v>43</v>
      </c>
      <c r="I525" s="20" t="s">
        <v>15</v>
      </c>
    </row>
    <row r="526" spans="1:27" x14ac:dyDescent="0.3">
      <c r="A526" s="20">
        <v>525</v>
      </c>
      <c r="B526" s="20">
        <v>520</v>
      </c>
      <c r="C526" s="8" t="s">
        <v>1547</v>
      </c>
      <c r="D526" t="s">
        <v>1546</v>
      </c>
      <c r="E526" s="80" t="s">
        <v>1548</v>
      </c>
      <c r="F526" s="8" t="s">
        <v>1549</v>
      </c>
      <c r="G526" s="14" t="s">
        <v>1550</v>
      </c>
      <c r="I526" s="20" t="s">
        <v>15</v>
      </c>
    </row>
    <row r="527" spans="1:27" x14ac:dyDescent="0.3">
      <c r="A527" s="20">
        <v>526</v>
      </c>
      <c r="B527" s="20">
        <v>521</v>
      </c>
      <c r="C527" s="8" t="s">
        <v>1547</v>
      </c>
      <c r="D527" t="s">
        <v>1546</v>
      </c>
      <c r="E527" s="80" t="s">
        <v>1551</v>
      </c>
      <c r="F527" s="8" t="s">
        <v>1552</v>
      </c>
      <c r="G527" s="14" t="s">
        <v>119</v>
      </c>
      <c r="I527" s="20" t="s">
        <v>15</v>
      </c>
      <c r="R527" t="s">
        <v>2834</v>
      </c>
    </row>
    <row r="528" spans="1:27" x14ac:dyDescent="0.3">
      <c r="A528" s="20">
        <v>527</v>
      </c>
      <c r="B528" s="20">
        <v>522</v>
      </c>
      <c r="C528" s="8" t="s">
        <v>1553</v>
      </c>
      <c r="D528" t="s">
        <v>1546</v>
      </c>
      <c r="E528" s="80" t="s">
        <v>1554</v>
      </c>
      <c r="F528" s="8" t="s">
        <v>1555</v>
      </c>
      <c r="G528" s="14" t="s">
        <v>1556</v>
      </c>
      <c r="H528" s="15" t="s">
        <v>9879</v>
      </c>
      <c r="I528" s="20" t="s">
        <v>65</v>
      </c>
      <c r="J528" s="20" t="s">
        <v>2020</v>
      </c>
      <c r="K528" s="20" t="s">
        <v>406</v>
      </c>
      <c r="L528" s="20" t="s">
        <v>406</v>
      </c>
      <c r="M528" s="20" t="s">
        <v>66</v>
      </c>
      <c r="N528" s="20" t="s">
        <v>2166</v>
      </c>
      <c r="P528" t="s">
        <v>2174</v>
      </c>
      <c r="R528" t="s">
        <v>2835</v>
      </c>
      <c r="S528" t="s">
        <v>2836</v>
      </c>
      <c r="AA528" t="s">
        <v>2837</v>
      </c>
    </row>
    <row r="529" spans="1:27" x14ac:dyDescent="0.3">
      <c r="A529" s="20">
        <v>528</v>
      </c>
      <c r="B529" s="20">
        <v>523</v>
      </c>
      <c r="C529" s="8" t="s">
        <v>1553</v>
      </c>
      <c r="D529" t="s">
        <v>1546</v>
      </c>
      <c r="E529" s="80" t="s">
        <v>1557</v>
      </c>
      <c r="F529" s="8" t="s">
        <v>1558</v>
      </c>
      <c r="G529" s="14" t="s">
        <v>1167</v>
      </c>
      <c r="H529" s="15" t="s">
        <v>9880</v>
      </c>
      <c r="I529" s="20" t="s">
        <v>65</v>
      </c>
      <c r="J529" s="20" t="s">
        <v>2025</v>
      </c>
      <c r="K529" s="20" t="s">
        <v>406</v>
      </c>
      <c r="L529" s="20" t="s">
        <v>58</v>
      </c>
      <c r="N529" s="20" t="s">
        <v>2166</v>
      </c>
      <c r="P529" t="s">
        <v>2179</v>
      </c>
      <c r="R529" t="s">
        <v>2835</v>
      </c>
      <c r="S529" t="s">
        <v>2838</v>
      </c>
      <c r="AA529" t="s">
        <v>2839</v>
      </c>
    </row>
    <row r="530" spans="1:27" x14ac:dyDescent="0.3">
      <c r="A530" s="20">
        <v>529</v>
      </c>
      <c r="B530" s="20">
        <v>524</v>
      </c>
      <c r="C530" s="8" t="s">
        <v>1547</v>
      </c>
      <c r="D530" t="s">
        <v>1546</v>
      </c>
      <c r="E530" s="80" t="s">
        <v>1559</v>
      </c>
      <c r="F530" s="8" t="s">
        <v>1560</v>
      </c>
      <c r="G530" s="14" t="s">
        <v>68</v>
      </c>
      <c r="I530" s="20" t="s">
        <v>65</v>
      </c>
      <c r="J530" s="20" t="s">
        <v>2022</v>
      </c>
      <c r="S530" t="s">
        <v>2840</v>
      </c>
      <c r="U530" s="80" t="s">
        <v>2841</v>
      </c>
    </row>
    <row r="531" spans="1:27" x14ac:dyDescent="0.3">
      <c r="A531" s="20">
        <v>530</v>
      </c>
      <c r="B531" s="20">
        <v>525</v>
      </c>
      <c r="C531" s="8" t="s">
        <v>1547</v>
      </c>
      <c r="D531" t="s">
        <v>1546</v>
      </c>
      <c r="E531" s="80" t="s">
        <v>1561</v>
      </c>
      <c r="F531" s="8" t="s">
        <v>1562</v>
      </c>
      <c r="G531" s="14" t="s">
        <v>1563</v>
      </c>
      <c r="H531" s="15" t="s">
        <v>9881</v>
      </c>
      <c r="I531" s="20" t="s">
        <v>65</v>
      </c>
      <c r="J531" s="20" t="s">
        <v>2017</v>
      </c>
      <c r="P531" t="s">
        <v>2179</v>
      </c>
      <c r="R531" t="s">
        <v>1559</v>
      </c>
      <c r="S531" t="s">
        <v>2842</v>
      </c>
      <c r="U531" s="80" t="s">
        <v>2842</v>
      </c>
      <c r="AA531" t="s">
        <v>2843</v>
      </c>
    </row>
    <row r="532" spans="1:27" x14ac:dyDescent="0.3">
      <c r="A532" s="20">
        <v>531</v>
      </c>
      <c r="B532" s="20">
        <v>526</v>
      </c>
      <c r="C532" s="8" t="s">
        <v>1547</v>
      </c>
      <c r="D532" t="s">
        <v>1546</v>
      </c>
      <c r="E532" s="80" t="s">
        <v>1564</v>
      </c>
      <c r="F532" s="8" t="s">
        <v>1565</v>
      </c>
      <c r="G532" s="14" t="s">
        <v>998</v>
      </c>
      <c r="I532" s="20" t="s">
        <v>65</v>
      </c>
      <c r="J532" s="20" t="s">
        <v>2020</v>
      </c>
      <c r="P532" t="s">
        <v>2179</v>
      </c>
      <c r="R532" t="s">
        <v>1559</v>
      </c>
      <c r="AA532" t="s">
        <v>2844</v>
      </c>
    </row>
    <row r="533" spans="1:27" x14ac:dyDescent="0.3">
      <c r="A533" s="20">
        <v>532</v>
      </c>
      <c r="B533" s="20">
        <v>527</v>
      </c>
      <c r="C533" s="8" t="s">
        <v>1547</v>
      </c>
      <c r="D533" t="s">
        <v>1546</v>
      </c>
      <c r="E533" s="80" t="s">
        <v>1566</v>
      </c>
      <c r="F533" s="8" t="s">
        <v>1567</v>
      </c>
      <c r="G533" s="14" t="s">
        <v>68</v>
      </c>
      <c r="I533" s="20" t="s">
        <v>65</v>
      </c>
      <c r="J533" s="20" t="s">
        <v>2017</v>
      </c>
      <c r="S533" t="s">
        <v>2845</v>
      </c>
    </row>
    <row r="534" spans="1:27" x14ac:dyDescent="0.3">
      <c r="A534" s="20">
        <v>533</v>
      </c>
      <c r="B534" s="20">
        <v>528</v>
      </c>
      <c r="C534" s="8" t="s">
        <v>1547</v>
      </c>
      <c r="D534" t="s">
        <v>1546</v>
      </c>
      <c r="E534" s="80" t="s">
        <v>1568</v>
      </c>
      <c r="F534" s="8" t="s">
        <v>1569</v>
      </c>
      <c r="G534" s="14" t="s">
        <v>1266</v>
      </c>
      <c r="I534" s="20" t="s">
        <v>15</v>
      </c>
    </row>
    <row r="535" spans="1:27" x14ac:dyDescent="0.3">
      <c r="A535" s="20">
        <v>534</v>
      </c>
      <c r="B535" s="20">
        <v>529</v>
      </c>
      <c r="C535" s="8" t="s">
        <v>1547</v>
      </c>
      <c r="D535" t="s">
        <v>1546</v>
      </c>
      <c r="E535" s="80" t="s">
        <v>1570</v>
      </c>
      <c r="F535" s="8" t="s">
        <v>1571</v>
      </c>
      <c r="G535" s="14" t="s">
        <v>1266</v>
      </c>
      <c r="I535" s="20" t="s">
        <v>15</v>
      </c>
    </row>
    <row r="536" spans="1:27" x14ac:dyDescent="0.3">
      <c r="A536" s="20">
        <v>535</v>
      </c>
      <c r="B536" s="20">
        <v>530</v>
      </c>
      <c r="C536" s="8" t="s">
        <v>1547</v>
      </c>
      <c r="D536" t="s">
        <v>1546</v>
      </c>
      <c r="E536" s="80" t="s">
        <v>1572</v>
      </c>
      <c r="F536" s="8" t="s">
        <v>1573</v>
      </c>
      <c r="G536" s="14" t="s">
        <v>68</v>
      </c>
      <c r="I536" s="20" t="s">
        <v>65</v>
      </c>
      <c r="J536" s="20" t="s">
        <v>2020</v>
      </c>
    </row>
    <row r="537" spans="1:27" x14ac:dyDescent="0.3">
      <c r="A537" s="20">
        <v>536</v>
      </c>
      <c r="B537" s="20">
        <v>531</v>
      </c>
      <c r="C537" s="8" t="s">
        <v>1547</v>
      </c>
      <c r="D537" t="s">
        <v>1546</v>
      </c>
      <c r="E537" s="80" t="s">
        <v>1574</v>
      </c>
      <c r="F537" s="8" t="s">
        <v>1575</v>
      </c>
      <c r="G537" s="14" t="s">
        <v>68</v>
      </c>
      <c r="H537" s="15" t="s">
        <v>9787</v>
      </c>
      <c r="I537" s="20" t="s">
        <v>65</v>
      </c>
      <c r="J537" s="20" t="s">
        <v>2020</v>
      </c>
      <c r="S537" t="s">
        <v>2846</v>
      </c>
    </row>
    <row r="538" spans="1:27" x14ac:dyDescent="0.3">
      <c r="A538" s="20">
        <v>537</v>
      </c>
      <c r="B538" s="20">
        <v>532</v>
      </c>
      <c r="C538" s="8" t="s">
        <v>1547</v>
      </c>
      <c r="D538" t="s">
        <v>1546</v>
      </c>
      <c r="E538" s="80" t="s">
        <v>1576</v>
      </c>
      <c r="F538" s="8" t="s">
        <v>1577</v>
      </c>
      <c r="G538" s="14" t="s">
        <v>68</v>
      </c>
      <c r="H538" s="15" t="s">
        <v>9849</v>
      </c>
      <c r="I538" s="20" t="s">
        <v>65</v>
      </c>
      <c r="J538" s="20" t="s">
        <v>2020</v>
      </c>
      <c r="K538" s="20" t="s">
        <v>58</v>
      </c>
      <c r="L538" s="20" t="s">
        <v>58</v>
      </c>
      <c r="M538" s="20" t="s">
        <v>130</v>
      </c>
    </row>
    <row r="539" spans="1:27" x14ac:dyDescent="0.3">
      <c r="A539" s="20">
        <v>538</v>
      </c>
      <c r="B539" s="20">
        <v>533</v>
      </c>
      <c r="C539" s="8" t="s">
        <v>1553</v>
      </c>
      <c r="D539" t="s">
        <v>1578</v>
      </c>
      <c r="E539" s="80" t="s">
        <v>1579</v>
      </c>
      <c r="F539" s="8" t="s">
        <v>1580</v>
      </c>
      <c r="G539" s="14" t="s">
        <v>1581</v>
      </c>
      <c r="I539" s="20" t="s">
        <v>15</v>
      </c>
      <c r="P539" t="s">
        <v>2174</v>
      </c>
      <c r="R539" t="s">
        <v>2847</v>
      </c>
      <c r="V539" s="8" t="s">
        <v>2848</v>
      </c>
      <c r="X539" s="8" t="s">
        <v>2848</v>
      </c>
      <c r="Y539" s="8" t="s">
        <v>11412</v>
      </c>
      <c r="AA539" t="s">
        <v>2849</v>
      </c>
    </row>
    <row r="540" spans="1:27" x14ac:dyDescent="0.3">
      <c r="A540" s="20">
        <v>539</v>
      </c>
      <c r="B540" s="20">
        <v>534</v>
      </c>
      <c r="C540" s="8" t="s">
        <v>1553</v>
      </c>
      <c r="D540" t="s">
        <v>1578</v>
      </c>
      <c r="E540" s="80" t="s">
        <v>1582</v>
      </c>
      <c r="F540" s="8" t="s">
        <v>1583</v>
      </c>
      <c r="G540" s="14" t="s">
        <v>1584</v>
      </c>
      <c r="I540" s="20" t="s">
        <v>15</v>
      </c>
      <c r="P540" t="s">
        <v>2850</v>
      </c>
      <c r="R540" t="s">
        <v>2847</v>
      </c>
      <c r="V540" s="8" t="s">
        <v>2851</v>
      </c>
      <c r="X540" s="8" t="s">
        <v>2851</v>
      </c>
      <c r="AA540" t="s">
        <v>2852</v>
      </c>
    </row>
    <row r="541" spans="1:27" x14ac:dyDescent="0.3">
      <c r="A541" s="20">
        <v>540</v>
      </c>
      <c r="B541" s="20">
        <v>535</v>
      </c>
      <c r="C541" s="8" t="s">
        <v>1553</v>
      </c>
      <c r="D541" t="s">
        <v>1578</v>
      </c>
      <c r="E541" s="80" t="s">
        <v>1585</v>
      </c>
      <c r="F541" s="8" t="s">
        <v>1586</v>
      </c>
      <c r="G541" s="14" t="s">
        <v>68</v>
      </c>
      <c r="I541" s="20" t="s">
        <v>65</v>
      </c>
      <c r="J541" s="20" t="s">
        <v>2015</v>
      </c>
      <c r="Y541" s="8" t="s">
        <v>11413</v>
      </c>
    </row>
    <row r="542" spans="1:27" x14ac:dyDescent="0.3">
      <c r="A542" s="20">
        <v>541</v>
      </c>
      <c r="B542" s="20">
        <v>536</v>
      </c>
      <c r="C542" s="8" t="s">
        <v>1588</v>
      </c>
      <c r="D542" t="s">
        <v>1587</v>
      </c>
      <c r="E542" s="80" t="s">
        <v>1589</v>
      </c>
      <c r="F542" s="8" t="s">
        <v>1590</v>
      </c>
      <c r="G542" s="14" t="s">
        <v>68</v>
      </c>
      <c r="I542" s="20" t="s">
        <v>65</v>
      </c>
      <c r="J542" s="20" t="s">
        <v>2020</v>
      </c>
      <c r="R542" t="s">
        <v>2853</v>
      </c>
    </row>
    <row r="543" spans="1:27" x14ac:dyDescent="0.3">
      <c r="A543" s="20">
        <v>542</v>
      </c>
      <c r="B543" s="20">
        <v>537</v>
      </c>
      <c r="C543" s="8" t="s">
        <v>1588</v>
      </c>
      <c r="D543" t="s">
        <v>1587</v>
      </c>
      <c r="E543" s="80" t="s">
        <v>1591</v>
      </c>
      <c r="F543" s="8" t="s">
        <v>1592</v>
      </c>
      <c r="G543" s="14" t="s">
        <v>68</v>
      </c>
      <c r="H543" s="15" t="s">
        <v>9882</v>
      </c>
      <c r="I543" s="20" t="s">
        <v>65</v>
      </c>
      <c r="J543" s="20" t="s">
        <v>2030</v>
      </c>
      <c r="K543" s="20" t="s">
        <v>66</v>
      </c>
      <c r="L543" s="20" t="s">
        <v>66</v>
      </c>
      <c r="M543" s="20" t="s">
        <v>66</v>
      </c>
      <c r="R543" t="s">
        <v>2854</v>
      </c>
    </row>
    <row r="544" spans="1:27" x14ac:dyDescent="0.3">
      <c r="A544" s="20">
        <v>543</v>
      </c>
      <c r="B544" s="20">
        <v>538</v>
      </c>
      <c r="C544" s="8" t="s">
        <v>1588</v>
      </c>
      <c r="D544" t="s">
        <v>1587</v>
      </c>
      <c r="E544" s="80" t="s">
        <v>1593</v>
      </c>
      <c r="F544" s="8" t="s">
        <v>1594</v>
      </c>
      <c r="G544" s="14" t="s">
        <v>68</v>
      </c>
      <c r="H544" s="15" t="s">
        <v>9883</v>
      </c>
      <c r="I544" s="20" t="s">
        <v>65</v>
      </c>
      <c r="J544" s="20" t="s">
        <v>2030</v>
      </c>
      <c r="V544" s="8" t="s">
        <v>2855</v>
      </c>
      <c r="X544" s="8" t="s">
        <v>2856</v>
      </c>
      <c r="Y544" s="8" t="s">
        <v>2856</v>
      </c>
    </row>
    <row r="545" spans="1:27" x14ac:dyDescent="0.3">
      <c r="A545" s="20">
        <v>544</v>
      </c>
      <c r="B545" s="20">
        <v>539</v>
      </c>
      <c r="C545" s="8" t="s">
        <v>1588</v>
      </c>
      <c r="D545" t="s">
        <v>1587</v>
      </c>
      <c r="E545" s="80" t="s">
        <v>1595</v>
      </c>
      <c r="F545" s="8" t="s">
        <v>1596</v>
      </c>
      <c r="G545" s="14" t="s">
        <v>68</v>
      </c>
      <c r="H545" s="15" t="s">
        <v>9882</v>
      </c>
      <c r="I545" s="20" t="s">
        <v>65</v>
      </c>
      <c r="J545" s="20" t="s">
        <v>2030</v>
      </c>
      <c r="K545" s="20" t="s">
        <v>58</v>
      </c>
      <c r="L545" s="20" t="s">
        <v>58</v>
      </c>
      <c r="M545" s="20" t="s">
        <v>130</v>
      </c>
      <c r="S545" t="s">
        <v>2857</v>
      </c>
    </row>
    <row r="546" spans="1:27" x14ac:dyDescent="0.3">
      <c r="A546" s="20">
        <v>545</v>
      </c>
      <c r="B546" s="20">
        <v>540</v>
      </c>
      <c r="C546" s="8" t="s">
        <v>1598</v>
      </c>
      <c r="D546" t="s">
        <v>1597</v>
      </c>
      <c r="E546" s="80" t="s">
        <v>1599</v>
      </c>
      <c r="F546" s="8" t="s">
        <v>1600</v>
      </c>
      <c r="G546" s="14" t="s">
        <v>68</v>
      </c>
      <c r="I546" s="20" t="s">
        <v>65</v>
      </c>
      <c r="J546" s="20" t="s">
        <v>2017</v>
      </c>
      <c r="P546" t="s">
        <v>2376</v>
      </c>
      <c r="Y546" s="8" t="s">
        <v>11414</v>
      </c>
      <c r="AA546" t="s">
        <v>2858</v>
      </c>
    </row>
    <row r="547" spans="1:27" x14ac:dyDescent="0.3">
      <c r="A547" s="20">
        <v>546</v>
      </c>
      <c r="B547" s="20">
        <v>541</v>
      </c>
      <c r="C547" s="8" t="s">
        <v>1598</v>
      </c>
      <c r="D547" t="s">
        <v>1597</v>
      </c>
      <c r="E547" s="80" t="s">
        <v>1601</v>
      </c>
      <c r="F547" s="8" t="s">
        <v>1602</v>
      </c>
      <c r="G547" s="14" t="s">
        <v>68</v>
      </c>
      <c r="H547" s="15" t="s">
        <v>9884</v>
      </c>
      <c r="I547" s="20" t="s">
        <v>65</v>
      </c>
      <c r="J547" s="20" t="s">
        <v>2017</v>
      </c>
      <c r="K547" s="20" t="s">
        <v>58</v>
      </c>
      <c r="L547" s="20" t="s">
        <v>58</v>
      </c>
      <c r="M547" s="20" t="s">
        <v>66</v>
      </c>
      <c r="R547" t="s">
        <v>2859</v>
      </c>
      <c r="S547" t="s">
        <v>2859</v>
      </c>
      <c r="Y547" s="8" t="s">
        <v>11415</v>
      </c>
    </row>
    <row r="548" spans="1:27" x14ac:dyDescent="0.3">
      <c r="A548" s="20">
        <v>547</v>
      </c>
      <c r="B548" s="20">
        <v>542</v>
      </c>
      <c r="C548" s="8" t="s">
        <v>1598</v>
      </c>
      <c r="D548" t="s">
        <v>1597</v>
      </c>
      <c r="E548" s="80" t="s">
        <v>1603</v>
      </c>
      <c r="F548" s="8" t="s">
        <v>1604</v>
      </c>
      <c r="G548" s="14" t="s">
        <v>68</v>
      </c>
      <c r="H548" s="15" t="s">
        <v>9885</v>
      </c>
      <c r="I548" s="20" t="s">
        <v>65</v>
      </c>
      <c r="J548" s="20" t="s">
        <v>2035</v>
      </c>
      <c r="K548" s="20" t="s">
        <v>58</v>
      </c>
      <c r="L548" s="20" t="s">
        <v>58</v>
      </c>
      <c r="M548" s="20" t="s">
        <v>66</v>
      </c>
      <c r="R548" t="s">
        <v>2860</v>
      </c>
      <c r="S548" t="s">
        <v>2860</v>
      </c>
      <c r="Y548" s="8" t="s">
        <v>11416</v>
      </c>
    </row>
    <row r="549" spans="1:27" x14ac:dyDescent="0.3">
      <c r="A549" s="20">
        <v>548</v>
      </c>
      <c r="B549" s="20">
        <v>543</v>
      </c>
      <c r="C549" s="8" t="s">
        <v>1598</v>
      </c>
      <c r="D549" t="s">
        <v>1597</v>
      </c>
      <c r="E549" s="80" t="s">
        <v>1605</v>
      </c>
      <c r="F549" s="8" t="s">
        <v>1606</v>
      </c>
      <c r="G549" s="14" t="s">
        <v>68</v>
      </c>
      <c r="H549" s="15" t="s">
        <v>9886</v>
      </c>
      <c r="I549" s="20" t="s">
        <v>65</v>
      </c>
      <c r="J549" s="20" t="s">
        <v>2024</v>
      </c>
      <c r="K549" s="20" t="s">
        <v>67</v>
      </c>
      <c r="L549" s="20" t="s">
        <v>67</v>
      </c>
      <c r="M549" s="20" t="s">
        <v>67</v>
      </c>
      <c r="N549" s="20" t="s">
        <v>2166</v>
      </c>
      <c r="R549" t="s">
        <v>2861</v>
      </c>
      <c r="S549" t="s">
        <v>2861</v>
      </c>
      <c r="Y549" s="8" t="s">
        <v>11417</v>
      </c>
    </row>
    <row r="550" spans="1:27" x14ac:dyDescent="0.3">
      <c r="A550" s="20">
        <v>549</v>
      </c>
      <c r="B550" s="20">
        <v>544</v>
      </c>
      <c r="C550" s="8" t="s">
        <v>1598</v>
      </c>
      <c r="D550" t="s">
        <v>1597</v>
      </c>
      <c r="E550" s="80" t="s">
        <v>1607</v>
      </c>
      <c r="F550" s="8" t="s">
        <v>1608</v>
      </c>
      <c r="G550" s="14" t="s">
        <v>68</v>
      </c>
      <c r="H550" s="15" t="s">
        <v>9887</v>
      </c>
      <c r="I550" s="20" t="s">
        <v>65</v>
      </c>
      <c r="J550" s="20" t="s">
        <v>2016</v>
      </c>
      <c r="K550" s="20" t="s">
        <v>58</v>
      </c>
      <c r="L550" s="20" t="s">
        <v>58</v>
      </c>
      <c r="M550" s="20" t="s">
        <v>130</v>
      </c>
      <c r="R550" t="s">
        <v>2862</v>
      </c>
      <c r="S550" t="s">
        <v>2862</v>
      </c>
      <c r="Y550" s="8" t="s">
        <v>11418</v>
      </c>
    </row>
    <row r="551" spans="1:27" x14ac:dyDescent="0.3">
      <c r="A551" s="20">
        <v>550</v>
      </c>
      <c r="B551" s="20">
        <v>545</v>
      </c>
      <c r="C551" s="8" t="s">
        <v>1598</v>
      </c>
      <c r="D551" t="s">
        <v>1597</v>
      </c>
      <c r="E551" s="80" t="s">
        <v>1609</v>
      </c>
      <c r="F551" s="8" t="s">
        <v>1610</v>
      </c>
      <c r="G551" s="14" t="s">
        <v>68</v>
      </c>
      <c r="H551" s="15" t="s">
        <v>9888</v>
      </c>
      <c r="I551" s="20" t="s">
        <v>65</v>
      </c>
      <c r="J551" s="20" t="s">
        <v>2022</v>
      </c>
      <c r="K551" s="20" t="s">
        <v>67</v>
      </c>
      <c r="L551" s="20" t="s">
        <v>67</v>
      </c>
      <c r="M551" s="20" t="s">
        <v>67</v>
      </c>
      <c r="P551" t="s">
        <v>2863</v>
      </c>
      <c r="Y551" s="8" t="s">
        <v>11419</v>
      </c>
      <c r="AA551" t="s">
        <v>2864</v>
      </c>
    </row>
    <row r="552" spans="1:27" x14ac:dyDescent="0.3">
      <c r="A552" s="20">
        <v>551</v>
      </c>
      <c r="B552" s="20">
        <v>546</v>
      </c>
      <c r="C552" s="8" t="s">
        <v>1598</v>
      </c>
      <c r="D552" t="s">
        <v>1597</v>
      </c>
      <c r="E552" s="80" t="s">
        <v>1611</v>
      </c>
      <c r="F552" s="8" t="s">
        <v>1612</v>
      </c>
      <c r="G552" s="14" t="s">
        <v>1167</v>
      </c>
      <c r="H552" s="15" t="s">
        <v>9880</v>
      </c>
      <c r="I552" s="20" t="s">
        <v>65</v>
      </c>
      <c r="J552" s="20" t="s">
        <v>2025</v>
      </c>
      <c r="K552" s="20" t="s">
        <v>58</v>
      </c>
      <c r="L552" s="20" t="s">
        <v>58</v>
      </c>
      <c r="M552" s="20" t="s">
        <v>130</v>
      </c>
      <c r="P552" t="s">
        <v>2865</v>
      </c>
      <c r="R552" t="s">
        <v>2866</v>
      </c>
      <c r="S552" t="s">
        <v>2867</v>
      </c>
      <c r="Y552" s="8" t="s">
        <v>11420</v>
      </c>
      <c r="AA552" t="s">
        <v>2868</v>
      </c>
    </row>
    <row r="553" spans="1:27" x14ac:dyDescent="0.3">
      <c r="A553" s="20">
        <v>552</v>
      </c>
      <c r="B553" s="20">
        <v>547</v>
      </c>
      <c r="C553" s="8" t="s">
        <v>1598</v>
      </c>
      <c r="D553" t="s">
        <v>1597</v>
      </c>
      <c r="E553" s="80" t="s">
        <v>1613</v>
      </c>
      <c r="F553" s="8" t="s">
        <v>1614</v>
      </c>
      <c r="G553" s="14" t="s">
        <v>1556</v>
      </c>
      <c r="H553" s="15" t="s">
        <v>9889</v>
      </c>
      <c r="I553" s="20" t="s">
        <v>65</v>
      </c>
      <c r="J553" s="20" t="s">
        <v>2020</v>
      </c>
      <c r="K553" s="20" t="s">
        <v>58</v>
      </c>
      <c r="L553" s="20" t="s">
        <v>58</v>
      </c>
      <c r="M553" s="20" t="s">
        <v>130</v>
      </c>
      <c r="P553" t="s">
        <v>2869</v>
      </c>
      <c r="R553" t="s">
        <v>2866</v>
      </c>
      <c r="S553" t="s">
        <v>2870</v>
      </c>
      <c r="AA553" t="s">
        <v>2871</v>
      </c>
    </row>
    <row r="554" spans="1:27" x14ac:dyDescent="0.3">
      <c r="A554" s="20">
        <v>553</v>
      </c>
      <c r="B554" s="20">
        <v>548</v>
      </c>
      <c r="C554" s="8" t="s">
        <v>1598</v>
      </c>
      <c r="D554" t="s">
        <v>1597</v>
      </c>
      <c r="E554" s="80" t="s">
        <v>1615</v>
      </c>
      <c r="F554" s="8" t="s">
        <v>1616</v>
      </c>
      <c r="G554" s="14" t="s">
        <v>68</v>
      </c>
      <c r="H554" s="15" t="s">
        <v>9890</v>
      </c>
      <c r="I554" s="20" t="s">
        <v>65</v>
      </c>
      <c r="J554" s="20" t="s">
        <v>2017</v>
      </c>
      <c r="K554" s="20" t="s">
        <v>58</v>
      </c>
      <c r="L554" s="20" t="s">
        <v>58</v>
      </c>
      <c r="M554" s="20" t="s">
        <v>130</v>
      </c>
      <c r="P554" t="s">
        <v>2863</v>
      </c>
      <c r="Y554" s="8" t="s">
        <v>11421</v>
      </c>
      <c r="AA554" t="s">
        <v>2872</v>
      </c>
    </row>
    <row r="555" spans="1:27" x14ac:dyDescent="0.3">
      <c r="A555" s="20">
        <v>554</v>
      </c>
      <c r="B555" s="20">
        <v>549</v>
      </c>
      <c r="C555" s="8" t="s">
        <v>1598</v>
      </c>
      <c r="D555" t="s">
        <v>1597</v>
      </c>
      <c r="E555" s="80" t="s">
        <v>1617</v>
      </c>
      <c r="F555" s="8" t="s">
        <v>1618</v>
      </c>
      <c r="G555" s="14" t="s">
        <v>68</v>
      </c>
      <c r="I555" s="20" t="s">
        <v>65</v>
      </c>
      <c r="J555" s="20" t="s">
        <v>2015</v>
      </c>
      <c r="P555" t="s">
        <v>2863</v>
      </c>
      <c r="Y555" s="8" t="s">
        <v>11422</v>
      </c>
      <c r="AA555" t="s">
        <v>2873</v>
      </c>
    </row>
    <row r="556" spans="1:27" x14ac:dyDescent="0.3">
      <c r="A556" s="20">
        <v>555</v>
      </c>
      <c r="B556" s="20">
        <v>550</v>
      </c>
      <c r="C556" s="8" t="s">
        <v>1598</v>
      </c>
      <c r="D556" t="s">
        <v>1597</v>
      </c>
      <c r="E556" s="80" t="s">
        <v>1619</v>
      </c>
      <c r="F556" s="8" t="s">
        <v>1620</v>
      </c>
      <c r="G556" s="14" t="s">
        <v>68</v>
      </c>
      <c r="I556" s="20" t="s">
        <v>65</v>
      </c>
      <c r="J556" s="20" t="s">
        <v>2020</v>
      </c>
      <c r="P556" t="s">
        <v>2863</v>
      </c>
      <c r="Y556" s="8" t="s">
        <v>11423</v>
      </c>
      <c r="AA556" t="s">
        <v>2874</v>
      </c>
    </row>
    <row r="557" spans="1:27" x14ac:dyDescent="0.3">
      <c r="A557" s="20">
        <v>556</v>
      </c>
      <c r="B557" s="20">
        <v>551</v>
      </c>
      <c r="C557" s="8" t="s">
        <v>1598</v>
      </c>
      <c r="D557" t="s">
        <v>1597</v>
      </c>
      <c r="E557" s="80" t="s">
        <v>1621</v>
      </c>
      <c r="F557" s="8" t="s">
        <v>1622</v>
      </c>
      <c r="G557" s="14" t="s">
        <v>68</v>
      </c>
      <c r="I557" s="20" t="s">
        <v>65</v>
      </c>
      <c r="J557" s="20" t="s">
        <v>2025</v>
      </c>
      <c r="R557" t="s">
        <v>2875</v>
      </c>
      <c r="X557" s="8" t="s">
        <v>2876</v>
      </c>
    </row>
    <row r="558" spans="1:27" x14ac:dyDescent="0.3">
      <c r="A558" s="20">
        <v>557</v>
      </c>
      <c r="B558" s="20">
        <v>555</v>
      </c>
      <c r="C558" s="8" t="s">
        <v>1598</v>
      </c>
      <c r="D558" t="s">
        <v>1597</v>
      </c>
      <c r="E558" s="80" t="s">
        <v>1623</v>
      </c>
      <c r="F558" s="8" t="s">
        <v>1624</v>
      </c>
      <c r="G558" s="14" t="s">
        <v>1625</v>
      </c>
      <c r="I558" s="20" t="s">
        <v>15</v>
      </c>
      <c r="P558" t="s">
        <v>2877</v>
      </c>
      <c r="S558" t="s">
        <v>2878</v>
      </c>
      <c r="U558" s="80" t="s">
        <v>2879</v>
      </c>
      <c r="X558" s="8" t="s">
        <v>2880</v>
      </c>
      <c r="AA558" t="s">
        <v>2881</v>
      </c>
    </row>
    <row r="559" spans="1:27" x14ac:dyDescent="0.3">
      <c r="A559" s="20">
        <v>558</v>
      </c>
      <c r="B559" s="20">
        <v>552</v>
      </c>
      <c r="C559" s="8" t="s">
        <v>1598</v>
      </c>
      <c r="D559" t="s">
        <v>1597</v>
      </c>
      <c r="E559" s="80" t="s">
        <v>1626</v>
      </c>
      <c r="F559" s="8" t="s">
        <v>1627</v>
      </c>
      <c r="G559" s="14" t="s">
        <v>1628</v>
      </c>
      <c r="I559" s="20" t="s">
        <v>732</v>
      </c>
    </row>
    <row r="560" spans="1:27" x14ac:dyDescent="0.3">
      <c r="A560" s="20">
        <v>559</v>
      </c>
      <c r="B560" s="20">
        <v>553</v>
      </c>
      <c r="C560" s="8" t="s">
        <v>1598</v>
      </c>
      <c r="D560" t="s">
        <v>1597</v>
      </c>
      <c r="E560" s="80" t="s">
        <v>1629</v>
      </c>
      <c r="F560" s="8" t="s">
        <v>1630</v>
      </c>
      <c r="G560" s="14" t="s">
        <v>1631</v>
      </c>
      <c r="I560" s="20" t="s">
        <v>732</v>
      </c>
      <c r="P560" t="s">
        <v>2200</v>
      </c>
      <c r="AA560" t="s">
        <v>2882</v>
      </c>
    </row>
    <row r="561" spans="1:26" x14ac:dyDescent="0.3">
      <c r="A561" s="20">
        <v>560</v>
      </c>
      <c r="B561" s="20">
        <v>554</v>
      </c>
      <c r="C561" s="8" t="s">
        <v>1598</v>
      </c>
      <c r="D561" t="s">
        <v>1597</v>
      </c>
      <c r="E561" s="80" t="s">
        <v>1632</v>
      </c>
      <c r="F561" s="8" t="s">
        <v>1633</v>
      </c>
      <c r="G561" s="14" t="s">
        <v>68</v>
      </c>
      <c r="I561" s="20" t="s">
        <v>65</v>
      </c>
      <c r="J561" s="20" t="s">
        <v>2015</v>
      </c>
    </row>
    <row r="562" spans="1:26" x14ac:dyDescent="0.3">
      <c r="A562" s="20">
        <v>561</v>
      </c>
      <c r="B562" s="20">
        <v>556</v>
      </c>
      <c r="C562" s="8" t="s">
        <v>1635</v>
      </c>
      <c r="D562" t="s">
        <v>1634</v>
      </c>
      <c r="E562" s="80" t="s">
        <v>1636</v>
      </c>
      <c r="F562" s="8" t="s">
        <v>1637</v>
      </c>
      <c r="G562" s="14" t="s">
        <v>43</v>
      </c>
      <c r="I562" s="20" t="s">
        <v>15</v>
      </c>
      <c r="L562" s="20" t="s">
        <v>58</v>
      </c>
      <c r="U562" s="80" t="s">
        <v>2883</v>
      </c>
      <c r="X562" s="8" t="s">
        <v>2884</v>
      </c>
      <c r="Z562" t="s">
        <v>123</v>
      </c>
    </row>
    <row r="563" spans="1:26" x14ac:dyDescent="0.3">
      <c r="A563" s="20">
        <v>562</v>
      </c>
      <c r="B563" s="20">
        <v>557</v>
      </c>
      <c r="C563" s="8" t="s">
        <v>1635</v>
      </c>
      <c r="D563" t="s">
        <v>1634</v>
      </c>
      <c r="E563" s="80" t="s">
        <v>1638</v>
      </c>
      <c r="F563" s="8" t="s">
        <v>1639</v>
      </c>
      <c r="G563" s="14" t="s">
        <v>68</v>
      </c>
      <c r="I563" s="20" t="s">
        <v>65</v>
      </c>
      <c r="J563" s="20" t="s">
        <v>2015</v>
      </c>
      <c r="K563" s="20" t="s">
        <v>58</v>
      </c>
      <c r="L563" s="20" t="s">
        <v>58</v>
      </c>
      <c r="Y563" s="8" t="s">
        <v>11424</v>
      </c>
    </row>
    <row r="564" spans="1:26" x14ac:dyDescent="0.3">
      <c r="A564" s="20">
        <v>563</v>
      </c>
      <c r="B564" s="20">
        <v>558</v>
      </c>
      <c r="C564" s="8" t="s">
        <v>1641</v>
      </c>
      <c r="D564" t="s">
        <v>1640</v>
      </c>
      <c r="E564" s="80" t="s">
        <v>1642</v>
      </c>
      <c r="F564" s="8" t="s">
        <v>1643</v>
      </c>
      <c r="G564" s="14" t="s">
        <v>43</v>
      </c>
      <c r="I564" s="20" t="s">
        <v>15</v>
      </c>
    </row>
    <row r="565" spans="1:26" x14ac:dyDescent="0.3">
      <c r="A565" s="20">
        <v>564</v>
      </c>
      <c r="B565" s="20">
        <v>559</v>
      </c>
      <c r="C565" s="8" t="s">
        <v>1641</v>
      </c>
      <c r="D565" t="s">
        <v>1640</v>
      </c>
      <c r="E565" s="80" t="s">
        <v>1644</v>
      </c>
      <c r="F565" s="8" t="s">
        <v>1645</v>
      </c>
      <c r="G565" s="14" t="s">
        <v>68</v>
      </c>
      <c r="I565" s="20" t="s">
        <v>65</v>
      </c>
      <c r="J565" s="20" t="s">
        <v>2015</v>
      </c>
      <c r="R565" t="s">
        <v>1642</v>
      </c>
    </row>
    <row r="566" spans="1:26" x14ac:dyDescent="0.3">
      <c r="A566" s="20">
        <v>565</v>
      </c>
      <c r="B566" s="20">
        <v>560</v>
      </c>
      <c r="C566" s="8" t="s">
        <v>1647</v>
      </c>
      <c r="D566" t="s">
        <v>1646</v>
      </c>
      <c r="E566" s="80" t="s">
        <v>1648</v>
      </c>
      <c r="F566" s="8" t="s">
        <v>1649</v>
      </c>
      <c r="G566" s="14" t="s">
        <v>43</v>
      </c>
      <c r="I566" s="20" t="s">
        <v>15</v>
      </c>
    </row>
    <row r="567" spans="1:26" x14ac:dyDescent="0.3">
      <c r="A567" s="20">
        <v>566</v>
      </c>
      <c r="B567" s="20">
        <v>561</v>
      </c>
      <c r="C567" s="8" t="s">
        <v>1647</v>
      </c>
      <c r="D567" t="s">
        <v>1646</v>
      </c>
      <c r="E567" s="80" t="s">
        <v>1650</v>
      </c>
      <c r="F567" s="8" t="s">
        <v>1651</v>
      </c>
      <c r="G567" s="14" t="s">
        <v>1652</v>
      </c>
      <c r="H567" s="15" t="s">
        <v>9891</v>
      </c>
      <c r="I567" s="20" t="s">
        <v>15</v>
      </c>
      <c r="R567" t="s">
        <v>2885</v>
      </c>
    </row>
    <row r="568" spans="1:26" x14ac:dyDescent="0.3">
      <c r="A568" s="20">
        <v>567</v>
      </c>
      <c r="B568" s="20">
        <v>562</v>
      </c>
      <c r="C568" s="8" t="s">
        <v>1647</v>
      </c>
      <c r="D568" t="s">
        <v>1646</v>
      </c>
      <c r="E568" s="80" t="s">
        <v>1653</v>
      </c>
      <c r="F568" s="8" t="s">
        <v>1654</v>
      </c>
      <c r="G568" s="14" t="s">
        <v>68</v>
      </c>
      <c r="H568" s="15" t="s">
        <v>9833</v>
      </c>
      <c r="I568" s="20" t="s">
        <v>65</v>
      </c>
      <c r="J568" s="20" t="s">
        <v>2025</v>
      </c>
      <c r="K568" s="20" t="s">
        <v>58</v>
      </c>
      <c r="L568" s="20" t="s">
        <v>58</v>
      </c>
      <c r="M568" s="20" t="s">
        <v>66</v>
      </c>
      <c r="V568" s="8" t="s">
        <v>2886</v>
      </c>
      <c r="X568" s="8" t="s">
        <v>2886</v>
      </c>
      <c r="Y568" s="8" t="s">
        <v>11425</v>
      </c>
    </row>
    <row r="569" spans="1:26" x14ac:dyDescent="0.3">
      <c r="A569" s="20">
        <v>568</v>
      </c>
      <c r="B569" s="20">
        <v>563</v>
      </c>
      <c r="C569" s="8" t="s">
        <v>1647</v>
      </c>
      <c r="D569" t="s">
        <v>1646</v>
      </c>
      <c r="E569" s="80" t="s">
        <v>1655</v>
      </c>
      <c r="F569" s="8" t="s">
        <v>1656</v>
      </c>
      <c r="G569" s="14" t="s">
        <v>68</v>
      </c>
      <c r="I569" s="20" t="s">
        <v>732</v>
      </c>
    </row>
    <row r="570" spans="1:26" x14ac:dyDescent="0.3">
      <c r="A570" s="20">
        <v>569</v>
      </c>
      <c r="B570" s="20">
        <v>564</v>
      </c>
      <c r="C570" s="8" t="s">
        <v>1647</v>
      </c>
      <c r="D570" t="s">
        <v>1646</v>
      </c>
      <c r="E570" s="80" t="s">
        <v>1657</v>
      </c>
      <c r="F570" s="8" t="s">
        <v>1658</v>
      </c>
      <c r="G570" s="14" t="s">
        <v>43</v>
      </c>
      <c r="I570" s="20" t="s">
        <v>15</v>
      </c>
      <c r="M570" s="20" t="s">
        <v>66</v>
      </c>
      <c r="R570" t="s">
        <v>2887</v>
      </c>
    </row>
    <row r="571" spans="1:26" x14ac:dyDescent="0.3">
      <c r="A571" s="20">
        <v>570</v>
      </c>
      <c r="B571" s="20">
        <v>565</v>
      </c>
      <c r="C571" s="8" t="s">
        <v>1647</v>
      </c>
      <c r="D571" t="s">
        <v>1646</v>
      </c>
      <c r="E571" s="80" t="s">
        <v>1659</v>
      </c>
      <c r="F571" s="8" t="s">
        <v>1660</v>
      </c>
      <c r="G571" s="14" t="s">
        <v>1661</v>
      </c>
      <c r="I571" s="20" t="s">
        <v>107</v>
      </c>
      <c r="Z571" t="s">
        <v>1662</v>
      </c>
    </row>
    <row r="572" spans="1:26" x14ac:dyDescent="0.3">
      <c r="A572" s="20">
        <v>571</v>
      </c>
      <c r="B572" s="20">
        <v>566</v>
      </c>
      <c r="C572" s="8" t="s">
        <v>1647</v>
      </c>
      <c r="D572" t="s">
        <v>1646</v>
      </c>
      <c r="E572" s="80" t="s">
        <v>1663</v>
      </c>
      <c r="F572" s="8" t="s">
        <v>1664</v>
      </c>
      <c r="G572" s="14" t="s">
        <v>1665</v>
      </c>
      <c r="H572" s="15" t="s">
        <v>9892</v>
      </c>
      <c r="I572" s="20" t="s">
        <v>19</v>
      </c>
      <c r="N572" s="20" t="s">
        <v>2166</v>
      </c>
      <c r="R572" t="s">
        <v>2888</v>
      </c>
      <c r="Y572" s="8" t="s">
        <v>11426</v>
      </c>
    </row>
    <row r="573" spans="1:26" x14ac:dyDescent="0.3">
      <c r="A573" s="20">
        <v>572</v>
      </c>
      <c r="B573" s="20">
        <v>567</v>
      </c>
      <c r="C573" s="8" t="s">
        <v>1647</v>
      </c>
      <c r="D573" t="s">
        <v>1646</v>
      </c>
      <c r="E573" s="80" t="s">
        <v>1666</v>
      </c>
      <c r="F573" s="8" t="s">
        <v>1667</v>
      </c>
      <c r="G573" s="14" t="s">
        <v>1668</v>
      </c>
      <c r="H573" s="15" t="s">
        <v>9893</v>
      </c>
      <c r="I573" s="20" t="s">
        <v>19</v>
      </c>
      <c r="N573" s="20" t="s">
        <v>2166</v>
      </c>
      <c r="Q573" t="s">
        <v>2185</v>
      </c>
      <c r="R573" t="s">
        <v>2889</v>
      </c>
      <c r="Y573" s="8" t="s">
        <v>11427</v>
      </c>
    </row>
    <row r="574" spans="1:26" x14ac:dyDescent="0.3">
      <c r="A574" s="20">
        <v>573</v>
      </c>
      <c r="B574" s="20">
        <v>568</v>
      </c>
      <c r="C574" s="8" t="s">
        <v>1647</v>
      </c>
      <c r="D574" t="s">
        <v>1646</v>
      </c>
      <c r="E574" s="80" t="s">
        <v>1669</v>
      </c>
      <c r="F574" s="8" t="s">
        <v>1670</v>
      </c>
      <c r="G574" s="14" t="s">
        <v>1671</v>
      </c>
      <c r="H574" s="15" t="s">
        <v>9894</v>
      </c>
      <c r="I574" s="20" t="s">
        <v>19</v>
      </c>
      <c r="N574" s="20" t="s">
        <v>2166</v>
      </c>
      <c r="Q574" t="s">
        <v>2209</v>
      </c>
      <c r="R574" t="s">
        <v>2171</v>
      </c>
      <c r="U574" s="80" t="s">
        <v>2890</v>
      </c>
      <c r="Z574" t="s">
        <v>11347</v>
      </c>
    </row>
    <row r="575" spans="1:26" x14ac:dyDescent="0.3">
      <c r="A575" s="20">
        <v>574</v>
      </c>
      <c r="B575" s="20">
        <v>569</v>
      </c>
      <c r="C575" s="8" t="s">
        <v>1647</v>
      </c>
      <c r="D575" t="s">
        <v>1646</v>
      </c>
      <c r="E575" s="80" t="s">
        <v>1672</v>
      </c>
      <c r="F575" s="8" t="s">
        <v>1673</v>
      </c>
      <c r="G575" s="14" t="s">
        <v>1674</v>
      </c>
      <c r="H575" s="15" t="s">
        <v>9895</v>
      </c>
      <c r="I575" s="20" t="s">
        <v>50</v>
      </c>
      <c r="Q575" t="s">
        <v>2891</v>
      </c>
      <c r="Y575" s="8" t="s">
        <v>11428</v>
      </c>
    </row>
    <row r="576" spans="1:26" x14ac:dyDescent="0.3">
      <c r="A576" s="20">
        <v>575</v>
      </c>
      <c r="B576" s="20">
        <v>570</v>
      </c>
      <c r="C576" s="8" t="s">
        <v>1647</v>
      </c>
      <c r="D576" t="s">
        <v>1646</v>
      </c>
      <c r="E576" s="80" t="s">
        <v>1675</v>
      </c>
      <c r="F576" s="8" t="s">
        <v>1676</v>
      </c>
      <c r="G576" s="14" t="s">
        <v>1677</v>
      </c>
      <c r="H576" s="15" t="s">
        <v>9896</v>
      </c>
      <c r="I576" s="20" t="s">
        <v>50</v>
      </c>
      <c r="Y576" s="8" t="s">
        <v>11429</v>
      </c>
    </row>
    <row r="577" spans="1:27" x14ac:dyDescent="0.3">
      <c r="A577" s="20">
        <v>576</v>
      </c>
      <c r="B577" s="20">
        <v>571</v>
      </c>
      <c r="C577" s="8" t="s">
        <v>1647</v>
      </c>
      <c r="D577" t="s">
        <v>1646</v>
      </c>
      <c r="E577" s="80" t="s">
        <v>1678</v>
      </c>
      <c r="F577" s="8" t="s">
        <v>1679</v>
      </c>
      <c r="G577" s="14" t="s">
        <v>1680</v>
      </c>
      <c r="H577" s="15" t="s">
        <v>9897</v>
      </c>
      <c r="I577" s="20" t="s">
        <v>19</v>
      </c>
      <c r="N577" s="20" t="s">
        <v>2166</v>
      </c>
      <c r="Q577" t="s">
        <v>2892</v>
      </c>
      <c r="R577" t="s">
        <v>2171</v>
      </c>
      <c r="Z577" t="s">
        <v>11348</v>
      </c>
    </row>
    <row r="578" spans="1:27" x14ac:dyDescent="0.3">
      <c r="A578" s="20">
        <v>577</v>
      </c>
      <c r="B578" s="20">
        <v>572</v>
      </c>
      <c r="C578" s="8" t="s">
        <v>1647</v>
      </c>
      <c r="D578" t="s">
        <v>1646</v>
      </c>
      <c r="E578" s="80" t="s">
        <v>1681</v>
      </c>
      <c r="F578" s="8" t="s">
        <v>1682</v>
      </c>
      <c r="G578" s="14" t="s">
        <v>1683</v>
      </c>
      <c r="I578" s="20" t="s">
        <v>19</v>
      </c>
      <c r="N578" s="20" t="s">
        <v>2166</v>
      </c>
      <c r="R578" t="s">
        <v>2171</v>
      </c>
      <c r="S578" t="s">
        <v>2893</v>
      </c>
      <c r="Z578" t="s">
        <v>11349</v>
      </c>
    </row>
    <row r="579" spans="1:27" x14ac:dyDescent="0.3">
      <c r="A579" s="20">
        <v>578</v>
      </c>
      <c r="B579" s="20">
        <v>573</v>
      </c>
      <c r="C579" s="8" t="s">
        <v>1647</v>
      </c>
      <c r="D579" t="s">
        <v>1646</v>
      </c>
      <c r="E579" s="80" t="s">
        <v>1684</v>
      </c>
      <c r="F579" s="8" t="s">
        <v>1685</v>
      </c>
      <c r="G579" s="14" t="s">
        <v>68</v>
      </c>
      <c r="I579" s="20" t="s">
        <v>65</v>
      </c>
      <c r="J579" s="20" t="s">
        <v>2015</v>
      </c>
      <c r="P579" t="s">
        <v>2174</v>
      </c>
      <c r="S579" t="s">
        <v>2894</v>
      </c>
      <c r="AA579" t="s">
        <v>2895</v>
      </c>
    </row>
    <row r="580" spans="1:27" x14ac:dyDescent="0.3">
      <c r="A580" s="20">
        <v>579</v>
      </c>
      <c r="B580" s="20">
        <v>574</v>
      </c>
      <c r="C580" s="8" t="s">
        <v>1647</v>
      </c>
      <c r="D580" t="s">
        <v>1646</v>
      </c>
      <c r="E580" s="80" t="s">
        <v>1686</v>
      </c>
      <c r="F580" s="8" t="s">
        <v>1687</v>
      </c>
      <c r="G580" s="14" t="s">
        <v>68</v>
      </c>
      <c r="I580" s="20" t="s">
        <v>65</v>
      </c>
      <c r="J580" s="20" t="s">
        <v>2015</v>
      </c>
    </row>
    <row r="581" spans="1:27" x14ac:dyDescent="0.3">
      <c r="A581" s="20">
        <v>580</v>
      </c>
      <c r="B581" s="20">
        <v>575</v>
      </c>
      <c r="C581" s="8" t="s">
        <v>1647</v>
      </c>
      <c r="D581" t="s">
        <v>1646</v>
      </c>
      <c r="E581" s="80" t="s">
        <v>1688</v>
      </c>
      <c r="F581" s="8" t="s">
        <v>1689</v>
      </c>
      <c r="G581" s="14" t="s">
        <v>68</v>
      </c>
      <c r="H581" s="15" t="s">
        <v>9890</v>
      </c>
      <c r="I581" s="20" t="s">
        <v>65</v>
      </c>
      <c r="J581" s="20" t="s">
        <v>2017</v>
      </c>
      <c r="P581" t="s">
        <v>2174</v>
      </c>
      <c r="S581" t="s">
        <v>2896</v>
      </c>
      <c r="Z581" t="s">
        <v>123</v>
      </c>
      <c r="AA581" t="s">
        <v>2897</v>
      </c>
    </row>
    <row r="582" spans="1:27" x14ac:dyDescent="0.3">
      <c r="A582" s="20">
        <v>581</v>
      </c>
      <c r="B582" s="20">
        <v>576</v>
      </c>
      <c r="C582" s="8" t="s">
        <v>1691</v>
      </c>
      <c r="D582" t="s">
        <v>1690</v>
      </c>
      <c r="E582" s="80" t="s">
        <v>1692</v>
      </c>
      <c r="F582" s="8" t="s">
        <v>1693</v>
      </c>
      <c r="G582" s="14" t="s">
        <v>1694</v>
      </c>
      <c r="H582" s="15" t="s">
        <v>9898</v>
      </c>
      <c r="I582" s="20" t="s">
        <v>15</v>
      </c>
      <c r="K582" s="20" t="s">
        <v>58</v>
      </c>
      <c r="L582" s="20" t="s">
        <v>58</v>
      </c>
      <c r="R582" t="s">
        <v>2898</v>
      </c>
      <c r="Y582" s="8" t="s">
        <v>11430</v>
      </c>
    </row>
    <row r="583" spans="1:27" x14ac:dyDescent="0.3">
      <c r="A583" s="20">
        <v>582</v>
      </c>
      <c r="B583" s="20">
        <v>577</v>
      </c>
      <c r="C583" s="8" t="s">
        <v>1691</v>
      </c>
      <c r="D583" t="s">
        <v>1690</v>
      </c>
      <c r="E583" s="80" t="s">
        <v>1695</v>
      </c>
      <c r="F583" s="8" t="s">
        <v>1696</v>
      </c>
      <c r="G583" s="14" t="s">
        <v>68</v>
      </c>
      <c r="H583" s="15" t="s">
        <v>9843</v>
      </c>
      <c r="I583" s="20" t="s">
        <v>65</v>
      </c>
      <c r="J583" s="20" t="s">
        <v>2015</v>
      </c>
      <c r="K583" s="20" t="s">
        <v>66</v>
      </c>
      <c r="L583" s="20" t="s">
        <v>66</v>
      </c>
      <c r="M583" s="20" t="s">
        <v>66</v>
      </c>
      <c r="R583" t="s">
        <v>2899</v>
      </c>
      <c r="Y583" s="8" t="s">
        <v>11431</v>
      </c>
    </row>
    <row r="584" spans="1:27" x14ac:dyDescent="0.3">
      <c r="A584" s="20">
        <v>583</v>
      </c>
      <c r="B584" s="20">
        <v>578</v>
      </c>
      <c r="C584" s="8" t="s">
        <v>1691</v>
      </c>
      <c r="D584" t="s">
        <v>1690</v>
      </c>
      <c r="E584" s="80" t="s">
        <v>1697</v>
      </c>
      <c r="F584" s="8" t="s">
        <v>1698</v>
      </c>
      <c r="G584" s="14" t="s">
        <v>1011</v>
      </c>
      <c r="I584" s="20" t="s">
        <v>19</v>
      </c>
      <c r="N584" s="20" t="s">
        <v>2166</v>
      </c>
      <c r="Q584" t="s">
        <v>2209</v>
      </c>
      <c r="R584" t="s">
        <v>2171</v>
      </c>
      <c r="Z584" t="s">
        <v>11350</v>
      </c>
    </row>
    <row r="585" spans="1:27" x14ac:dyDescent="0.3">
      <c r="A585" s="20">
        <v>584</v>
      </c>
      <c r="B585" s="20">
        <v>579</v>
      </c>
      <c r="C585" s="8" t="s">
        <v>1691</v>
      </c>
      <c r="D585" t="s">
        <v>1690</v>
      </c>
      <c r="E585" s="80" t="s">
        <v>1699</v>
      </c>
      <c r="F585" s="8" t="s">
        <v>1700</v>
      </c>
      <c r="G585" s="14" t="s">
        <v>1701</v>
      </c>
      <c r="H585" s="15" t="s">
        <v>9899</v>
      </c>
      <c r="I585" s="20" t="s">
        <v>15</v>
      </c>
      <c r="N585" s="20" t="s">
        <v>2166</v>
      </c>
      <c r="R585" t="s">
        <v>2900</v>
      </c>
    </row>
    <row r="586" spans="1:27" x14ac:dyDescent="0.3">
      <c r="A586" s="20">
        <v>585</v>
      </c>
      <c r="B586" s="20">
        <v>580</v>
      </c>
      <c r="C586" s="8" t="s">
        <v>1691</v>
      </c>
      <c r="D586" t="s">
        <v>1690</v>
      </c>
      <c r="E586" s="80" t="s">
        <v>1702</v>
      </c>
      <c r="F586" s="8" t="s">
        <v>1703</v>
      </c>
      <c r="G586" s="14" t="s">
        <v>1011</v>
      </c>
      <c r="I586" s="20" t="s">
        <v>50</v>
      </c>
      <c r="Q586" t="s">
        <v>2901</v>
      </c>
      <c r="R586" t="s">
        <v>2902</v>
      </c>
      <c r="Z586" t="s">
        <v>11351</v>
      </c>
    </row>
    <row r="587" spans="1:27" x14ac:dyDescent="0.3">
      <c r="A587" s="20">
        <v>586</v>
      </c>
      <c r="B587" s="20">
        <v>581</v>
      </c>
      <c r="C587" s="8" t="s">
        <v>1691</v>
      </c>
      <c r="D587" t="s">
        <v>1690</v>
      </c>
      <c r="E587" s="80" t="s">
        <v>1704</v>
      </c>
      <c r="F587" s="8" t="s">
        <v>1705</v>
      </c>
      <c r="G587" s="14" t="s">
        <v>1706</v>
      </c>
      <c r="I587" s="20" t="s">
        <v>19</v>
      </c>
      <c r="N587" s="20" t="s">
        <v>2166</v>
      </c>
      <c r="P587" t="s">
        <v>2179</v>
      </c>
      <c r="R587" t="s">
        <v>2171</v>
      </c>
      <c r="Z587" t="s">
        <v>11352</v>
      </c>
      <c r="AA587" t="s">
        <v>2903</v>
      </c>
    </row>
    <row r="588" spans="1:27" x14ac:dyDescent="0.3">
      <c r="A588" s="20">
        <v>587</v>
      </c>
      <c r="B588" s="20">
        <v>582</v>
      </c>
      <c r="C588" s="8" t="s">
        <v>1691</v>
      </c>
      <c r="D588" t="s">
        <v>1690</v>
      </c>
      <c r="E588" s="80" t="s">
        <v>1707</v>
      </c>
      <c r="F588" s="8" t="s">
        <v>1708</v>
      </c>
      <c r="G588" s="14" t="s">
        <v>1709</v>
      </c>
      <c r="I588" s="20" t="s">
        <v>15</v>
      </c>
    </row>
    <row r="589" spans="1:27" x14ac:dyDescent="0.3">
      <c r="A589" s="20">
        <v>588</v>
      </c>
      <c r="B589" s="20">
        <v>583</v>
      </c>
      <c r="C589" s="8" t="s">
        <v>1691</v>
      </c>
      <c r="D589" t="s">
        <v>1690</v>
      </c>
      <c r="E589" s="80" t="s">
        <v>1710</v>
      </c>
      <c r="F589" s="8" t="s">
        <v>1711</v>
      </c>
      <c r="G589" s="14" t="s">
        <v>1712</v>
      </c>
      <c r="H589" s="15" t="s">
        <v>9900</v>
      </c>
      <c r="I589" s="20" t="s">
        <v>50</v>
      </c>
      <c r="Q589" t="s">
        <v>2209</v>
      </c>
    </row>
    <row r="590" spans="1:27" x14ac:dyDescent="0.3">
      <c r="A590" s="20">
        <v>589</v>
      </c>
      <c r="B590" s="20">
        <v>584</v>
      </c>
      <c r="C590" s="8" t="s">
        <v>1691</v>
      </c>
      <c r="D590" t="s">
        <v>1690</v>
      </c>
      <c r="E590" s="80" t="s">
        <v>1713</v>
      </c>
      <c r="F590" s="8" t="s">
        <v>1714</v>
      </c>
      <c r="G590" s="14" t="s">
        <v>1715</v>
      </c>
      <c r="H590" s="15" t="s">
        <v>9901</v>
      </c>
      <c r="I590" s="20" t="s">
        <v>19</v>
      </c>
      <c r="N590" s="20" t="s">
        <v>2166</v>
      </c>
      <c r="Q590" t="s">
        <v>2904</v>
      </c>
    </row>
    <row r="591" spans="1:27" x14ac:dyDescent="0.3">
      <c r="A591" s="20">
        <v>590</v>
      </c>
      <c r="B591" s="20">
        <v>585</v>
      </c>
      <c r="C591" s="8" t="s">
        <v>1691</v>
      </c>
      <c r="D591" t="s">
        <v>1690</v>
      </c>
      <c r="E591" s="80" t="s">
        <v>1716</v>
      </c>
      <c r="F591" s="8" t="s">
        <v>1717</v>
      </c>
      <c r="G591" s="14" t="s">
        <v>1718</v>
      </c>
      <c r="I591" s="20" t="s">
        <v>50</v>
      </c>
      <c r="Q591" t="s">
        <v>2232</v>
      </c>
    </row>
    <row r="592" spans="1:27" x14ac:dyDescent="0.3">
      <c r="A592" s="20">
        <v>591</v>
      </c>
      <c r="B592" s="20">
        <v>586</v>
      </c>
      <c r="C592" s="8" t="s">
        <v>1691</v>
      </c>
      <c r="D592" t="s">
        <v>1690</v>
      </c>
      <c r="E592" s="80" t="s">
        <v>1719</v>
      </c>
      <c r="F592" s="8" t="s">
        <v>1720</v>
      </c>
      <c r="G592" s="14" t="s">
        <v>1721</v>
      </c>
      <c r="H592" s="15" t="s">
        <v>9902</v>
      </c>
      <c r="I592" s="20" t="s">
        <v>19</v>
      </c>
      <c r="N592" s="20" t="s">
        <v>2166</v>
      </c>
      <c r="Q592" t="s">
        <v>2905</v>
      </c>
      <c r="R592" t="s">
        <v>2171</v>
      </c>
      <c r="Z592" t="s">
        <v>1722</v>
      </c>
    </row>
    <row r="593" spans="1:27" x14ac:dyDescent="0.3">
      <c r="A593" s="20">
        <v>592</v>
      </c>
      <c r="B593" s="20">
        <v>587</v>
      </c>
      <c r="C593" s="8" t="s">
        <v>1724</v>
      </c>
      <c r="D593" t="s">
        <v>1723</v>
      </c>
      <c r="E593" s="80" t="s">
        <v>1725</v>
      </c>
      <c r="F593" s="8" t="s">
        <v>1726</v>
      </c>
      <c r="G593" s="14" t="s">
        <v>68</v>
      </c>
      <c r="H593" s="15" t="s">
        <v>5823</v>
      </c>
      <c r="I593" s="20" t="s">
        <v>65</v>
      </c>
      <c r="J593" s="20" t="s">
        <v>2015</v>
      </c>
      <c r="P593" t="s">
        <v>2179</v>
      </c>
      <c r="R593" t="s">
        <v>2906</v>
      </c>
      <c r="AA593" t="s">
        <v>2907</v>
      </c>
    </row>
    <row r="594" spans="1:27" x14ac:dyDescent="0.3">
      <c r="A594" s="20">
        <v>593</v>
      </c>
      <c r="B594" s="20">
        <v>588</v>
      </c>
      <c r="C594" s="8" t="s">
        <v>1724</v>
      </c>
      <c r="D594" t="s">
        <v>1723</v>
      </c>
      <c r="E594" s="80" t="s">
        <v>1727</v>
      </c>
      <c r="F594" s="8" t="s">
        <v>1728</v>
      </c>
      <c r="G594" s="14" t="s">
        <v>68</v>
      </c>
      <c r="I594" s="20" t="s">
        <v>65</v>
      </c>
      <c r="J594" s="20" t="s">
        <v>2015</v>
      </c>
      <c r="M594" s="20" t="s">
        <v>66</v>
      </c>
      <c r="X594" s="8" t="s">
        <v>2908</v>
      </c>
    </row>
    <row r="595" spans="1:27" x14ac:dyDescent="0.3">
      <c r="A595" s="20">
        <v>594</v>
      </c>
      <c r="B595" s="20">
        <v>589</v>
      </c>
      <c r="C595" s="8" t="s">
        <v>1724</v>
      </c>
      <c r="D595" t="s">
        <v>1723</v>
      </c>
      <c r="E595" s="80" t="s">
        <v>1729</v>
      </c>
      <c r="F595" s="8" t="s">
        <v>1730</v>
      </c>
      <c r="G595" s="14" t="s">
        <v>68</v>
      </c>
      <c r="H595" s="15" t="s">
        <v>9903</v>
      </c>
      <c r="I595" s="20" t="s">
        <v>65</v>
      </c>
      <c r="J595" s="20" t="s">
        <v>2015</v>
      </c>
      <c r="X595" s="8" t="s">
        <v>2909</v>
      </c>
    </row>
    <row r="596" spans="1:27" x14ac:dyDescent="0.3">
      <c r="A596" s="20">
        <v>595</v>
      </c>
      <c r="B596" s="20">
        <v>590</v>
      </c>
      <c r="C596" s="8" t="s">
        <v>1724</v>
      </c>
      <c r="D596" t="s">
        <v>1723</v>
      </c>
      <c r="E596" s="80" t="s">
        <v>1731</v>
      </c>
      <c r="F596" s="8" t="s">
        <v>1732</v>
      </c>
      <c r="G596" s="14" t="s">
        <v>68</v>
      </c>
      <c r="H596" s="15" t="s">
        <v>9904</v>
      </c>
      <c r="I596" s="20" t="s">
        <v>65</v>
      </c>
      <c r="J596" s="20" t="s">
        <v>2027</v>
      </c>
      <c r="K596" s="20" t="s">
        <v>67</v>
      </c>
      <c r="L596" s="20" t="s">
        <v>67</v>
      </c>
      <c r="M596" s="20" t="s">
        <v>67</v>
      </c>
      <c r="X596" s="8" t="s">
        <v>2910</v>
      </c>
    </row>
    <row r="597" spans="1:27" x14ac:dyDescent="0.3">
      <c r="A597" s="20">
        <v>596</v>
      </c>
      <c r="B597" s="20">
        <v>591</v>
      </c>
      <c r="C597" s="8" t="s">
        <v>1724</v>
      </c>
      <c r="D597" t="s">
        <v>1723</v>
      </c>
      <c r="E597" s="80" t="s">
        <v>1733</v>
      </c>
      <c r="F597" s="8" t="s">
        <v>1734</v>
      </c>
      <c r="G597" s="14" t="s">
        <v>1735</v>
      </c>
      <c r="H597" s="15" t="s">
        <v>9905</v>
      </c>
      <c r="I597" s="20" t="s">
        <v>50</v>
      </c>
      <c r="Q597" t="s">
        <v>2911</v>
      </c>
      <c r="S597" t="s">
        <v>2912</v>
      </c>
    </row>
    <row r="598" spans="1:27" x14ac:dyDescent="0.3">
      <c r="A598" s="20">
        <v>597</v>
      </c>
      <c r="B598" s="20">
        <v>592</v>
      </c>
      <c r="C598" s="8" t="s">
        <v>1724</v>
      </c>
      <c r="D598" t="s">
        <v>1723</v>
      </c>
      <c r="E598" s="80" t="s">
        <v>1736</v>
      </c>
      <c r="F598" s="8" t="s">
        <v>1737</v>
      </c>
      <c r="G598" s="14" t="s">
        <v>1738</v>
      </c>
      <c r="I598" s="20" t="s">
        <v>50</v>
      </c>
      <c r="N598" s="20" t="s">
        <v>2166</v>
      </c>
    </row>
    <row r="599" spans="1:27" x14ac:dyDescent="0.3">
      <c r="A599" s="20">
        <v>598</v>
      </c>
      <c r="B599" s="20">
        <v>593</v>
      </c>
      <c r="C599" s="8" t="s">
        <v>1724</v>
      </c>
      <c r="D599" t="s">
        <v>1723</v>
      </c>
      <c r="E599" s="80" t="s">
        <v>1739</v>
      </c>
      <c r="F599" s="8" t="s">
        <v>1740</v>
      </c>
      <c r="G599" s="14" t="s">
        <v>1741</v>
      </c>
      <c r="I599" s="20" t="s">
        <v>50</v>
      </c>
      <c r="P599" t="s">
        <v>2330</v>
      </c>
      <c r="AA599" t="s">
        <v>2913</v>
      </c>
    </row>
    <row r="600" spans="1:27" x14ac:dyDescent="0.3">
      <c r="A600" s="20">
        <v>599</v>
      </c>
      <c r="B600" s="20">
        <v>594</v>
      </c>
      <c r="C600" s="8" t="s">
        <v>1724</v>
      </c>
      <c r="D600" t="s">
        <v>1723</v>
      </c>
      <c r="E600" s="80" t="s">
        <v>1742</v>
      </c>
      <c r="F600" s="8" t="s">
        <v>1743</v>
      </c>
      <c r="G600" s="14" t="s">
        <v>68</v>
      </c>
      <c r="H600" s="15" t="s">
        <v>9906</v>
      </c>
      <c r="I600" s="20" t="s">
        <v>65</v>
      </c>
      <c r="J600" s="20" t="s">
        <v>2015</v>
      </c>
      <c r="K600" s="20" t="s">
        <v>66</v>
      </c>
      <c r="L600" s="20" t="s">
        <v>66</v>
      </c>
      <c r="M600" s="20" t="s">
        <v>67</v>
      </c>
    </row>
    <row r="601" spans="1:27" x14ac:dyDescent="0.3">
      <c r="A601" s="20">
        <v>600</v>
      </c>
      <c r="B601" s="20">
        <v>595</v>
      </c>
      <c r="C601" s="8" t="s">
        <v>1724</v>
      </c>
      <c r="D601" t="s">
        <v>1723</v>
      </c>
      <c r="E601" s="80" t="s">
        <v>1744</v>
      </c>
      <c r="F601" s="8" t="s">
        <v>1745</v>
      </c>
      <c r="G601" s="14" t="s">
        <v>1746</v>
      </c>
      <c r="H601" s="15" t="s">
        <v>9907</v>
      </c>
      <c r="I601" s="20" t="s">
        <v>50</v>
      </c>
      <c r="Q601" t="s">
        <v>2788</v>
      </c>
    </row>
    <row r="602" spans="1:27" x14ac:dyDescent="0.3">
      <c r="A602" s="20">
        <v>601</v>
      </c>
      <c r="B602" s="20">
        <v>596</v>
      </c>
      <c r="C602" s="8" t="s">
        <v>1724</v>
      </c>
      <c r="D602" t="s">
        <v>1723</v>
      </c>
      <c r="E602" s="80" t="s">
        <v>1747</v>
      </c>
      <c r="F602" s="8" t="s">
        <v>1748</v>
      </c>
      <c r="G602" s="14" t="s">
        <v>68</v>
      </c>
      <c r="I602" s="20" t="s">
        <v>65</v>
      </c>
      <c r="J602" s="20" t="s">
        <v>2019</v>
      </c>
      <c r="K602" s="20" t="s">
        <v>58</v>
      </c>
      <c r="L602" s="20" t="s">
        <v>58</v>
      </c>
      <c r="R602" t="s">
        <v>2914</v>
      </c>
      <c r="S602" t="s">
        <v>2914</v>
      </c>
      <c r="U602" s="80" t="s">
        <v>2915</v>
      </c>
    </row>
    <row r="603" spans="1:27" x14ac:dyDescent="0.3">
      <c r="A603" s="20">
        <v>602</v>
      </c>
      <c r="B603" s="20">
        <v>597</v>
      </c>
      <c r="C603" s="8" t="s">
        <v>1724</v>
      </c>
      <c r="D603" t="s">
        <v>1723</v>
      </c>
      <c r="E603" s="80" t="s">
        <v>1749</v>
      </c>
      <c r="F603" s="8" t="s">
        <v>1750</v>
      </c>
      <c r="G603" s="14" t="s">
        <v>68</v>
      </c>
      <c r="H603" s="15" t="s">
        <v>9908</v>
      </c>
      <c r="I603" s="20" t="s">
        <v>65</v>
      </c>
      <c r="J603" s="20" t="s">
        <v>2030</v>
      </c>
      <c r="K603" s="20" t="s">
        <v>58</v>
      </c>
      <c r="L603" s="20" t="s">
        <v>58</v>
      </c>
      <c r="U603" s="80" t="s">
        <v>2916</v>
      </c>
      <c r="Z603" t="s">
        <v>123</v>
      </c>
    </row>
    <row r="604" spans="1:27" x14ac:dyDescent="0.3">
      <c r="A604" s="20">
        <v>603</v>
      </c>
      <c r="B604" s="20">
        <v>598</v>
      </c>
      <c r="C604" s="8" t="s">
        <v>1724</v>
      </c>
      <c r="D604" t="s">
        <v>1723</v>
      </c>
      <c r="E604" s="80" t="s">
        <v>1751</v>
      </c>
      <c r="F604" s="8" t="s">
        <v>1752</v>
      </c>
      <c r="G604" s="14" t="s">
        <v>1266</v>
      </c>
      <c r="I604" s="20" t="s">
        <v>15</v>
      </c>
      <c r="U604" s="80" t="s">
        <v>2917</v>
      </c>
    </row>
    <row r="605" spans="1:27" x14ac:dyDescent="0.3">
      <c r="A605" s="20">
        <v>604</v>
      </c>
      <c r="B605" s="20">
        <v>599</v>
      </c>
      <c r="C605" s="8" t="s">
        <v>1724</v>
      </c>
      <c r="D605" t="s">
        <v>1723</v>
      </c>
      <c r="E605" s="80" t="s">
        <v>1753</v>
      </c>
      <c r="F605" s="8" t="s">
        <v>1754</v>
      </c>
      <c r="G605" s="14" t="s">
        <v>1755</v>
      </c>
      <c r="I605" s="20" t="s">
        <v>15</v>
      </c>
      <c r="R605" t="s">
        <v>2918</v>
      </c>
      <c r="S605" t="s">
        <v>2919</v>
      </c>
      <c r="U605" s="80" t="s">
        <v>2920</v>
      </c>
    </row>
    <row r="606" spans="1:27" x14ac:dyDescent="0.3">
      <c r="A606" s="20">
        <v>605</v>
      </c>
      <c r="B606" s="20">
        <v>600</v>
      </c>
      <c r="C606" s="8" t="s">
        <v>1724</v>
      </c>
      <c r="D606" t="s">
        <v>1723</v>
      </c>
      <c r="E606" s="80" t="s">
        <v>1756</v>
      </c>
      <c r="F606" s="8" t="s">
        <v>1757</v>
      </c>
      <c r="G606" s="14" t="s">
        <v>1011</v>
      </c>
      <c r="I606" s="20" t="s">
        <v>50</v>
      </c>
      <c r="Q606" t="s">
        <v>2921</v>
      </c>
    </row>
    <row r="607" spans="1:27" x14ac:dyDescent="0.3">
      <c r="A607" s="20">
        <v>606</v>
      </c>
      <c r="B607" s="20">
        <v>601</v>
      </c>
      <c r="C607" s="8" t="s">
        <v>1724</v>
      </c>
      <c r="D607" t="s">
        <v>1723</v>
      </c>
      <c r="E607" s="80" t="s">
        <v>1758</v>
      </c>
      <c r="F607" s="8" t="s">
        <v>1759</v>
      </c>
      <c r="G607" s="14" t="s">
        <v>1760</v>
      </c>
      <c r="H607" s="15" t="s">
        <v>9909</v>
      </c>
      <c r="I607" s="20" t="s">
        <v>19</v>
      </c>
      <c r="K607" s="20" t="s">
        <v>58</v>
      </c>
      <c r="L607" s="20" t="s">
        <v>58</v>
      </c>
      <c r="N607" s="20" t="s">
        <v>2166</v>
      </c>
      <c r="P607" t="s">
        <v>2179</v>
      </c>
      <c r="R607" t="s">
        <v>1756</v>
      </c>
      <c r="Z607" t="s">
        <v>11353</v>
      </c>
      <c r="AA607" t="s">
        <v>2922</v>
      </c>
    </row>
    <row r="608" spans="1:27" x14ac:dyDescent="0.3">
      <c r="A608" s="20">
        <v>607</v>
      </c>
      <c r="B608" s="20">
        <v>602</v>
      </c>
      <c r="C608" s="8" t="s">
        <v>1724</v>
      </c>
      <c r="D608" t="s">
        <v>1723</v>
      </c>
      <c r="E608" s="80" t="s">
        <v>1761</v>
      </c>
      <c r="F608" s="8" t="s">
        <v>1762</v>
      </c>
      <c r="G608" s="14" t="s">
        <v>1763</v>
      </c>
      <c r="I608" s="20" t="s">
        <v>15</v>
      </c>
      <c r="R608" t="s">
        <v>2923</v>
      </c>
    </row>
    <row r="609" spans="1:27" x14ac:dyDescent="0.3">
      <c r="A609" s="20">
        <v>608</v>
      </c>
      <c r="B609" s="20">
        <v>603</v>
      </c>
      <c r="C609" s="8" t="s">
        <v>1724</v>
      </c>
      <c r="D609" t="s">
        <v>1723</v>
      </c>
      <c r="E609" s="80" t="s">
        <v>1764</v>
      </c>
      <c r="F609" s="8" t="s">
        <v>1765</v>
      </c>
      <c r="G609" s="14" t="s">
        <v>68</v>
      </c>
      <c r="H609" s="15" t="s">
        <v>9910</v>
      </c>
      <c r="I609" s="20" t="s">
        <v>65</v>
      </c>
      <c r="J609" s="20" t="s">
        <v>2025</v>
      </c>
      <c r="P609" t="s">
        <v>2924</v>
      </c>
      <c r="S609" t="s">
        <v>2925</v>
      </c>
      <c r="Z609" t="s">
        <v>123</v>
      </c>
      <c r="AA609" t="s">
        <v>2926</v>
      </c>
    </row>
    <row r="610" spans="1:27" x14ac:dyDescent="0.3">
      <c r="A610" s="20">
        <v>609</v>
      </c>
      <c r="B610" s="20">
        <v>604</v>
      </c>
      <c r="C610" s="8" t="s">
        <v>1724</v>
      </c>
      <c r="D610" t="s">
        <v>1723</v>
      </c>
      <c r="E610" s="80" t="s">
        <v>1766</v>
      </c>
      <c r="F610" s="8" t="s">
        <v>1767</v>
      </c>
      <c r="G610" s="14" t="s">
        <v>1768</v>
      </c>
      <c r="I610" s="20" t="s">
        <v>15</v>
      </c>
      <c r="P610" t="s">
        <v>2254</v>
      </c>
      <c r="U610" s="80" t="s">
        <v>2927</v>
      </c>
      <c r="X610" s="8" t="s">
        <v>2928</v>
      </c>
      <c r="AA610" t="s">
        <v>2929</v>
      </c>
    </row>
    <row r="611" spans="1:27" x14ac:dyDescent="0.3">
      <c r="A611" s="20">
        <v>610</v>
      </c>
      <c r="B611" s="20">
        <v>605</v>
      </c>
      <c r="C611" s="8" t="s">
        <v>1724</v>
      </c>
      <c r="D611" t="s">
        <v>1723</v>
      </c>
      <c r="E611" s="80" t="s">
        <v>1769</v>
      </c>
      <c r="F611" s="8" t="s">
        <v>1770</v>
      </c>
      <c r="G611" s="14" t="s">
        <v>68</v>
      </c>
      <c r="H611" s="15" t="s">
        <v>9911</v>
      </c>
      <c r="I611" s="20" t="s">
        <v>65</v>
      </c>
      <c r="J611" s="20" t="s">
        <v>2022</v>
      </c>
      <c r="K611" s="20" t="s">
        <v>67</v>
      </c>
      <c r="L611" s="20" t="s">
        <v>67</v>
      </c>
      <c r="M611" s="20" t="s">
        <v>67</v>
      </c>
      <c r="N611" s="20" t="s">
        <v>2166</v>
      </c>
      <c r="R611" t="s">
        <v>2930</v>
      </c>
      <c r="S611" t="s">
        <v>2931</v>
      </c>
      <c r="U611" s="80" t="s">
        <v>2932</v>
      </c>
    </row>
    <row r="612" spans="1:27" x14ac:dyDescent="0.3">
      <c r="A612" s="20">
        <v>611</v>
      </c>
      <c r="B612" s="20">
        <v>606</v>
      </c>
      <c r="C612" s="8" t="s">
        <v>1724</v>
      </c>
      <c r="D612" t="s">
        <v>1723</v>
      </c>
      <c r="E612" s="80" t="s">
        <v>1771</v>
      </c>
      <c r="F612" s="8" t="s">
        <v>1772</v>
      </c>
      <c r="G612" s="14" t="s">
        <v>68</v>
      </c>
      <c r="H612" s="15" t="s">
        <v>9862</v>
      </c>
      <c r="I612" s="20" t="s">
        <v>65</v>
      </c>
      <c r="J612" s="20" t="s">
        <v>2017</v>
      </c>
      <c r="K612" s="20" t="s">
        <v>66</v>
      </c>
      <c r="L612" s="20" t="s">
        <v>66</v>
      </c>
      <c r="M612" s="20" t="s">
        <v>66</v>
      </c>
      <c r="R612" t="s">
        <v>2933</v>
      </c>
      <c r="S612" t="s">
        <v>2934</v>
      </c>
      <c r="U612" s="80" t="s">
        <v>2935</v>
      </c>
    </row>
    <row r="613" spans="1:27" x14ac:dyDescent="0.3">
      <c r="A613" s="20">
        <v>612</v>
      </c>
      <c r="B613" s="20">
        <v>607</v>
      </c>
      <c r="C613" s="8" t="s">
        <v>1724</v>
      </c>
      <c r="D613" t="s">
        <v>1723</v>
      </c>
      <c r="E613" s="80" t="s">
        <v>1773</v>
      </c>
      <c r="F613" s="8" t="s">
        <v>1774</v>
      </c>
      <c r="G613" s="14" t="s">
        <v>68</v>
      </c>
      <c r="H613" s="15" t="s">
        <v>9912</v>
      </c>
      <c r="I613" s="20" t="s">
        <v>65</v>
      </c>
      <c r="J613" s="20" t="s">
        <v>2025</v>
      </c>
      <c r="K613" s="20" t="s">
        <v>58</v>
      </c>
      <c r="L613" s="20" t="s">
        <v>58</v>
      </c>
      <c r="M613" s="20" t="s">
        <v>66</v>
      </c>
      <c r="R613" t="s">
        <v>2936</v>
      </c>
      <c r="S613" t="s">
        <v>2937</v>
      </c>
      <c r="U613" s="80" t="s">
        <v>2938</v>
      </c>
    </row>
    <row r="614" spans="1:27" x14ac:dyDescent="0.3">
      <c r="A614" s="20">
        <v>613</v>
      </c>
      <c r="B614" s="20">
        <v>608</v>
      </c>
      <c r="C614" s="8" t="s">
        <v>1724</v>
      </c>
      <c r="D614" t="s">
        <v>1723</v>
      </c>
      <c r="E614" s="80" t="s">
        <v>1775</v>
      </c>
      <c r="F614" s="8" t="s">
        <v>1776</v>
      </c>
      <c r="G614" s="14" t="s">
        <v>1011</v>
      </c>
      <c r="I614" s="20" t="s">
        <v>19</v>
      </c>
      <c r="N614" s="20" t="s">
        <v>2166</v>
      </c>
      <c r="Q614" t="s">
        <v>2209</v>
      </c>
      <c r="W614" s="8" t="s">
        <v>2939</v>
      </c>
    </row>
    <row r="615" spans="1:27" x14ac:dyDescent="0.3">
      <c r="A615" s="20">
        <v>614</v>
      </c>
      <c r="B615" s="20">
        <v>609</v>
      </c>
      <c r="C615" s="8" t="s">
        <v>1724</v>
      </c>
      <c r="D615" t="s">
        <v>1723</v>
      </c>
      <c r="E615" s="80" t="s">
        <v>1777</v>
      </c>
      <c r="F615" s="8" t="s">
        <v>1778</v>
      </c>
      <c r="G615" s="14" t="s">
        <v>1779</v>
      </c>
      <c r="I615" s="20" t="s">
        <v>19</v>
      </c>
      <c r="N615" s="20" t="s">
        <v>2166</v>
      </c>
      <c r="Q615" t="s">
        <v>2940</v>
      </c>
      <c r="R615" t="s">
        <v>2171</v>
      </c>
      <c r="X615" s="8" t="s">
        <v>2941</v>
      </c>
      <c r="Z615" t="s">
        <v>1780</v>
      </c>
    </row>
    <row r="616" spans="1:27" x14ac:dyDescent="0.3">
      <c r="A616" s="20">
        <v>615</v>
      </c>
      <c r="B616" s="20">
        <v>610</v>
      </c>
      <c r="C616" s="8" t="s">
        <v>1724</v>
      </c>
      <c r="D616" t="s">
        <v>1723</v>
      </c>
      <c r="E616" s="80" t="s">
        <v>1781</v>
      </c>
      <c r="F616" s="8" t="s">
        <v>1782</v>
      </c>
      <c r="G616" s="14" t="s">
        <v>360</v>
      </c>
      <c r="H616" s="15" t="s">
        <v>9913</v>
      </c>
      <c r="I616" s="20" t="s">
        <v>50</v>
      </c>
      <c r="Q616" t="s">
        <v>2293</v>
      </c>
      <c r="Z616" t="s">
        <v>123</v>
      </c>
    </row>
    <row r="617" spans="1:27" x14ac:dyDescent="0.3">
      <c r="A617" s="20">
        <v>616</v>
      </c>
      <c r="B617" s="20">
        <v>611</v>
      </c>
      <c r="C617" s="8" t="s">
        <v>1724</v>
      </c>
      <c r="D617" t="s">
        <v>1723</v>
      </c>
      <c r="E617" s="80" t="s">
        <v>1783</v>
      </c>
      <c r="F617" s="8" t="s">
        <v>1784</v>
      </c>
      <c r="G617" s="14" t="s">
        <v>1785</v>
      </c>
      <c r="H617" s="15" t="s">
        <v>9914</v>
      </c>
      <c r="I617" s="20" t="s">
        <v>19</v>
      </c>
      <c r="N617" s="20" t="s">
        <v>2166</v>
      </c>
      <c r="Q617" t="s">
        <v>2942</v>
      </c>
      <c r="R617" t="s">
        <v>2171</v>
      </c>
      <c r="U617" s="80" t="s">
        <v>2943</v>
      </c>
      <c r="Z617" t="s">
        <v>1786</v>
      </c>
    </row>
    <row r="618" spans="1:27" x14ac:dyDescent="0.3">
      <c r="A618" s="20">
        <v>617</v>
      </c>
      <c r="B618" s="20">
        <v>612</v>
      </c>
      <c r="C618" s="8" t="s">
        <v>1724</v>
      </c>
      <c r="D618" t="s">
        <v>1723</v>
      </c>
      <c r="E618" s="80" t="s">
        <v>1787</v>
      </c>
      <c r="F618" s="8" t="s">
        <v>1788</v>
      </c>
      <c r="G618" s="14" t="s">
        <v>1789</v>
      </c>
      <c r="H618" s="15" t="s">
        <v>9915</v>
      </c>
      <c r="I618" s="20" t="s">
        <v>19</v>
      </c>
      <c r="N618" s="20" t="s">
        <v>2166</v>
      </c>
      <c r="Q618" t="s">
        <v>2944</v>
      </c>
      <c r="R618" t="s">
        <v>2171</v>
      </c>
      <c r="Z618" t="s">
        <v>1790</v>
      </c>
    </row>
    <row r="619" spans="1:27" x14ac:dyDescent="0.3">
      <c r="A619" s="20">
        <v>618</v>
      </c>
      <c r="B619" s="20">
        <v>613</v>
      </c>
      <c r="C619" s="8" t="s">
        <v>1724</v>
      </c>
      <c r="D619" t="s">
        <v>1723</v>
      </c>
      <c r="E619" s="80" t="s">
        <v>1791</v>
      </c>
      <c r="F619" s="8" t="s">
        <v>1792</v>
      </c>
      <c r="G619" s="14" t="s">
        <v>1011</v>
      </c>
      <c r="I619" s="20" t="s">
        <v>50</v>
      </c>
      <c r="Q619" t="s">
        <v>2944</v>
      </c>
    </row>
    <row r="620" spans="1:27" x14ac:dyDescent="0.3">
      <c r="A620" s="20">
        <v>619</v>
      </c>
      <c r="B620" s="20">
        <v>614</v>
      </c>
      <c r="C620" s="8" t="s">
        <v>1724</v>
      </c>
      <c r="D620" t="s">
        <v>1723</v>
      </c>
      <c r="E620" s="80" t="s">
        <v>1793</v>
      </c>
      <c r="F620" s="8" t="s">
        <v>1794</v>
      </c>
      <c r="G620" s="14" t="s">
        <v>1795</v>
      </c>
      <c r="H620" s="15" t="s">
        <v>9916</v>
      </c>
      <c r="I620" s="20" t="s">
        <v>50</v>
      </c>
      <c r="Q620" t="s">
        <v>2921</v>
      </c>
    </row>
    <row r="621" spans="1:27" x14ac:dyDescent="0.3">
      <c r="A621" s="20">
        <v>620</v>
      </c>
      <c r="B621" s="20">
        <v>615</v>
      </c>
      <c r="C621" s="8" t="s">
        <v>1724</v>
      </c>
      <c r="D621" t="s">
        <v>1723</v>
      </c>
      <c r="E621" s="80" t="s">
        <v>1796</v>
      </c>
      <c r="F621" s="8" t="s">
        <v>1797</v>
      </c>
      <c r="G621" s="14" t="s">
        <v>1798</v>
      </c>
      <c r="H621" s="15" t="s">
        <v>9917</v>
      </c>
      <c r="I621" s="20" t="s">
        <v>19</v>
      </c>
      <c r="N621" s="20" t="s">
        <v>2166</v>
      </c>
      <c r="Q621" t="s">
        <v>2945</v>
      </c>
      <c r="R621" t="s">
        <v>2946</v>
      </c>
      <c r="U621" s="80" t="s">
        <v>2947</v>
      </c>
    </row>
    <row r="622" spans="1:27" x14ac:dyDescent="0.3">
      <c r="A622" s="20">
        <v>621</v>
      </c>
      <c r="B622" s="20">
        <v>616</v>
      </c>
      <c r="C622" s="8" t="s">
        <v>1724</v>
      </c>
      <c r="D622" t="s">
        <v>1723</v>
      </c>
      <c r="E622" s="80" t="s">
        <v>1799</v>
      </c>
      <c r="F622" s="8" t="s">
        <v>1800</v>
      </c>
      <c r="G622" s="14" t="s">
        <v>68</v>
      </c>
      <c r="I622" s="20" t="s">
        <v>65</v>
      </c>
      <c r="J622" s="20" t="s">
        <v>2020</v>
      </c>
      <c r="K622" s="20" t="s">
        <v>66</v>
      </c>
      <c r="L622" s="20" t="s">
        <v>66</v>
      </c>
      <c r="M622" s="20" t="s">
        <v>66</v>
      </c>
    </row>
    <row r="623" spans="1:27" x14ac:dyDescent="0.3">
      <c r="A623" s="20">
        <v>622</v>
      </c>
      <c r="B623" s="20">
        <v>617</v>
      </c>
      <c r="C623" s="8" t="s">
        <v>1724</v>
      </c>
      <c r="D623" t="s">
        <v>1723</v>
      </c>
      <c r="E623" s="80" t="s">
        <v>1801</v>
      </c>
      <c r="F623" s="8" t="s">
        <v>1802</v>
      </c>
      <c r="G623" s="14" t="s">
        <v>68</v>
      </c>
      <c r="H623" s="15" t="s">
        <v>9918</v>
      </c>
      <c r="I623" s="20" t="s">
        <v>65</v>
      </c>
      <c r="J623" s="20" t="s">
        <v>2016</v>
      </c>
      <c r="K623" s="20" t="s">
        <v>66</v>
      </c>
      <c r="L623" s="20" t="s">
        <v>66</v>
      </c>
      <c r="M623" s="20" t="s">
        <v>66</v>
      </c>
    </row>
    <row r="624" spans="1:27" x14ac:dyDescent="0.3">
      <c r="A624" s="20">
        <v>623</v>
      </c>
      <c r="B624" s="20">
        <v>618</v>
      </c>
      <c r="C624" s="8" t="s">
        <v>1724</v>
      </c>
      <c r="D624" t="s">
        <v>1723</v>
      </c>
      <c r="E624" s="80" t="s">
        <v>1803</v>
      </c>
      <c r="F624" s="8" t="s">
        <v>1804</v>
      </c>
      <c r="G624" s="14" t="s">
        <v>68</v>
      </c>
      <c r="H624" s="15" t="s">
        <v>9919</v>
      </c>
      <c r="I624" s="20" t="s">
        <v>65</v>
      </c>
      <c r="J624" s="20" t="s">
        <v>2025</v>
      </c>
    </row>
    <row r="625" spans="1:27" x14ac:dyDescent="0.3">
      <c r="A625" s="20">
        <v>624</v>
      </c>
      <c r="B625" s="20">
        <v>619</v>
      </c>
      <c r="C625" s="8" t="s">
        <v>1724</v>
      </c>
      <c r="D625" t="s">
        <v>1723</v>
      </c>
      <c r="E625" s="80" t="s">
        <v>1805</v>
      </c>
      <c r="F625" s="8" t="s">
        <v>1806</v>
      </c>
      <c r="G625" s="14" t="s">
        <v>68</v>
      </c>
      <c r="I625" s="20" t="s">
        <v>65</v>
      </c>
      <c r="J625" s="20" t="s">
        <v>2015</v>
      </c>
      <c r="P625" t="s">
        <v>2179</v>
      </c>
      <c r="R625" t="s">
        <v>2948</v>
      </c>
      <c r="U625" s="80" t="s">
        <v>2949</v>
      </c>
      <c r="AA625" t="s">
        <v>2950</v>
      </c>
    </row>
    <row r="626" spans="1:27" x14ac:dyDescent="0.3">
      <c r="A626" s="20">
        <v>625</v>
      </c>
      <c r="B626" s="20">
        <v>620</v>
      </c>
      <c r="C626" s="8" t="s">
        <v>1724</v>
      </c>
      <c r="D626" t="s">
        <v>1723</v>
      </c>
      <c r="E626" s="80" t="s">
        <v>1807</v>
      </c>
      <c r="F626" s="8" t="s">
        <v>1808</v>
      </c>
      <c r="G626" s="14" t="s">
        <v>68</v>
      </c>
      <c r="H626" s="15" t="s">
        <v>9920</v>
      </c>
      <c r="I626" s="20" t="s">
        <v>65</v>
      </c>
      <c r="J626" s="20" t="s">
        <v>2017</v>
      </c>
      <c r="K626" s="20" t="s">
        <v>58</v>
      </c>
      <c r="L626" s="20" t="s">
        <v>58</v>
      </c>
      <c r="Z626" t="s">
        <v>123</v>
      </c>
    </row>
    <row r="627" spans="1:27" x14ac:dyDescent="0.3">
      <c r="A627" s="20">
        <v>626</v>
      </c>
      <c r="B627" s="20">
        <v>621</v>
      </c>
      <c r="C627" s="8" t="s">
        <v>1724</v>
      </c>
      <c r="D627" t="s">
        <v>1723</v>
      </c>
      <c r="E627" s="80" t="s">
        <v>1809</v>
      </c>
      <c r="F627" s="8" t="s">
        <v>1810</v>
      </c>
      <c r="G627" s="14" t="s">
        <v>1811</v>
      </c>
      <c r="I627" s="20" t="s">
        <v>15</v>
      </c>
    </row>
    <row r="628" spans="1:27" x14ac:dyDescent="0.3">
      <c r="A628" s="20">
        <v>627</v>
      </c>
      <c r="B628" s="20">
        <v>622</v>
      </c>
      <c r="C628" s="8" t="s">
        <v>1724</v>
      </c>
      <c r="D628" t="s">
        <v>1723</v>
      </c>
      <c r="E628" s="80" t="s">
        <v>1812</v>
      </c>
      <c r="F628" s="8" t="s">
        <v>1813</v>
      </c>
      <c r="G628" s="14" t="s">
        <v>360</v>
      </c>
      <c r="I628" s="20" t="s">
        <v>19</v>
      </c>
      <c r="N628" s="20" t="s">
        <v>2166</v>
      </c>
      <c r="Q628" t="s">
        <v>2951</v>
      </c>
    </row>
    <row r="629" spans="1:27" x14ac:dyDescent="0.3">
      <c r="A629" s="20">
        <v>628</v>
      </c>
      <c r="B629" s="20">
        <v>623</v>
      </c>
      <c r="C629" s="8" t="s">
        <v>1724</v>
      </c>
      <c r="D629" t="s">
        <v>1723</v>
      </c>
      <c r="E629" s="80" t="s">
        <v>1814</v>
      </c>
      <c r="F629" s="8" t="s">
        <v>1815</v>
      </c>
      <c r="G629" s="14" t="s">
        <v>68</v>
      </c>
      <c r="H629" s="15" t="s">
        <v>9921</v>
      </c>
      <c r="I629" s="20" t="s">
        <v>65</v>
      </c>
      <c r="J629" s="20" t="s">
        <v>2015</v>
      </c>
      <c r="K629" s="20" t="s">
        <v>66</v>
      </c>
      <c r="L629" s="20" t="s">
        <v>66</v>
      </c>
      <c r="M629" s="20" t="s">
        <v>66</v>
      </c>
      <c r="R629" t="s">
        <v>2952</v>
      </c>
      <c r="S629" t="s">
        <v>2953</v>
      </c>
      <c r="U629" s="80" t="s">
        <v>2954</v>
      </c>
      <c r="W629" s="8" t="s">
        <v>2955</v>
      </c>
    </row>
    <row r="630" spans="1:27" x14ac:dyDescent="0.3">
      <c r="A630" s="20">
        <v>629</v>
      </c>
      <c r="B630" s="20">
        <v>624</v>
      </c>
      <c r="C630" s="8" t="s">
        <v>1724</v>
      </c>
      <c r="D630" t="s">
        <v>1723</v>
      </c>
      <c r="E630" s="80" t="s">
        <v>1816</v>
      </c>
      <c r="F630" s="8" t="s">
        <v>1817</v>
      </c>
      <c r="G630" s="14" t="s">
        <v>1818</v>
      </c>
      <c r="I630" s="20" t="s">
        <v>236</v>
      </c>
      <c r="R630" t="s">
        <v>2956</v>
      </c>
      <c r="S630" t="s">
        <v>2956</v>
      </c>
      <c r="U630" s="80" t="s">
        <v>2957</v>
      </c>
    </row>
    <row r="631" spans="1:27" x14ac:dyDescent="0.3">
      <c r="A631" s="20">
        <v>630</v>
      </c>
      <c r="B631" s="20">
        <v>625</v>
      </c>
      <c r="C631" s="8" t="s">
        <v>1724</v>
      </c>
      <c r="D631" t="s">
        <v>1723</v>
      </c>
      <c r="E631" s="80" t="s">
        <v>1819</v>
      </c>
      <c r="F631" s="8" t="s">
        <v>1820</v>
      </c>
      <c r="G631" s="14" t="s">
        <v>1821</v>
      </c>
      <c r="I631" s="20" t="s">
        <v>19</v>
      </c>
      <c r="K631" s="20" t="s">
        <v>732</v>
      </c>
      <c r="N631" s="20" t="s">
        <v>2166</v>
      </c>
      <c r="P631" t="s">
        <v>2850</v>
      </c>
      <c r="Q631" t="s">
        <v>2195</v>
      </c>
      <c r="R631" t="s">
        <v>2171</v>
      </c>
      <c r="S631" t="s">
        <v>2958</v>
      </c>
      <c r="V631" s="8" t="s">
        <v>2959</v>
      </c>
      <c r="Z631" t="s">
        <v>1822</v>
      </c>
      <c r="AA631" t="s">
        <v>2960</v>
      </c>
    </row>
    <row r="632" spans="1:27" x14ac:dyDescent="0.3">
      <c r="A632" s="20">
        <v>631</v>
      </c>
      <c r="B632" s="20">
        <v>626</v>
      </c>
      <c r="C632" s="8" t="s">
        <v>1724</v>
      </c>
      <c r="D632" t="s">
        <v>1723</v>
      </c>
      <c r="E632" s="80" t="s">
        <v>1823</v>
      </c>
      <c r="F632" s="8" t="s">
        <v>1824</v>
      </c>
      <c r="G632" s="14" t="s">
        <v>1825</v>
      </c>
      <c r="I632" s="20" t="s">
        <v>15</v>
      </c>
      <c r="R632" t="s">
        <v>2961</v>
      </c>
      <c r="S632" t="s">
        <v>2961</v>
      </c>
      <c r="U632" s="80" t="s">
        <v>2961</v>
      </c>
    </row>
    <row r="633" spans="1:27" x14ac:dyDescent="0.3">
      <c r="A633" s="20">
        <v>632</v>
      </c>
      <c r="B633" s="20">
        <v>627</v>
      </c>
      <c r="C633" s="8" t="s">
        <v>1724</v>
      </c>
      <c r="D633" t="s">
        <v>1723</v>
      </c>
      <c r="E633" s="80" t="s">
        <v>1826</v>
      </c>
      <c r="F633" s="8" t="s">
        <v>1827</v>
      </c>
      <c r="G633" s="14" t="s">
        <v>1828</v>
      </c>
      <c r="I633" s="20" t="s">
        <v>19</v>
      </c>
      <c r="N633" s="20" t="s">
        <v>2166</v>
      </c>
      <c r="Q633" t="s">
        <v>2206</v>
      </c>
    </row>
    <row r="634" spans="1:27" x14ac:dyDescent="0.3">
      <c r="A634" s="20">
        <v>633</v>
      </c>
      <c r="B634" s="20">
        <v>628</v>
      </c>
      <c r="C634" s="8" t="s">
        <v>1830</v>
      </c>
      <c r="D634" t="s">
        <v>1829</v>
      </c>
      <c r="E634" s="80" t="s">
        <v>1831</v>
      </c>
      <c r="F634" s="8" t="s">
        <v>1832</v>
      </c>
      <c r="G634" s="14" t="s">
        <v>68</v>
      </c>
      <c r="H634" s="15" t="s">
        <v>9922</v>
      </c>
      <c r="I634" s="20" t="s">
        <v>65</v>
      </c>
      <c r="J634" s="20" t="s">
        <v>2015</v>
      </c>
      <c r="K634" s="20" t="s">
        <v>66</v>
      </c>
      <c r="L634" s="20" t="s">
        <v>66</v>
      </c>
      <c r="M634" s="20" t="s">
        <v>85</v>
      </c>
    </row>
    <row r="635" spans="1:27" x14ac:dyDescent="0.3">
      <c r="A635" s="20">
        <v>634</v>
      </c>
      <c r="B635" s="20">
        <v>629</v>
      </c>
      <c r="C635" s="8" t="s">
        <v>1830</v>
      </c>
      <c r="D635" t="s">
        <v>1829</v>
      </c>
      <c r="E635" s="80" t="s">
        <v>1833</v>
      </c>
      <c r="F635" s="8" t="s">
        <v>1834</v>
      </c>
      <c r="G635" s="14" t="s">
        <v>68</v>
      </c>
      <c r="H635" s="15" t="s">
        <v>9923</v>
      </c>
      <c r="I635" s="20" t="s">
        <v>65</v>
      </c>
      <c r="J635" s="20" t="s">
        <v>2030</v>
      </c>
    </row>
    <row r="636" spans="1:27" x14ac:dyDescent="0.3">
      <c r="A636" s="20">
        <v>635</v>
      </c>
      <c r="B636" s="20">
        <v>630</v>
      </c>
      <c r="C636" s="8" t="s">
        <v>1836</v>
      </c>
      <c r="D636" t="s">
        <v>1835</v>
      </c>
      <c r="E636" s="80" t="s">
        <v>1837</v>
      </c>
      <c r="F636" s="8" t="s">
        <v>1838</v>
      </c>
      <c r="G636" s="14" t="s">
        <v>68</v>
      </c>
      <c r="I636" s="20" t="s">
        <v>65</v>
      </c>
      <c r="J636" s="20" t="s">
        <v>2015</v>
      </c>
    </row>
    <row r="637" spans="1:27" x14ac:dyDescent="0.3">
      <c r="A637" s="20">
        <v>636</v>
      </c>
      <c r="B637" s="20">
        <v>631</v>
      </c>
      <c r="C637" s="8" t="s">
        <v>1836</v>
      </c>
      <c r="D637" t="s">
        <v>1835</v>
      </c>
      <c r="E637" s="80" t="s">
        <v>1839</v>
      </c>
      <c r="F637" s="8" t="s">
        <v>1840</v>
      </c>
      <c r="G637" s="14" t="s">
        <v>68</v>
      </c>
      <c r="I637" s="20" t="s">
        <v>65</v>
      </c>
      <c r="J637" s="20" t="s">
        <v>2030</v>
      </c>
    </row>
    <row r="638" spans="1:27" x14ac:dyDescent="0.3">
      <c r="A638" s="20">
        <v>637</v>
      </c>
      <c r="B638" s="20">
        <v>632</v>
      </c>
      <c r="C638" s="8" t="s">
        <v>1836</v>
      </c>
      <c r="D638" t="s">
        <v>1835</v>
      </c>
      <c r="E638" s="80" t="s">
        <v>1841</v>
      </c>
      <c r="F638" s="8" t="s">
        <v>1842</v>
      </c>
      <c r="G638" s="14" t="s">
        <v>68</v>
      </c>
      <c r="I638" s="20" t="s">
        <v>65</v>
      </c>
      <c r="J638" s="20" t="s">
        <v>2015</v>
      </c>
      <c r="S638" t="s">
        <v>2962</v>
      </c>
      <c r="U638" s="80" t="s">
        <v>2962</v>
      </c>
      <c r="V638" s="8" t="s">
        <v>2963</v>
      </c>
      <c r="X638" s="8" t="s">
        <v>2963</v>
      </c>
      <c r="Z638" t="s">
        <v>123</v>
      </c>
    </row>
    <row r="639" spans="1:27" x14ac:dyDescent="0.3">
      <c r="A639" s="20">
        <v>638</v>
      </c>
      <c r="B639" s="20">
        <v>633</v>
      </c>
      <c r="C639" s="8" t="s">
        <v>1836</v>
      </c>
      <c r="D639" t="s">
        <v>1835</v>
      </c>
      <c r="E639" s="80" t="s">
        <v>1843</v>
      </c>
      <c r="F639" s="8" t="s">
        <v>1844</v>
      </c>
      <c r="G639" s="14" t="s">
        <v>68</v>
      </c>
      <c r="H639" s="15" t="s">
        <v>9910</v>
      </c>
      <c r="I639" s="20" t="s">
        <v>65</v>
      </c>
      <c r="J639" s="20" t="s">
        <v>2025</v>
      </c>
      <c r="M639" s="20" t="s">
        <v>66</v>
      </c>
    </row>
    <row r="640" spans="1:27" x14ac:dyDescent="0.3">
      <c r="A640" s="20">
        <v>639</v>
      </c>
      <c r="B640" s="20">
        <v>634</v>
      </c>
      <c r="C640" s="8" t="s">
        <v>1836</v>
      </c>
      <c r="D640" t="s">
        <v>1835</v>
      </c>
      <c r="E640" s="80" t="s">
        <v>1845</v>
      </c>
      <c r="F640" s="8" t="s">
        <v>1846</v>
      </c>
      <c r="G640" s="14" t="s">
        <v>998</v>
      </c>
      <c r="I640" s="20" t="s">
        <v>65</v>
      </c>
      <c r="J640" s="20" t="s">
        <v>2025</v>
      </c>
    </row>
    <row r="641" spans="1:27" x14ac:dyDescent="0.3">
      <c r="A641" s="20">
        <v>640</v>
      </c>
      <c r="B641" s="20">
        <v>635</v>
      </c>
      <c r="C641" s="8" t="s">
        <v>1836</v>
      </c>
      <c r="D641" t="s">
        <v>1835</v>
      </c>
      <c r="E641" s="80" t="s">
        <v>1847</v>
      </c>
      <c r="F641" s="8" t="s">
        <v>1848</v>
      </c>
      <c r="G641" s="14" t="s">
        <v>68</v>
      </c>
      <c r="I641" s="20" t="s">
        <v>65</v>
      </c>
      <c r="J641" s="20" t="s">
        <v>2015</v>
      </c>
      <c r="K641" s="20" t="s">
        <v>58</v>
      </c>
      <c r="L641" s="20" t="s">
        <v>58</v>
      </c>
      <c r="M641" s="20" t="s">
        <v>130</v>
      </c>
      <c r="U641" s="80" t="s">
        <v>2964</v>
      </c>
    </row>
    <row r="642" spans="1:27" x14ac:dyDescent="0.3">
      <c r="A642" s="20">
        <v>641</v>
      </c>
      <c r="B642" s="20">
        <v>636</v>
      </c>
      <c r="C642" s="8" t="s">
        <v>1836</v>
      </c>
      <c r="D642" t="s">
        <v>1835</v>
      </c>
      <c r="E642" s="80" t="s">
        <v>1849</v>
      </c>
      <c r="F642" s="8" t="s">
        <v>1850</v>
      </c>
      <c r="G642" s="14" t="s">
        <v>68</v>
      </c>
      <c r="I642" s="20" t="s">
        <v>65</v>
      </c>
      <c r="J642" s="20" t="s">
        <v>2015</v>
      </c>
      <c r="U642" s="80" t="s">
        <v>2965</v>
      </c>
    </row>
    <row r="643" spans="1:27" x14ac:dyDescent="0.3">
      <c r="A643" s="20">
        <v>642</v>
      </c>
      <c r="B643" s="20">
        <v>638</v>
      </c>
      <c r="C643" s="8" t="s">
        <v>1836</v>
      </c>
      <c r="D643" t="s">
        <v>1835</v>
      </c>
      <c r="E643" s="80" t="s">
        <v>1851</v>
      </c>
      <c r="F643" s="8" t="s">
        <v>1852</v>
      </c>
      <c r="G643" s="14" t="s">
        <v>68</v>
      </c>
      <c r="H643" s="15" t="s">
        <v>9924</v>
      </c>
      <c r="I643" s="20" t="s">
        <v>65</v>
      </c>
      <c r="J643" s="20" t="s">
        <v>2015</v>
      </c>
    </row>
    <row r="644" spans="1:27" x14ac:dyDescent="0.3">
      <c r="A644" s="20">
        <v>643</v>
      </c>
      <c r="B644" s="20">
        <v>637</v>
      </c>
      <c r="C644" s="8" t="s">
        <v>1836</v>
      </c>
      <c r="D644" t="s">
        <v>1835</v>
      </c>
      <c r="E644" s="80" t="s">
        <v>1853</v>
      </c>
      <c r="F644" s="8" t="s">
        <v>1854</v>
      </c>
      <c r="G644" s="14" t="s">
        <v>68</v>
      </c>
      <c r="H644" s="15" t="s">
        <v>9925</v>
      </c>
      <c r="I644" s="20" t="s">
        <v>65</v>
      </c>
      <c r="J644" s="20" t="s">
        <v>2022</v>
      </c>
      <c r="K644" s="20" t="s">
        <v>66</v>
      </c>
      <c r="L644" s="20" t="s">
        <v>66</v>
      </c>
      <c r="M644" s="20" t="s">
        <v>66</v>
      </c>
      <c r="R644" t="s">
        <v>1851</v>
      </c>
    </row>
    <row r="645" spans="1:27" x14ac:dyDescent="0.3">
      <c r="A645" s="20">
        <v>644</v>
      </c>
      <c r="B645" s="20">
        <v>639</v>
      </c>
      <c r="C645" s="8" t="s">
        <v>1836</v>
      </c>
      <c r="D645" t="s">
        <v>1835</v>
      </c>
      <c r="E645" s="80" t="s">
        <v>1855</v>
      </c>
      <c r="F645" s="8" t="s">
        <v>1856</v>
      </c>
      <c r="G645" s="14" t="s">
        <v>68</v>
      </c>
      <c r="H645" s="15" t="s">
        <v>9926</v>
      </c>
      <c r="I645" s="20" t="s">
        <v>65</v>
      </c>
      <c r="J645" s="20" t="s">
        <v>2021</v>
      </c>
      <c r="K645" s="20" t="s">
        <v>66</v>
      </c>
      <c r="L645" s="20" t="s">
        <v>66</v>
      </c>
      <c r="M645" s="20" t="s">
        <v>66</v>
      </c>
    </row>
    <row r="646" spans="1:27" x14ac:dyDescent="0.3">
      <c r="A646" s="20">
        <v>645</v>
      </c>
      <c r="B646" s="20">
        <v>640</v>
      </c>
      <c r="C646" s="8" t="s">
        <v>1836</v>
      </c>
      <c r="D646" t="s">
        <v>1835</v>
      </c>
      <c r="E646" s="80" t="s">
        <v>1857</v>
      </c>
      <c r="F646" s="8" t="s">
        <v>1858</v>
      </c>
      <c r="G646" s="14" t="s">
        <v>68</v>
      </c>
      <c r="H646" s="15" t="s">
        <v>9927</v>
      </c>
      <c r="I646" s="20" t="s">
        <v>65</v>
      </c>
      <c r="J646" s="20" t="s">
        <v>2027</v>
      </c>
      <c r="K646" s="20" t="s">
        <v>85</v>
      </c>
      <c r="L646" s="20" t="s">
        <v>85</v>
      </c>
      <c r="M646" s="20" t="s">
        <v>85</v>
      </c>
      <c r="N646" s="20" t="s">
        <v>2166</v>
      </c>
    </row>
    <row r="647" spans="1:27" x14ac:dyDescent="0.3">
      <c r="A647" s="20">
        <v>646</v>
      </c>
      <c r="B647" s="20">
        <v>641</v>
      </c>
      <c r="C647" s="8" t="s">
        <v>1836</v>
      </c>
      <c r="D647" t="s">
        <v>1835</v>
      </c>
      <c r="E647" s="80" t="s">
        <v>1859</v>
      </c>
      <c r="F647" s="8" t="s">
        <v>1860</v>
      </c>
      <c r="G647" s="14" t="s">
        <v>1861</v>
      </c>
      <c r="I647" s="20" t="s">
        <v>15</v>
      </c>
    </row>
    <row r="648" spans="1:27" x14ac:dyDescent="0.3">
      <c r="A648" s="20">
        <v>647</v>
      </c>
      <c r="B648" s="20">
        <v>642</v>
      </c>
      <c r="C648" s="8" t="s">
        <v>1836</v>
      </c>
      <c r="D648" t="s">
        <v>1835</v>
      </c>
      <c r="E648" s="80" t="s">
        <v>1862</v>
      </c>
      <c r="F648" s="8" t="s">
        <v>1863</v>
      </c>
      <c r="G648" s="14" t="s">
        <v>68</v>
      </c>
      <c r="I648" s="20" t="s">
        <v>65</v>
      </c>
      <c r="J648" s="20" t="s">
        <v>2015</v>
      </c>
      <c r="S648" t="s">
        <v>2966</v>
      </c>
    </row>
    <row r="649" spans="1:27" x14ac:dyDescent="0.3">
      <c r="A649" s="20">
        <v>648</v>
      </c>
      <c r="B649" s="20">
        <v>643</v>
      </c>
      <c r="C649" s="8" t="s">
        <v>1836</v>
      </c>
      <c r="D649" t="s">
        <v>1835</v>
      </c>
      <c r="E649" s="80" t="s">
        <v>1864</v>
      </c>
      <c r="F649" s="8" t="s">
        <v>1865</v>
      </c>
      <c r="G649" s="14" t="s">
        <v>68</v>
      </c>
      <c r="I649" s="20" t="s">
        <v>65</v>
      </c>
      <c r="J649" s="20" t="s">
        <v>2015</v>
      </c>
    </row>
    <row r="650" spans="1:27" x14ac:dyDescent="0.3">
      <c r="A650" s="20">
        <v>649</v>
      </c>
      <c r="B650" s="20">
        <v>644</v>
      </c>
      <c r="C650" s="8" t="s">
        <v>1836</v>
      </c>
      <c r="D650" t="s">
        <v>1835</v>
      </c>
      <c r="E650" s="80" t="s">
        <v>1866</v>
      </c>
      <c r="F650" s="8" t="s">
        <v>1867</v>
      </c>
      <c r="G650" s="14" t="s">
        <v>1868</v>
      </c>
      <c r="I650" s="20" t="s">
        <v>15</v>
      </c>
      <c r="U650" s="80" t="s">
        <v>2967</v>
      </c>
      <c r="X650" s="8" t="s">
        <v>2968</v>
      </c>
    </row>
    <row r="651" spans="1:27" x14ac:dyDescent="0.3">
      <c r="A651" s="20">
        <v>650</v>
      </c>
      <c r="B651" s="20">
        <v>645</v>
      </c>
      <c r="C651" s="8" t="s">
        <v>1870</v>
      </c>
      <c r="D651" t="s">
        <v>1869</v>
      </c>
      <c r="E651" s="80" t="s">
        <v>1871</v>
      </c>
      <c r="F651" s="8" t="s">
        <v>1872</v>
      </c>
      <c r="G651" s="14" t="s">
        <v>1873</v>
      </c>
      <c r="I651" s="20" t="s">
        <v>15</v>
      </c>
      <c r="R651" t="s">
        <v>2969</v>
      </c>
      <c r="S651" t="s">
        <v>2969</v>
      </c>
    </row>
    <row r="652" spans="1:27" x14ac:dyDescent="0.3">
      <c r="A652" s="20">
        <v>651</v>
      </c>
      <c r="B652" s="20">
        <v>646</v>
      </c>
      <c r="C652" s="8" t="s">
        <v>1870</v>
      </c>
      <c r="D652" t="s">
        <v>1869</v>
      </c>
      <c r="E652" s="80" t="s">
        <v>1874</v>
      </c>
      <c r="F652" s="8" t="s">
        <v>1875</v>
      </c>
      <c r="G652" s="14" t="s">
        <v>1876</v>
      </c>
      <c r="I652" s="20" t="s">
        <v>65</v>
      </c>
      <c r="J652" s="20" t="s">
        <v>2015</v>
      </c>
      <c r="M652" s="20" t="s">
        <v>130</v>
      </c>
      <c r="P652" t="s">
        <v>2179</v>
      </c>
      <c r="R652" t="s">
        <v>2969</v>
      </c>
      <c r="S652" t="s">
        <v>2969</v>
      </c>
      <c r="AA652" t="s">
        <v>2970</v>
      </c>
    </row>
    <row r="653" spans="1:27" x14ac:dyDescent="0.3">
      <c r="A653" s="20">
        <v>652</v>
      </c>
      <c r="B653" s="20">
        <v>647</v>
      </c>
      <c r="C653" s="8" t="s">
        <v>1870</v>
      </c>
      <c r="D653" t="s">
        <v>1869</v>
      </c>
      <c r="E653" s="80" t="s">
        <v>1877</v>
      </c>
      <c r="F653" s="8" t="s">
        <v>1878</v>
      </c>
      <c r="G653" s="14" t="s">
        <v>68</v>
      </c>
      <c r="I653" s="20" t="s">
        <v>65</v>
      </c>
      <c r="J653" s="20" t="s">
        <v>2015</v>
      </c>
      <c r="Y653" s="8" t="s">
        <v>11432</v>
      </c>
    </row>
    <row r="654" spans="1:27" x14ac:dyDescent="0.3">
      <c r="A654" s="20">
        <v>653</v>
      </c>
      <c r="B654" s="20">
        <v>648</v>
      </c>
      <c r="C654" s="8" t="s">
        <v>1870</v>
      </c>
      <c r="D654" t="s">
        <v>1869</v>
      </c>
      <c r="E654" s="80" t="s">
        <v>1879</v>
      </c>
      <c r="F654" s="8" t="s">
        <v>1880</v>
      </c>
      <c r="G654" s="14" t="s">
        <v>1881</v>
      </c>
      <c r="H654" s="15" t="s">
        <v>9928</v>
      </c>
      <c r="I654" s="20" t="s">
        <v>15</v>
      </c>
      <c r="Y654" s="8" t="s">
        <v>11433</v>
      </c>
    </row>
    <row r="655" spans="1:27" x14ac:dyDescent="0.3">
      <c r="A655" s="20">
        <v>654</v>
      </c>
      <c r="B655" s="20">
        <v>649</v>
      </c>
      <c r="C655" s="8" t="s">
        <v>1870</v>
      </c>
      <c r="D655" t="s">
        <v>1869</v>
      </c>
      <c r="E655" s="80" t="s">
        <v>1882</v>
      </c>
      <c r="F655" s="8" t="s">
        <v>1883</v>
      </c>
      <c r="G655" s="14" t="s">
        <v>1884</v>
      </c>
      <c r="I655" s="20" t="s">
        <v>15</v>
      </c>
      <c r="Y655" s="8" t="s">
        <v>11434</v>
      </c>
    </row>
    <row r="656" spans="1:27" x14ac:dyDescent="0.3">
      <c r="A656" s="20">
        <v>655</v>
      </c>
      <c r="B656" s="20">
        <v>650</v>
      </c>
      <c r="C656" s="8" t="s">
        <v>1870</v>
      </c>
      <c r="D656" t="s">
        <v>1869</v>
      </c>
      <c r="E656" s="80" t="s">
        <v>1885</v>
      </c>
      <c r="F656" s="8" t="s">
        <v>1886</v>
      </c>
      <c r="G656" s="14" t="s">
        <v>68</v>
      </c>
      <c r="I656" s="20" t="s">
        <v>65</v>
      </c>
      <c r="J656" s="20" t="s">
        <v>2025</v>
      </c>
      <c r="K656" s="20" t="s">
        <v>58</v>
      </c>
      <c r="L656" s="20" t="s">
        <v>58</v>
      </c>
      <c r="M656" s="20" t="s">
        <v>130</v>
      </c>
      <c r="S656" t="s">
        <v>2971</v>
      </c>
      <c r="Y656" s="8" t="s">
        <v>11435</v>
      </c>
    </row>
    <row r="657" spans="1:27" x14ac:dyDescent="0.3">
      <c r="A657" s="20">
        <v>656</v>
      </c>
      <c r="B657" s="20">
        <v>651</v>
      </c>
      <c r="C657" s="8" t="s">
        <v>1870</v>
      </c>
      <c r="D657" t="s">
        <v>1869</v>
      </c>
      <c r="E657" s="80" t="s">
        <v>1887</v>
      </c>
      <c r="F657" s="8" t="s">
        <v>1888</v>
      </c>
      <c r="G657" s="14" t="s">
        <v>68</v>
      </c>
      <c r="I657" s="20" t="s">
        <v>65</v>
      </c>
      <c r="J657" s="20" t="s">
        <v>2025</v>
      </c>
      <c r="K657" s="20" t="s">
        <v>58</v>
      </c>
      <c r="L657" s="20" t="s">
        <v>58</v>
      </c>
      <c r="M657" s="20" t="s">
        <v>130</v>
      </c>
    </row>
    <row r="658" spans="1:27" x14ac:dyDescent="0.3">
      <c r="A658" s="20">
        <v>657</v>
      </c>
      <c r="B658" s="20">
        <v>652</v>
      </c>
      <c r="C658" s="8" t="s">
        <v>1870</v>
      </c>
      <c r="D658" t="s">
        <v>1869</v>
      </c>
      <c r="E658" s="80" t="s">
        <v>1889</v>
      </c>
      <c r="F658" s="8" t="s">
        <v>1890</v>
      </c>
      <c r="G658" s="14" t="s">
        <v>68</v>
      </c>
      <c r="H658" s="15" t="s">
        <v>9929</v>
      </c>
      <c r="I658" s="20" t="s">
        <v>65</v>
      </c>
      <c r="J658" s="20" t="s">
        <v>2025</v>
      </c>
      <c r="K658" s="20" t="s">
        <v>58</v>
      </c>
      <c r="L658" s="20" t="s">
        <v>58</v>
      </c>
      <c r="M658" s="20" t="s">
        <v>66</v>
      </c>
    </row>
    <row r="659" spans="1:27" x14ac:dyDescent="0.3">
      <c r="A659" s="20">
        <v>658</v>
      </c>
      <c r="B659" s="20">
        <v>653</v>
      </c>
      <c r="C659" s="8" t="s">
        <v>1870</v>
      </c>
      <c r="D659" t="s">
        <v>1869</v>
      </c>
      <c r="E659" s="80" t="s">
        <v>1891</v>
      </c>
      <c r="F659" s="8" t="s">
        <v>1892</v>
      </c>
      <c r="G659" s="14" t="s">
        <v>1893</v>
      </c>
      <c r="I659" s="20" t="s">
        <v>65</v>
      </c>
      <c r="J659" s="20" t="s">
        <v>2019</v>
      </c>
      <c r="P659" t="s">
        <v>2200</v>
      </c>
      <c r="AA659" t="s">
        <v>2972</v>
      </c>
    </row>
    <row r="660" spans="1:27" x14ac:dyDescent="0.3">
      <c r="A660" s="20">
        <v>659</v>
      </c>
      <c r="B660" s="20">
        <v>654</v>
      </c>
      <c r="C660" s="8" t="s">
        <v>1870</v>
      </c>
      <c r="D660" t="s">
        <v>1869</v>
      </c>
      <c r="E660" s="80" t="s">
        <v>1894</v>
      </c>
      <c r="F660" s="8" t="s">
        <v>1895</v>
      </c>
      <c r="G660" s="14" t="s">
        <v>1896</v>
      </c>
      <c r="I660" s="20" t="s">
        <v>65</v>
      </c>
      <c r="J660" s="20" t="s">
        <v>2022</v>
      </c>
      <c r="M660" s="20" t="s">
        <v>130</v>
      </c>
      <c r="P660" t="s">
        <v>2179</v>
      </c>
      <c r="R660" t="s">
        <v>1891</v>
      </c>
      <c r="AA660" t="s">
        <v>2973</v>
      </c>
    </row>
    <row r="661" spans="1:27" x14ac:dyDescent="0.3">
      <c r="A661" s="20">
        <v>660</v>
      </c>
      <c r="B661" s="20">
        <v>655</v>
      </c>
      <c r="C661" s="8" t="s">
        <v>1870</v>
      </c>
      <c r="D661" t="s">
        <v>1869</v>
      </c>
      <c r="E661" s="80" t="s">
        <v>1897</v>
      </c>
      <c r="F661" s="8" t="s">
        <v>1898</v>
      </c>
      <c r="G661" s="14" t="s">
        <v>1059</v>
      </c>
      <c r="H661" s="15" t="s">
        <v>9930</v>
      </c>
      <c r="I661" s="20" t="s">
        <v>65</v>
      </c>
      <c r="J661" s="20" t="s">
        <v>2020</v>
      </c>
    </row>
    <row r="662" spans="1:27" x14ac:dyDescent="0.3">
      <c r="A662" s="20">
        <v>661</v>
      </c>
      <c r="B662" s="20">
        <v>656</v>
      </c>
      <c r="C662" s="8" t="s">
        <v>1870</v>
      </c>
      <c r="D662" t="s">
        <v>1869</v>
      </c>
      <c r="E662" s="80" t="s">
        <v>1899</v>
      </c>
      <c r="F662" s="8" t="s">
        <v>1900</v>
      </c>
      <c r="G662" s="14" t="s">
        <v>895</v>
      </c>
      <c r="H662" s="15" t="s">
        <v>9931</v>
      </c>
      <c r="I662" s="20" t="s">
        <v>65</v>
      </c>
      <c r="J662" s="20" t="s">
        <v>2017</v>
      </c>
      <c r="K662" s="20" t="s">
        <v>732</v>
      </c>
      <c r="P662" t="s">
        <v>2179</v>
      </c>
      <c r="R662" t="s">
        <v>1897</v>
      </c>
      <c r="S662" t="s">
        <v>2974</v>
      </c>
      <c r="AA662" t="s">
        <v>2975</v>
      </c>
    </row>
    <row r="663" spans="1:27" x14ac:dyDescent="0.3">
      <c r="A663" s="20">
        <v>662</v>
      </c>
      <c r="B663" s="20">
        <v>657</v>
      </c>
      <c r="C663" s="8" t="s">
        <v>1870</v>
      </c>
      <c r="D663" t="s">
        <v>1869</v>
      </c>
      <c r="E663" s="80" t="s">
        <v>1901</v>
      </c>
      <c r="F663" s="8" t="s">
        <v>1902</v>
      </c>
      <c r="G663" s="14" t="s">
        <v>1903</v>
      </c>
      <c r="H663" s="15" t="s">
        <v>9932</v>
      </c>
      <c r="I663" s="20" t="s">
        <v>65</v>
      </c>
      <c r="J663" s="20" t="s">
        <v>2036</v>
      </c>
      <c r="K663" s="20" t="s">
        <v>732</v>
      </c>
      <c r="M663" s="20" t="s">
        <v>130</v>
      </c>
      <c r="P663" t="s">
        <v>2179</v>
      </c>
      <c r="R663" t="s">
        <v>1897</v>
      </c>
      <c r="AA663" t="s">
        <v>2976</v>
      </c>
    </row>
    <row r="664" spans="1:27" x14ac:dyDescent="0.3">
      <c r="A664" s="20">
        <v>663</v>
      </c>
      <c r="B664" s="20">
        <v>658</v>
      </c>
      <c r="C664" s="8" t="s">
        <v>1870</v>
      </c>
      <c r="D664" t="s">
        <v>1869</v>
      </c>
      <c r="E664" s="80" t="s">
        <v>1904</v>
      </c>
      <c r="F664" s="8" t="s">
        <v>1905</v>
      </c>
      <c r="G664" s="14" t="s">
        <v>68</v>
      </c>
      <c r="H664" s="15" t="s">
        <v>9933</v>
      </c>
      <c r="I664" s="20" t="s">
        <v>65</v>
      </c>
      <c r="J664" s="20" t="s">
        <v>2030</v>
      </c>
    </row>
    <row r="665" spans="1:27" x14ac:dyDescent="0.3">
      <c r="A665" s="20">
        <v>664</v>
      </c>
      <c r="B665" s="20">
        <v>659</v>
      </c>
      <c r="C665" s="8" t="s">
        <v>1870</v>
      </c>
      <c r="D665" t="s">
        <v>1869</v>
      </c>
      <c r="E665" s="80" t="s">
        <v>1906</v>
      </c>
      <c r="F665" s="8" t="s">
        <v>1907</v>
      </c>
      <c r="G665" s="14" t="s">
        <v>68</v>
      </c>
      <c r="I665" s="20" t="s">
        <v>65</v>
      </c>
      <c r="J665" s="20" t="s">
        <v>2015</v>
      </c>
      <c r="R665" t="s">
        <v>1904</v>
      </c>
    </row>
    <row r="666" spans="1:27" x14ac:dyDescent="0.3">
      <c r="A666" s="20">
        <v>665</v>
      </c>
      <c r="B666" s="20">
        <v>660</v>
      </c>
      <c r="C666" s="8" t="s">
        <v>1870</v>
      </c>
      <c r="D666" t="s">
        <v>1869</v>
      </c>
      <c r="E666" s="80" t="s">
        <v>1908</v>
      </c>
      <c r="F666" s="8" t="s">
        <v>1909</v>
      </c>
      <c r="G666" s="14" t="s">
        <v>1128</v>
      </c>
      <c r="H666" s="15" t="s">
        <v>9934</v>
      </c>
      <c r="I666" s="20" t="s">
        <v>65</v>
      </c>
      <c r="J666" s="20" t="s">
        <v>2015</v>
      </c>
      <c r="P666" t="s">
        <v>2179</v>
      </c>
      <c r="R666" t="s">
        <v>2977</v>
      </c>
      <c r="AA666" t="s">
        <v>2978</v>
      </c>
    </row>
    <row r="667" spans="1:27" x14ac:dyDescent="0.3">
      <c r="A667" s="20">
        <v>666</v>
      </c>
      <c r="B667" s="20">
        <v>661</v>
      </c>
      <c r="C667" s="8" t="s">
        <v>1870</v>
      </c>
      <c r="D667" t="s">
        <v>1869</v>
      </c>
      <c r="E667" s="80" t="s">
        <v>1910</v>
      </c>
      <c r="F667" s="8" t="s">
        <v>1911</v>
      </c>
      <c r="G667" s="14" t="s">
        <v>68</v>
      </c>
      <c r="I667" s="20" t="s">
        <v>65</v>
      </c>
      <c r="J667" s="20" t="s">
        <v>2020</v>
      </c>
      <c r="P667" t="s">
        <v>2179</v>
      </c>
      <c r="R667" t="s">
        <v>2979</v>
      </c>
      <c r="AA667" t="s">
        <v>2980</v>
      </c>
    </row>
    <row r="668" spans="1:27" x14ac:dyDescent="0.3">
      <c r="A668" s="20">
        <v>667</v>
      </c>
      <c r="B668" s="20">
        <v>662</v>
      </c>
      <c r="C668" s="8" t="s">
        <v>1870</v>
      </c>
      <c r="D668" t="s">
        <v>1869</v>
      </c>
      <c r="E668" s="80" t="s">
        <v>1912</v>
      </c>
      <c r="F668" s="8" t="s">
        <v>1913</v>
      </c>
      <c r="G668" s="14" t="s">
        <v>1914</v>
      </c>
      <c r="H668" s="15" t="s">
        <v>9935</v>
      </c>
      <c r="I668" s="20" t="s">
        <v>65</v>
      </c>
      <c r="J668" s="20" t="s">
        <v>2016</v>
      </c>
      <c r="P668" t="s">
        <v>2179</v>
      </c>
      <c r="R668" t="s">
        <v>2979</v>
      </c>
      <c r="U668" s="80" t="s">
        <v>2981</v>
      </c>
      <c r="AA668" t="s">
        <v>2982</v>
      </c>
    </row>
    <row r="669" spans="1:27" x14ac:dyDescent="0.3">
      <c r="A669" s="20">
        <v>668</v>
      </c>
      <c r="B669" s="20">
        <v>663</v>
      </c>
      <c r="C669" s="8" t="s">
        <v>1870</v>
      </c>
      <c r="D669" t="s">
        <v>1869</v>
      </c>
      <c r="E669" s="80" t="s">
        <v>1915</v>
      </c>
      <c r="F669" s="8" t="s">
        <v>1916</v>
      </c>
      <c r="G669" s="14" t="s">
        <v>68</v>
      </c>
      <c r="I669" s="20" t="s">
        <v>65</v>
      </c>
      <c r="J669" s="20" t="s">
        <v>2015</v>
      </c>
    </row>
    <row r="670" spans="1:27" x14ac:dyDescent="0.3">
      <c r="A670" s="20">
        <v>669</v>
      </c>
      <c r="B670" s="20">
        <v>664</v>
      </c>
      <c r="C670" s="8" t="s">
        <v>1918</v>
      </c>
      <c r="D670" t="s">
        <v>1917</v>
      </c>
      <c r="E670" s="80" t="s">
        <v>1919</v>
      </c>
      <c r="F670" s="8" t="s">
        <v>1920</v>
      </c>
      <c r="G670" s="14" t="s">
        <v>68</v>
      </c>
      <c r="H670" s="15" t="s">
        <v>9936</v>
      </c>
      <c r="I670" s="20" t="s">
        <v>65</v>
      </c>
      <c r="J670" s="20" t="s">
        <v>2025</v>
      </c>
      <c r="P670" t="s">
        <v>2219</v>
      </c>
      <c r="AA670" t="s">
        <v>2983</v>
      </c>
    </row>
    <row r="671" spans="1:27" x14ac:dyDescent="0.3">
      <c r="A671" s="20">
        <v>670</v>
      </c>
      <c r="B671" s="20">
        <v>665</v>
      </c>
      <c r="C671" s="8" t="s">
        <v>1918</v>
      </c>
      <c r="D671" t="s">
        <v>1917</v>
      </c>
      <c r="E671" s="80" t="s">
        <v>1921</v>
      </c>
      <c r="F671" s="8" t="s">
        <v>1922</v>
      </c>
      <c r="G671" s="14" t="s">
        <v>488</v>
      </c>
      <c r="I671" s="20" t="s">
        <v>107</v>
      </c>
    </row>
    <row r="672" spans="1:27" x14ac:dyDescent="0.3">
      <c r="A672" s="20">
        <v>671</v>
      </c>
      <c r="B672" s="20">
        <v>666</v>
      </c>
      <c r="C672" s="8" t="s">
        <v>1924</v>
      </c>
      <c r="D672" t="s">
        <v>1923</v>
      </c>
      <c r="E672" s="80" t="s">
        <v>1925</v>
      </c>
      <c r="F672" s="8" t="s">
        <v>1926</v>
      </c>
      <c r="G672" s="14" t="s">
        <v>1927</v>
      </c>
      <c r="I672" s="20" t="s">
        <v>15</v>
      </c>
    </row>
    <row r="673" spans="1:27" x14ac:dyDescent="0.3">
      <c r="A673" s="20">
        <v>672</v>
      </c>
      <c r="B673" s="20">
        <v>667</v>
      </c>
      <c r="C673" s="8" t="s">
        <v>1924</v>
      </c>
      <c r="D673" t="s">
        <v>1923</v>
      </c>
      <c r="E673" s="80" t="s">
        <v>1928</v>
      </c>
      <c r="F673" s="8" t="s">
        <v>1929</v>
      </c>
      <c r="G673" s="14" t="s">
        <v>1930</v>
      </c>
      <c r="I673" s="20" t="s">
        <v>10</v>
      </c>
      <c r="N673" s="20" t="s">
        <v>2166</v>
      </c>
      <c r="R673" t="s">
        <v>2171</v>
      </c>
      <c r="Z673" t="s">
        <v>11354</v>
      </c>
    </row>
    <row r="674" spans="1:27" x14ac:dyDescent="0.3">
      <c r="A674" s="20">
        <v>673</v>
      </c>
      <c r="B674" s="20">
        <v>668</v>
      </c>
      <c r="C674" s="8" t="s">
        <v>1924</v>
      </c>
      <c r="D674" t="s">
        <v>1923</v>
      </c>
      <c r="E674" s="80" t="s">
        <v>1931</v>
      </c>
      <c r="F674" s="8" t="s">
        <v>1932</v>
      </c>
      <c r="G674" s="14" t="s">
        <v>68</v>
      </c>
      <c r="H674" s="15" t="s">
        <v>9906</v>
      </c>
      <c r="I674" s="20" t="s">
        <v>65</v>
      </c>
      <c r="J674" s="20" t="s">
        <v>2015</v>
      </c>
      <c r="K674" s="20" t="s">
        <v>66</v>
      </c>
      <c r="L674" s="20" t="s">
        <v>66</v>
      </c>
      <c r="M674" s="20" t="s">
        <v>66</v>
      </c>
    </row>
    <row r="675" spans="1:27" x14ac:dyDescent="0.3">
      <c r="A675" s="20">
        <v>674</v>
      </c>
      <c r="B675" s="20">
        <v>669</v>
      </c>
      <c r="C675" s="8" t="s">
        <v>1924</v>
      </c>
      <c r="D675" t="s">
        <v>1923</v>
      </c>
      <c r="E675" s="80" t="s">
        <v>1933</v>
      </c>
      <c r="F675" s="8" t="s">
        <v>1934</v>
      </c>
      <c r="G675" s="14" t="s">
        <v>68</v>
      </c>
      <c r="H675" s="15" t="s">
        <v>9937</v>
      </c>
      <c r="I675" s="20" t="s">
        <v>65</v>
      </c>
      <c r="J675" s="20" t="s">
        <v>2025</v>
      </c>
      <c r="K675" s="20" t="s">
        <v>58</v>
      </c>
      <c r="L675" s="20" t="s">
        <v>58</v>
      </c>
      <c r="M675" s="20" t="s">
        <v>130</v>
      </c>
    </row>
    <row r="676" spans="1:27" x14ac:dyDescent="0.3">
      <c r="A676" s="20">
        <v>675</v>
      </c>
      <c r="B676" s="20">
        <v>670</v>
      </c>
      <c r="C676" s="8" t="s">
        <v>1924</v>
      </c>
      <c r="D676" t="s">
        <v>1923</v>
      </c>
      <c r="E676" s="80" t="s">
        <v>1935</v>
      </c>
      <c r="F676" s="8" t="s">
        <v>1936</v>
      </c>
      <c r="G676" s="14" t="s">
        <v>1937</v>
      </c>
      <c r="H676" s="15" t="s">
        <v>9938</v>
      </c>
      <c r="I676" s="20" t="s">
        <v>15</v>
      </c>
      <c r="N676" s="20" t="s">
        <v>2166</v>
      </c>
    </row>
    <row r="677" spans="1:27" x14ac:dyDescent="0.3">
      <c r="A677" s="20">
        <v>676</v>
      </c>
      <c r="B677" s="20">
        <v>671</v>
      </c>
      <c r="C677" s="8" t="s">
        <v>1924</v>
      </c>
      <c r="D677" t="s">
        <v>1923</v>
      </c>
      <c r="E677" s="80" t="s">
        <v>1938</v>
      </c>
      <c r="F677" s="8" t="s">
        <v>1939</v>
      </c>
      <c r="G677" s="14" t="s">
        <v>1811</v>
      </c>
      <c r="I677" s="20" t="s">
        <v>15</v>
      </c>
    </row>
    <row r="678" spans="1:27" x14ac:dyDescent="0.3">
      <c r="A678" s="20">
        <v>677</v>
      </c>
      <c r="B678" s="20">
        <v>672</v>
      </c>
      <c r="C678" s="8" t="s">
        <v>1924</v>
      </c>
      <c r="D678" t="s">
        <v>1923</v>
      </c>
      <c r="E678" s="80" t="s">
        <v>1940</v>
      </c>
      <c r="F678" s="8" t="s">
        <v>1941</v>
      </c>
      <c r="G678" s="14" t="s">
        <v>1266</v>
      </c>
      <c r="I678" s="20" t="s">
        <v>15</v>
      </c>
    </row>
    <row r="679" spans="1:27" x14ac:dyDescent="0.3">
      <c r="A679" s="20">
        <v>678</v>
      </c>
      <c r="B679" s="20">
        <v>673</v>
      </c>
      <c r="C679" s="8" t="s">
        <v>1924</v>
      </c>
      <c r="D679" t="s">
        <v>1923</v>
      </c>
      <c r="E679" s="80" t="s">
        <v>1942</v>
      </c>
      <c r="F679" s="8" t="s">
        <v>1943</v>
      </c>
      <c r="G679" s="14" t="s">
        <v>1944</v>
      </c>
      <c r="I679" s="20" t="s">
        <v>15</v>
      </c>
      <c r="P679" t="s">
        <v>2179</v>
      </c>
      <c r="AA679" t="s">
        <v>2984</v>
      </c>
    </row>
    <row r="680" spans="1:27" x14ac:dyDescent="0.3">
      <c r="A680" s="20">
        <v>679</v>
      </c>
      <c r="B680" s="20">
        <v>674</v>
      </c>
      <c r="C680" s="8" t="s">
        <v>1924</v>
      </c>
      <c r="D680" t="s">
        <v>1923</v>
      </c>
      <c r="E680" s="80" t="s">
        <v>1945</v>
      </c>
      <c r="F680" s="8" t="s">
        <v>1946</v>
      </c>
      <c r="G680" s="14" t="s">
        <v>1947</v>
      </c>
      <c r="H680" s="15" t="s">
        <v>9939</v>
      </c>
      <c r="I680" s="20" t="s">
        <v>107</v>
      </c>
      <c r="K680" s="20" t="s">
        <v>66</v>
      </c>
      <c r="L680" s="20" t="s">
        <v>67</v>
      </c>
      <c r="Y680" s="8" t="s">
        <v>11436</v>
      </c>
      <c r="Z680" t="s">
        <v>11355</v>
      </c>
    </row>
    <row r="681" spans="1:27" x14ac:dyDescent="0.3">
      <c r="A681" s="20">
        <v>680</v>
      </c>
      <c r="B681" s="20">
        <v>675</v>
      </c>
      <c r="C681" s="8" t="s">
        <v>1949</v>
      </c>
      <c r="D681" t="s">
        <v>1948</v>
      </c>
      <c r="E681" s="80" t="s">
        <v>1950</v>
      </c>
      <c r="F681" s="8" t="s">
        <v>1951</v>
      </c>
      <c r="G681" s="14" t="s">
        <v>1952</v>
      </c>
      <c r="H681" s="15" t="s">
        <v>9940</v>
      </c>
      <c r="I681" s="20" t="s">
        <v>50</v>
      </c>
      <c r="Q681" t="s">
        <v>2985</v>
      </c>
    </row>
    <row r="682" spans="1:27" x14ac:dyDescent="0.3">
      <c r="A682" s="20">
        <v>681</v>
      </c>
      <c r="B682" s="20">
        <v>676</v>
      </c>
      <c r="C682" s="8" t="s">
        <v>1949</v>
      </c>
      <c r="D682" t="s">
        <v>1948</v>
      </c>
      <c r="E682" s="80" t="s">
        <v>1953</v>
      </c>
      <c r="F682" s="8" t="s">
        <v>1954</v>
      </c>
      <c r="G682" s="14" t="s">
        <v>1955</v>
      </c>
      <c r="I682" s="20" t="s">
        <v>50</v>
      </c>
      <c r="N682" s="20" t="s">
        <v>2166</v>
      </c>
      <c r="P682" t="s">
        <v>2330</v>
      </c>
      <c r="R682" t="s">
        <v>2986</v>
      </c>
      <c r="Z682" t="s">
        <v>11356</v>
      </c>
      <c r="AA682" t="s">
        <v>2987</v>
      </c>
    </row>
    <row r="683" spans="1:27" x14ac:dyDescent="0.3">
      <c r="A683" s="20">
        <v>682</v>
      </c>
      <c r="B683" s="20">
        <v>677</v>
      </c>
      <c r="C683" s="8" t="s">
        <v>1949</v>
      </c>
      <c r="D683" t="s">
        <v>1948</v>
      </c>
      <c r="E683" s="80" t="s">
        <v>1956</v>
      </c>
      <c r="F683" s="8" t="s">
        <v>1957</v>
      </c>
      <c r="G683" s="14" t="s">
        <v>92</v>
      </c>
      <c r="I683" s="20" t="s">
        <v>19</v>
      </c>
      <c r="N683" s="20" t="s">
        <v>2166</v>
      </c>
      <c r="P683" t="s">
        <v>2330</v>
      </c>
      <c r="Q683" t="s">
        <v>2293</v>
      </c>
      <c r="R683" t="s">
        <v>2171</v>
      </c>
      <c r="Z683" t="s">
        <v>1958</v>
      </c>
      <c r="AA683" t="s">
        <v>2987</v>
      </c>
    </row>
    <row r="684" spans="1:27" x14ac:dyDescent="0.3">
      <c r="A684" s="20">
        <v>683</v>
      </c>
      <c r="B684" s="20">
        <v>678</v>
      </c>
      <c r="C684" s="8" t="s">
        <v>1949</v>
      </c>
      <c r="D684" t="s">
        <v>1948</v>
      </c>
      <c r="E684" s="80" t="s">
        <v>1959</v>
      </c>
      <c r="F684" s="8" t="s">
        <v>1960</v>
      </c>
      <c r="G684" s="14" t="s">
        <v>92</v>
      </c>
      <c r="I684" s="20" t="s">
        <v>50</v>
      </c>
      <c r="P684" t="s">
        <v>2200</v>
      </c>
      <c r="Q684" t="s">
        <v>2369</v>
      </c>
      <c r="S684" t="s">
        <v>2988</v>
      </c>
      <c r="AA684" t="s">
        <v>2987</v>
      </c>
    </row>
    <row r="685" spans="1:27" x14ac:dyDescent="0.3">
      <c r="A685" s="20">
        <v>684</v>
      </c>
      <c r="B685" s="20">
        <v>679</v>
      </c>
      <c r="C685" s="8" t="s">
        <v>1949</v>
      </c>
      <c r="D685" t="s">
        <v>1948</v>
      </c>
      <c r="E685" s="80" t="s">
        <v>1961</v>
      </c>
      <c r="F685" s="8" t="s">
        <v>1962</v>
      </c>
      <c r="G685" s="14" t="s">
        <v>1779</v>
      </c>
      <c r="I685" s="20" t="s">
        <v>50</v>
      </c>
      <c r="P685" t="s">
        <v>2200</v>
      </c>
      <c r="Q685" t="s">
        <v>2369</v>
      </c>
      <c r="Z685" t="s">
        <v>1963</v>
      </c>
      <c r="AA685" t="s">
        <v>2987</v>
      </c>
    </row>
    <row r="686" spans="1:27" x14ac:dyDescent="0.3">
      <c r="A686" s="20">
        <v>685</v>
      </c>
      <c r="B686" s="20">
        <v>680</v>
      </c>
      <c r="C686" s="8" t="s">
        <v>1949</v>
      </c>
      <c r="D686" t="s">
        <v>1948</v>
      </c>
      <c r="E686" s="80" t="s">
        <v>1964</v>
      </c>
      <c r="F686" s="8" t="s">
        <v>1965</v>
      </c>
      <c r="G686" s="14" t="s">
        <v>1966</v>
      </c>
      <c r="I686" s="20" t="s">
        <v>19</v>
      </c>
      <c r="N686" s="20" t="s">
        <v>2166</v>
      </c>
      <c r="P686" t="s">
        <v>2330</v>
      </c>
      <c r="Q686" t="s">
        <v>2195</v>
      </c>
      <c r="R686" t="s">
        <v>2171</v>
      </c>
      <c r="Z686" t="s">
        <v>1967</v>
      </c>
      <c r="AA686" t="s">
        <v>2989</v>
      </c>
    </row>
    <row r="687" spans="1:27" x14ac:dyDescent="0.3">
      <c r="A687" s="20">
        <v>686</v>
      </c>
      <c r="B687" s="20">
        <v>681</v>
      </c>
      <c r="C687" s="8" t="s">
        <v>1949</v>
      </c>
      <c r="D687" t="s">
        <v>1948</v>
      </c>
      <c r="E687" s="80" t="s">
        <v>1968</v>
      </c>
      <c r="F687" s="8" t="s">
        <v>1969</v>
      </c>
      <c r="G687" s="14" t="s">
        <v>1970</v>
      </c>
      <c r="I687" s="20" t="s">
        <v>15</v>
      </c>
      <c r="P687" t="s">
        <v>2200</v>
      </c>
      <c r="R687" t="s">
        <v>1964</v>
      </c>
      <c r="AA687" t="s">
        <v>2987</v>
      </c>
    </row>
    <row r="688" spans="1:27" x14ac:dyDescent="0.3">
      <c r="A688" s="20">
        <v>687</v>
      </c>
      <c r="B688" s="20">
        <v>682</v>
      </c>
      <c r="C688" s="8" t="s">
        <v>1949</v>
      </c>
      <c r="D688" t="s">
        <v>1948</v>
      </c>
      <c r="E688" s="80" t="s">
        <v>1971</v>
      </c>
      <c r="F688" s="8" t="s">
        <v>1972</v>
      </c>
      <c r="G688" s="14" t="s">
        <v>360</v>
      </c>
      <c r="I688" s="20" t="s">
        <v>50</v>
      </c>
      <c r="Q688" t="s">
        <v>2293</v>
      </c>
      <c r="R688" t="s">
        <v>2990</v>
      </c>
    </row>
    <row r="689" spans="1:27" x14ac:dyDescent="0.3">
      <c r="A689" s="20">
        <v>688</v>
      </c>
      <c r="B689" s="20">
        <v>683</v>
      </c>
      <c r="C689" s="8" t="s">
        <v>1949</v>
      </c>
      <c r="D689" t="s">
        <v>1948</v>
      </c>
      <c r="E689" s="80" t="s">
        <v>1973</v>
      </c>
      <c r="F689" s="8" t="s">
        <v>1974</v>
      </c>
      <c r="G689" s="14" t="s">
        <v>1975</v>
      </c>
      <c r="I689" s="20" t="s">
        <v>50</v>
      </c>
      <c r="P689" t="s">
        <v>2200</v>
      </c>
      <c r="Q689" t="s">
        <v>2991</v>
      </c>
      <c r="AA689" t="s">
        <v>2987</v>
      </c>
    </row>
    <row r="690" spans="1:27" x14ac:dyDescent="0.3">
      <c r="A690" s="20">
        <v>689</v>
      </c>
      <c r="B690" s="20">
        <v>684</v>
      </c>
      <c r="C690" s="8" t="s">
        <v>1949</v>
      </c>
      <c r="D690" t="s">
        <v>1948</v>
      </c>
      <c r="E690" s="80" t="s">
        <v>1976</v>
      </c>
      <c r="F690" s="8" t="s">
        <v>1977</v>
      </c>
      <c r="G690" s="14" t="s">
        <v>1978</v>
      </c>
      <c r="H690" s="15" t="s">
        <v>9941</v>
      </c>
      <c r="I690" s="20" t="s">
        <v>50</v>
      </c>
      <c r="P690" t="s">
        <v>2200</v>
      </c>
      <c r="Q690" t="s">
        <v>2369</v>
      </c>
      <c r="AA690" t="s">
        <v>2989</v>
      </c>
    </row>
    <row r="691" spans="1:27" x14ac:dyDescent="0.3">
      <c r="A691" s="20">
        <v>690</v>
      </c>
      <c r="B691" s="20">
        <v>685</v>
      </c>
      <c r="C691" s="8" t="s">
        <v>1980</v>
      </c>
      <c r="D691" t="s">
        <v>1979</v>
      </c>
      <c r="E691" s="80" t="s">
        <v>1981</v>
      </c>
      <c r="F691" s="8" t="s">
        <v>1982</v>
      </c>
      <c r="G691" s="14" t="s">
        <v>1983</v>
      </c>
      <c r="H691" s="15" t="s">
        <v>9942</v>
      </c>
      <c r="I691" s="20" t="s">
        <v>19</v>
      </c>
      <c r="N691" s="20" t="s">
        <v>2166</v>
      </c>
    </row>
    <row r="692" spans="1:27" x14ac:dyDescent="0.3">
      <c r="A692" s="20">
        <v>691</v>
      </c>
      <c r="B692" s="20">
        <v>686</v>
      </c>
      <c r="C692" s="8" t="s">
        <v>1980</v>
      </c>
      <c r="D692" t="s">
        <v>1979</v>
      </c>
      <c r="E692" s="80" t="s">
        <v>1984</v>
      </c>
      <c r="F692" s="8" t="s">
        <v>1985</v>
      </c>
      <c r="G692" s="14" t="s">
        <v>1011</v>
      </c>
      <c r="I692" s="20" t="s">
        <v>19</v>
      </c>
      <c r="N692" s="20" t="s">
        <v>2166</v>
      </c>
      <c r="P692" t="s">
        <v>2174</v>
      </c>
      <c r="Q692" t="s">
        <v>2209</v>
      </c>
      <c r="R692" t="s">
        <v>2171</v>
      </c>
      <c r="S692" t="s">
        <v>2992</v>
      </c>
      <c r="Z692" t="s">
        <v>1986</v>
      </c>
      <c r="AA692" t="s">
        <v>2993</v>
      </c>
    </row>
    <row r="693" spans="1:27" x14ac:dyDescent="0.3">
      <c r="A693" s="20">
        <v>692</v>
      </c>
      <c r="B693" s="20">
        <v>687</v>
      </c>
      <c r="C693" s="8" t="s">
        <v>1980</v>
      </c>
      <c r="D693" t="s">
        <v>1979</v>
      </c>
      <c r="E693" s="80" t="s">
        <v>1987</v>
      </c>
      <c r="F693" s="8" t="s">
        <v>1988</v>
      </c>
      <c r="G693" s="14" t="s">
        <v>68</v>
      </c>
      <c r="I693" s="20" t="s">
        <v>65</v>
      </c>
      <c r="J693" s="20" t="s">
        <v>2015</v>
      </c>
    </row>
    <row r="694" spans="1:27" x14ac:dyDescent="0.3">
      <c r="A694" s="20">
        <v>693</v>
      </c>
      <c r="B694" s="20">
        <v>688</v>
      </c>
      <c r="C694" s="8" t="s">
        <v>1980</v>
      </c>
      <c r="D694" t="s">
        <v>1979</v>
      </c>
      <c r="E694" s="80" t="s">
        <v>1989</v>
      </c>
      <c r="F694" s="8" t="s">
        <v>1990</v>
      </c>
      <c r="G694" s="14" t="s">
        <v>92</v>
      </c>
      <c r="I694" s="20" t="s">
        <v>19</v>
      </c>
      <c r="N694" s="20" t="s">
        <v>2166</v>
      </c>
      <c r="R694" t="s">
        <v>2171</v>
      </c>
      <c r="Z694" t="s">
        <v>11357</v>
      </c>
    </row>
    <row r="695" spans="1:27" x14ac:dyDescent="0.3">
      <c r="A695" s="20">
        <v>694</v>
      </c>
      <c r="B695" s="20">
        <v>689</v>
      </c>
      <c r="C695" s="8" t="s">
        <v>1980</v>
      </c>
      <c r="D695" t="s">
        <v>1979</v>
      </c>
      <c r="E695" s="80" t="s">
        <v>1991</v>
      </c>
      <c r="F695" s="8" t="s">
        <v>1992</v>
      </c>
      <c r="G695" s="14" t="s">
        <v>1993</v>
      </c>
      <c r="I695" s="20" t="s">
        <v>15</v>
      </c>
    </row>
    <row r="696" spans="1:27" x14ac:dyDescent="0.3">
      <c r="A696" s="20">
        <v>695</v>
      </c>
      <c r="B696" s="20">
        <v>690</v>
      </c>
      <c r="C696" s="8" t="s">
        <v>1980</v>
      </c>
      <c r="D696" t="s">
        <v>1979</v>
      </c>
      <c r="E696" s="80" t="s">
        <v>1994</v>
      </c>
      <c r="F696" s="8" t="s">
        <v>1995</v>
      </c>
      <c r="G696" s="14" t="s">
        <v>1996</v>
      </c>
      <c r="I696" s="20" t="s">
        <v>15</v>
      </c>
      <c r="L696" s="20" t="s">
        <v>58</v>
      </c>
      <c r="N696" s="20" t="s">
        <v>2166</v>
      </c>
      <c r="P696" t="s">
        <v>2863</v>
      </c>
      <c r="U696" s="80" t="s">
        <v>2994</v>
      </c>
      <c r="X696" s="8" t="s">
        <v>2995</v>
      </c>
      <c r="Y696" s="8" t="s">
        <v>11437</v>
      </c>
      <c r="AA696" t="s">
        <v>2996</v>
      </c>
    </row>
    <row r="697" spans="1:27" x14ac:dyDescent="0.3">
      <c r="A697" s="20">
        <v>696</v>
      </c>
      <c r="B697" s="20">
        <v>691</v>
      </c>
      <c r="C697" s="8" t="s">
        <v>1980</v>
      </c>
      <c r="D697" t="s">
        <v>1979</v>
      </c>
      <c r="E697" s="80" t="s">
        <v>1997</v>
      </c>
      <c r="F697" s="8" t="s">
        <v>1998</v>
      </c>
      <c r="G697" s="14" t="s">
        <v>1999</v>
      </c>
      <c r="H697" s="15" t="s">
        <v>9943</v>
      </c>
      <c r="I697" s="20" t="s">
        <v>19</v>
      </c>
      <c r="N697" s="20" t="s">
        <v>2166</v>
      </c>
      <c r="Q697" t="s">
        <v>2997</v>
      </c>
      <c r="Y697" s="8" t="s">
        <v>11438</v>
      </c>
    </row>
    <row r="698" spans="1:27" x14ac:dyDescent="0.3">
      <c r="A698" s="20">
        <v>697</v>
      </c>
      <c r="B698" s="20">
        <v>692</v>
      </c>
      <c r="C698" s="8" t="s">
        <v>2001</v>
      </c>
      <c r="D698" t="s">
        <v>2000</v>
      </c>
      <c r="E698" s="80" t="s">
        <v>2002</v>
      </c>
      <c r="F698" s="8" t="s">
        <v>2003</v>
      </c>
      <c r="G698" s="14" t="s">
        <v>2004</v>
      </c>
      <c r="H698" s="15" t="s">
        <v>9944</v>
      </c>
      <c r="I698" s="20" t="s">
        <v>19</v>
      </c>
      <c r="N698" s="20" t="s">
        <v>2166</v>
      </c>
      <c r="Q698" t="s">
        <v>2293</v>
      </c>
    </row>
    <row r="699" spans="1:27" x14ac:dyDescent="0.3">
      <c r="A699" s="20">
        <v>698</v>
      </c>
      <c r="B699" s="20">
        <v>693</v>
      </c>
      <c r="C699" s="8" t="s">
        <v>2001</v>
      </c>
      <c r="D699" t="s">
        <v>2000</v>
      </c>
      <c r="E699" s="80" t="s">
        <v>2005</v>
      </c>
      <c r="F699" s="8" t="s">
        <v>2006</v>
      </c>
      <c r="G699" s="14" t="s">
        <v>2007</v>
      </c>
      <c r="I699" s="20" t="s">
        <v>19</v>
      </c>
      <c r="K699" s="20" t="s">
        <v>85</v>
      </c>
      <c r="L699" s="20" t="s">
        <v>85</v>
      </c>
      <c r="N699" s="20" t="s">
        <v>2166</v>
      </c>
      <c r="Q699" t="s">
        <v>2293</v>
      </c>
    </row>
    <row r="700" spans="1:27" x14ac:dyDescent="0.3">
      <c r="A700" s="20">
        <v>699</v>
      </c>
      <c r="B700" s="20">
        <v>694</v>
      </c>
      <c r="C700" s="8" t="s">
        <v>2001</v>
      </c>
      <c r="D700" t="s">
        <v>2000</v>
      </c>
      <c r="E700" s="80" t="s">
        <v>2008</v>
      </c>
      <c r="F700" s="8" t="s">
        <v>2009</v>
      </c>
      <c r="G700" s="14" t="s">
        <v>2010</v>
      </c>
      <c r="H700" s="15" t="s">
        <v>9945</v>
      </c>
      <c r="I700" s="20" t="s">
        <v>19</v>
      </c>
      <c r="N700" s="20" t="s">
        <v>2166</v>
      </c>
      <c r="Q700" t="s">
        <v>2998</v>
      </c>
      <c r="R700" t="s">
        <v>2171</v>
      </c>
      <c r="Z700" t="s">
        <v>11358</v>
      </c>
    </row>
    <row r="701" spans="1:27" x14ac:dyDescent="0.3">
      <c r="A701" s="20">
        <v>700</v>
      </c>
      <c r="B701" s="20">
        <v>695</v>
      </c>
      <c r="C701" s="8" t="s">
        <v>2001</v>
      </c>
      <c r="D701" t="s">
        <v>2000</v>
      </c>
      <c r="E701" s="80" t="s">
        <v>2011</v>
      </c>
      <c r="F701" s="8" t="s">
        <v>2012</v>
      </c>
      <c r="G701" s="14" t="s">
        <v>2013</v>
      </c>
      <c r="H701" s="15" t="s">
        <v>9946</v>
      </c>
      <c r="I701" s="20" t="s">
        <v>50</v>
      </c>
      <c r="K701" s="20" t="s">
        <v>66</v>
      </c>
      <c r="L701" s="20" t="s">
        <v>66</v>
      </c>
      <c r="M701" s="20" t="s">
        <v>66</v>
      </c>
      <c r="Q701" t="s">
        <v>2232</v>
      </c>
    </row>
  </sheetData>
  <autoFilter ref="A1:AA70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E2718"/>
  <sheetViews>
    <sheetView zoomScale="70" zoomScaleNormal="70" workbookViewId="0">
      <pane ySplit="1" topLeftCell="A2" activePane="bottomLeft" state="frozen"/>
      <selection pane="bottomLeft" activeCell="A2" sqref="A2"/>
    </sheetView>
  </sheetViews>
  <sheetFormatPr defaultColWidth="9" defaultRowHeight="14.4" x14ac:dyDescent="0.3"/>
  <cols>
    <col min="1" max="1" width="7" style="21" bestFit="1" customWidth="1"/>
    <col min="2" max="2" width="9.6640625" style="21" bestFit="1" customWidth="1"/>
    <col min="3" max="3" width="7.77734375" style="22" bestFit="1" customWidth="1"/>
    <col min="4" max="4" width="18.21875" style="71" bestFit="1" customWidth="1"/>
    <col min="5" max="5" width="15.77734375" style="22" customWidth="1"/>
    <col min="6" max="6" width="30.77734375" style="22" customWidth="1"/>
    <col min="7" max="7" width="30.77734375" style="71" customWidth="1"/>
    <col min="8" max="8" width="9.77734375" style="22" bestFit="1" customWidth="1"/>
    <col min="9" max="9" width="30.77734375" style="71" customWidth="1"/>
    <col min="10" max="10" width="30.77734375" style="22" customWidth="1"/>
    <col min="11" max="12" width="50.77734375" style="22" customWidth="1"/>
    <col min="13" max="13" width="15.77734375" style="77" customWidth="1"/>
    <col min="14" max="14" width="18.6640625" style="77" bestFit="1" customWidth="1"/>
    <col min="15" max="18" width="15.77734375" style="77" customWidth="1"/>
    <col min="19" max="19" width="8.21875" style="22" bestFit="1" customWidth="1"/>
    <col min="20" max="20" width="14.6640625" style="22" bestFit="1" customWidth="1"/>
    <col min="21" max="21" width="50.77734375" style="22" customWidth="1"/>
    <col min="22" max="25" width="30.77734375" style="22" customWidth="1"/>
    <col min="26" max="29" width="30.77734375" style="71" customWidth="1"/>
    <col min="30" max="31" width="255.77734375" style="22" bestFit="1" customWidth="1"/>
    <col min="32" max="16384" width="9" style="22"/>
  </cols>
  <sheetData>
    <row r="1" spans="1:31" s="67" customFormat="1" ht="28.8" x14ac:dyDescent="0.3">
      <c r="A1" s="65" t="s">
        <v>0</v>
      </c>
      <c r="B1" s="65" t="s">
        <v>2149</v>
      </c>
      <c r="C1" s="67" t="s">
        <v>2150</v>
      </c>
      <c r="D1" s="68" t="s">
        <v>1</v>
      </c>
      <c r="E1" s="67" t="s">
        <v>2151</v>
      </c>
      <c r="F1" s="67" t="s">
        <v>2</v>
      </c>
      <c r="G1" s="68" t="s">
        <v>3</v>
      </c>
      <c r="H1" s="67" t="s">
        <v>2999</v>
      </c>
      <c r="I1" s="68" t="s">
        <v>3000</v>
      </c>
      <c r="J1" s="67" t="s">
        <v>3001</v>
      </c>
      <c r="K1" s="67" t="s">
        <v>4</v>
      </c>
      <c r="L1" s="67" t="s">
        <v>11291</v>
      </c>
      <c r="M1" s="66" t="s">
        <v>2152</v>
      </c>
      <c r="N1" s="66" t="s">
        <v>2014</v>
      </c>
      <c r="O1" s="66" t="s">
        <v>2153</v>
      </c>
      <c r="P1" s="66" t="s">
        <v>9648</v>
      </c>
      <c r="Q1" s="66" t="s">
        <v>2154</v>
      </c>
      <c r="R1" s="66" t="s">
        <v>2155</v>
      </c>
      <c r="S1" s="67" t="s">
        <v>2156</v>
      </c>
      <c r="T1" s="67" t="s">
        <v>2157</v>
      </c>
      <c r="U1" s="67" t="s">
        <v>2158</v>
      </c>
      <c r="V1" s="67" t="s">
        <v>2159</v>
      </c>
      <c r="W1" s="67" t="s">
        <v>2160</v>
      </c>
      <c r="X1" s="67" t="s">
        <v>9649</v>
      </c>
      <c r="Y1" s="67" t="s">
        <v>2161</v>
      </c>
      <c r="Z1" s="68" t="s">
        <v>2162</v>
      </c>
      <c r="AA1" s="68" t="s">
        <v>9650</v>
      </c>
      <c r="AB1" s="68" t="s">
        <v>2163</v>
      </c>
      <c r="AC1" s="68" t="s">
        <v>11360</v>
      </c>
      <c r="AD1" s="67" t="s">
        <v>5</v>
      </c>
      <c r="AE1" s="67" t="s">
        <v>2164</v>
      </c>
    </row>
    <row r="2" spans="1:31" s="24" customFormat="1" x14ac:dyDescent="0.3">
      <c r="A2" s="23">
        <v>1</v>
      </c>
      <c r="B2" s="23">
        <v>1</v>
      </c>
      <c r="C2" s="24" t="s">
        <v>2165</v>
      </c>
      <c r="D2" s="69" t="s">
        <v>7</v>
      </c>
      <c r="E2" s="24" t="s">
        <v>6</v>
      </c>
      <c r="F2" s="24" t="s">
        <v>8</v>
      </c>
      <c r="G2" s="69" t="s">
        <v>9</v>
      </c>
      <c r="I2" s="69"/>
      <c r="J2" s="24" t="s">
        <v>3002</v>
      </c>
      <c r="K2" s="24" t="s">
        <v>11</v>
      </c>
      <c r="L2" s="24" t="s">
        <v>9651</v>
      </c>
      <c r="M2" s="75" t="s">
        <v>10</v>
      </c>
      <c r="N2" s="75"/>
      <c r="O2" s="75"/>
      <c r="P2" s="75"/>
      <c r="Q2" s="75"/>
      <c r="R2" s="75" t="s">
        <v>2166</v>
      </c>
      <c r="V2" s="24" t="s">
        <v>2167</v>
      </c>
      <c r="W2" s="24" t="s">
        <v>2167</v>
      </c>
      <c r="Y2" s="24" t="s">
        <v>2168</v>
      </c>
      <c r="Z2" s="69"/>
      <c r="AA2" s="69"/>
      <c r="AB2" s="69"/>
      <c r="AC2" s="69"/>
      <c r="AD2" s="24" t="s">
        <v>12</v>
      </c>
    </row>
    <row r="3" spans="1:31" s="24" customFormat="1" x14ac:dyDescent="0.3">
      <c r="A3" s="23">
        <v>2</v>
      </c>
      <c r="B3" s="23">
        <v>2</v>
      </c>
      <c r="C3" s="24" t="s">
        <v>2165</v>
      </c>
      <c r="D3" s="69" t="s">
        <v>7</v>
      </c>
      <c r="E3" s="24" t="s">
        <v>6</v>
      </c>
      <c r="F3" s="24" t="s">
        <v>13</v>
      </c>
      <c r="G3" s="69" t="s">
        <v>14</v>
      </c>
      <c r="H3" s="24">
        <v>1</v>
      </c>
      <c r="I3" s="69"/>
      <c r="J3" s="24" t="s">
        <v>3003</v>
      </c>
      <c r="K3" s="24" t="s">
        <v>16</v>
      </c>
      <c r="M3" s="75" t="s">
        <v>15</v>
      </c>
      <c r="N3" s="75"/>
      <c r="O3" s="75"/>
      <c r="P3" s="75"/>
      <c r="Q3" s="75"/>
      <c r="R3" s="75"/>
      <c r="V3" s="24" t="s">
        <v>2169</v>
      </c>
      <c r="W3" s="24" t="s">
        <v>2169</v>
      </c>
      <c r="Y3" s="24" t="s">
        <v>2170</v>
      </c>
      <c r="Z3" s="69"/>
      <c r="AA3" s="69"/>
      <c r="AB3" s="69"/>
      <c r="AC3" s="69"/>
    </row>
    <row r="4" spans="1:31" s="26" customFormat="1" x14ac:dyDescent="0.3">
      <c r="A4" s="25" t="s">
        <v>3004</v>
      </c>
      <c r="B4" s="25"/>
      <c r="C4" s="26" t="s">
        <v>3005</v>
      </c>
      <c r="D4" s="70"/>
      <c r="G4" s="70" t="s">
        <v>14</v>
      </c>
      <c r="H4" s="26">
        <v>2</v>
      </c>
      <c r="I4" s="70" t="s">
        <v>3006</v>
      </c>
      <c r="J4" s="26" t="s">
        <v>3003</v>
      </c>
      <c r="K4" s="26" t="s">
        <v>3007</v>
      </c>
      <c r="L4" s="26" t="s">
        <v>3007</v>
      </c>
      <c r="M4" s="76"/>
      <c r="N4" s="76"/>
      <c r="O4" s="76"/>
      <c r="P4" s="76"/>
      <c r="Q4" s="76"/>
      <c r="R4" s="76"/>
      <c r="Z4" s="70"/>
      <c r="AA4" s="70"/>
      <c r="AB4" s="70"/>
      <c r="AC4" s="70"/>
    </row>
    <row r="5" spans="1:31" s="26" customFormat="1" x14ac:dyDescent="0.3">
      <c r="A5" s="25" t="s">
        <v>3008</v>
      </c>
      <c r="B5" s="25"/>
      <c r="C5" s="26" t="s">
        <v>3005</v>
      </c>
      <c r="D5" s="70"/>
      <c r="G5" s="70" t="s">
        <v>14</v>
      </c>
      <c r="H5" s="26">
        <v>-1</v>
      </c>
      <c r="I5" s="70" t="s">
        <v>3009</v>
      </c>
      <c r="J5" s="26" t="s">
        <v>3010</v>
      </c>
      <c r="K5" s="26" t="s">
        <v>3011</v>
      </c>
      <c r="L5" s="26" t="s">
        <v>9947</v>
      </c>
      <c r="M5" s="76"/>
      <c r="N5" s="76"/>
      <c r="O5" s="76"/>
      <c r="P5" s="76"/>
      <c r="Q5" s="76"/>
      <c r="R5" s="76"/>
      <c r="Z5" s="70"/>
      <c r="AA5" s="70"/>
      <c r="AB5" s="70"/>
      <c r="AC5" s="70"/>
    </row>
    <row r="6" spans="1:31" s="26" customFormat="1" x14ac:dyDescent="0.3">
      <c r="A6" s="25" t="s">
        <v>3012</v>
      </c>
      <c r="B6" s="25"/>
      <c r="C6" s="26" t="s">
        <v>3005</v>
      </c>
      <c r="D6" s="70"/>
      <c r="G6" s="70" t="s">
        <v>14</v>
      </c>
      <c r="H6" s="26">
        <v>-1</v>
      </c>
      <c r="I6" s="70" t="s">
        <v>3013</v>
      </c>
      <c r="J6" s="26" t="s">
        <v>3014</v>
      </c>
      <c r="K6" s="26" t="s">
        <v>3015</v>
      </c>
      <c r="L6" s="26" t="s">
        <v>9948</v>
      </c>
      <c r="M6" s="76"/>
      <c r="N6" s="76"/>
      <c r="O6" s="76"/>
      <c r="P6" s="76"/>
      <c r="Q6" s="76"/>
      <c r="R6" s="76"/>
      <c r="Z6" s="70"/>
      <c r="AA6" s="70"/>
      <c r="AB6" s="70"/>
      <c r="AC6" s="70"/>
    </row>
    <row r="7" spans="1:31" s="24" customFormat="1" x14ac:dyDescent="0.3">
      <c r="A7" s="23">
        <v>3</v>
      </c>
      <c r="B7" s="23">
        <v>3</v>
      </c>
      <c r="C7" s="24" t="s">
        <v>2165</v>
      </c>
      <c r="D7" s="69" t="s">
        <v>7</v>
      </c>
      <c r="E7" s="24" t="s">
        <v>6</v>
      </c>
      <c r="F7" s="24" t="s">
        <v>17</v>
      </c>
      <c r="G7" s="69" t="s">
        <v>18</v>
      </c>
      <c r="I7" s="69"/>
      <c r="J7" s="24" t="s">
        <v>3016</v>
      </c>
      <c r="K7" s="24" t="s">
        <v>20</v>
      </c>
      <c r="M7" s="75" t="s">
        <v>19</v>
      </c>
      <c r="N7" s="75"/>
      <c r="O7" s="75"/>
      <c r="P7" s="75"/>
      <c r="Q7" s="75"/>
      <c r="R7" s="75" t="s">
        <v>2166</v>
      </c>
      <c r="V7" s="24" t="s">
        <v>2171</v>
      </c>
      <c r="W7" s="24" t="s">
        <v>2172</v>
      </c>
      <c r="Y7" s="24" t="s">
        <v>2173</v>
      </c>
      <c r="Z7" s="69"/>
      <c r="AA7" s="69"/>
      <c r="AB7" s="69"/>
      <c r="AC7" s="69"/>
      <c r="AD7" s="24" t="s">
        <v>11292</v>
      </c>
    </row>
    <row r="8" spans="1:31" s="26" customFormat="1" x14ac:dyDescent="0.3">
      <c r="A8" s="25" t="s">
        <v>3017</v>
      </c>
      <c r="B8" s="25"/>
      <c r="C8" s="26" t="s">
        <v>3005</v>
      </c>
      <c r="D8" s="70"/>
      <c r="G8" s="70" t="s">
        <v>18</v>
      </c>
      <c r="H8" s="26">
        <v>-1</v>
      </c>
      <c r="I8" s="70" t="s">
        <v>3018</v>
      </c>
      <c r="J8" s="26" t="s">
        <v>3019</v>
      </c>
      <c r="K8" s="26" t="s">
        <v>3020</v>
      </c>
      <c r="M8" s="76"/>
      <c r="N8" s="76"/>
      <c r="O8" s="76"/>
      <c r="P8" s="76"/>
      <c r="Q8" s="76"/>
      <c r="R8" s="76"/>
      <c r="U8" s="26" t="s">
        <v>3021</v>
      </c>
      <c r="Z8" s="70"/>
      <c r="AA8" s="70"/>
      <c r="AB8" s="70"/>
      <c r="AC8" s="70"/>
    </row>
    <row r="9" spans="1:31" s="26" customFormat="1" x14ac:dyDescent="0.3">
      <c r="A9" s="25" t="s">
        <v>3022</v>
      </c>
      <c r="B9" s="25"/>
      <c r="C9" s="26" t="s">
        <v>3005</v>
      </c>
      <c r="D9" s="70"/>
      <c r="G9" s="70" t="s">
        <v>18</v>
      </c>
      <c r="H9" s="26">
        <v>-1</v>
      </c>
      <c r="I9" s="70" t="s">
        <v>3023</v>
      </c>
      <c r="J9" s="26" t="s">
        <v>3016</v>
      </c>
      <c r="K9" s="26" t="s">
        <v>3024</v>
      </c>
      <c r="M9" s="76"/>
      <c r="N9" s="76"/>
      <c r="O9" s="76"/>
      <c r="P9" s="76"/>
      <c r="Q9" s="76"/>
      <c r="R9" s="76"/>
      <c r="U9" s="26" t="s">
        <v>3025</v>
      </c>
      <c r="Z9" s="70"/>
      <c r="AA9" s="70"/>
      <c r="AB9" s="70"/>
      <c r="AC9" s="70"/>
    </row>
    <row r="10" spans="1:31" s="26" customFormat="1" x14ac:dyDescent="0.3">
      <c r="A10" s="25" t="s">
        <v>3026</v>
      </c>
      <c r="B10" s="25"/>
      <c r="C10" s="26" t="s">
        <v>3005</v>
      </c>
      <c r="D10" s="70"/>
      <c r="G10" s="70" t="s">
        <v>18</v>
      </c>
      <c r="H10" s="26">
        <v>-1</v>
      </c>
      <c r="I10" s="70" t="s">
        <v>3027</v>
      </c>
      <c r="J10" s="26" t="s">
        <v>3028</v>
      </c>
      <c r="K10" s="26" t="s">
        <v>3029</v>
      </c>
      <c r="M10" s="76"/>
      <c r="N10" s="76"/>
      <c r="O10" s="76"/>
      <c r="P10" s="76"/>
      <c r="Q10" s="76"/>
      <c r="R10" s="76"/>
      <c r="U10" s="26" t="s">
        <v>3030</v>
      </c>
      <c r="Z10" s="70"/>
      <c r="AA10" s="70"/>
      <c r="AB10" s="70"/>
      <c r="AC10" s="70"/>
    </row>
    <row r="11" spans="1:31" s="24" customFormat="1" x14ac:dyDescent="0.3">
      <c r="A11" s="23">
        <v>4</v>
      </c>
      <c r="B11" s="23">
        <v>696</v>
      </c>
      <c r="C11" s="24" t="s">
        <v>2165</v>
      </c>
      <c r="D11" s="69" t="s">
        <v>7</v>
      </c>
      <c r="E11" s="24" t="s">
        <v>6</v>
      </c>
      <c r="F11" s="24" t="s">
        <v>21</v>
      </c>
      <c r="G11" s="69" t="s">
        <v>22</v>
      </c>
      <c r="I11" s="69"/>
      <c r="J11" s="24" t="s">
        <v>3031</v>
      </c>
      <c r="K11" s="24" t="s">
        <v>23</v>
      </c>
      <c r="M11" s="75" t="s">
        <v>19</v>
      </c>
      <c r="N11" s="75"/>
      <c r="O11" s="75"/>
      <c r="P11" s="75"/>
      <c r="Q11" s="75"/>
      <c r="R11" s="75" t="s">
        <v>2166</v>
      </c>
      <c r="T11" s="24" t="s">
        <v>2174</v>
      </c>
      <c r="U11" s="24" t="s">
        <v>2175</v>
      </c>
      <c r="V11" s="24" t="s">
        <v>2171</v>
      </c>
      <c r="W11" s="24" t="s">
        <v>2176</v>
      </c>
      <c r="Y11" s="24" t="s">
        <v>2177</v>
      </c>
      <c r="Z11" s="69"/>
      <c r="AA11" s="69"/>
      <c r="AB11" s="69"/>
      <c r="AC11" s="69"/>
      <c r="AD11" s="24" t="s">
        <v>11293</v>
      </c>
      <c r="AE11" s="24" t="s">
        <v>2178</v>
      </c>
    </row>
    <row r="12" spans="1:31" s="26" customFormat="1" x14ac:dyDescent="0.3">
      <c r="A12" s="25" t="s">
        <v>3032</v>
      </c>
      <c r="B12" s="25"/>
      <c r="C12" s="26" t="s">
        <v>3005</v>
      </c>
      <c r="D12" s="70"/>
      <c r="G12" s="70" t="s">
        <v>22</v>
      </c>
      <c r="H12" s="26">
        <v>-1</v>
      </c>
      <c r="I12" s="70" t="s">
        <v>3033</v>
      </c>
      <c r="J12" s="26" t="s">
        <v>3031</v>
      </c>
      <c r="K12" s="26" t="s">
        <v>3034</v>
      </c>
      <c r="L12" s="26" t="s">
        <v>9949</v>
      </c>
      <c r="M12" s="76"/>
      <c r="N12" s="76"/>
      <c r="O12" s="76"/>
      <c r="P12" s="76"/>
      <c r="Q12" s="76"/>
      <c r="R12" s="76"/>
      <c r="U12" s="26" t="s">
        <v>3035</v>
      </c>
      <c r="Z12" s="70"/>
      <c r="AA12" s="70"/>
      <c r="AB12" s="70"/>
      <c r="AC12" s="70"/>
    </row>
    <row r="13" spans="1:31" s="26" customFormat="1" x14ac:dyDescent="0.3">
      <c r="A13" s="25" t="s">
        <v>3036</v>
      </c>
      <c r="B13" s="25"/>
      <c r="C13" s="26" t="s">
        <v>3005</v>
      </c>
      <c r="D13" s="70"/>
      <c r="G13" s="70" t="s">
        <v>22</v>
      </c>
      <c r="H13" s="26">
        <v>-1</v>
      </c>
      <c r="I13" s="70" t="s">
        <v>3037</v>
      </c>
      <c r="J13" s="26" t="s">
        <v>3038</v>
      </c>
      <c r="K13" s="26" t="s">
        <v>3039</v>
      </c>
      <c r="L13" s="26" t="s">
        <v>9950</v>
      </c>
      <c r="M13" s="76"/>
      <c r="N13" s="76"/>
      <c r="O13" s="76"/>
      <c r="P13" s="76"/>
      <c r="Q13" s="76"/>
      <c r="R13" s="76"/>
      <c r="U13" s="26" t="s">
        <v>3040</v>
      </c>
      <c r="Z13" s="70"/>
      <c r="AA13" s="70"/>
      <c r="AB13" s="70"/>
      <c r="AC13" s="70"/>
    </row>
    <row r="14" spans="1:31" s="26" customFormat="1" x14ac:dyDescent="0.3">
      <c r="A14" s="25" t="s">
        <v>3041</v>
      </c>
      <c r="B14" s="25"/>
      <c r="C14" s="26" t="s">
        <v>3005</v>
      </c>
      <c r="D14" s="70"/>
      <c r="G14" s="70" t="s">
        <v>22</v>
      </c>
      <c r="H14" s="26">
        <v>-1</v>
      </c>
      <c r="I14" s="70" t="s">
        <v>3042</v>
      </c>
      <c r="J14" s="26" t="s">
        <v>3043</v>
      </c>
      <c r="K14" s="26" t="s">
        <v>3044</v>
      </c>
      <c r="L14" s="26" t="s">
        <v>9951</v>
      </c>
      <c r="M14" s="76"/>
      <c r="N14" s="76"/>
      <c r="O14" s="76"/>
      <c r="P14" s="76"/>
      <c r="Q14" s="76"/>
      <c r="R14" s="76"/>
      <c r="U14" s="26" t="s">
        <v>3045</v>
      </c>
      <c r="Z14" s="70"/>
      <c r="AA14" s="70"/>
      <c r="AB14" s="70"/>
      <c r="AC14" s="70"/>
    </row>
    <row r="15" spans="1:31" s="24" customFormat="1" x14ac:dyDescent="0.3">
      <c r="A15" s="23">
        <v>5</v>
      </c>
      <c r="B15" s="23">
        <v>4</v>
      </c>
      <c r="C15" s="24" t="s">
        <v>2165</v>
      </c>
      <c r="D15" s="69" t="s">
        <v>7</v>
      </c>
      <c r="E15" s="24" t="s">
        <v>6</v>
      </c>
      <c r="F15" s="24" t="s">
        <v>24</v>
      </c>
      <c r="G15" s="69" t="s">
        <v>25</v>
      </c>
      <c r="I15" s="69"/>
      <c r="J15" s="24" t="s">
        <v>3046</v>
      </c>
      <c r="K15" s="24" t="s">
        <v>23</v>
      </c>
      <c r="M15" s="75" t="s">
        <v>19</v>
      </c>
      <c r="N15" s="75"/>
      <c r="O15" s="75"/>
      <c r="P15" s="75"/>
      <c r="Q15" s="75"/>
      <c r="R15" s="75" t="s">
        <v>2166</v>
      </c>
      <c r="T15" s="24" t="s">
        <v>2179</v>
      </c>
      <c r="V15" s="24" t="s">
        <v>2171</v>
      </c>
      <c r="W15" s="24" t="s">
        <v>2180</v>
      </c>
      <c r="Z15" s="69"/>
      <c r="AA15" s="69"/>
      <c r="AB15" s="69"/>
      <c r="AC15" s="69"/>
      <c r="AD15" s="24" t="s">
        <v>11294</v>
      </c>
      <c r="AE15" s="24" t="s">
        <v>2181</v>
      </c>
    </row>
    <row r="16" spans="1:31" s="26" customFormat="1" x14ac:dyDescent="0.3">
      <c r="A16" s="25" t="s">
        <v>3047</v>
      </c>
      <c r="B16" s="25"/>
      <c r="C16" s="26" t="s">
        <v>3005</v>
      </c>
      <c r="D16" s="70"/>
      <c r="G16" s="70" t="s">
        <v>25</v>
      </c>
      <c r="H16" s="26">
        <v>-1</v>
      </c>
      <c r="I16" s="70" t="s">
        <v>3048</v>
      </c>
      <c r="J16" s="26" t="s">
        <v>3049</v>
      </c>
      <c r="K16" s="26" t="s">
        <v>3050</v>
      </c>
      <c r="L16" s="26" t="s">
        <v>9952</v>
      </c>
      <c r="M16" s="76"/>
      <c r="N16" s="76"/>
      <c r="O16" s="76"/>
      <c r="P16" s="76"/>
      <c r="Q16" s="76"/>
      <c r="R16" s="76"/>
      <c r="U16" s="26" t="s">
        <v>3051</v>
      </c>
      <c r="Z16" s="70"/>
      <c r="AA16" s="70"/>
      <c r="AB16" s="70"/>
      <c r="AC16" s="70"/>
    </row>
    <row r="17" spans="1:30" s="26" customFormat="1" x14ac:dyDescent="0.3">
      <c r="A17" s="25" t="s">
        <v>3052</v>
      </c>
      <c r="B17" s="25"/>
      <c r="C17" s="26" t="s">
        <v>3005</v>
      </c>
      <c r="D17" s="70"/>
      <c r="G17" s="70" t="s">
        <v>25</v>
      </c>
      <c r="H17" s="26">
        <v>-1</v>
      </c>
      <c r="I17" s="70" t="s">
        <v>3053</v>
      </c>
      <c r="J17" s="26" t="s">
        <v>3046</v>
      </c>
      <c r="K17" s="26" t="s">
        <v>3054</v>
      </c>
      <c r="L17" s="26" t="s">
        <v>9953</v>
      </c>
      <c r="M17" s="76"/>
      <c r="N17" s="76"/>
      <c r="O17" s="76"/>
      <c r="P17" s="76"/>
      <c r="Q17" s="76"/>
      <c r="R17" s="76"/>
      <c r="U17" s="26" t="s">
        <v>3055</v>
      </c>
      <c r="Z17" s="70"/>
      <c r="AA17" s="70"/>
      <c r="AB17" s="70"/>
      <c r="AC17" s="70"/>
    </row>
    <row r="18" spans="1:30" s="24" customFormat="1" x14ac:dyDescent="0.3">
      <c r="A18" s="23">
        <v>6</v>
      </c>
      <c r="B18" s="23">
        <v>5</v>
      </c>
      <c r="C18" s="24" t="s">
        <v>2165</v>
      </c>
      <c r="D18" s="69" t="s">
        <v>7</v>
      </c>
      <c r="E18" s="24" t="s">
        <v>6</v>
      </c>
      <c r="F18" s="24" t="s">
        <v>26</v>
      </c>
      <c r="G18" s="69" t="s">
        <v>27</v>
      </c>
      <c r="I18" s="69"/>
      <c r="J18" s="24" t="s">
        <v>3056</v>
      </c>
      <c r="K18" s="24" t="s">
        <v>28</v>
      </c>
      <c r="M18" s="75" t="s">
        <v>19</v>
      </c>
      <c r="N18" s="75"/>
      <c r="O18" s="75"/>
      <c r="P18" s="75"/>
      <c r="Q18" s="75"/>
      <c r="R18" s="75" t="s">
        <v>2166</v>
      </c>
      <c r="V18" s="24" t="s">
        <v>2171</v>
      </c>
      <c r="Z18" s="69"/>
      <c r="AA18" s="69"/>
      <c r="AB18" s="69"/>
      <c r="AC18" s="69"/>
      <c r="AD18" s="24" t="s">
        <v>11295</v>
      </c>
    </row>
    <row r="19" spans="1:30" s="26" customFormat="1" x14ac:dyDescent="0.3">
      <c r="A19" s="25" t="s">
        <v>3057</v>
      </c>
      <c r="B19" s="25"/>
      <c r="C19" s="26" t="s">
        <v>3005</v>
      </c>
      <c r="D19" s="70"/>
      <c r="G19" s="70" t="s">
        <v>27</v>
      </c>
      <c r="H19" s="26">
        <v>-1</v>
      </c>
      <c r="I19" s="70" t="s">
        <v>3058</v>
      </c>
      <c r="J19" s="26" t="s">
        <v>3059</v>
      </c>
      <c r="K19" s="26" t="s">
        <v>3060</v>
      </c>
      <c r="M19" s="76"/>
      <c r="N19" s="76"/>
      <c r="O19" s="76"/>
      <c r="P19" s="76"/>
      <c r="Q19" s="76"/>
      <c r="R19" s="76"/>
      <c r="U19" s="26" t="s">
        <v>3061</v>
      </c>
      <c r="Z19" s="70"/>
      <c r="AA19" s="70"/>
      <c r="AB19" s="70"/>
      <c r="AC19" s="70"/>
    </row>
    <row r="20" spans="1:30" s="26" customFormat="1" x14ac:dyDescent="0.3">
      <c r="A20" s="25" t="s">
        <v>3062</v>
      </c>
      <c r="B20" s="25"/>
      <c r="C20" s="26" t="s">
        <v>3005</v>
      </c>
      <c r="D20" s="70"/>
      <c r="G20" s="70" t="s">
        <v>27</v>
      </c>
      <c r="H20" s="26">
        <v>-1</v>
      </c>
      <c r="I20" s="70" t="s">
        <v>3063</v>
      </c>
      <c r="J20" s="26" t="s">
        <v>3056</v>
      </c>
      <c r="K20" s="26" t="s">
        <v>3064</v>
      </c>
      <c r="M20" s="76"/>
      <c r="N20" s="76"/>
      <c r="O20" s="76"/>
      <c r="P20" s="76"/>
      <c r="Q20" s="76"/>
      <c r="R20" s="76"/>
      <c r="U20" s="26" t="s">
        <v>3065</v>
      </c>
      <c r="Z20" s="70"/>
      <c r="AA20" s="70"/>
      <c r="AB20" s="70"/>
      <c r="AC20" s="70"/>
    </row>
    <row r="21" spans="1:30" s="26" customFormat="1" x14ac:dyDescent="0.3">
      <c r="A21" s="25" t="s">
        <v>3066</v>
      </c>
      <c r="B21" s="25"/>
      <c r="C21" s="26" t="s">
        <v>3005</v>
      </c>
      <c r="D21" s="70"/>
      <c r="G21" s="70" t="s">
        <v>27</v>
      </c>
      <c r="H21" s="26">
        <v>-1</v>
      </c>
      <c r="I21" s="70" t="s">
        <v>3067</v>
      </c>
      <c r="J21" s="26" t="s">
        <v>3068</v>
      </c>
      <c r="K21" s="26" t="s">
        <v>3069</v>
      </c>
      <c r="M21" s="76"/>
      <c r="N21" s="76"/>
      <c r="O21" s="76"/>
      <c r="P21" s="76"/>
      <c r="Q21" s="76"/>
      <c r="R21" s="76"/>
      <c r="U21" s="26" t="s">
        <v>3070</v>
      </c>
      <c r="Z21" s="70"/>
      <c r="AA21" s="70"/>
      <c r="AB21" s="70"/>
      <c r="AC21" s="70"/>
    </row>
    <row r="22" spans="1:30" s="26" customFormat="1" x14ac:dyDescent="0.3">
      <c r="A22" s="25" t="s">
        <v>3071</v>
      </c>
      <c r="B22" s="25"/>
      <c r="C22" s="26" t="s">
        <v>3005</v>
      </c>
      <c r="D22" s="70"/>
      <c r="G22" s="70" t="s">
        <v>27</v>
      </c>
      <c r="H22" s="26">
        <v>-1</v>
      </c>
      <c r="I22" s="70" t="s">
        <v>3072</v>
      </c>
      <c r="J22" s="26" t="s">
        <v>3073</v>
      </c>
      <c r="K22" s="26" t="s">
        <v>3074</v>
      </c>
      <c r="L22" s="26" t="s">
        <v>9954</v>
      </c>
      <c r="M22" s="76"/>
      <c r="N22" s="76"/>
      <c r="O22" s="76"/>
      <c r="P22" s="76"/>
      <c r="Q22" s="76"/>
      <c r="R22" s="76"/>
      <c r="U22" s="26" t="s">
        <v>3075</v>
      </c>
      <c r="Z22" s="70"/>
      <c r="AA22" s="70"/>
      <c r="AB22" s="70"/>
      <c r="AC22" s="70"/>
    </row>
    <row r="23" spans="1:30" s="26" customFormat="1" x14ac:dyDescent="0.3">
      <c r="A23" s="25" t="s">
        <v>3076</v>
      </c>
      <c r="B23" s="25"/>
      <c r="C23" s="26" t="s">
        <v>3005</v>
      </c>
      <c r="D23" s="70"/>
      <c r="G23" s="70" t="s">
        <v>27</v>
      </c>
      <c r="H23" s="26">
        <v>-1</v>
      </c>
      <c r="I23" s="70" t="s">
        <v>3077</v>
      </c>
      <c r="J23" s="26" t="s">
        <v>3078</v>
      </c>
      <c r="K23" s="26" t="s">
        <v>3079</v>
      </c>
      <c r="L23" s="26" t="s">
        <v>9955</v>
      </c>
      <c r="M23" s="76"/>
      <c r="N23" s="76"/>
      <c r="O23" s="76"/>
      <c r="P23" s="76"/>
      <c r="Q23" s="76"/>
      <c r="R23" s="76"/>
      <c r="U23" s="26" t="s">
        <v>3080</v>
      </c>
      <c r="Z23" s="70"/>
      <c r="AA23" s="70"/>
      <c r="AB23" s="70"/>
      <c r="AC23" s="70"/>
    </row>
    <row r="24" spans="1:30" s="24" customFormat="1" x14ac:dyDescent="0.3">
      <c r="A24" s="23">
        <v>7</v>
      </c>
      <c r="B24" s="23">
        <v>6</v>
      </c>
      <c r="C24" s="24" t="s">
        <v>2165</v>
      </c>
      <c r="D24" s="69" t="s">
        <v>7</v>
      </c>
      <c r="E24" s="24" t="s">
        <v>6</v>
      </c>
      <c r="F24" s="24" t="s">
        <v>29</v>
      </c>
      <c r="G24" s="69" t="s">
        <v>30</v>
      </c>
      <c r="I24" s="69"/>
      <c r="J24" s="24" t="s">
        <v>3081</v>
      </c>
      <c r="K24" s="24" t="s">
        <v>31</v>
      </c>
      <c r="M24" s="75" t="s">
        <v>19</v>
      </c>
      <c r="N24" s="75"/>
      <c r="O24" s="75"/>
      <c r="P24" s="75"/>
      <c r="Q24" s="75"/>
      <c r="R24" s="75" t="s">
        <v>2166</v>
      </c>
      <c r="U24" s="24" t="s">
        <v>2182</v>
      </c>
      <c r="V24" s="24" t="s">
        <v>2171</v>
      </c>
      <c r="Z24" s="69"/>
      <c r="AA24" s="69"/>
      <c r="AB24" s="69"/>
      <c r="AC24" s="69"/>
      <c r="AD24" s="24" t="s">
        <v>11296</v>
      </c>
    </row>
    <row r="25" spans="1:30" s="26" customFormat="1" x14ac:dyDescent="0.3">
      <c r="A25" s="25" t="s">
        <v>3082</v>
      </c>
      <c r="B25" s="25"/>
      <c r="C25" s="26" t="s">
        <v>3005</v>
      </c>
      <c r="D25" s="70"/>
      <c r="G25" s="70" t="s">
        <v>30</v>
      </c>
      <c r="H25" s="26">
        <v>-1</v>
      </c>
      <c r="I25" s="70" t="s">
        <v>3083</v>
      </c>
      <c r="J25" s="26" t="s">
        <v>3081</v>
      </c>
      <c r="K25" s="26" t="s">
        <v>3084</v>
      </c>
      <c r="M25" s="76"/>
      <c r="N25" s="76"/>
      <c r="O25" s="76"/>
      <c r="P25" s="76"/>
      <c r="Q25" s="76"/>
      <c r="R25" s="76"/>
      <c r="U25" s="26" t="s">
        <v>3085</v>
      </c>
      <c r="Z25" s="70"/>
      <c r="AA25" s="70"/>
      <c r="AB25" s="70"/>
      <c r="AC25" s="70"/>
    </row>
    <row r="26" spans="1:30" s="26" customFormat="1" x14ac:dyDescent="0.3">
      <c r="A26" s="25" t="s">
        <v>3086</v>
      </c>
      <c r="B26" s="25"/>
      <c r="C26" s="26" t="s">
        <v>3005</v>
      </c>
      <c r="D26" s="70"/>
      <c r="G26" s="70" t="s">
        <v>30</v>
      </c>
      <c r="H26" s="26">
        <v>-1</v>
      </c>
      <c r="I26" s="70" t="s">
        <v>3087</v>
      </c>
      <c r="J26" s="26" t="s">
        <v>3088</v>
      </c>
      <c r="K26" s="26" t="s">
        <v>3089</v>
      </c>
      <c r="M26" s="76"/>
      <c r="N26" s="76"/>
      <c r="O26" s="76"/>
      <c r="P26" s="76"/>
      <c r="Q26" s="76"/>
      <c r="R26" s="76"/>
      <c r="U26" s="26" t="s">
        <v>3090</v>
      </c>
      <c r="Z26" s="70"/>
      <c r="AA26" s="70"/>
      <c r="AB26" s="70"/>
      <c r="AC26" s="70"/>
    </row>
    <row r="27" spans="1:30" s="24" customFormat="1" x14ac:dyDescent="0.3">
      <c r="A27" s="23">
        <v>8</v>
      </c>
      <c r="B27" s="23">
        <v>7</v>
      </c>
      <c r="C27" s="24" t="s">
        <v>2165</v>
      </c>
      <c r="D27" s="69" t="s">
        <v>7</v>
      </c>
      <c r="E27" s="24" t="s">
        <v>6</v>
      </c>
      <c r="F27" s="24" t="s">
        <v>32</v>
      </c>
      <c r="G27" s="69" t="s">
        <v>33</v>
      </c>
      <c r="I27" s="69"/>
      <c r="J27" s="24" t="s">
        <v>3016</v>
      </c>
      <c r="K27" s="24" t="s">
        <v>34</v>
      </c>
      <c r="L27" s="24" t="s">
        <v>9652</v>
      </c>
      <c r="M27" s="75" t="s">
        <v>19</v>
      </c>
      <c r="N27" s="75"/>
      <c r="O27" s="75"/>
      <c r="P27" s="75"/>
      <c r="Q27" s="75"/>
      <c r="R27" s="75" t="s">
        <v>2166</v>
      </c>
      <c r="U27" s="24" t="s">
        <v>2183</v>
      </c>
      <c r="Z27" s="69"/>
      <c r="AA27" s="69"/>
      <c r="AB27" s="69"/>
      <c r="AC27" s="69"/>
    </row>
    <row r="28" spans="1:30" s="24" customFormat="1" x14ac:dyDescent="0.3">
      <c r="A28" s="23">
        <v>9</v>
      </c>
      <c r="B28" s="23">
        <v>8</v>
      </c>
      <c r="C28" s="24" t="s">
        <v>2165</v>
      </c>
      <c r="D28" s="69" t="s">
        <v>7</v>
      </c>
      <c r="E28" s="24" t="s">
        <v>6</v>
      </c>
      <c r="F28" s="24" t="s">
        <v>35</v>
      </c>
      <c r="G28" s="69" t="s">
        <v>36</v>
      </c>
      <c r="I28" s="69"/>
      <c r="J28" s="24" t="s">
        <v>3091</v>
      </c>
      <c r="K28" s="24" t="s">
        <v>37</v>
      </c>
      <c r="L28" s="24" t="s">
        <v>9653</v>
      </c>
      <c r="M28" s="75" t="s">
        <v>19</v>
      </c>
      <c r="N28" s="75"/>
      <c r="O28" s="75"/>
      <c r="P28" s="75"/>
      <c r="Q28" s="75"/>
      <c r="R28" s="75" t="s">
        <v>2166</v>
      </c>
      <c r="U28" s="24" t="s">
        <v>2184</v>
      </c>
      <c r="Z28" s="69"/>
      <c r="AA28" s="69"/>
      <c r="AB28" s="69"/>
      <c r="AC28" s="69"/>
      <c r="AD28" s="24" t="s">
        <v>11297</v>
      </c>
    </row>
    <row r="29" spans="1:30" s="24" customFormat="1" x14ac:dyDescent="0.3">
      <c r="A29" s="23">
        <v>10</v>
      </c>
      <c r="B29" s="23">
        <v>9</v>
      </c>
      <c r="C29" s="24" t="s">
        <v>2165</v>
      </c>
      <c r="D29" s="69" t="s">
        <v>7</v>
      </c>
      <c r="E29" s="24" t="s">
        <v>6</v>
      </c>
      <c r="F29" s="24" t="s">
        <v>38</v>
      </c>
      <c r="G29" s="69" t="s">
        <v>39</v>
      </c>
      <c r="I29" s="69"/>
      <c r="J29" s="24" t="s">
        <v>3016</v>
      </c>
      <c r="K29" s="24" t="s">
        <v>40</v>
      </c>
      <c r="L29" s="24" t="s">
        <v>9654</v>
      </c>
      <c r="M29" s="75" t="s">
        <v>19</v>
      </c>
      <c r="N29" s="75"/>
      <c r="O29" s="75"/>
      <c r="P29" s="75"/>
      <c r="Q29" s="75"/>
      <c r="R29" s="75" t="s">
        <v>2166</v>
      </c>
      <c r="U29" s="24" t="s">
        <v>2185</v>
      </c>
      <c r="V29" s="24" t="s">
        <v>2171</v>
      </c>
      <c r="Z29" s="69"/>
      <c r="AA29" s="69"/>
      <c r="AB29" s="69"/>
      <c r="AC29" s="69"/>
      <c r="AD29" s="24" t="s">
        <v>11298</v>
      </c>
    </row>
    <row r="30" spans="1:30" s="24" customFormat="1" x14ac:dyDescent="0.3">
      <c r="A30" s="23">
        <v>11</v>
      </c>
      <c r="B30" s="23">
        <v>10</v>
      </c>
      <c r="C30" s="24" t="s">
        <v>2165</v>
      </c>
      <c r="D30" s="69" t="s">
        <v>7</v>
      </c>
      <c r="E30" s="24" t="s">
        <v>6</v>
      </c>
      <c r="F30" s="24" t="s">
        <v>41</v>
      </c>
      <c r="G30" s="69" t="s">
        <v>42</v>
      </c>
      <c r="I30" s="69"/>
      <c r="J30" s="24" t="s">
        <v>3092</v>
      </c>
      <c r="K30" s="24" t="s">
        <v>43</v>
      </c>
      <c r="M30" s="75" t="s">
        <v>19</v>
      </c>
      <c r="N30" s="75"/>
      <c r="O30" s="75"/>
      <c r="P30" s="75"/>
      <c r="Q30" s="75"/>
      <c r="R30" s="75" t="s">
        <v>2166</v>
      </c>
      <c r="U30" s="24" t="s">
        <v>2186</v>
      </c>
      <c r="W30" s="24" t="s">
        <v>2187</v>
      </c>
      <c r="Y30" s="24" t="s">
        <v>2188</v>
      </c>
      <c r="Z30" s="69"/>
      <c r="AA30" s="69"/>
      <c r="AB30" s="69"/>
      <c r="AC30" s="69"/>
      <c r="AD30" s="24" t="s">
        <v>44</v>
      </c>
    </row>
    <row r="31" spans="1:30" s="26" customFormat="1" x14ac:dyDescent="0.3">
      <c r="A31" s="25" t="s">
        <v>3093</v>
      </c>
      <c r="B31" s="25"/>
      <c r="C31" s="26" t="s">
        <v>3005</v>
      </c>
      <c r="D31" s="70"/>
      <c r="G31" s="70" t="s">
        <v>42</v>
      </c>
      <c r="H31" s="26">
        <v>-1</v>
      </c>
      <c r="I31" s="70" t="s">
        <v>3094</v>
      </c>
      <c r="J31" s="26" t="s">
        <v>3092</v>
      </c>
      <c r="K31" s="26" t="s">
        <v>3095</v>
      </c>
      <c r="L31" s="26" t="s">
        <v>9956</v>
      </c>
      <c r="M31" s="76"/>
      <c r="N31" s="76"/>
      <c r="O31" s="76"/>
      <c r="P31" s="76"/>
      <c r="Q31" s="76"/>
      <c r="R31" s="76"/>
      <c r="Z31" s="70"/>
      <c r="AA31" s="70"/>
      <c r="AB31" s="70"/>
      <c r="AC31" s="70"/>
    </row>
    <row r="32" spans="1:30" s="26" customFormat="1" x14ac:dyDescent="0.3">
      <c r="A32" s="25" t="s">
        <v>3096</v>
      </c>
      <c r="B32" s="25"/>
      <c r="C32" s="26" t="s">
        <v>3005</v>
      </c>
      <c r="D32" s="70"/>
      <c r="G32" s="70" t="s">
        <v>42</v>
      </c>
      <c r="H32" s="26">
        <v>-1</v>
      </c>
      <c r="I32" s="70" t="s">
        <v>3097</v>
      </c>
      <c r="J32" s="26" t="s">
        <v>3098</v>
      </c>
      <c r="K32" s="26" t="s">
        <v>3099</v>
      </c>
      <c r="L32" s="26" t="s">
        <v>9957</v>
      </c>
      <c r="M32" s="76"/>
      <c r="N32" s="76"/>
      <c r="O32" s="76"/>
      <c r="P32" s="76"/>
      <c r="Q32" s="76"/>
      <c r="R32" s="76"/>
      <c r="Z32" s="70"/>
      <c r="AA32" s="70"/>
      <c r="AB32" s="70"/>
      <c r="AC32" s="70"/>
    </row>
    <row r="33" spans="1:31" s="24" customFormat="1" x14ac:dyDescent="0.3">
      <c r="A33" s="23">
        <v>12</v>
      </c>
      <c r="B33" s="23">
        <v>11</v>
      </c>
      <c r="C33" s="24" t="s">
        <v>2165</v>
      </c>
      <c r="D33" s="69" t="s">
        <v>7</v>
      </c>
      <c r="E33" s="24" t="s">
        <v>6</v>
      </c>
      <c r="F33" s="24" t="s">
        <v>45</v>
      </c>
      <c r="G33" s="69" t="s">
        <v>46</v>
      </c>
      <c r="I33" s="69"/>
      <c r="J33" s="24" t="s">
        <v>3100</v>
      </c>
      <c r="K33" s="24" t="s">
        <v>47</v>
      </c>
      <c r="L33" s="24" t="s">
        <v>9655</v>
      </c>
      <c r="M33" s="75" t="s">
        <v>19</v>
      </c>
      <c r="N33" s="75"/>
      <c r="O33" s="75"/>
      <c r="P33" s="75"/>
      <c r="Q33" s="75"/>
      <c r="R33" s="75" t="s">
        <v>2166</v>
      </c>
      <c r="U33" s="24" t="s">
        <v>2189</v>
      </c>
      <c r="V33" s="24" t="s">
        <v>2171</v>
      </c>
      <c r="Z33" s="69"/>
      <c r="AA33" s="69"/>
      <c r="AB33" s="69"/>
      <c r="AC33" s="69"/>
      <c r="AD33" s="24" t="s">
        <v>11299</v>
      </c>
    </row>
    <row r="34" spans="1:31" s="24" customFormat="1" x14ac:dyDescent="0.3">
      <c r="A34" s="23">
        <v>13</v>
      </c>
      <c r="B34" s="23">
        <v>12</v>
      </c>
      <c r="C34" s="24" t="s">
        <v>2165</v>
      </c>
      <c r="D34" s="69" t="s">
        <v>7</v>
      </c>
      <c r="E34" s="24" t="s">
        <v>6</v>
      </c>
      <c r="F34" s="24" t="s">
        <v>48</v>
      </c>
      <c r="G34" s="69" t="s">
        <v>49</v>
      </c>
      <c r="I34" s="69"/>
      <c r="J34" s="24" t="s">
        <v>3016</v>
      </c>
      <c r="K34" s="24" t="s">
        <v>51</v>
      </c>
      <c r="L34" s="24" t="s">
        <v>9656</v>
      </c>
      <c r="M34" s="75" t="s">
        <v>50</v>
      </c>
      <c r="N34" s="75"/>
      <c r="O34" s="75"/>
      <c r="P34" s="75"/>
      <c r="Q34" s="75"/>
      <c r="R34" s="75"/>
      <c r="U34" s="24" t="s">
        <v>2190</v>
      </c>
      <c r="Z34" s="69"/>
      <c r="AA34" s="69"/>
      <c r="AB34" s="69"/>
      <c r="AC34" s="69"/>
    </row>
    <row r="35" spans="1:31" s="24" customFormat="1" x14ac:dyDescent="0.3">
      <c r="A35" s="23">
        <v>14</v>
      </c>
      <c r="B35" s="23">
        <v>13</v>
      </c>
      <c r="C35" s="24" t="s">
        <v>2165</v>
      </c>
      <c r="D35" s="69" t="s">
        <v>7</v>
      </c>
      <c r="E35" s="24" t="s">
        <v>6</v>
      </c>
      <c r="F35" s="24" t="s">
        <v>52</v>
      </c>
      <c r="G35" s="69" t="s">
        <v>53</v>
      </c>
      <c r="I35" s="69"/>
      <c r="J35" s="24" t="s">
        <v>3016</v>
      </c>
      <c r="K35" s="24" t="s">
        <v>20</v>
      </c>
      <c r="L35" s="24" t="s">
        <v>9657</v>
      </c>
      <c r="M35" s="75" t="s">
        <v>50</v>
      </c>
      <c r="N35" s="75"/>
      <c r="O35" s="75"/>
      <c r="P35" s="75"/>
      <c r="Q35" s="75"/>
      <c r="R35" s="75"/>
      <c r="U35" s="24" t="s">
        <v>2191</v>
      </c>
      <c r="Z35" s="69"/>
      <c r="AA35" s="69"/>
      <c r="AB35" s="69"/>
      <c r="AC35" s="69"/>
    </row>
    <row r="36" spans="1:31" s="24" customFormat="1" x14ac:dyDescent="0.3">
      <c r="A36" s="23">
        <v>15</v>
      </c>
      <c r="B36" s="23">
        <v>14</v>
      </c>
      <c r="C36" s="24" t="s">
        <v>2165</v>
      </c>
      <c r="D36" s="69" t="s">
        <v>7</v>
      </c>
      <c r="E36" s="24" t="s">
        <v>6</v>
      </c>
      <c r="F36" s="24" t="s">
        <v>54</v>
      </c>
      <c r="G36" s="69" t="s">
        <v>55</v>
      </c>
      <c r="I36" s="69"/>
      <c r="J36" s="24" t="s">
        <v>3016</v>
      </c>
      <c r="K36" s="24" t="s">
        <v>20</v>
      </c>
      <c r="M36" s="75" t="s">
        <v>19</v>
      </c>
      <c r="N36" s="75"/>
      <c r="O36" s="75"/>
      <c r="P36" s="75"/>
      <c r="Q36" s="75"/>
      <c r="R36" s="75" t="s">
        <v>2166</v>
      </c>
      <c r="U36" s="24" t="s">
        <v>2192</v>
      </c>
      <c r="Z36" s="69"/>
      <c r="AA36" s="69"/>
      <c r="AB36" s="69"/>
      <c r="AC36" s="69"/>
    </row>
    <row r="37" spans="1:31" s="26" customFormat="1" x14ac:dyDescent="0.3">
      <c r="A37" s="25" t="s">
        <v>3101</v>
      </c>
      <c r="B37" s="25"/>
      <c r="C37" s="26" t="s">
        <v>3005</v>
      </c>
      <c r="D37" s="70"/>
      <c r="G37" s="70" t="s">
        <v>55</v>
      </c>
      <c r="H37" s="26">
        <v>-1</v>
      </c>
      <c r="I37" s="70" t="s">
        <v>3102</v>
      </c>
      <c r="J37" s="26" t="s">
        <v>3016</v>
      </c>
      <c r="K37" s="26" t="s">
        <v>3103</v>
      </c>
      <c r="M37" s="76"/>
      <c r="N37" s="76"/>
      <c r="O37" s="76"/>
      <c r="P37" s="76"/>
      <c r="Q37" s="76"/>
      <c r="R37" s="76"/>
      <c r="U37" s="26" t="s">
        <v>2192</v>
      </c>
      <c r="Z37" s="70"/>
      <c r="AA37" s="70"/>
      <c r="AB37" s="70"/>
      <c r="AC37" s="70"/>
    </row>
    <row r="38" spans="1:31" s="26" customFormat="1" x14ac:dyDescent="0.3">
      <c r="A38" s="25" t="s">
        <v>3104</v>
      </c>
      <c r="B38" s="25"/>
      <c r="C38" s="26" t="s">
        <v>3005</v>
      </c>
      <c r="D38" s="70"/>
      <c r="G38" s="70" t="s">
        <v>55</v>
      </c>
      <c r="H38" s="26">
        <v>-1</v>
      </c>
      <c r="I38" s="70" t="s">
        <v>3105</v>
      </c>
      <c r="J38" s="26" t="s">
        <v>3106</v>
      </c>
      <c r="K38" s="26" t="s">
        <v>3107</v>
      </c>
      <c r="M38" s="76"/>
      <c r="N38" s="76"/>
      <c r="O38" s="76"/>
      <c r="P38" s="76"/>
      <c r="Q38" s="76"/>
      <c r="R38" s="76"/>
      <c r="Z38" s="70"/>
      <c r="AA38" s="70"/>
      <c r="AB38" s="70"/>
      <c r="AC38" s="70"/>
    </row>
    <row r="39" spans="1:31" s="24" customFormat="1" x14ac:dyDescent="0.3">
      <c r="A39" s="23">
        <v>16</v>
      </c>
      <c r="B39" s="23">
        <v>15</v>
      </c>
      <c r="C39" s="24" t="s">
        <v>2165</v>
      </c>
      <c r="D39" s="69" t="s">
        <v>7</v>
      </c>
      <c r="E39" s="24" t="s">
        <v>6</v>
      </c>
      <c r="F39" s="24" t="s">
        <v>56</v>
      </c>
      <c r="G39" s="69" t="s">
        <v>57</v>
      </c>
      <c r="I39" s="69"/>
      <c r="J39" s="24" t="s">
        <v>3100</v>
      </c>
      <c r="K39" s="24" t="s">
        <v>59</v>
      </c>
      <c r="L39" s="24" t="s">
        <v>9658</v>
      </c>
      <c r="M39" s="75" t="s">
        <v>19</v>
      </c>
      <c r="N39" s="75"/>
      <c r="O39" s="75" t="s">
        <v>58</v>
      </c>
      <c r="P39" s="75" t="s">
        <v>58</v>
      </c>
      <c r="Q39" s="75"/>
      <c r="R39" s="75" t="s">
        <v>2166</v>
      </c>
      <c r="U39" s="24" t="s">
        <v>2193</v>
      </c>
      <c r="V39" s="24" t="s">
        <v>2171</v>
      </c>
      <c r="Z39" s="69"/>
      <c r="AA39" s="69"/>
      <c r="AB39" s="69"/>
      <c r="AC39" s="69"/>
      <c r="AD39" s="24" t="s">
        <v>11300</v>
      </c>
    </row>
    <row r="40" spans="1:31" s="24" customFormat="1" x14ac:dyDescent="0.3">
      <c r="A40" s="23">
        <v>17</v>
      </c>
      <c r="B40" s="23">
        <v>16</v>
      </c>
      <c r="C40" s="24" t="s">
        <v>2165</v>
      </c>
      <c r="D40" s="69" t="s">
        <v>7</v>
      </c>
      <c r="E40" s="24" t="s">
        <v>6</v>
      </c>
      <c r="F40" s="24" t="s">
        <v>60</v>
      </c>
      <c r="G40" s="69" t="s">
        <v>61</v>
      </c>
      <c r="I40" s="69"/>
      <c r="J40" s="24" t="s">
        <v>3016</v>
      </c>
      <c r="K40" s="24" t="s">
        <v>62</v>
      </c>
      <c r="L40" s="24" t="s">
        <v>9659</v>
      </c>
      <c r="M40" s="75" t="s">
        <v>50</v>
      </c>
      <c r="N40" s="75"/>
      <c r="O40" s="75"/>
      <c r="P40" s="75"/>
      <c r="Q40" s="75"/>
      <c r="R40" s="75"/>
      <c r="U40" s="24" t="s">
        <v>2194</v>
      </c>
      <c r="Z40" s="69"/>
      <c r="AA40" s="69"/>
      <c r="AB40" s="69"/>
      <c r="AC40" s="69"/>
    </row>
    <row r="41" spans="1:31" s="24" customFormat="1" x14ac:dyDescent="0.3">
      <c r="A41" s="23">
        <v>18</v>
      </c>
      <c r="B41" s="23">
        <v>17</v>
      </c>
      <c r="C41" s="24" t="s">
        <v>2165</v>
      </c>
      <c r="D41" s="69" t="s">
        <v>7</v>
      </c>
      <c r="E41" s="24" t="s">
        <v>6</v>
      </c>
      <c r="F41" s="24" t="s">
        <v>63</v>
      </c>
      <c r="G41" s="69" t="s">
        <v>64</v>
      </c>
      <c r="I41" s="69"/>
      <c r="J41" s="24" t="s">
        <v>3108</v>
      </c>
      <c r="K41" s="24" t="s">
        <v>68</v>
      </c>
      <c r="L41" s="24" t="s">
        <v>9660</v>
      </c>
      <c r="M41" s="75" t="s">
        <v>65</v>
      </c>
      <c r="N41" s="75" t="s">
        <v>2015</v>
      </c>
      <c r="O41" s="75" t="s">
        <v>66</v>
      </c>
      <c r="P41" s="75" t="s">
        <v>66</v>
      </c>
      <c r="Q41" s="75" t="s">
        <v>67</v>
      </c>
      <c r="R41" s="75"/>
      <c r="Z41" s="69"/>
      <c r="AA41" s="69"/>
      <c r="AB41" s="69"/>
      <c r="AC41" s="69"/>
    </row>
    <row r="42" spans="1:31" s="24" customFormat="1" x14ac:dyDescent="0.3">
      <c r="A42" s="23">
        <v>19</v>
      </c>
      <c r="B42" s="23">
        <v>18</v>
      </c>
      <c r="C42" s="24" t="s">
        <v>2165</v>
      </c>
      <c r="D42" s="69" t="s">
        <v>7</v>
      </c>
      <c r="E42" s="24" t="s">
        <v>6</v>
      </c>
      <c r="F42" s="24" t="s">
        <v>69</v>
      </c>
      <c r="G42" s="69" t="s">
        <v>70</v>
      </c>
      <c r="I42" s="69"/>
      <c r="J42" s="24" t="s">
        <v>3109</v>
      </c>
      <c r="K42" s="24" t="s">
        <v>71</v>
      </c>
      <c r="L42" s="24" t="s">
        <v>9661</v>
      </c>
      <c r="M42" s="75" t="s">
        <v>19</v>
      </c>
      <c r="N42" s="75"/>
      <c r="O42" s="75"/>
      <c r="P42" s="75"/>
      <c r="Q42" s="75"/>
      <c r="R42" s="75" t="s">
        <v>2166</v>
      </c>
      <c r="U42" s="24" t="s">
        <v>2195</v>
      </c>
      <c r="V42" s="24" t="s">
        <v>2196</v>
      </c>
      <c r="Y42" s="24" t="s">
        <v>2197</v>
      </c>
      <c r="Z42" s="69"/>
      <c r="AA42" s="69"/>
      <c r="AB42" s="69"/>
      <c r="AC42" s="69"/>
    </row>
    <row r="43" spans="1:31" s="24" customFormat="1" x14ac:dyDescent="0.3">
      <c r="A43" s="23">
        <v>20</v>
      </c>
      <c r="B43" s="23">
        <v>19</v>
      </c>
      <c r="C43" s="24" t="s">
        <v>2165</v>
      </c>
      <c r="D43" s="69" t="s">
        <v>7</v>
      </c>
      <c r="E43" s="24" t="s">
        <v>6</v>
      </c>
      <c r="F43" s="24" t="s">
        <v>72</v>
      </c>
      <c r="G43" s="69" t="s">
        <v>73</v>
      </c>
      <c r="I43" s="69"/>
      <c r="J43" s="24" t="s">
        <v>3110</v>
      </c>
      <c r="K43" s="24" t="s">
        <v>20</v>
      </c>
      <c r="M43" s="75" t="s">
        <v>19</v>
      </c>
      <c r="N43" s="75"/>
      <c r="O43" s="75"/>
      <c r="P43" s="75"/>
      <c r="Q43" s="75"/>
      <c r="R43" s="75" t="s">
        <v>2166</v>
      </c>
      <c r="U43" s="24" t="s">
        <v>2198</v>
      </c>
      <c r="Z43" s="69"/>
      <c r="AA43" s="69"/>
      <c r="AB43" s="69"/>
      <c r="AC43" s="69"/>
    </row>
    <row r="44" spans="1:31" s="26" customFormat="1" x14ac:dyDescent="0.3">
      <c r="A44" s="25" t="s">
        <v>3111</v>
      </c>
      <c r="B44" s="25"/>
      <c r="C44" s="26" t="s">
        <v>3005</v>
      </c>
      <c r="D44" s="70"/>
      <c r="G44" s="70" t="s">
        <v>73</v>
      </c>
      <c r="H44" s="26">
        <v>-1</v>
      </c>
      <c r="I44" s="70" t="s">
        <v>3112</v>
      </c>
      <c r="J44" s="26" t="s">
        <v>3110</v>
      </c>
      <c r="K44" s="26" t="s">
        <v>3113</v>
      </c>
      <c r="L44" s="26" t="s">
        <v>9958</v>
      </c>
      <c r="M44" s="76"/>
      <c r="N44" s="76"/>
      <c r="O44" s="76"/>
      <c r="P44" s="76"/>
      <c r="Q44" s="76"/>
      <c r="R44" s="76"/>
      <c r="U44" s="26" t="s">
        <v>3114</v>
      </c>
      <c r="Z44" s="70"/>
      <c r="AA44" s="70"/>
      <c r="AB44" s="70"/>
      <c r="AC44" s="70"/>
    </row>
    <row r="45" spans="1:31" s="26" customFormat="1" x14ac:dyDescent="0.3">
      <c r="A45" s="25" t="s">
        <v>3115</v>
      </c>
      <c r="B45" s="25"/>
      <c r="C45" s="26" t="s">
        <v>3005</v>
      </c>
      <c r="D45" s="70"/>
      <c r="G45" s="70" t="s">
        <v>73</v>
      </c>
      <c r="H45" s="26">
        <v>-1</v>
      </c>
      <c r="I45" s="70" t="s">
        <v>3116</v>
      </c>
      <c r="J45" s="26" t="s">
        <v>3117</v>
      </c>
      <c r="K45" s="26" t="s">
        <v>3118</v>
      </c>
      <c r="L45" s="26" t="s">
        <v>9959</v>
      </c>
      <c r="M45" s="76"/>
      <c r="N45" s="76"/>
      <c r="O45" s="76"/>
      <c r="P45" s="76"/>
      <c r="Q45" s="76"/>
      <c r="R45" s="76"/>
      <c r="Z45" s="70"/>
      <c r="AA45" s="70"/>
      <c r="AB45" s="70"/>
      <c r="AC45" s="70"/>
    </row>
    <row r="46" spans="1:31" s="24" customFormat="1" x14ac:dyDescent="0.3">
      <c r="A46" s="23">
        <v>21</v>
      </c>
      <c r="B46" s="23">
        <v>20</v>
      </c>
      <c r="C46" s="24" t="s">
        <v>2165</v>
      </c>
      <c r="D46" s="69" t="s">
        <v>7</v>
      </c>
      <c r="E46" s="24" t="s">
        <v>6</v>
      </c>
      <c r="F46" s="24" t="s">
        <v>74</v>
      </c>
      <c r="G46" s="69" t="s">
        <v>75</v>
      </c>
      <c r="I46" s="69"/>
      <c r="J46" s="24" t="s">
        <v>3110</v>
      </c>
      <c r="K46" s="24" t="s">
        <v>76</v>
      </c>
      <c r="L46" s="24" t="s">
        <v>9662</v>
      </c>
      <c r="M46" s="75" t="s">
        <v>50</v>
      </c>
      <c r="N46" s="75"/>
      <c r="O46" s="75"/>
      <c r="P46" s="75"/>
      <c r="Q46" s="75"/>
      <c r="R46" s="75"/>
      <c r="U46" s="24" t="s">
        <v>2199</v>
      </c>
      <c r="Z46" s="69"/>
      <c r="AA46" s="69"/>
      <c r="AB46" s="69"/>
      <c r="AC46" s="69"/>
    </row>
    <row r="47" spans="1:31" s="24" customFormat="1" x14ac:dyDescent="0.3">
      <c r="A47" s="23">
        <v>22</v>
      </c>
      <c r="B47" s="23">
        <v>21</v>
      </c>
      <c r="C47" s="24" t="s">
        <v>2165</v>
      </c>
      <c r="D47" s="69" t="s">
        <v>7</v>
      </c>
      <c r="E47" s="24" t="s">
        <v>6</v>
      </c>
      <c r="F47" s="24" t="s">
        <v>77</v>
      </c>
      <c r="G47" s="69" t="s">
        <v>78</v>
      </c>
      <c r="I47" s="69"/>
      <c r="J47" s="24" t="s">
        <v>3110</v>
      </c>
      <c r="K47" s="24" t="s">
        <v>79</v>
      </c>
      <c r="M47" s="75" t="s">
        <v>50</v>
      </c>
      <c r="N47" s="75"/>
      <c r="O47" s="75"/>
      <c r="P47" s="75"/>
      <c r="Q47" s="75"/>
      <c r="R47" s="75"/>
      <c r="T47" s="24" t="s">
        <v>2200</v>
      </c>
      <c r="U47" s="24" t="s">
        <v>2201</v>
      </c>
      <c r="V47" s="24" t="s">
        <v>2202</v>
      </c>
      <c r="W47" s="24" t="s">
        <v>2202</v>
      </c>
      <c r="Y47" s="24" t="s">
        <v>2203</v>
      </c>
      <c r="Z47" s="69"/>
      <c r="AA47" s="69"/>
      <c r="AB47" s="69"/>
      <c r="AC47" s="69"/>
      <c r="AE47" s="24" t="s">
        <v>2204</v>
      </c>
    </row>
    <row r="48" spans="1:31" s="24" customFormat="1" x14ac:dyDescent="0.3">
      <c r="A48" s="23">
        <v>23</v>
      </c>
      <c r="B48" s="23">
        <v>22</v>
      </c>
      <c r="C48" s="24" t="s">
        <v>2165</v>
      </c>
      <c r="D48" s="69" t="s">
        <v>7</v>
      </c>
      <c r="E48" s="24" t="s">
        <v>6</v>
      </c>
      <c r="F48" s="24" t="s">
        <v>80</v>
      </c>
      <c r="G48" s="69" t="s">
        <v>81</v>
      </c>
      <c r="I48" s="69"/>
      <c r="J48" s="24" t="s">
        <v>3016</v>
      </c>
      <c r="K48" s="24" t="s">
        <v>82</v>
      </c>
      <c r="L48" s="24" t="s">
        <v>9663</v>
      </c>
      <c r="M48" s="75" t="s">
        <v>50</v>
      </c>
      <c r="N48" s="75"/>
      <c r="O48" s="75" t="s">
        <v>66</v>
      </c>
      <c r="P48" s="75" t="s">
        <v>66</v>
      </c>
      <c r="Q48" s="75"/>
      <c r="R48" s="75"/>
      <c r="U48" s="24" t="s">
        <v>2194</v>
      </c>
      <c r="Z48" s="69"/>
      <c r="AA48" s="69"/>
      <c r="AB48" s="69"/>
      <c r="AC48" s="69"/>
    </row>
    <row r="49" spans="1:30" s="24" customFormat="1" x14ac:dyDescent="0.3">
      <c r="A49" s="23">
        <v>24</v>
      </c>
      <c r="B49" s="23">
        <v>23</v>
      </c>
      <c r="C49" s="24" t="s">
        <v>2165</v>
      </c>
      <c r="D49" s="69" t="s">
        <v>7</v>
      </c>
      <c r="E49" s="24" t="s">
        <v>6</v>
      </c>
      <c r="F49" s="24" t="s">
        <v>83</v>
      </c>
      <c r="G49" s="69" t="s">
        <v>84</v>
      </c>
      <c r="I49" s="69"/>
      <c r="J49" s="24" t="s">
        <v>3119</v>
      </c>
      <c r="K49" s="24" t="s">
        <v>86</v>
      </c>
      <c r="L49" s="24" t="s">
        <v>9664</v>
      </c>
      <c r="M49" s="75" t="s">
        <v>19</v>
      </c>
      <c r="N49" s="75"/>
      <c r="O49" s="75" t="s">
        <v>85</v>
      </c>
      <c r="P49" s="75" t="s">
        <v>85</v>
      </c>
      <c r="Q49" s="75" t="s">
        <v>85</v>
      </c>
      <c r="R49" s="75" t="s">
        <v>2166</v>
      </c>
      <c r="U49" s="24" t="s">
        <v>2205</v>
      </c>
      <c r="Z49" s="69"/>
      <c r="AA49" s="69"/>
      <c r="AB49" s="69"/>
      <c r="AC49" s="69"/>
    </row>
    <row r="50" spans="1:30" s="24" customFormat="1" x14ac:dyDescent="0.3">
      <c r="A50" s="23">
        <v>25</v>
      </c>
      <c r="B50" s="23">
        <v>24</v>
      </c>
      <c r="C50" s="24" t="s">
        <v>2165</v>
      </c>
      <c r="D50" s="69" t="s">
        <v>7</v>
      </c>
      <c r="E50" s="24" t="s">
        <v>6</v>
      </c>
      <c r="F50" s="24" t="s">
        <v>87</v>
      </c>
      <c r="G50" s="69" t="s">
        <v>88</v>
      </c>
      <c r="I50" s="69"/>
      <c r="J50" s="24" t="s">
        <v>3120</v>
      </c>
      <c r="K50" s="24" t="s">
        <v>89</v>
      </c>
      <c r="L50" s="24" t="s">
        <v>9665</v>
      </c>
      <c r="M50" s="75" t="s">
        <v>19</v>
      </c>
      <c r="N50" s="75"/>
      <c r="O50" s="75" t="s">
        <v>58</v>
      </c>
      <c r="P50" s="75" t="s">
        <v>58</v>
      </c>
      <c r="Q50" s="75"/>
      <c r="R50" s="75"/>
      <c r="U50" s="24" t="s">
        <v>2206</v>
      </c>
      <c r="V50" s="24" t="s">
        <v>2171</v>
      </c>
      <c r="Z50" s="69"/>
      <c r="AA50" s="69"/>
      <c r="AB50" s="69"/>
      <c r="AC50" s="69"/>
      <c r="AD50" s="24" t="s">
        <v>11301</v>
      </c>
    </row>
    <row r="51" spans="1:30" s="24" customFormat="1" x14ac:dyDescent="0.3">
      <c r="A51" s="23">
        <v>26</v>
      </c>
      <c r="B51" s="23">
        <v>25</v>
      </c>
      <c r="C51" s="24" t="s">
        <v>2165</v>
      </c>
      <c r="D51" s="69" t="s">
        <v>7</v>
      </c>
      <c r="E51" s="24" t="s">
        <v>6</v>
      </c>
      <c r="F51" s="24" t="s">
        <v>90</v>
      </c>
      <c r="G51" s="69" t="s">
        <v>91</v>
      </c>
      <c r="I51" s="69"/>
      <c r="J51" s="24" t="s">
        <v>3016</v>
      </c>
      <c r="K51" s="24" t="s">
        <v>92</v>
      </c>
      <c r="L51" s="24" t="s">
        <v>9666</v>
      </c>
      <c r="M51" s="75" t="s">
        <v>50</v>
      </c>
      <c r="N51" s="75"/>
      <c r="O51" s="75"/>
      <c r="P51" s="75"/>
      <c r="Q51" s="75"/>
      <c r="R51" s="75"/>
      <c r="U51" s="24" t="s">
        <v>2194</v>
      </c>
      <c r="Z51" s="69"/>
      <c r="AA51" s="69"/>
      <c r="AB51" s="69"/>
      <c r="AC51" s="69"/>
    </row>
    <row r="52" spans="1:30" s="24" customFormat="1" x14ac:dyDescent="0.3">
      <c r="A52" s="23">
        <v>27</v>
      </c>
      <c r="B52" s="23">
        <v>26</v>
      </c>
      <c r="C52" s="24" t="s">
        <v>2165</v>
      </c>
      <c r="D52" s="69" t="s">
        <v>7</v>
      </c>
      <c r="E52" s="24" t="s">
        <v>6</v>
      </c>
      <c r="F52" s="24" t="s">
        <v>93</v>
      </c>
      <c r="G52" s="69" t="s">
        <v>94</v>
      </c>
      <c r="I52" s="69"/>
      <c r="J52" s="24" t="s">
        <v>3121</v>
      </c>
      <c r="K52" s="24" t="s">
        <v>20</v>
      </c>
      <c r="M52" s="75" t="s">
        <v>19</v>
      </c>
      <c r="N52" s="75"/>
      <c r="O52" s="75"/>
      <c r="P52" s="75"/>
      <c r="Q52" s="75"/>
      <c r="R52" s="75" t="s">
        <v>2166</v>
      </c>
      <c r="Z52" s="69"/>
      <c r="AA52" s="69"/>
      <c r="AB52" s="69"/>
      <c r="AC52" s="69"/>
    </row>
    <row r="53" spans="1:30" s="26" customFormat="1" x14ac:dyDescent="0.3">
      <c r="A53" s="25" t="s">
        <v>3122</v>
      </c>
      <c r="B53" s="25"/>
      <c r="C53" s="26" t="s">
        <v>3005</v>
      </c>
      <c r="D53" s="70"/>
      <c r="G53" s="70" t="s">
        <v>94</v>
      </c>
      <c r="H53" s="26">
        <v>-1</v>
      </c>
      <c r="I53" s="70" t="s">
        <v>3123</v>
      </c>
      <c r="J53" s="26" t="s">
        <v>3121</v>
      </c>
      <c r="K53" s="26" t="s">
        <v>3089</v>
      </c>
      <c r="L53" s="26" t="s">
        <v>9960</v>
      </c>
      <c r="M53" s="76"/>
      <c r="N53" s="76"/>
      <c r="O53" s="76"/>
      <c r="P53" s="76"/>
      <c r="Q53" s="76"/>
      <c r="R53" s="76"/>
      <c r="U53" s="26" t="s">
        <v>3124</v>
      </c>
      <c r="Z53" s="70"/>
      <c r="AA53" s="70"/>
      <c r="AB53" s="70"/>
      <c r="AC53" s="70"/>
    </row>
    <row r="54" spans="1:30" s="26" customFormat="1" x14ac:dyDescent="0.3">
      <c r="A54" s="25" t="s">
        <v>3125</v>
      </c>
      <c r="B54" s="25"/>
      <c r="C54" s="26" t="s">
        <v>3005</v>
      </c>
      <c r="D54" s="70"/>
      <c r="G54" s="70" t="s">
        <v>94</v>
      </c>
      <c r="H54" s="26">
        <v>-1</v>
      </c>
      <c r="I54" s="70" t="s">
        <v>3126</v>
      </c>
      <c r="J54" s="26" t="s">
        <v>3127</v>
      </c>
      <c r="K54" s="26" t="s">
        <v>3128</v>
      </c>
      <c r="L54" s="26" t="s">
        <v>9961</v>
      </c>
      <c r="M54" s="76"/>
      <c r="N54" s="76"/>
      <c r="O54" s="76"/>
      <c r="P54" s="76"/>
      <c r="Q54" s="76"/>
      <c r="R54" s="76"/>
      <c r="U54" s="26" t="s">
        <v>3129</v>
      </c>
      <c r="Z54" s="70"/>
      <c r="AA54" s="70"/>
      <c r="AB54" s="70"/>
      <c r="AC54" s="70"/>
    </row>
    <row r="55" spans="1:30" s="24" customFormat="1" x14ac:dyDescent="0.3">
      <c r="A55" s="23">
        <v>28</v>
      </c>
      <c r="B55" s="23">
        <v>697</v>
      </c>
      <c r="C55" s="24" t="s">
        <v>2165</v>
      </c>
      <c r="D55" s="69" t="s">
        <v>7</v>
      </c>
      <c r="E55" s="24" t="s">
        <v>6</v>
      </c>
      <c r="F55" s="24" t="s">
        <v>95</v>
      </c>
      <c r="G55" s="69" t="s">
        <v>96</v>
      </c>
      <c r="I55" s="69"/>
      <c r="J55" s="24" t="s">
        <v>3130</v>
      </c>
      <c r="K55" s="24" t="s">
        <v>97</v>
      </c>
      <c r="L55" s="24" t="s">
        <v>9667</v>
      </c>
      <c r="M55" s="75" t="s">
        <v>19</v>
      </c>
      <c r="N55" s="75"/>
      <c r="O55" s="75" t="s">
        <v>67</v>
      </c>
      <c r="P55" s="75" t="s">
        <v>67</v>
      </c>
      <c r="Q55" s="75"/>
      <c r="R55" s="75" t="s">
        <v>2166</v>
      </c>
      <c r="V55" s="24" t="s">
        <v>2171</v>
      </c>
      <c r="Z55" s="69"/>
      <c r="AA55" s="69"/>
      <c r="AB55" s="69"/>
      <c r="AC55" s="69"/>
      <c r="AD55" s="24" t="s">
        <v>11302</v>
      </c>
    </row>
    <row r="56" spans="1:30" s="24" customFormat="1" x14ac:dyDescent="0.3">
      <c r="A56" s="23">
        <v>29</v>
      </c>
      <c r="B56" s="23">
        <v>27</v>
      </c>
      <c r="C56" s="24" t="s">
        <v>2165</v>
      </c>
      <c r="D56" s="69" t="s">
        <v>99</v>
      </c>
      <c r="E56" s="24" t="s">
        <v>98</v>
      </c>
      <c r="F56" s="24" t="s">
        <v>100</v>
      </c>
      <c r="G56" s="69" t="s">
        <v>101</v>
      </c>
      <c r="H56" s="24">
        <v>4</v>
      </c>
      <c r="I56" s="69"/>
      <c r="J56" s="24" t="s">
        <v>3131</v>
      </c>
      <c r="K56" s="24" t="s">
        <v>102</v>
      </c>
      <c r="M56" s="75" t="s">
        <v>15</v>
      </c>
      <c r="N56" s="75"/>
      <c r="O56" s="75"/>
      <c r="P56" s="75"/>
      <c r="Q56" s="75" t="s">
        <v>66</v>
      </c>
      <c r="R56" s="75"/>
      <c r="V56" s="24" t="s">
        <v>2207</v>
      </c>
      <c r="W56" s="24" t="s">
        <v>2207</v>
      </c>
      <c r="Y56" s="24" t="s">
        <v>2208</v>
      </c>
      <c r="Z56" s="69"/>
      <c r="AA56" s="69"/>
      <c r="AB56" s="69"/>
      <c r="AC56" s="69"/>
    </row>
    <row r="57" spans="1:30" s="26" customFormat="1" x14ac:dyDescent="0.3">
      <c r="A57" s="25" t="s">
        <v>3132</v>
      </c>
      <c r="B57" s="25"/>
      <c r="C57" s="26" t="s">
        <v>3005</v>
      </c>
      <c r="D57" s="70"/>
      <c r="G57" s="70" t="s">
        <v>101</v>
      </c>
      <c r="H57" s="26">
        <v>6</v>
      </c>
      <c r="I57" s="70" t="s">
        <v>3133</v>
      </c>
      <c r="J57" s="26" t="s">
        <v>3131</v>
      </c>
      <c r="K57" s="26" t="s">
        <v>3134</v>
      </c>
      <c r="L57" s="26" t="s">
        <v>9962</v>
      </c>
      <c r="M57" s="76"/>
      <c r="N57" s="76"/>
      <c r="O57" s="76"/>
      <c r="P57" s="76"/>
      <c r="Q57" s="76"/>
      <c r="R57" s="76"/>
      <c r="Z57" s="70"/>
      <c r="AA57" s="70"/>
      <c r="AB57" s="70"/>
      <c r="AC57" s="70"/>
    </row>
    <row r="58" spans="1:30" s="26" customFormat="1" x14ac:dyDescent="0.3">
      <c r="A58" s="25" t="s">
        <v>3135</v>
      </c>
      <c r="B58" s="25"/>
      <c r="C58" s="26" t="s">
        <v>3005</v>
      </c>
      <c r="D58" s="70"/>
      <c r="G58" s="70" t="s">
        <v>101</v>
      </c>
      <c r="H58" s="26">
        <v>3</v>
      </c>
      <c r="I58" s="70" t="s">
        <v>3136</v>
      </c>
      <c r="J58" s="26" t="s">
        <v>3137</v>
      </c>
      <c r="K58" s="26" t="s">
        <v>3138</v>
      </c>
      <c r="L58" s="26" t="s">
        <v>9963</v>
      </c>
      <c r="M58" s="76"/>
      <c r="N58" s="76"/>
      <c r="O58" s="76"/>
      <c r="P58" s="76"/>
      <c r="Q58" s="76"/>
      <c r="R58" s="76"/>
      <c r="Z58" s="70"/>
      <c r="AA58" s="70"/>
      <c r="AB58" s="70"/>
      <c r="AC58" s="70"/>
    </row>
    <row r="59" spans="1:30" s="26" customFormat="1" x14ac:dyDescent="0.3">
      <c r="A59" s="25" t="s">
        <v>3139</v>
      </c>
      <c r="B59" s="25"/>
      <c r="C59" s="26" t="s">
        <v>3005</v>
      </c>
      <c r="D59" s="70"/>
      <c r="G59" s="70" t="s">
        <v>101</v>
      </c>
      <c r="H59" s="26">
        <v>3</v>
      </c>
      <c r="I59" s="70" t="s">
        <v>3140</v>
      </c>
      <c r="J59" s="26" t="s">
        <v>3137</v>
      </c>
      <c r="K59" s="26" t="s">
        <v>3141</v>
      </c>
      <c r="L59" s="26" t="s">
        <v>9964</v>
      </c>
      <c r="M59" s="76"/>
      <c r="N59" s="76"/>
      <c r="O59" s="76"/>
      <c r="P59" s="76"/>
      <c r="Q59" s="76"/>
      <c r="R59" s="76"/>
      <c r="Z59" s="70"/>
      <c r="AA59" s="70"/>
      <c r="AB59" s="70"/>
      <c r="AC59" s="70"/>
    </row>
    <row r="60" spans="1:30" s="26" customFormat="1" x14ac:dyDescent="0.3">
      <c r="A60" s="25" t="s">
        <v>3142</v>
      </c>
      <c r="B60" s="25"/>
      <c r="C60" s="26" t="s">
        <v>3005</v>
      </c>
      <c r="D60" s="70"/>
      <c r="G60" s="70" t="s">
        <v>101</v>
      </c>
      <c r="H60" s="26">
        <v>1</v>
      </c>
      <c r="I60" s="70" t="s">
        <v>3143</v>
      </c>
      <c r="J60" s="26" t="s">
        <v>3144</v>
      </c>
      <c r="K60" s="26" t="s">
        <v>3145</v>
      </c>
      <c r="L60" s="26" t="s">
        <v>9965</v>
      </c>
      <c r="M60" s="76"/>
      <c r="N60" s="76"/>
      <c r="O60" s="76"/>
      <c r="P60" s="76"/>
      <c r="Q60" s="76"/>
      <c r="R60" s="76"/>
      <c r="Z60" s="70"/>
      <c r="AA60" s="70"/>
      <c r="AB60" s="70"/>
      <c r="AC60" s="70"/>
    </row>
    <row r="61" spans="1:30" s="26" customFormat="1" x14ac:dyDescent="0.3">
      <c r="A61" s="25" t="s">
        <v>3146</v>
      </c>
      <c r="B61" s="25"/>
      <c r="C61" s="26" t="s">
        <v>3005</v>
      </c>
      <c r="D61" s="70"/>
      <c r="G61" s="70" t="s">
        <v>101</v>
      </c>
      <c r="H61" s="26">
        <v>-1</v>
      </c>
      <c r="I61" s="70" t="s">
        <v>3147</v>
      </c>
      <c r="J61" s="26" t="s">
        <v>3148</v>
      </c>
      <c r="K61" s="26" t="s">
        <v>3149</v>
      </c>
      <c r="L61" s="26" t="s">
        <v>9966</v>
      </c>
      <c r="M61" s="76"/>
      <c r="N61" s="76"/>
      <c r="O61" s="76"/>
      <c r="P61" s="76"/>
      <c r="Q61" s="76"/>
      <c r="R61" s="76"/>
      <c r="Z61" s="70"/>
      <c r="AA61" s="70"/>
      <c r="AB61" s="70"/>
      <c r="AC61" s="70"/>
    </row>
    <row r="62" spans="1:30" s="26" customFormat="1" x14ac:dyDescent="0.3">
      <c r="A62" s="25" t="s">
        <v>3150</v>
      </c>
      <c r="B62" s="25"/>
      <c r="C62" s="26" t="s">
        <v>3005</v>
      </c>
      <c r="D62" s="70"/>
      <c r="G62" s="70" t="s">
        <v>101</v>
      </c>
      <c r="H62" s="26">
        <v>-1</v>
      </c>
      <c r="I62" s="70" t="s">
        <v>3151</v>
      </c>
      <c r="J62" s="26" t="s">
        <v>3152</v>
      </c>
      <c r="K62" s="26" t="s">
        <v>3153</v>
      </c>
      <c r="L62" s="26" t="s">
        <v>9967</v>
      </c>
      <c r="M62" s="76"/>
      <c r="N62" s="76"/>
      <c r="O62" s="76"/>
      <c r="P62" s="76"/>
      <c r="Q62" s="76"/>
      <c r="R62" s="76"/>
      <c r="Z62" s="70"/>
      <c r="AA62" s="70"/>
      <c r="AB62" s="70"/>
      <c r="AC62" s="70"/>
    </row>
    <row r="63" spans="1:30" s="26" customFormat="1" x14ac:dyDescent="0.3">
      <c r="A63" s="25" t="s">
        <v>3154</v>
      </c>
      <c r="B63" s="25"/>
      <c r="C63" s="26" t="s">
        <v>3005</v>
      </c>
      <c r="D63" s="70"/>
      <c r="G63" s="70" t="s">
        <v>101</v>
      </c>
      <c r="H63" s="26">
        <v>-1</v>
      </c>
      <c r="I63" s="70" t="s">
        <v>3155</v>
      </c>
      <c r="J63" s="26" t="s">
        <v>3156</v>
      </c>
      <c r="K63" s="26" t="s">
        <v>3157</v>
      </c>
      <c r="L63" s="26" t="s">
        <v>9968</v>
      </c>
      <c r="M63" s="76"/>
      <c r="N63" s="76"/>
      <c r="O63" s="76"/>
      <c r="P63" s="76"/>
      <c r="Q63" s="76"/>
      <c r="R63" s="76"/>
      <c r="Z63" s="70"/>
      <c r="AA63" s="70"/>
      <c r="AB63" s="70"/>
      <c r="AC63" s="70"/>
    </row>
    <row r="64" spans="1:30" s="24" customFormat="1" x14ac:dyDescent="0.3">
      <c r="A64" s="23">
        <v>30</v>
      </c>
      <c r="B64" s="23">
        <v>28</v>
      </c>
      <c r="C64" s="24" t="s">
        <v>2165</v>
      </c>
      <c r="D64" s="69" t="s">
        <v>104</v>
      </c>
      <c r="E64" s="24" t="s">
        <v>103</v>
      </c>
      <c r="F64" s="24" t="s">
        <v>105</v>
      </c>
      <c r="G64" s="69" t="s">
        <v>106</v>
      </c>
      <c r="I64" s="69"/>
      <c r="J64" s="24" t="s">
        <v>3158</v>
      </c>
      <c r="K64" s="24" t="s">
        <v>108</v>
      </c>
      <c r="M64" s="75" t="s">
        <v>107</v>
      </c>
      <c r="N64" s="75"/>
      <c r="O64" s="75"/>
      <c r="P64" s="75"/>
      <c r="Q64" s="75"/>
      <c r="R64" s="75"/>
      <c r="Z64" s="69"/>
      <c r="AA64" s="69"/>
      <c r="AB64" s="69"/>
      <c r="AC64" s="69"/>
      <c r="AD64" s="24" t="s">
        <v>109</v>
      </c>
    </row>
    <row r="65" spans="1:31" s="26" customFormat="1" x14ac:dyDescent="0.3">
      <c r="A65" s="25" t="s">
        <v>3159</v>
      </c>
      <c r="B65" s="25"/>
      <c r="C65" s="26" t="s">
        <v>3005</v>
      </c>
      <c r="D65" s="70"/>
      <c r="G65" s="70" t="s">
        <v>106</v>
      </c>
      <c r="H65" s="26">
        <v>-1</v>
      </c>
      <c r="I65" s="70" t="s">
        <v>3160</v>
      </c>
      <c r="J65" s="26" t="s">
        <v>3161</v>
      </c>
      <c r="K65" s="26" t="s">
        <v>3162</v>
      </c>
      <c r="L65" s="26" t="s">
        <v>9969</v>
      </c>
      <c r="M65" s="76"/>
      <c r="N65" s="76"/>
      <c r="O65" s="76"/>
      <c r="P65" s="76"/>
      <c r="Q65" s="76"/>
      <c r="R65" s="76"/>
      <c r="Z65" s="70"/>
      <c r="AA65" s="70"/>
      <c r="AB65" s="70"/>
      <c r="AC65" s="70"/>
    </row>
    <row r="66" spans="1:31" s="26" customFormat="1" x14ac:dyDescent="0.3">
      <c r="A66" s="25" t="s">
        <v>3163</v>
      </c>
      <c r="B66" s="25"/>
      <c r="C66" s="26" t="s">
        <v>3005</v>
      </c>
      <c r="D66" s="70"/>
      <c r="G66" s="70" t="s">
        <v>106</v>
      </c>
      <c r="H66" s="26">
        <v>-1</v>
      </c>
      <c r="I66" s="70" t="s">
        <v>3164</v>
      </c>
      <c r="J66" s="26" t="s">
        <v>3158</v>
      </c>
      <c r="K66" s="26" t="s">
        <v>2185</v>
      </c>
      <c r="L66" s="26" t="s">
        <v>9970</v>
      </c>
      <c r="M66" s="76"/>
      <c r="N66" s="76"/>
      <c r="O66" s="76"/>
      <c r="P66" s="76"/>
      <c r="Q66" s="76"/>
      <c r="R66" s="76"/>
      <c r="Z66" s="70"/>
      <c r="AA66" s="70"/>
      <c r="AB66" s="70"/>
      <c r="AC66" s="70"/>
    </row>
    <row r="67" spans="1:31" s="24" customFormat="1" x14ac:dyDescent="0.3">
      <c r="A67" s="23">
        <v>31</v>
      </c>
      <c r="B67" s="23">
        <v>29</v>
      </c>
      <c r="C67" s="24" t="s">
        <v>2165</v>
      </c>
      <c r="D67" s="69" t="s">
        <v>104</v>
      </c>
      <c r="E67" s="24" t="s">
        <v>103</v>
      </c>
      <c r="F67" s="24" t="s">
        <v>110</v>
      </c>
      <c r="G67" s="69" t="s">
        <v>111</v>
      </c>
      <c r="I67" s="69"/>
      <c r="J67" s="24" t="s">
        <v>3165</v>
      </c>
      <c r="K67" s="24" t="s">
        <v>112</v>
      </c>
      <c r="M67" s="75" t="s">
        <v>107</v>
      </c>
      <c r="N67" s="75"/>
      <c r="O67" s="75"/>
      <c r="P67" s="75"/>
      <c r="Q67" s="75"/>
      <c r="R67" s="75"/>
      <c r="Z67" s="69"/>
      <c r="AA67" s="69"/>
      <c r="AB67" s="69"/>
      <c r="AC67" s="69"/>
      <c r="AD67" s="24" t="s">
        <v>113</v>
      </c>
    </row>
    <row r="68" spans="1:31" s="26" customFormat="1" x14ac:dyDescent="0.3">
      <c r="A68" s="25" t="s">
        <v>3166</v>
      </c>
      <c r="B68" s="25"/>
      <c r="C68" s="26" t="s">
        <v>3005</v>
      </c>
      <c r="D68" s="70"/>
      <c r="G68" s="70" t="s">
        <v>111</v>
      </c>
      <c r="H68" s="26">
        <v>-1</v>
      </c>
      <c r="I68" s="70" t="s">
        <v>3167</v>
      </c>
      <c r="J68" s="26" t="s">
        <v>3165</v>
      </c>
      <c r="K68" s="26" t="s">
        <v>3168</v>
      </c>
      <c r="L68" s="26" t="s">
        <v>9971</v>
      </c>
      <c r="M68" s="76"/>
      <c r="N68" s="76"/>
      <c r="O68" s="76"/>
      <c r="P68" s="76"/>
      <c r="Q68" s="76"/>
      <c r="R68" s="76"/>
      <c r="Z68" s="70"/>
      <c r="AA68" s="70"/>
      <c r="AB68" s="70"/>
      <c r="AC68" s="70"/>
    </row>
    <row r="69" spans="1:31" s="26" customFormat="1" x14ac:dyDescent="0.3">
      <c r="A69" s="25" t="s">
        <v>3169</v>
      </c>
      <c r="B69" s="25"/>
      <c r="C69" s="26" t="s">
        <v>3005</v>
      </c>
      <c r="D69" s="70"/>
      <c r="G69" s="70" t="s">
        <v>111</v>
      </c>
      <c r="H69" s="26">
        <v>-1</v>
      </c>
      <c r="I69" s="70" t="s">
        <v>3170</v>
      </c>
      <c r="J69" s="26" t="s">
        <v>3171</v>
      </c>
      <c r="K69" s="26" t="s">
        <v>3172</v>
      </c>
      <c r="L69" s="26" t="s">
        <v>9972</v>
      </c>
      <c r="M69" s="76"/>
      <c r="N69" s="76"/>
      <c r="O69" s="76"/>
      <c r="P69" s="76"/>
      <c r="Q69" s="76"/>
      <c r="R69" s="76"/>
      <c r="Z69" s="70"/>
      <c r="AA69" s="70"/>
      <c r="AB69" s="70"/>
      <c r="AC69" s="70"/>
    </row>
    <row r="70" spans="1:31" s="24" customFormat="1" x14ac:dyDescent="0.3">
      <c r="A70" s="23">
        <v>32</v>
      </c>
      <c r="B70" s="23">
        <v>30</v>
      </c>
      <c r="C70" s="24" t="s">
        <v>2165</v>
      </c>
      <c r="D70" s="69" t="s">
        <v>104</v>
      </c>
      <c r="E70" s="24" t="s">
        <v>103</v>
      </c>
      <c r="F70" s="24" t="s">
        <v>114</v>
      </c>
      <c r="G70" s="69" t="s">
        <v>115</v>
      </c>
      <c r="I70" s="69"/>
      <c r="J70" s="24" t="s">
        <v>3173</v>
      </c>
      <c r="K70" s="24" t="s">
        <v>116</v>
      </c>
      <c r="L70" s="24" t="s">
        <v>9668</v>
      </c>
      <c r="M70" s="75" t="s">
        <v>19</v>
      </c>
      <c r="N70" s="75"/>
      <c r="O70" s="75" t="s">
        <v>58</v>
      </c>
      <c r="P70" s="75" t="s">
        <v>58</v>
      </c>
      <c r="Q70" s="75"/>
      <c r="R70" s="75" t="s">
        <v>2166</v>
      </c>
      <c r="U70" s="24" t="s">
        <v>2209</v>
      </c>
      <c r="Z70" s="69"/>
      <c r="AA70" s="69"/>
      <c r="AB70" s="69"/>
      <c r="AC70" s="69"/>
    </row>
    <row r="71" spans="1:31" s="24" customFormat="1" x14ac:dyDescent="0.3">
      <c r="A71" s="23">
        <v>33</v>
      </c>
      <c r="B71" s="23">
        <v>31</v>
      </c>
      <c r="C71" s="24" t="s">
        <v>2165</v>
      </c>
      <c r="D71" s="69" t="s">
        <v>104</v>
      </c>
      <c r="E71" s="24" t="s">
        <v>103</v>
      </c>
      <c r="F71" s="24" t="s">
        <v>117</v>
      </c>
      <c r="G71" s="69" t="s">
        <v>118</v>
      </c>
      <c r="H71" s="24">
        <v>1</v>
      </c>
      <c r="I71" s="69"/>
      <c r="J71" s="24" t="s">
        <v>3174</v>
      </c>
      <c r="K71" s="24" t="s">
        <v>119</v>
      </c>
      <c r="M71" s="75" t="s">
        <v>15</v>
      </c>
      <c r="N71" s="75"/>
      <c r="O71" s="75"/>
      <c r="P71" s="75"/>
      <c r="Q71" s="75"/>
      <c r="R71" s="75"/>
      <c r="V71" s="24" t="s">
        <v>2210</v>
      </c>
      <c r="W71" s="24" t="s">
        <v>2210</v>
      </c>
      <c r="Y71" s="24" t="s">
        <v>2211</v>
      </c>
      <c r="Z71" s="69" t="s">
        <v>2212</v>
      </c>
      <c r="AA71" s="69"/>
      <c r="AB71" s="69" t="s">
        <v>2212</v>
      </c>
      <c r="AC71" s="69" t="s">
        <v>11361</v>
      </c>
    </row>
    <row r="72" spans="1:31" s="26" customFormat="1" x14ac:dyDescent="0.3">
      <c r="A72" s="25" t="s">
        <v>3175</v>
      </c>
      <c r="B72" s="25"/>
      <c r="C72" s="26" t="s">
        <v>3005</v>
      </c>
      <c r="D72" s="70"/>
      <c r="G72" s="70" t="s">
        <v>118</v>
      </c>
      <c r="H72" s="26">
        <v>-1</v>
      </c>
      <c r="I72" s="70" t="s">
        <v>3176</v>
      </c>
      <c r="J72" s="26" t="s">
        <v>3174</v>
      </c>
      <c r="K72" s="26" t="s">
        <v>3177</v>
      </c>
      <c r="L72" s="26" t="s">
        <v>9973</v>
      </c>
      <c r="M72" s="76"/>
      <c r="N72" s="76"/>
      <c r="O72" s="76"/>
      <c r="P72" s="76"/>
      <c r="Q72" s="76"/>
      <c r="R72" s="76"/>
      <c r="T72" s="26" t="s">
        <v>2200</v>
      </c>
      <c r="Z72" s="70"/>
      <c r="AA72" s="70"/>
      <c r="AB72" s="70"/>
      <c r="AC72" s="70"/>
      <c r="AE72" s="26" t="s">
        <v>3178</v>
      </c>
    </row>
    <row r="73" spans="1:31" s="26" customFormat="1" x14ac:dyDescent="0.3">
      <c r="A73" s="25" t="s">
        <v>3179</v>
      </c>
      <c r="B73" s="25"/>
      <c r="C73" s="26" t="s">
        <v>3005</v>
      </c>
      <c r="D73" s="70"/>
      <c r="G73" s="70" t="s">
        <v>118</v>
      </c>
      <c r="H73" s="26">
        <v>-1</v>
      </c>
      <c r="I73" s="70" t="s">
        <v>3180</v>
      </c>
      <c r="J73" s="26" t="s">
        <v>3181</v>
      </c>
      <c r="K73" s="26" t="s">
        <v>3182</v>
      </c>
      <c r="L73" s="26" t="s">
        <v>9974</v>
      </c>
      <c r="M73" s="76"/>
      <c r="N73" s="76"/>
      <c r="O73" s="76"/>
      <c r="P73" s="76"/>
      <c r="Q73" s="76"/>
      <c r="R73" s="76"/>
      <c r="Z73" s="70"/>
      <c r="AA73" s="70"/>
      <c r="AB73" s="70"/>
      <c r="AC73" s="70"/>
    </row>
    <row r="74" spans="1:31" s="26" customFormat="1" x14ac:dyDescent="0.3">
      <c r="A74" s="25" t="s">
        <v>3183</v>
      </c>
      <c r="B74" s="25"/>
      <c r="C74" s="26" t="s">
        <v>3005</v>
      </c>
      <c r="D74" s="70"/>
      <c r="G74" s="70" t="s">
        <v>118</v>
      </c>
      <c r="H74" s="26">
        <v>2</v>
      </c>
      <c r="I74" s="70" t="s">
        <v>3184</v>
      </c>
      <c r="J74" s="26" t="s">
        <v>3158</v>
      </c>
      <c r="K74" s="26" t="s">
        <v>3185</v>
      </c>
      <c r="M74" s="76"/>
      <c r="N74" s="76"/>
      <c r="O74" s="76"/>
      <c r="P74" s="76"/>
      <c r="Q74" s="76"/>
      <c r="R74" s="76"/>
      <c r="Z74" s="70"/>
      <c r="AA74" s="70"/>
      <c r="AB74" s="70"/>
      <c r="AC74" s="70"/>
    </row>
    <row r="75" spans="1:31" s="26" customFormat="1" x14ac:dyDescent="0.3">
      <c r="A75" s="25" t="s">
        <v>3186</v>
      </c>
      <c r="B75" s="25"/>
      <c r="C75" s="26" t="s">
        <v>3005</v>
      </c>
      <c r="D75" s="70"/>
      <c r="G75" s="70" t="s">
        <v>118</v>
      </c>
      <c r="H75" s="26">
        <v>-1</v>
      </c>
      <c r="I75" s="70" t="s">
        <v>3187</v>
      </c>
      <c r="J75" s="26" t="s">
        <v>3188</v>
      </c>
      <c r="K75" s="26" t="s">
        <v>3189</v>
      </c>
      <c r="M75" s="76"/>
      <c r="N75" s="76"/>
      <c r="O75" s="76"/>
      <c r="P75" s="76"/>
      <c r="Q75" s="76"/>
      <c r="R75" s="76"/>
      <c r="T75" s="26" t="s">
        <v>2200</v>
      </c>
      <c r="Z75" s="70"/>
      <c r="AA75" s="70"/>
      <c r="AB75" s="70"/>
      <c r="AC75" s="70"/>
      <c r="AE75" s="26" t="s">
        <v>3190</v>
      </c>
    </row>
    <row r="76" spans="1:31" s="26" customFormat="1" x14ac:dyDescent="0.3">
      <c r="A76" s="25" t="s">
        <v>3191</v>
      </c>
      <c r="B76" s="25"/>
      <c r="C76" s="26" t="s">
        <v>3005</v>
      </c>
      <c r="D76" s="70"/>
      <c r="G76" s="70" t="s">
        <v>118</v>
      </c>
      <c r="H76" s="26">
        <v>-1</v>
      </c>
      <c r="I76" s="70" t="s">
        <v>3013</v>
      </c>
      <c r="J76" s="26" t="s">
        <v>3192</v>
      </c>
      <c r="K76" s="26" t="s">
        <v>2370</v>
      </c>
      <c r="M76" s="76"/>
      <c r="N76" s="76"/>
      <c r="O76" s="76"/>
      <c r="P76" s="76"/>
      <c r="Q76" s="76"/>
      <c r="R76" s="76"/>
      <c r="Z76" s="70"/>
      <c r="AA76" s="70"/>
      <c r="AB76" s="70"/>
      <c r="AC76" s="70"/>
    </row>
    <row r="77" spans="1:31" s="26" customFormat="1" x14ac:dyDescent="0.3">
      <c r="A77" s="25" t="s">
        <v>3193</v>
      </c>
      <c r="B77" s="25"/>
      <c r="C77" s="26" t="s">
        <v>3005</v>
      </c>
      <c r="D77" s="70"/>
      <c r="G77" s="70" t="s">
        <v>118</v>
      </c>
      <c r="H77" s="26">
        <v>-1</v>
      </c>
      <c r="I77" s="70" t="s">
        <v>3194</v>
      </c>
      <c r="J77" s="26" t="s">
        <v>3195</v>
      </c>
      <c r="K77" s="26" t="s">
        <v>3196</v>
      </c>
      <c r="L77" s="26" t="s">
        <v>9975</v>
      </c>
      <c r="M77" s="76"/>
      <c r="N77" s="76"/>
      <c r="O77" s="76"/>
      <c r="P77" s="76"/>
      <c r="Q77" s="76"/>
      <c r="R77" s="76"/>
      <c r="Z77" s="70"/>
      <c r="AA77" s="70"/>
      <c r="AB77" s="70"/>
      <c r="AC77" s="70"/>
    </row>
    <row r="78" spans="1:31" s="24" customFormat="1" x14ac:dyDescent="0.3">
      <c r="A78" s="23">
        <v>34</v>
      </c>
      <c r="B78" s="23">
        <v>32</v>
      </c>
      <c r="C78" s="24" t="s">
        <v>2165</v>
      </c>
      <c r="D78" s="69" t="s">
        <v>104</v>
      </c>
      <c r="E78" s="24" t="s">
        <v>103</v>
      </c>
      <c r="F78" s="24" t="s">
        <v>120</v>
      </c>
      <c r="G78" s="69" t="s">
        <v>121</v>
      </c>
      <c r="I78" s="69"/>
      <c r="J78" s="24" t="s">
        <v>3016</v>
      </c>
      <c r="K78" s="24" t="s">
        <v>122</v>
      </c>
      <c r="M78" s="75" t="s">
        <v>15</v>
      </c>
      <c r="N78" s="75"/>
      <c r="O78" s="75"/>
      <c r="P78" s="75"/>
      <c r="Q78" s="75"/>
      <c r="R78" s="75"/>
      <c r="Z78" s="69"/>
      <c r="AA78" s="69"/>
      <c r="AB78" s="69"/>
      <c r="AC78" s="69"/>
      <c r="AD78" s="24" t="s">
        <v>123</v>
      </c>
    </row>
    <row r="79" spans="1:31" s="26" customFormat="1" x14ac:dyDescent="0.3">
      <c r="A79" s="25" t="s">
        <v>3197</v>
      </c>
      <c r="B79" s="25"/>
      <c r="C79" s="26" t="s">
        <v>3005</v>
      </c>
      <c r="D79" s="70"/>
      <c r="G79" s="70" t="s">
        <v>121</v>
      </c>
      <c r="H79" s="26">
        <v>-1</v>
      </c>
      <c r="I79" s="70" t="s">
        <v>3198</v>
      </c>
      <c r="J79" s="26" t="s">
        <v>3199</v>
      </c>
      <c r="K79" s="26" t="s">
        <v>3200</v>
      </c>
      <c r="L79" s="26" t="s">
        <v>9976</v>
      </c>
      <c r="M79" s="76"/>
      <c r="N79" s="76"/>
      <c r="O79" s="76"/>
      <c r="P79" s="76"/>
      <c r="Q79" s="76"/>
      <c r="R79" s="76"/>
      <c r="Z79" s="70"/>
      <c r="AA79" s="70"/>
      <c r="AB79" s="70"/>
      <c r="AC79" s="70"/>
    </row>
    <row r="80" spans="1:31" s="26" customFormat="1" x14ac:dyDescent="0.3">
      <c r="A80" s="25" t="s">
        <v>3201</v>
      </c>
      <c r="B80" s="25"/>
      <c r="C80" s="26" t="s">
        <v>3005</v>
      </c>
      <c r="D80" s="70"/>
      <c r="G80" s="70" t="s">
        <v>121</v>
      </c>
      <c r="H80" s="26">
        <v>-1</v>
      </c>
      <c r="I80" s="70" t="s">
        <v>3202</v>
      </c>
      <c r="J80" s="26" t="s">
        <v>3203</v>
      </c>
      <c r="K80" s="26" t="s">
        <v>3204</v>
      </c>
      <c r="L80" s="26" t="s">
        <v>9977</v>
      </c>
      <c r="M80" s="76"/>
      <c r="N80" s="76"/>
      <c r="O80" s="76"/>
      <c r="P80" s="76"/>
      <c r="Q80" s="76"/>
      <c r="R80" s="76"/>
      <c r="Z80" s="70"/>
      <c r="AA80" s="70"/>
      <c r="AB80" s="70"/>
      <c r="AC80" s="70"/>
    </row>
    <row r="81" spans="1:31" s="26" customFormat="1" x14ac:dyDescent="0.3">
      <c r="A81" s="25" t="s">
        <v>3205</v>
      </c>
      <c r="B81" s="25"/>
      <c r="C81" s="26" t="s">
        <v>3005</v>
      </c>
      <c r="D81" s="70"/>
      <c r="G81" s="70" t="s">
        <v>121</v>
      </c>
      <c r="H81" s="26">
        <v>-1</v>
      </c>
      <c r="I81" s="70" t="s">
        <v>3206</v>
      </c>
      <c r="J81" s="26" t="s">
        <v>3207</v>
      </c>
      <c r="K81" s="26" t="s">
        <v>3208</v>
      </c>
      <c r="L81" s="26" t="s">
        <v>9978</v>
      </c>
      <c r="M81" s="76"/>
      <c r="N81" s="76"/>
      <c r="O81" s="76"/>
      <c r="P81" s="76"/>
      <c r="Q81" s="76"/>
      <c r="R81" s="76"/>
      <c r="Z81" s="70"/>
      <c r="AA81" s="70"/>
      <c r="AB81" s="70"/>
      <c r="AC81" s="70"/>
    </row>
    <row r="82" spans="1:31" s="26" customFormat="1" x14ac:dyDescent="0.3">
      <c r="A82" s="25" t="s">
        <v>3209</v>
      </c>
      <c r="B82" s="25"/>
      <c r="C82" s="26" t="s">
        <v>3005</v>
      </c>
      <c r="D82" s="70"/>
      <c r="G82" s="70" t="s">
        <v>121</v>
      </c>
      <c r="H82" s="26">
        <v>-1</v>
      </c>
      <c r="I82" s="70" t="s">
        <v>3210</v>
      </c>
      <c r="J82" s="26" t="s">
        <v>3016</v>
      </c>
      <c r="K82" s="26" t="s">
        <v>3211</v>
      </c>
      <c r="L82" s="26" t="s">
        <v>9979</v>
      </c>
      <c r="M82" s="76"/>
      <c r="N82" s="76"/>
      <c r="O82" s="76"/>
      <c r="P82" s="76"/>
      <c r="Q82" s="76"/>
      <c r="R82" s="76"/>
      <c r="Z82" s="70"/>
      <c r="AA82" s="70"/>
      <c r="AB82" s="70"/>
      <c r="AC82" s="70"/>
    </row>
    <row r="83" spans="1:31" s="26" customFormat="1" x14ac:dyDescent="0.3">
      <c r="A83" s="25" t="s">
        <v>3212</v>
      </c>
      <c r="B83" s="25"/>
      <c r="C83" s="26" t="s">
        <v>3005</v>
      </c>
      <c r="D83" s="70"/>
      <c r="G83" s="70" t="s">
        <v>121</v>
      </c>
      <c r="H83" s="26">
        <v>-1</v>
      </c>
      <c r="I83" s="70" t="s">
        <v>3213</v>
      </c>
      <c r="J83" s="26" t="s">
        <v>3214</v>
      </c>
      <c r="K83" s="26" t="s">
        <v>3215</v>
      </c>
      <c r="L83" s="26" t="s">
        <v>9980</v>
      </c>
      <c r="M83" s="76"/>
      <c r="N83" s="76"/>
      <c r="O83" s="76"/>
      <c r="P83" s="76"/>
      <c r="Q83" s="76"/>
      <c r="R83" s="76"/>
      <c r="Z83" s="70"/>
      <c r="AA83" s="70"/>
      <c r="AB83" s="70"/>
      <c r="AC83" s="70"/>
    </row>
    <row r="84" spans="1:31" s="24" customFormat="1" x14ac:dyDescent="0.3">
      <c r="A84" s="23">
        <v>35</v>
      </c>
      <c r="B84" s="23">
        <v>33</v>
      </c>
      <c r="C84" s="24" t="s">
        <v>2165</v>
      </c>
      <c r="D84" s="69" t="s">
        <v>104</v>
      </c>
      <c r="E84" s="24" t="s">
        <v>103</v>
      </c>
      <c r="F84" s="24" t="s">
        <v>124</v>
      </c>
      <c r="G84" s="69" t="s">
        <v>125</v>
      </c>
      <c r="I84" s="69"/>
      <c r="J84" s="24" t="s">
        <v>3216</v>
      </c>
      <c r="K84" s="24" t="s">
        <v>68</v>
      </c>
      <c r="L84" s="24" t="s">
        <v>9669</v>
      </c>
      <c r="M84" s="75" t="s">
        <v>65</v>
      </c>
      <c r="N84" s="75" t="s">
        <v>2016</v>
      </c>
      <c r="O84" s="75" t="s">
        <v>66</v>
      </c>
      <c r="P84" s="75" t="s">
        <v>66</v>
      </c>
      <c r="Q84" s="75" t="s">
        <v>67</v>
      </c>
      <c r="R84" s="75"/>
      <c r="Z84" s="69"/>
      <c r="AA84" s="69"/>
      <c r="AB84" s="69"/>
      <c r="AC84" s="69" t="s">
        <v>11362</v>
      </c>
    </row>
    <row r="85" spans="1:31" s="24" customFormat="1" x14ac:dyDescent="0.3">
      <c r="A85" s="23">
        <v>36</v>
      </c>
      <c r="B85" s="23">
        <v>34</v>
      </c>
      <c r="C85" s="24" t="s">
        <v>2165</v>
      </c>
      <c r="D85" s="69" t="s">
        <v>127</v>
      </c>
      <c r="E85" s="24" t="s">
        <v>126</v>
      </c>
      <c r="F85" s="24" t="s">
        <v>128</v>
      </c>
      <c r="G85" s="69" t="s">
        <v>129</v>
      </c>
      <c r="I85" s="69"/>
      <c r="J85" s="24" t="s">
        <v>3217</v>
      </c>
      <c r="K85" s="24" t="s">
        <v>131</v>
      </c>
      <c r="L85" s="24" t="s">
        <v>9670</v>
      </c>
      <c r="M85" s="75" t="s">
        <v>19</v>
      </c>
      <c r="N85" s="75"/>
      <c r="O85" s="75" t="s">
        <v>58</v>
      </c>
      <c r="P85" s="75" t="s">
        <v>58</v>
      </c>
      <c r="Q85" s="75" t="s">
        <v>130</v>
      </c>
      <c r="R85" s="75" t="s">
        <v>2166</v>
      </c>
      <c r="V85" s="24" t="s">
        <v>2171</v>
      </c>
      <c r="Z85" s="69"/>
      <c r="AA85" s="69"/>
      <c r="AB85" s="69"/>
      <c r="AC85" s="69"/>
      <c r="AD85" s="24" t="s">
        <v>11303</v>
      </c>
    </row>
    <row r="86" spans="1:31" s="24" customFormat="1" x14ac:dyDescent="0.3">
      <c r="A86" s="23">
        <v>37</v>
      </c>
      <c r="B86" s="23">
        <v>35</v>
      </c>
      <c r="C86" s="24" t="s">
        <v>2165</v>
      </c>
      <c r="D86" s="69" t="s">
        <v>133</v>
      </c>
      <c r="E86" s="24" t="s">
        <v>132</v>
      </c>
      <c r="F86" s="24" t="s">
        <v>134</v>
      </c>
      <c r="G86" s="69" t="s">
        <v>135</v>
      </c>
      <c r="I86" s="69"/>
      <c r="J86" s="24" t="s">
        <v>3218</v>
      </c>
      <c r="K86" s="24" t="s">
        <v>136</v>
      </c>
      <c r="L86" s="24" t="s">
        <v>9671</v>
      </c>
      <c r="M86" s="75" t="s">
        <v>19</v>
      </c>
      <c r="N86" s="75"/>
      <c r="O86" s="75" t="s">
        <v>58</v>
      </c>
      <c r="P86" s="75" t="s">
        <v>58</v>
      </c>
      <c r="Q86" s="75" t="s">
        <v>130</v>
      </c>
      <c r="R86" s="75" t="s">
        <v>2166</v>
      </c>
      <c r="V86" s="24" t="s">
        <v>2171</v>
      </c>
      <c r="W86" s="24" t="s">
        <v>2213</v>
      </c>
      <c r="Y86" s="24" t="s">
        <v>2214</v>
      </c>
      <c r="Z86" s="69"/>
      <c r="AA86" s="69"/>
      <c r="AB86" s="69" t="s">
        <v>2215</v>
      </c>
      <c r="AC86" s="69"/>
      <c r="AD86" s="24" t="s">
        <v>11304</v>
      </c>
    </row>
    <row r="87" spans="1:31" s="24" customFormat="1" x14ac:dyDescent="0.3">
      <c r="A87" s="23">
        <v>38</v>
      </c>
      <c r="B87" s="23">
        <v>36</v>
      </c>
      <c r="C87" s="24" t="s">
        <v>2165</v>
      </c>
      <c r="D87" s="69" t="s">
        <v>133</v>
      </c>
      <c r="E87" s="24" t="s">
        <v>132</v>
      </c>
      <c r="F87" s="24" t="s">
        <v>137</v>
      </c>
      <c r="G87" s="69" t="s">
        <v>138</v>
      </c>
      <c r="I87" s="69"/>
      <c r="J87" s="24" t="s">
        <v>3219</v>
      </c>
      <c r="K87" s="24" t="s">
        <v>139</v>
      </c>
      <c r="M87" s="75" t="s">
        <v>19</v>
      </c>
      <c r="N87" s="75"/>
      <c r="O87" s="75" t="s">
        <v>66</v>
      </c>
      <c r="P87" s="75" t="s">
        <v>66</v>
      </c>
      <c r="Q87" s="75"/>
      <c r="R87" s="75" t="s">
        <v>2166</v>
      </c>
      <c r="V87" s="24" t="s">
        <v>2171</v>
      </c>
      <c r="W87" s="24" t="s">
        <v>2216</v>
      </c>
      <c r="Y87" s="24" t="s">
        <v>2217</v>
      </c>
      <c r="Z87" s="69"/>
      <c r="AA87" s="69"/>
      <c r="AB87" s="69" t="s">
        <v>2218</v>
      </c>
      <c r="AC87" s="69"/>
      <c r="AD87" s="24" t="s">
        <v>11305</v>
      </c>
    </row>
    <row r="88" spans="1:31" s="26" customFormat="1" x14ac:dyDescent="0.3">
      <c r="A88" s="25" t="s">
        <v>3220</v>
      </c>
      <c r="B88" s="25"/>
      <c r="C88" s="26" t="s">
        <v>3005</v>
      </c>
      <c r="D88" s="70"/>
      <c r="G88" s="70" t="s">
        <v>138</v>
      </c>
      <c r="H88" s="26">
        <v>-1</v>
      </c>
      <c r="I88" s="70" t="s">
        <v>3221</v>
      </c>
      <c r="J88" s="26" t="s">
        <v>3219</v>
      </c>
      <c r="K88" s="26" t="s">
        <v>3222</v>
      </c>
      <c r="M88" s="76"/>
      <c r="N88" s="76"/>
      <c r="O88" s="76"/>
      <c r="P88" s="76"/>
      <c r="Q88" s="76"/>
      <c r="R88" s="76"/>
      <c r="Z88" s="70"/>
      <c r="AA88" s="70"/>
      <c r="AB88" s="70"/>
      <c r="AC88" s="70"/>
    </row>
    <row r="89" spans="1:31" s="26" customFormat="1" x14ac:dyDescent="0.3">
      <c r="A89" s="25" t="s">
        <v>3223</v>
      </c>
      <c r="B89" s="25"/>
      <c r="C89" s="26" t="s">
        <v>3005</v>
      </c>
      <c r="D89" s="70"/>
      <c r="G89" s="70" t="s">
        <v>138</v>
      </c>
      <c r="H89" s="26">
        <v>-1</v>
      </c>
      <c r="I89" s="70" t="s">
        <v>3224</v>
      </c>
      <c r="J89" s="26" t="s">
        <v>3225</v>
      </c>
      <c r="K89" s="26" t="s">
        <v>3226</v>
      </c>
      <c r="M89" s="76"/>
      <c r="N89" s="76"/>
      <c r="O89" s="76"/>
      <c r="P89" s="76"/>
      <c r="Q89" s="76"/>
      <c r="R89" s="76"/>
      <c r="Z89" s="70"/>
      <c r="AA89" s="70"/>
      <c r="AB89" s="70"/>
      <c r="AC89" s="70"/>
    </row>
    <row r="90" spans="1:31" s="24" customFormat="1" x14ac:dyDescent="0.3">
      <c r="A90" s="23">
        <v>39</v>
      </c>
      <c r="B90" s="23">
        <v>37</v>
      </c>
      <c r="C90" s="24" t="s">
        <v>2165</v>
      </c>
      <c r="D90" s="69" t="s">
        <v>141</v>
      </c>
      <c r="E90" s="24" t="s">
        <v>140</v>
      </c>
      <c r="F90" s="24" t="s">
        <v>142</v>
      </c>
      <c r="G90" s="69" t="s">
        <v>143</v>
      </c>
      <c r="I90" s="69"/>
      <c r="J90" s="24" t="s">
        <v>3227</v>
      </c>
      <c r="K90" s="24" t="s">
        <v>144</v>
      </c>
      <c r="M90" s="75" t="s">
        <v>19</v>
      </c>
      <c r="N90" s="75"/>
      <c r="O90" s="75"/>
      <c r="P90" s="75"/>
      <c r="Q90" s="75"/>
      <c r="R90" s="75" t="s">
        <v>2166</v>
      </c>
      <c r="Z90" s="69"/>
      <c r="AA90" s="69"/>
      <c r="AB90" s="69"/>
      <c r="AC90" s="69"/>
      <c r="AD90" s="24" t="s">
        <v>123</v>
      </c>
    </row>
    <row r="91" spans="1:31" s="26" customFormat="1" x14ac:dyDescent="0.3">
      <c r="A91" s="25" t="s">
        <v>3228</v>
      </c>
      <c r="B91" s="25"/>
      <c r="C91" s="26" t="s">
        <v>3005</v>
      </c>
      <c r="D91" s="70"/>
      <c r="G91" s="70" t="s">
        <v>143</v>
      </c>
      <c r="H91" s="26">
        <v>-1</v>
      </c>
      <c r="I91" s="70" t="s">
        <v>3229</v>
      </c>
      <c r="J91" s="26" t="s">
        <v>3227</v>
      </c>
      <c r="K91" s="26" t="s">
        <v>3230</v>
      </c>
      <c r="L91" s="26" t="s">
        <v>9981</v>
      </c>
      <c r="M91" s="76"/>
      <c r="N91" s="76"/>
      <c r="O91" s="76"/>
      <c r="P91" s="76"/>
      <c r="Q91" s="76"/>
      <c r="R91" s="76"/>
      <c r="Z91" s="70"/>
      <c r="AA91" s="70"/>
      <c r="AB91" s="70"/>
      <c r="AC91" s="70"/>
    </row>
    <row r="92" spans="1:31" s="26" customFormat="1" x14ac:dyDescent="0.3">
      <c r="A92" s="25" t="s">
        <v>3231</v>
      </c>
      <c r="B92" s="25"/>
      <c r="C92" s="26" t="s">
        <v>3005</v>
      </c>
      <c r="D92" s="70"/>
      <c r="G92" s="70" t="s">
        <v>143</v>
      </c>
      <c r="H92" s="26">
        <v>-1</v>
      </c>
      <c r="I92" s="70" t="s">
        <v>3232</v>
      </c>
      <c r="J92" s="26" t="s">
        <v>3233</v>
      </c>
      <c r="K92" s="26" t="s">
        <v>3234</v>
      </c>
      <c r="L92" s="26" t="s">
        <v>9982</v>
      </c>
      <c r="M92" s="76"/>
      <c r="N92" s="76"/>
      <c r="O92" s="76"/>
      <c r="P92" s="76"/>
      <c r="Q92" s="76"/>
      <c r="R92" s="76"/>
      <c r="Z92" s="70"/>
      <c r="AA92" s="70"/>
      <c r="AB92" s="70"/>
      <c r="AC92" s="70"/>
    </row>
    <row r="93" spans="1:31" s="24" customFormat="1" x14ac:dyDescent="0.3">
      <c r="A93" s="23">
        <v>40</v>
      </c>
      <c r="B93" s="23">
        <v>38</v>
      </c>
      <c r="C93" s="24" t="s">
        <v>2165</v>
      </c>
      <c r="D93" s="69" t="s">
        <v>141</v>
      </c>
      <c r="E93" s="24" t="s">
        <v>140</v>
      </c>
      <c r="F93" s="24" t="s">
        <v>145</v>
      </c>
      <c r="G93" s="69" t="s">
        <v>146</v>
      </c>
      <c r="I93" s="69"/>
      <c r="J93" s="24" t="s">
        <v>3235</v>
      </c>
      <c r="K93" s="24" t="s">
        <v>147</v>
      </c>
      <c r="L93" s="24" t="s">
        <v>9672</v>
      </c>
      <c r="M93" s="75" t="s">
        <v>19</v>
      </c>
      <c r="N93" s="75"/>
      <c r="O93" s="75" t="s">
        <v>66</v>
      </c>
      <c r="P93" s="75" t="s">
        <v>67</v>
      </c>
      <c r="Q93" s="75" t="s">
        <v>66</v>
      </c>
      <c r="R93" s="75" t="s">
        <v>2166</v>
      </c>
      <c r="T93" s="24" t="s">
        <v>2219</v>
      </c>
      <c r="V93" s="24" t="s">
        <v>2220</v>
      </c>
      <c r="Z93" s="69"/>
      <c r="AA93" s="69"/>
      <c r="AB93" s="69"/>
      <c r="AC93" s="69"/>
      <c r="AE93" s="24" t="s">
        <v>2221</v>
      </c>
    </row>
    <row r="94" spans="1:31" s="24" customFormat="1" x14ac:dyDescent="0.3">
      <c r="A94" s="23">
        <v>41</v>
      </c>
      <c r="B94" s="23">
        <v>39</v>
      </c>
      <c r="C94" s="24" t="s">
        <v>2165</v>
      </c>
      <c r="D94" s="69" t="s">
        <v>141</v>
      </c>
      <c r="E94" s="24" t="s">
        <v>140</v>
      </c>
      <c r="F94" s="24" t="s">
        <v>148</v>
      </c>
      <c r="G94" s="69" t="s">
        <v>149</v>
      </c>
      <c r="I94" s="69"/>
      <c r="J94" s="24" t="s">
        <v>3236</v>
      </c>
      <c r="K94" s="24" t="s">
        <v>150</v>
      </c>
      <c r="L94" s="24" t="s">
        <v>9673</v>
      </c>
      <c r="M94" s="75" t="s">
        <v>19</v>
      </c>
      <c r="N94" s="75"/>
      <c r="O94" s="75"/>
      <c r="P94" s="75"/>
      <c r="Q94" s="75"/>
      <c r="R94" s="75" t="s">
        <v>2166</v>
      </c>
      <c r="Z94" s="69"/>
      <c r="AA94" s="69"/>
      <c r="AB94" s="69"/>
      <c r="AC94" s="69"/>
    </row>
    <row r="95" spans="1:31" s="24" customFormat="1" x14ac:dyDescent="0.3">
      <c r="A95" s="23">
        <v>42</v>
      </c>
      <c r="B95" s="23">
        <v>40</v>
      </c>
      <c r="C95" s="24" t="s">
        <v>2165</v>
      </c>
      <c r="D95" s="69" t="s">
        <v>141</v>
      </c>
      <c r="E95" s="24" t="s">
        <v>140</v>
      </c>
      <c r="F95" s="24" t="s">
        <v>151</v>
      </c>
      <c r="G95" s="69" t="s">
        <v>152</v>
      </c>
      <c r="I95" s="69"/>
      <c r="J95" s="24" t="s">
        <v>3237</v>
      </c>
      <c r="K95" s="24" t="s">
        <v>153</v>
      </c>
      <c r="M95" s="75" t="s">
        <v>19</v>
      </c>
      <c r="N95" s="75"/>
      <c r="O95" s="75" t="s">
        <v>58</v>
      </c>
      <c r="P95" s="75" t="s">
        <v>58</v>
      </c>
      <c r="Q95" s="75" t="s">
        <v>130</v>
      </c>
      <c r="R95" s="75" t="s">
        <v>2166</v>
      </c>
      <c r="Z95" s="69"/>
      <c r="AA95" s="69"/>
      <c r="AB95" s="69"/>
      <c r="AC95" s="69" t="s">
        <v>11363</v>
      </c>
    </row>
    <row r="96" spans="1:31" s="26" customFormat="1" x14ac:dyDescent="0.3">
      <c r="A96" s="25" t="s">
        <v>3238</v>
      </c>
      <c r="B96" s="25"/>
      <c r="C96" s="26" t="s">
        <v>3005</v>
      </c>
      <c r="D96" s="70"/>
      <c r="G96" s="70" t="s">
        <v>152</v>
      </c>
      <c r="H96" s="26">
        <v>-1</v>
      </c>
      <c r="I96" s="70" t="s">
        <v>3239</v>
      </c>
      <c r="J96" s="26" t="s">
        <v>3237</v>
      </c>
      <c r="K96" s="26" t="s">
        <v>3240</v>
      </c>
      <c r="L96" s="26" t="s">
        <v>9983</v>
      </c>
      <c r="M96" s="76"/>
      <c r="N96" s="76"/>
      <c r="O96" s="76"/>
      <c r="P96" s="76"/>
      <c r="Q96" s="76"/>
      <c r="R96" s="76"/>
      <c r="Z96" s="70"/>
      <c r="AA96" s="70"/>
      <c r="AB96" s="70"/>
      <c r="AC96" s="70"/>
    </row>
    <row r="97" spans="1:31" s="26" customFormat="1" x14ac:dyDescent="0.3">
      <c r="A97" s="25" t="s">
        <v>3241</v>
      </c>
      <c r="B97" s="25"/>
      <c r="C97" s="26" t="s">
        <v>3005</v>
      </c>
      <c r="D97" s="70"/>
      <c r="G97" s="70" t="s">
        <v>152</v>
      </c>
      <c r="H97" s="26">
        <v>-1</v>
      </c>
      <c r="I97" s="70" t="s">
        <v>3242</v>
      </c>
      <c r="J97" s="26" t="s">
        <v>3243</v>
      </c>
      <c r="K97" s="26" t="s">
        <v>3244</v>
      </c>
      <c r="L97" s="26" t="s">
        <v>9984</v>
      </c>
      <c r="M97" s="76"/>
      <c r="N97" s="76"/>
      <c r="O97" s="76"/>
      <c r="P97" s="76"/>
      <c r="Q97" s="76"/>
      <c r="R97" s="76"/>
      <c r="Z97" s="70"/>
      <c r="AA97" s="70"/>
      <c r="AB97" s="70"/>
      <c r="AC97" s="70"/>
    </row>
    <row r="98" spans="1:31" s="24" customFormat="1" x14ac:dyDescent="0.3">
      <c r="A98" s="23">
        <v>43</v>
      </c>
      <c r="B98" s="23">
        <v>41</v>
      </c>
      <c r="C98" s="24" t="s">
        <v>2165</v>
      </c>
      <c r="D98" s="69" t="s">
        <v>141</v>
      </c>
      <c r="E98" s="24" t="s">
        <v>140</v>
      </c>
      <c r="F98" s="24" t="s">
        <v>154</v>
      </c>
      <c r="G98" s="69" t="s">
        <v>155</v>
      </c>
      <c r="I98" s="69"/>
      <c r="J98" s="24" t="s">
        <v>3245</v>
      </c>
      <c r="K98" s="24" t="s">
        <v>156</v>
      </c>
      <c r="L98" s="24" t="s">
        <v>9674</v>
      </c>
      <c r="M98" s="75" t="s">
        <v>50</v>
      </c>
      <c r="N98" s="75"/>
      <c r="O98" s="75" t="s">
        <v>58</v>
      </c>
      <c r="P98" s="75" t="s">
        <v>58</v>
      </c>
      <c r="Q98" s="75"/>
      <c r="R98" s="75"/>
      <c r="Z98" s="69"/>
      <c r="AA98" s="69"/>
      <c r="AB98" s="69"/>
      <c r="AC98" s="69"/>
    </row>
    <row r="99" spans="1:31" s="24" customFormat="1" x14ac:dyDescent="0.3">
      <c r="A99" s="23">
        <v>44</v>
      </c>
      <c r="B99" s="23">
        <v>42</v>
      </c>
      <c r="C99" s="24" t="s">
        <v>2165</v>
      </c>
      <c r="D99" s="69" t="s">
        <v>141</v>
      </c>
      <c r="E99" s="24" t="s">
        <v>140</v>
      </c>
      <c r="F99" s="24" t="s">
        <v>157</v>
      </c>
      <c r="G99" s="69" t="s">
        <v>158</v>
      </c>
      <c r="I99" s="69"/>
      <c r="J99" s="24" t="s">
        <v>3092</v>
      </c>
      <c r="K99" s="24" t="s">
        <v>159</v>
      </c>
      <c r="L99" s="24" t="s">
        <v>9675</v>
      </c>
      <c r="M99" s="75" t="s">
        <v>50</v>
      </c>
      <c r="N99" s="75"/>
      <c r="O99" s="75"/>
      <c r="P99" s="75"/>
      <c r="Q99" s="75"/>
      <c r="R99" s="75"/>
      <c r="T99" s="24" t="s">
        <v>2200</v>
      </c>
      <c r="Z99" s="69"/>
      <c r="AA99" s="69" t="s">
        <v>2222</v>
      </c>
      <c r="AB99" s="69"/>
      <c r="AC99" s="69"/>
      <c r="AE99" s="24" t="s">
        <v>2223</v>
      </c>
    </row>
    <row r="100" spans="1:31" s="24" customFormat="1" x14ac:dyDescent="0.3">
      <c r="A100" s="23">
        <v>45</v>
      </c>
      <c r="B100" s="23">
        <v>43</v>
      </c>
      <c r="C100" s="24" t="s">
        <v>2165</v>
      </c>
      <c r="D100" s="69" t="s">
        <v>141</v>
      </c>
      <c r="E100" s="24" t="s">
        <v>140</v>
      </c>
      <c r="F100" s="24" t="s">
        <v>160</v>
      </c>
      <c r="G100" s="69" t="s">
        <v>161</v>
      </c>
      <c r="I100" s="69"/>
      <c r="J100" s="24" t="s">
        <v>3245</v>
      </c>
      <c r="K100" s="24" t="s">
        <v>162</v>
      </c>
      <c r="L100" s="24" t="s">
        <v>9676</v>
      </c>
      <c r="M100" s="75" t="s">
        <v>19</v>
      </c>
      <c r="N100" s="75"/>
      <c r="O100" s="75"/>
      <c r="P100" s="75"/>
      <c r="Q100" s="75"/>
      <c r="R100" s="75" t="s">
        <v>2166</v>
      </c>
      <c r="V100" s="24" t="s">
        <v>2171</v>
      </c>
      <c r="Z100" s="69"/>
      <c r="AA100" s="69"/>
      <c r="AB100" s="69"/>
      <c r="AC100" s="69"/>
      <c r="AD100" s="24" t="s">
        <v>11306</v>
      </c>
    </row>
    <row r="101" spans="1:31" s="24" customFormat="1" x14ac:dyDescent="0.3">
      <c r="A101" s="23">
        <v>46</v>
      </c>
      <c r="B101" s="23">
        <v>44</v>
      </c>
      <c r="C101" s="24" t="s">
        <v>2165</v>
      </c>
      <c r="D101" s="69" t="s">
        <v>141</v>
      </c>
      <c r="E101" s="24" t="s">
        <v>140</v>
      </c>
      <c r="F101" s="24" t="s">
        <v>163</v>
      </c>
      <c r="G101" s="69" t="s">
        <v>164</v>
      </c>
      <c r="I101" s="69"/>
      <c r="J101" s="24" t="s">
        <v>3246</v>
      </c>
      <c r="K101" s="24" t="s">
        <v>165</v>
      </c>
      <c r="L101" s="24" t="s">
        <v>9677</v>
      </c>
      <c r="M101" s="75" t="s">
        <v>19</v>
      </c>
      <c r="N101" s="75"/>
      <c r="O101" s="75"/>
      <c r="P101" s="75"/>
      <c r="Q101" s="75"/>
      <c r="R101" s="75" t="s">
        <v>2166</v>
      </c>
      <c r="Z101" s="69"/>
      <c r="AA101" s="69"/>
      <c r="AB101" s="69"/>
      <c r="AC101" s="69"/>
    </row>
    <row r="102" spans="1:31" s="24" customFormat="1" x14ac:dyDescent="0.3">
      <c r="A102" s="23">
        <v>47</v>
      </c>
      <c r="B102" s="23">
        <v>45</v>
      </c>
      <c r="C102" s="24" t="s">
        <v>2165</v>
      </c>
      <c r="D102" s="69" t="s">
        <v>167</v>
      </c>
      <c r="E102" s="24" t="s">
        <v>166</v>
      </c>
      <c r="F102" s="24" t="s">
        <v>168</v>
      </c>
      <c r="G102" s="69" t="s">
        <v>169</v>
      </c>
      <c r="H102" s="24">
        <v>2</v>
      </c>
      <c r="I102" s="69"/>
      <c r="J102" s="24" t="s">
        <v>3091</v>
      </c>
      <c r="K102" s="24" t="s">
        <v>170</v>
      </c>
      <c r="M102" s="75" t="s">
        <v>15</v>
      </c>
      <c r="N102" s="75"/>
      <c r="O102" s="75"/>
      <c r="P102" s="75"/>
      <c r="Q102" s="75"/>
      <c r="R102" s="75"/>
      <c r="Z102" s="69"/>
      <c r="AA102" s="69"/>
      <c r="AB102" s="69"/>
      <c r="AC102" s="69"/>
    </row>
    <row r="103" spans="1:31" s="26" customFormat="1" x14ac:dyDescent="0.3">
      <c r="A103" s="25" t="s">
        <v>3247</v>
      </c>
      <c r="B103" s="25"/>
      <c r="C103" s="26" t="s">
        <v>3005</v>
      </c>
      <c r="D103" s="70"/>
      <c r="G103" s="70" t="s">
        <v>169</v>
      </c>
      <c r="H103" s="26">
        <v>-1</v>
      </c>
      <c r="I103" s="70" t="s">
        <v>3248</v>
      </c>
      <c r="J103" s="26" t="s">
        <v>3091</v>
      </c>
      <c r="K103" s="26" t="s">
        <v>3249</v>
      </c>
      <c r="L103" s="26" t="s">
        <v>9985</v>
      </c>
      <c r="M103" s="76"/>
      <c r="N103" s="76"/>
      <c r="O103" s="76"/>
      <c r="P103" s="76"/>
      <c r="Q103" s="76"/>
      <c r="R103" s="76"/>
      <c r="Z103" s="70"/>
      <c r="AA103" s="70"/>
      <c r="AB103" s="70"/>
      <c r="AC103" s="70"/>
    </row>
    <row r="104" spans="1:31" s="26" customFormat="1" x14ac:dyDescent="0.3">
      <c r="A104" s="25" t="s">
        <v>3250</v>
      </c>
      <c r="B104" s="25"/>
      <c r="C104" s="26" t="s">
        <v>3005</v>
      </c>
      <c r="D104" s="70"/>
      <c r="G104" s="70" t="s">
        <v>169</v>
      </c>
      <c r="H104" s="26">
        <v>-1</v>
      </c>
      <c r="I104" s="70" t="s">
        <v>3251</v>
      </c>
      <c r="J104" s="26" t="s">
        <v>3252</v>
      </c>
      <c r="K104" s="26" t="s">
        <v>3253</v>
      </c>
      <c r="M104" s="76"/>
      <c r="N104" s="76"/>
      <c r="O104" s="76"/>
      <c r="P104" s="76"/>
      <c r="Q104" s="76"/>
      <c r="R104" s="76"/>
      <c r="Z104" s="70"/>
      <c r="AA104" s="70"/>
      <c r="AB104" s="70"/>
      <c r="AC104" s="70"/>
    </row>
    <row r="105" spans="1:31" s="26" customFormat="1" x14ac:dyDescent="0.3">
      <c r="A105" s="25" t="s">
        <v>3254</v>
      </c>
      <c r="B105" s="25"/>
      <c r="C105" s="26" t="s">
        <v>3005</v>
      </c>
      <c r="D105" s="70"/>
      <c r="G105" s="70" t="s">
        <v>169</v>
      </c>
      <c r="H105" s="26">
        <v>-1</v>
      </c>
      <c r="I105" s="70" t="s">
        <v>3255</v>
      </c>
      <c r="J105" s="26" t="s">
        <v>3256</v>
      </c>
      <c r="K105" s="26" t="s">
        <v>3257</v>
      </c>
      <c r="L105" s="26" t="s">
        <v>9986</v>
      </c>
      <c r="M105" s="76"/>
      <c r="N105" s="76"/>
      <c r="O105" s="76"/>
      <c r="P105" s="76"/>
      <c r="Q105" s="76"/>
      <c r="R105" s="76"/>
      <c r="Z105" s="70"/>
      <c r="AA105" s="70"/>
      <c r="AB105" s="70"/>
      <c r="AC105" s="70"/>
    </row>
    <row r="106" spans="1:31" s="26" customFormat="1" x14ac:dyDescent="0.3">
      <c r="A106" s="25" t="s">
        <v>3258</v>
      </c>
      <c r="B106" s="25"/>
      <c r="C106" s="26" t="s">
        <v>3005</v>
      </c>
      <c r="D106" s="70"/>
      <c r="G106" s="70" t="s">
        <v>169</v>
      </c>
      <c r="H106" s="26">
        <v>-1</v>
      </c>
      <c r="I106" s="70" t="s">
        <v>3259</v>
      </c>
      <c r="J106" s="26" t="s">
        <v>3260</v>
      </c>
      <c r="K106" s="26" t="s">
        <v>3261</v>
      </c>
      <c r="L106" s="26" t="s">
        <v>9987</v>
      </c>
      <c r="M106" s="76"/>
      <c r="N106" s="76"/>
      <c r="O106" s="76"/>
      <c r="P106" s="76"/>
      <c r="Q106" s="76"/>
      <c r="R106" s="76"/>
      <c r="Z106" s="70"/>
      <c r="AA106" s="70"/>
      <c r="AB106" s="70"/>
      <c r="AC106" s="70"/>
    </row>
    <row r="107" spans="1:31" s="26" customFormat="1" x14ac:dyDescent="0.3">
      <c r="A107" s="25" t="s">
        <v>3262</v>
      </c>
      <c r="B107" s="25"/>
      <c r="C107" s="26" t="s">
        <v>3005</v>
      </c>
      <c r="D107" s="70"/>
      <c r="G107" s="70" t="s">
        <v>169</v>
      </c>
      <c r="H107" s="26">
        <v>-1</v>
      </c>
      <c r="I107" s="70" t="s">
        <v>3263</v>
      </c>
      <c r="J107" s="26" t="s">
        <v>3264</v>
      </c>
      <c r="K107" s="26" t="s">
        <v>3265</v>
      </c>
      <c r="L107" s="26" t="s">
        <v>9988</v>
      </c>
      <c r="M107" s="76"/>
      <c r="N107" s="76"/>
      <c r="O107" s="76"/>
      <c r="P107" s="76"/>
      <c r="Q107" s="76"/>
      <c r="R107" s="76"/>
      <c r="Z107" s="70"/>
      <c r="AA107" s="70"/>
      <c r="AB107" s="70"/>
      <c r="AC107" s="70"/>
    </row>
    <row r="108" spans="1:31" s="26" customFormat="1" x14ac:dyDescent="0.3">
      <c r="A108" s="25" t="s">
        <v>3266</v>
      </c>
      <c r="B108" s="25"/>
      <c r="C108" s="26" t="s">
        <v>3005</v>
      </c>
      <c r="D108" s="70"/>
      <c r="G108" s="70" t="s">
        <v>169</v>
      </c>
      <c r="H108" s="26">
        <v>2</v>
      </c>
      <c r="I108" s="70" t="s">
        <v>3267</v>
      </c>
      <c r="J108" s="26" t="s">
        <v>3268</v>
      </c>
      <c r="K108" s="26" t="s">
        <v>3269</v>
      </c>
      <c r="L108" s="26" t="s">
        <v>9989</v>
      </c>
      <c r="M108" s="76"/>
      <c r="N108" s="76"/>
      <c r="O108" s="76"/>
      <c r="P108" s="76"/>
      <c r="Q108" s="76"/>
      <c r="R108" s="76"/>
      <c r="Z108" s="70"/>
      <c r="AA108" s="70"/>
      <c r="AB108" s="70"/>
      <c r="AC108" s="70"/>
    </row>
    <row r="109" spans="1:31" s="26" customFormat="1" x14ac:dyDescent="0.3">
      <c r="A109" s="25" t="s">
        <v>3270</v>
      </c>
      <c r="B109" s="25"/>
      <c r="C109" s="26" t="s">
        <v>3005</v>
      </c>
      <c r="D109" s="70"/>
      <c r="G109" s="70" t="s">
        <v>169</v>
      </c>
      <c r="H109" s="26">
        <v>3</v>
      </c>
      <c r="I109" s="70" t="s">
        <v>3271</v>
      </c>
      <c r="J109" s="26" t="s">
        <v>3272</v>
      </c>
      <c r="K109" s="26" t="s">
        <v>3273</v>
      </c>
      <c r="L109" s="26" t="s">
        <v>9990</v>
      </c>
      <c r="M109" s="76"/>
      <c r="N109" s="76"/>
      <c r="O109" s="76"/>
      <c r="P109" s="76"/>
      <c r="Q109" s="76"/>
      <c r="R109" s="76"/>
      <c r="Z109" s="70"/>
      <c r="AA109" s="70"/>
      <c r="AB109" s="70"/>
      <c r="AC109" s="70"/>
    </row>
    <row r="110" spans="1:31" s="24" customFormat="1" x14ac:dyDescent="0.3">
      <c r="A110" s="23">
        <v>48</v>
      </c>
      <c r="B110" s="23">
        <v>46</v>
      </c>
      <c r="C110" s="24" t="s">
        <v>2165</v>
      </c>
      <c r="D110" s="69" t="s">
        <v>167</v>
      </c>
      <c r="E110" s="24" t="s">
        <v>166</v>
      </c>
      <c r="F110" s="24" t="s">
        <v>171</v>
      </c>
      <c r="G110" s="69" t="s">
        <v>172</v>
      </c>
      <c r="I110" s="69"/>
      <c r="J110" s="24" t="s">
        <v>3117</v>
      </c>
      <c r="K110" s="24" t="s">
        <v>173</v>
      </c>
      <c r="M110" s="75" t="s">
        <v>19</v>
      </c>
      <c r="N110" s="75"/>
      <c r="O110" s="75"/>
      <c r="P110" s="75"/>
      <c r="Q110" s="75"/>
      <c r="R110" s="75" t="s">
        <v>2166</v>
      </c>
      <c r="W110" s="24" t="s">
        <v>2224</v>
      </c>
      <c r="Z110" s="69"/>
      <c r="AA110" s="69"/>
      <c r="AB110" s="69"/>
      <c r="AC110" s="69"/>
    </row>
    <row r="111" spans="1:31" s="26" customFormat="1" x14ac:dyDescent="0.3">
      <c r="A111" s="25" t="s">
        <v>3274</v>
      </c>
      <c r="B111" s="25"/>
      <c r="C111" s="26" t="s">
        <v>3005</v>
      </c>
      <c r="D111" s="70"/>
      <c r="G111" s="70" t="s">
        <v>172</v>
      </c>
      <c r="H111" s="26">
        <v>-1</v>
      </c>
      <c r="I111" s="70" t="s">
        <v>3275</v>
      </c>
      <c r="J111" s="26" t="s">
        <v>3117</v>
      </c>
      <c r="K111" s="26" t="s">
        <v>3276</v>
      </c>
      <c r="L111" s="26" t="s">
        <v>9991</v>
      </c>
      <c r="M111" s="76"/>
      <c r="N111" s="76"/>
      <c r="O111" s="76"/>
      <c r="P111" s="76"/>
      <c r="Q111" s="76"/>
      <c r="R111" s="76"/>
      <c r="Z111" s="70"/>
      <c r="AA111" s="70"/>
      <c r="AB111" s="70"/>
      <c r="AC111" s="70"/>
    </row>
    <row r="112" spans="1:31" s="26" customFormat="1" x14ac:dyDescent="0.3">
      <c r="A112" s="25" t="s">
        <v>3277</v>
      </c>
      <c r="B112" s="25"/>
      <c r="C112" s="26" t="s">
        <v>3005</v>
      </c>
      <c r="D112" s="70"/>
      <c r="G112" s="70" t="s">
        <v>172</v>
      </c>
      <c r="H112" s="26">
        <v>-1</v>
      </c>
      <c r="I112" s="70" t="s">
        <v>3278</v>
      </c>
      <c r="J112" s="26" t="s">
        <v>3279</v>
      </c>
      <c r="K112" s="26" t="s">
        <v>3280</v>
      </c>
      <c r="L112" s="26" t="s">
        <v>3280</v>
      </c>
      <c r="M112" s="76"/>
      <c r="N112" s="76"/>
      <c r="O112" s="76"/>
      <c r="P112" s="76"/>
      <c r="Q112" s="76"/>
      <c r="R112" s="76"/>
      <c r="Z112" s="70"/>
      <c r="AA112" s="70"/>
      <c r="AB112" s="70"/>
      <c r="AC112" s="70"/>
    </row>
    <row r="113" spans="1:30" s="26" customFormat="1" x14ac:dyDescent="0.3">
      <c r="A113" s="25" t="s">
        <v>3281</v>
      </c>
      <c r="B113" s="25"/>
      <c r="C113" s="26" t="s">
        <v>3005</v>
      </c>
      <c r="D113" s="70"/>
      <c r="G113" s="70" t="s">
        <v>172</v>
      </c>
      <c r="H113" s="26">
        <v>-1</v>
      </c>
      <c r="I113" s="70" t="s">
        <v>3282</v>
      </c>
      <c r="J113" s="26" t="s">
        <v>3283</v>
      </c>
      <c r="K113" s="26" t="s">
        <v>3284</v>
      </c>
      <c r="L113" s="26" t="s">
        <v>9992</v>
      </c>
      <c r="M113" s="76"/>
      <c r="N113" s="76"/>
      <c r="O113" s="76"/>
      <c r="P113" s="76"/>
      <c r="Q113" s="76"/>
      <c r="R113" s="76"/>
      <c r="Z113" s="70"/>
      <c r="AA113" s="70"/>
      <c r="AB113" s="70"/>
      <c r="AC113" s="70"/>
    </row>
    <row r="114" spans="1:30" s="24" customFormat="1" x14ac:dyDescent="0.3">
      <c r="A114" s="23">
        <v>49</v>
      </c>
      <c r="B114" s="23">
        <v>47</v>
      </c>
      <c r="C114" s="24" t="s">
        <v>2165</v>
      </c>
      <c r="D114" s="69" t="s">
        <v>175</v>
      </c>
      <c r="E114" s="24" t="s">
        <v>174</v>
      </c>
      <c r="F114" s="24" t="s">
        <v>176</v>
      </c>
      <c r="G114" s="69" t="s">
        <v>177</v>
      </c>
      <c r="I114" s="69"/>
      <c r="J114" s="24" t="s">
        <v>3285</v>
      </c>
      <c r="K114" s="24" t="s">
        <v>178</v>
      </c>
      <c r="M114" s="75" t="s">
        <v>19</v>
      </c>
      <c r="N114" s="75"/>
      <c r="O114" s="75"/>
      <c r="P114" s="75"/>
      <c r="Q114" s="75"/>
      <c r="R114" s="75" t="s">
        <v>2166</v>
      </c>
      <c r="Z114" s="69"/>
      <c r="AA114" s="69"/>
      <c r="AB114" s="69"/>
      <c r="AC114" s="69"/>
    </row>
    <row r="115" spans="1:30" s="26" customFormat="1" x14ac:dyDescent="0.3">
      <c r="A115" s="25" t="s">
        <v>3286</v>
      </c>
      <c r="B115" s="25"/>
      <c r="C115" s="26" t="s">
        <v>3005</v>
      </c>
      <c r="D115" s="70"/>
      <c r="G115" s="70" t="s">
        <v>177</v>
      </c>
      <c r="H115" s="26">
        <v>-1</v>
      </c>
      <c r="I115" s="70" t="s">
        <v>3287</v>
      </c>
      <c r="J115" s="26" t="s">
        <v>3285</v>
      </c>
      <c r="K115" s="26" t="s">
        <v>3288</v>
      </c>
      <c r="L115" s="26" t="s">
        <v>9993</v>
      </c>
      <c r="M115" s="76"/>
      <c r="N115" s="76"/>
      <c r="O115" s="76"/>
      <c r="P115" s="76"/>
      <c r="Q115" s="76"/>
      <c r="R115" s="76"/>
      <c r="Z115" s="70"/>
      <c r="AA115" s="70"/>
      <c r="AB115" s="70"/>
      <c r="AC115" s="70"/>
    </row>
    <row r="116" spans="1:30" s="26" customFormat="1" x14ac:dyDescent="0.3">
      <c r="A116" s="25" t="s">
        <v>3289</v>
      </c>
      <c r="B116" s="25"/>
      <c r="C116" s="26" t="s">
        <v>3005</v>
      </c>
      <c r="D116" s="70"/>
      <c r="G116" s="70" t="s">
        <v>177</v>
      </c>
      <c r="H116" s="26">
        <v>-1</v>
      </c>
      <c r="I116" s="70" t="s">
        <v>3290</v>
      </c>
      <c r="J116" s="26" t="s">
        <v>3195</v>
      </c>
      <c r="K116" s="26" t="s">
        <v>3291</v>
      </c>
      <c r="L116" s="26" t="s">
        <v>9994</v>
      </c>
      <c r="M116" s="76"/>
      <c r="N116" s="76"/>
      <c r="O116" s="76"/>
      <c r="P116" s="76"/>
      <c r="Q116" s="76"/>
      <c r="R116" s="76"/>
      <c r="Z116" s="70"/>
      <c r="AA116" s="70"/>
      <c r="AB116" s="70"/>
      <c r="AC116" s="70"/>
    </row>
    <row r="117" spans="1:30" s="26" customFormat="1" x14ac:dyDescent="0.3">
      <c r="A117" s="25" t="s">
        <v>3292</v>
      </c>
      <c r="B117" s="25"/>
      <c r="C117" s="26" t="s">
        <v>3005</v>
      </c>
      <c r="D117" s="70"/>
      <c r="G117" s="70" t="s">
        <v>177</v>
      </c>
      <c r="H117" s="26">
        <v>-1</v>
      </c>
      <c r="I117" s="70" t="s">
        <v>3293</v>
      </c>
      <c r="J117" s="26" t="s">
        <v>3294</v>
      </c>
      <c r="K117" s="26" t="s">
        <v>3295</v>
      </c>
      <c r="L117" s="26" t="s">
        <v>9995</v>
      </c>
      <c r="M117" s="76"/>
      <c r="N117" s="76"/>
      <c r="O117" s="76"/>
      <c r="P117" s="76"/>
      <c r="Q117" s="76"/>
      <c r="R117" s="76"/>
      <c r="Z117" s="70"/>
      <c r="AA117" s="70"/>
      <c r="AB117" s="70"/>
      <c r="AC117" s="70"/>
    </row>
    <row r="118" spans="1:30" s="26" customFormat="1" x14ac:dyDescent="0.3">
      <c r="A118" s="25" t="s">
        <v>3296</v>
      </c>
      <c r="B118" s="25"/>
      <c r="C118" s="26" t="s">
        <v>3005</v>
      </c>
      <c r="D118" s="70"/>
      <c r="G118" s="70" t="s">
        <v>177</v>
      </c>
      <c r="H118" s="26">
        <v>-1</v>
      </c>
      <c r="I118" s="70" t="s">
        <v>3297</v>
      </c>
      <c r="J118" s="26" t="s">
        <v>3298</v>
      </c>
      <c r="K118" s="26" t="s">
        <v>3299</v>
      </c>
      <c r="L118" s="26" t="s">
        <v>9996</v>
      </c>
      <c r="M118" s="76"/>
      <c r="N118" s="76"/>
      <c r="O118" s="76"/>
      <c r="P118" s="76"/>
      <c r="Q118" s="76"/>
      <c r="R118" s="76"/>
      <c r="Z118" s="70"/>
      <c r="AA118" s="70"/>
      <c r="AB118" s="70"/>
      <c r="AC118" s="70"/>
    </row>
    <row r="119" spans="1:30" s="24" customFormat="1" x14ac:dyDescent="0.3">
      <c r="A119" s="23">
        <v>50</v>
      </c>
      <c r="B119" s="23">
        <v>48</v>
      </c>
      <c r="C119" s="24" t="s">
        <v>2165</v>
      </c>
      <c r="D119" s="69" t="s">
        <v>175</v>
      </c>
      <c r="E119" s="24" t="s">
        <v>174</v>
      </c>
      <c r="F119" s="24" t="s">
        <v>179</v>
      </c>
      <c r="G119" s="69" t="s">
        <v>180</v>
      </c>
      <c r="I119" s="69"/>
      <c r="J119" s="24" t="s">
        <v>3300</v>
      </c>
      <c r="K119" s="24" t="s">
        <v>181</v>
      </c>
      <c r="M119" s="75" t="s">
        <v>19</v>
      </c>
      <c r="N119" s="75"/>
      <c r="O119" s="75"/>
      <c r="P119" s="75"/>
      <c r="Q119" s="75"/>
      <c r="R119" s="75" t="s">
        <v>2166</v>
      </c>
      <c r="Z119" s="69"/>
      <c r="AA119" s="69"/>
      <c r="AB119" s="69"/>
      <c r="AC119" s="69"/>
      <c r="AD119" s="24" t="s">
        <v>123</v>
      </c>
    </row>
    <row r="120" spans="1:30" s="26" customFormat="1" x14ac:dyDescent="0.3">
      <c r="A120" s="25" t="s">
        <v>3301</v>
      </c>
      <c r="B120" s="25"/>
      <c r="C120" s="26" t="s">
        <v>3005</v>
      </c>
      <c r="D120" s="70"/>
      <c r="G120" s="70" t="s">
        <v>180</v>
      </c>
      <c r="H120" s="26">
        <v>-1</v>
      </c>
      <c r="I120" s="70" t="s">
        <v>3302</v>
      </c>
      <c r="J120" s="26" t="s">
        <v>3303</v>
      </c>
      <c r="K120" s="26" t="s">
        <v>3304</v>
      </c>
      <c r="M120" s="76"/>
      <c r="N120" s="76"/>
      <c r="O120" s="76"/>
      <c r="P120" s="76"/>
      <c r="Q120" s="76"/>
      <c r="R120" s="76"/>
      <c r="Z120" s="70"/>
      <c r="AA120" s="70"/>
      <c r="AB120" s="70"/>
      <c r="AC120" s="70"/>
    </row>
    <row r="121" spans="1:30" s="26" customFormat="1" x14ac:dyDescent="0.3">
      <c r="A121" s="25" t="s">
        <v>3305</v>
      </c>
      <c r="B121" s="25"/>
      <c r="C121" s="26" t="s">
        <v>3005</v>
      </c>
      <c r="D121" s="70"/>
      <c r="G121" s="70" t="s">
        <v>180</v>
      </c>
      <c r="H121" s="26">
        <v>-1</v>
      </c>
      <c r="I121" s="70" t="s">
        <v>3306</v>
      </c>
      <c r="J121" s="26" t="s">
        <v>3307</v>
      </c>
      <c r="K121" s="26" t="s">
        <v>3308</v>
      </c>
      <c r="M121" s="76"/>
      <c r="N121" s="76"/>
      <c r="O121" s="76"/>
      <c r="P121" s="76"/>
      <c r="Q121" s="76"/>
      <c r="R121" s="76"/>
      <c r="Z121" s="70"/>
      <c r="AA121" s="70"/>
      <c r="AB121" s="70"/>
      <c r="AC121" s="70"/>
    </row>
    <row r="122" spans="1:30" s="26" customFormat="1" x14ac:dyDescent="0.3">
      <c r="A122" s="25" t="s">
        <v>3309</v>
      </c>
      <c r="B122" s="25"/>
      <c r="C122" s="26" t="s">
        <v>3005</v>
      </c>
      <c r="D122" s="70"/>
      <c r="G122" s="70" t="s">
        <v>180</v>
      </c>
      <c r="H122" s="26">
        <v>-1</v>
      </c>
      <c r="I122" s="70" t="s">
        <v>3310</v>
      </c>
      <c r="J122" s="26" t="s">
        <v>3300</v>
      </c>
      <c r="K122" s="26" t="s">
        <v>3311</v>
      </c>
      <c r="M122" s="76"/>
      <c r="N122" s="76"/>
      <c r="O122" s="76"/>
      <c r="P122" s="76"/>
      <c r="Q122" s="76"/>
      <c r="R122" s="76"/>
      <c r="Z122" s="70"/>
      <c r="AA122" s="70"/>
      <c r="AB122" s="70"/>
      <c r="AC122" s="70"/>
    </row>
    <row r="123" spans="1:30" s="26" customFormat="1" x14ac:dyDescent="0.3">
      <c r="A123" s="25" t="s">
        <v>3312</v>
      </c>
      <c r="B123" s="25"/>
      <c r="C123" s="26" t="s">
        <v>3005</v>
      </c>
      <c r="D123" s="70"/>
      <c r="G123" s="70" t="s">
        <v>180</v>
      </c>
      <c r="H123" s="26">
        <v>-1</v>
      </c>
      <c r="I123" s="70" t="s">
        <v>3313</v>
      </c>
      <c r="J123" s="26" t="s">
        <v>3314</v>
      </c>
      <c r="K123" s="26" t="s">
        <v>3315</v>
      </c>
      <c r="M123" s="76"/>
      <c r="N123" s="76"/>
      <c r="O123" s="76"/>
      <c r="P123" s="76"/>
      <c r="Q123" s="76"/>
      <c r="R123" s="76"/>
      <c r="Z123" s="70"/>
      <c r="AA123" s="70"/>
      <c r="AB123" s="70"/>
      <c r="AC123" s="70"/>
    </row>
    <row r="124" spans="1:30" s="26" customFormat="1" x14ac:dyDescent="0.3">
      <c r="A124" s="25" t="s">
        <v>3316</v>
      </c>
      <c r="B124" s="25"/>
      <c r="C124" s="26" t="s">
        <v>3005</v>
      </c>
      <c r="D124" s="70"/>
      <c r="G124" s="70" t="s">
        <v>180</v>
      </c>
      <c r="H124" s="26">
        <v>-1</v>
      </c>
      <c r="I124" s="70" t="s">
        <v>3317</v>
      </c>
      <c r="J124" s="26" t="s">
        <v>3303</v>
      </c>
      <c r="K124" s="26" t="s">
        <v>3318</v>
      </c>
      <c r="M124" s="76"/>
      <c r="N124" s="76"/>
      <c r="O124" s="76"/>
      <c r="P124" s="76"/>
      <c r="Q124" s="76"/>
      <c r="R124" s="76"/>
      <c r="Z124" s="70"/>
      <c r="AA124" s="70"/>
      <c r="AB124" s="70"/>
      <c r="AC124" s="70"/>
    </row>
    <row r="125" spans="1:30" s="26" customFormat="1" x14ac:dyDescent="0.3">
      <c r="A125" s="25" t="s">
        <v>3319</v>
      </c>
      <c r="B125" s="25"/>
      <c r="C125" s="26" t="s">
        <v>3005</v>
      </c>
      <c r="D125" s="70"/>
      <c r="G125" s="70" t="s">
        <v>180</v>
      </c>
      <c r="H125" s="26">
        <v>-1</v>
      </c>
      <c r="I125" s="70" t="s">
        <v>3320</v>
      </c>
      <c r="J125" s="26" t="s">
        <v>3321</v>
      </c>
      <c r="K125" s="26" t="s">
        <v>3322</v>
      </c>
      <c r="M125" s="76"/>
      <c r="N125" s="76"/>
      <c r="O125" s="76"/>
      <c r="P125" s="76"/>
      <c r="Q125" s="76"/>
      <c r="R125" s="76"/>
      <c r="Z125" s="70"/>
      <c r="AA125" s="70"/>
      <c r="AB125" s="70"/>
      <c r="AC125" s="70"/>
    </row>
    <row r="126" spans="1:30" s="24" customFormat="1" x14ac:dyDescent="0.3">
      <c r="A126" s="23">
        <v>51</v>
      </c>
      <c r="B126" s="23">
        <v>698</v>
      </c>
      <c r="C126" s="24" t="s">
        <v>2165</v>
      </c>
      <c r="D126" s="69" t="s">
        <v>183</v>
      </c>
      <c r="E126" s="24" t="s">
        <v>182</v>
      </c>
      <c r="F126" s="24" t="s">
        <v>184</v>
      </c>
      <c r="G126" s="69" t="s">
        <v>185</v>
      </c>
      <c r="I126" s="69"/>
      <c r="J126" s="24" t="s">
        <v>3016</v>
      </c>
      <c r="K126" s="24" t="s">
        <v>186</v>
      </c>
      <c r="L126" s="24" t="s">
        <v>9678</v>
      </c>
      <c r="M126" s="75" t="s">
        <v>19</v>
      </c>
      <c r="N126" s="75"/>
      <c r="O126" s="75"/>
      <c r="P126" s="75"/>
      <c r="Q126" s="75"/>
      <c r="R126" s="75" t="s">
        <v>2166</v>
      </c>
      <c r="U126" s="24" t="s">
        <v>2225</v>
      </c>
      <c r="V126" s="24" t="s">
        <v>2171</v>
      </c>
      <c r="Z126" s="69"/>
      <c r="AA126" s="69"/>
      <c r="AB126" s="69"/>
      <c r="AC126" s="69"/>
      <c r="AD126" s="24" t="s">
        <v>11307</v>
      </c>
    </row>
    <row r="127" spans="1:30" s="24" customFormat="1" x14ac:dyDescent="0.3">
      <c r="A127" s="23">
        <v>52</v>
      </c>
      <c r="B127" s="23">
        <v>49</v>
      </c>
      <c r="C127" s="24" t="s">
        <v>2165</v>
      </c>
      <c r="D127" s="69" t="s">
        <v>183</v>
      </c>
      <c r="E127" s="24" t="s">
        <v>182</v>
      </c>
      <c r="F127" s="24" t="s">
        <v>187</v>
      </c>
      <c r="G127" s="69" t="s">
        <v>188</v>
      </c>
      <c r="H127" s="24">
        <v>1</v>
      </c>
      <c r="I127" s="69"/>
      <c r="J127" s="24" t="s">
        <v>3323</v>
      </c>
      <c r="K127" s="24" t="s">
        <v>189</v>
      </c>
      <c r="M127" s="75" t="s">
        <v>15</v>
      </c>
      <c r="N127" s="75"/>
      <c r="O127" s="75" t="s">
        <v>66</v>
      </c>
      <c r="P127" s="75" t="s">
        <v>66</v>
      </c>
      <c r="Q127" s="75" t="s">
        <v>130</v>
      </c>
      <c r="R127" s="75" t="s">
        <v>2166</v>
      </c>
      <c r="Y127" s="24" t="s">
        <v>2226</v>
      </c>
      <c r="Z127" s="69"/>
      <c r="AA127" s="69"/>
      <c r="AB127" s="69"/>
      <c r="AC127" s="69"/>
      <c r="AD127" s="24" t="s">
        <v>190</v>
      </c>
    </row>
    <row r="128" spans="1:30" s="26" customFormat="1" x14ac:dyDescent="0.3">
      <c r="A128" s="25" t="s">
        <v>3324</v>
      </c>
      <c r="B128" s="25"/>
      <c r="C128" s="26" t="s">
        <v>3005</v>
      </c>
      <c r="D128" s="70"/>
      <c r="G128" s="70" t="s">
        <v>188</v>
      </c>
      <c r="H128" s="26">
        <v>-1</v>
      </c>
      <c r="I128" s="70" t="s">
        <v>3325</v>
      </c>
      <c r="J128" s="26" t="s">
        <v>3326</v>
      </c>
      <c r="K128" s="26" t="s">
        <v>3280</v>
      </c>
      <c r="M128" s="76"/>
      <c r="N128" s="76"/>
      <c r="O128" s="76"/>
      <c r="P128" s="76"/>
      <c r="Q128" s="76"/>
      <c r="R128" s="76"/>
      <c r="Z128" s="70"/>
      <c r="AA128" s="70"/>
      <c r="AB128" s="70"/>
      <c r="AC128" s="70"/>
    </row>
    <row r="129" spans="1:30" s="26" customFormat="1" x14ac:dyDescent="0.3">
      <c r="A129" s="25" t="s">
        <v>3327</v>
      </c>
      <c r="B129" s="25"/>
      <c r="C129" s="26" t="s">
        <v>3005</v>
      </c>
      <c r="D129" s="70"/>
      <c r="G129" s="70" t="s">
        <v>188</v>
      </c>
      <c r="H129" s="26">
        <v>2</v>
      </c>
      <c r="I129" s="70" t="s">
        <v>3328</v>
      </c>
      <c r="J129" s="26" t="s">
        <v>3323</v>
      </c>
      <c r="K129" s="26" t="s">
        <v>3329</v>
      </c>
      <c r="L129" s="26" t="s">
        <v>9997</v>
      </c>
      <c r="M129" s="76"/>
      <c r="N129" s="76"/>
      <c r="O129" s="76"/>
      <c r="P129" s="76"/>
      <c r="Q129" s="76"/>
      <c r="R129" s="76"/>
      <c r="Z129" s="70"/>
      <c r="AA129" s="70"/>
      <c r="AB129" s="70"/>
      <c r="AC129" s="70"/>
    </row>
    <row r="130" spans="1:30" s="26" customFormat="1" x14ac:dyDescent="0.3">
      <c r="A130" s="25" t="s">
        <v>3330</v>
      </c>
      <c r="B130" s="25"/>
      <c r="C130" s="26" t="s">
        <v>3005</v>
      </c>
      <c r="D130" s="70"/>
      <c r="G130" s="70" t="s">
        <v>188</v>
      </c>
      <c r="H130" s="26">
        <v>-1</v>
      </c>
      <c r="I130" s="70" t="s">
        <v>3229</v>
      </c>
      <c r="J130" s="26" t="s">
        <v>3331</v>
      </c>
      <c r="K130" s="26" t="s">
        <v>3332</v>
      </c>
      <c r="L130" s="26" t="s">
        <v>9998</v>
      </c>
      <c r="M130" s="76"/>
      <c r="N130" s="76"/>
      <c r="O130" s="76"/>
      <c r="P130" s="76"/>
      <c r="Q130" s="76"/>
      <c r="R130" s="76"/>
      <c r="Z130" s="70"/>
      <c r="AA130" s="70"/>
      <c r="AB130" s="70"/>
      <c r="AC130" s="70"/>
    </row>
    <row r="131" spans="1:30" s="24" customFormat="1" x14ac:dyDescent="0.3">
      <c r="A131" s="23">
        <v>53</v>
      </c>
      <c r="B131" s="23">
        <v>50</v>
      </c>
      <c r="C131" s="24" t="s">
        <v>2165</v>
      </c>
      <c r="D131" s="69" t="s">
        <v>183</v>
      </c>
      <c r="E131" s="24" t="s">
        <v>182</v>
      </c>
      <c r="F131" s="24" t="s">
        <v>191</v>
      </c>
      <c r="G131" s="69" t="s">
        <v>192</v>
      </c>
      <c r="I131" s="69"/>
      <c r="J131" s="24" t="s">
        <v>3333</v>
      </c>
      <c r="K131" s="24" t="s">
        <v>193</v>
      </c>
      <c r="L131" s="24" t="s">
        <v>9679</v>
      </c>
      <c r="M131" s="75" t="s">
        <v>19</v>
      </c>
      <c r="N131" s="75"/>
      <c r="O131" s="75" t="s">
        <v>67</v>
      </c>
      <c r="P131" s="75" t="s">
        <v>67</v>
      </c>
      <c r="Q131" s="75" t="s">
        <v>67</v>
      </c>
      <c r="R131" s="75" t="s">
        <v>2166</v>
      </c>
      <c r="U131" s="24" t="s">
        <v>2185</v>
      </c>
      <c r="V131" s="24" t="s">
        <v>2171</v>
      </c>
      <c r="Z131" s="69"/>
      <c r="AA131" s="69"/>
      <c r="AB131" s="69"/>
      <c r="AC131" s="69"/>
      <c r="AD131" s="24" t="s">
        <v>11308</v>
      </c>
    </row>
    <row r="132" spans="1:30" s="24" customFormat="1" x14ac:dyDescent="0.3">
      <c r="A132" s="23">
        <v>54</v>
      </c>
      <c r="B132" s="23">
        <v>51</v>
      </c>
      <c r="C132" s="24" t="s">
        <v>2165</v>
      </c>
      <c r="D132" s="69" t="s">
        <v>195</v>
      </c>
      <c r="E132" s="24" t="s">
        <v>194</v>
      </c>
      <c r="F132" s="24" t="s">
        <v>196</v>
      </c>
      <c r="G132" s="69" t="s">
        <v>197</v>
      </c>
      <c r="I132" s="69"/>
      <c r="J132" s="24" t="s">
        <v>3334</v>
      </c>
      <c r="K132" s="24" t="s">
        <v>122</v>
      </c>
      <c r="L132" s="24" t="s">
        <v>9680</v>
      </c>
      <c r="M132" s="75" t="s">
        <v>19</v>
      </c>
      <c r="N132" s="75"/>
      <c r="O132" s="75" t="s">
        <v>58</v>
      </c>
      <c r="P132" s="75" t="s">
        <v>58</v>
      </c>
      <c r="Q132" s="75" t="s">
        <v>130</v>
      </c>
      <c r="R132" s="75" t="s">
        <v>2166</v>
      </c>
      <c r="Z132" s="69"/>
      <c r="AA132" s="69"/>
      <c r="AB132" s="69"/>
      <c r="AC132" s="69"/>
      <c r="AD132" s="24" t="s">
        <v>198</v>
      </c>
    </row>
    <row r="133" spans="1:30" s="24" customFormat="1" x14ac:dyDescent="0.3">
      <c r="A133" s="23">
        <v>55</v>
      </c>
      <c r="B133" s="23">
        <v>52</v>
      </c>
      <c r="C133" s="24" t="s">
        <v>2165</v>
      </c>
      <c r="D133" s="69" t="s">
        <v>195</v>
      </c>
      <c r="E133" s="24" t="s">
        <v>194</v>
      </c>
      <c r="F133" s="24" t="s">
        <v>199</v>
      </c>
      <c r="G133" s="69" t="s">
        <v>200</v>
      </c>
      <c r="I133" s="69"/>
      <c r="J133" s="24" t="s">
        <v>3174</v>
      </c>
      <c r="K133" s="24" t="s">
        <v>201</v>
      </c>
      <c r="L133" s="24" t="s">
        <v>9681</v>
      </c>
      <c r="M133" s="75" t="s">
        <v>15</v>
      </c>
      <c r="N133" s="75"/>
      <c r="O133" s="75"/>
      <c r="P133" s="75"/>
      <c r="Q133" s="75"/>
      <c r="R133" s="75" t="s">
        <v>2166</v>
      </c>
      <c r="Z133" s="69"/>
      <c r="AA133" s="69"/>
      <c r="AB133" s="69"/>
      <c r="AC133" s="69"/>
      <c r="AD133" s="24" t="s">
        <v>202</v>
      </c>
    </row>
    <row r="134" spans="1:30" s="24" customFormat="1" x14ac:dyDescent="0.3">
      <c r="A134" s="23">
        <v>56</v>
      </c>
      <c r="B134" s="23">
        <v>53</v>
      </c>
      <c r="C134" s="24" t="s">
        <v>2165</v>
      </c>
      <c r="D134" s="69" t="s">
        <v>195</v>
      </c>
      <c r="E134" s="24" t="s">
        <v>194</v>
      </c>
      <c r="F134" s="24" t="s">
        <v>203</v>
      </c>
      <c r="G134" s="69" t="s">
        <v>204</v>
      </c>
      <c r="I134" s="69"/>
      <c r="J134" s="24" t="s">
        <v>3110</v>
      </c>
      <c r="K134" s="24" t="s">
        <v>205</v>
      </c>
      <c r="M134" s="75" t="s">
        <v>19</v>
      </c>
      <c r="N134" s="75"/>
      <c r="O134" s="75"/>
      <c r="P134" s="75"/>
      <c r="Q134" s="75"/>
      <c r="R134" s="75" t="s">
        <v>2166</v>
      </c>
      <c r="V134" s="24" t="s">
        <v>2171</v>
      </c>
      <c r="Z134" s="69"/>
      <c r="AA134" s="69"/>
      <c r="AB134" s="69"/>
      <c r="AC134" s="69"/>
      <c r="AD134" s="24" t="s">
        <v>11309</v>
      </c>
    </row>
    <row r="135" spans="1:30" s="26" customFormat="1" x14ac:dyDescent="0.3">
      <c r="A135" s="25" t="s">
        <v>3335</v>
      </c>
      <c r="B135" s="25"/>
      <c r="C135" s="26" t="s">
        <v>3005</v>
      </c>
      <c r="D135" s="70"/>
      <c r="G135" s="70" t="s">
        <v>204</v>
      </c>
      <c r="H135" s="26">
        <v>-1</v>
      </c>
      <c r="I135" s="70" t="s">
        <v>3336</v>
      </c>
      <c r="J135" s="26" t="s">
        <v>3110</v>
      </c>
      <c r="K135" s="26" t="s">
        <v>3337</v>
      </c>
      <c r="L135" s="26" t="s">
        <v>9999</v>
      </c>
      <c r="M135" s="76"/>
      <c r="N135" s="76"/>
      <c r="O135" s="76"/>
      <c r="P135" s="76"/>
      <c r="Q135" s="76"/>
      <c r="R135" s="76"/>
      <c r="U135" s="26" t="s">
        <v>3338</v>
      </c>
      <c r="Z135" s="70"/>
      <c r="AA135" s="70"/>
      <c r="AB135" s="70"/>
      <c r="AC135" s="70"/>
    </row>
    <row r="136" spans="1:30" s="26" customFormat="1" x14ac:dyDescent="0.3">
      <c r="A136" s="25" t="s">
        <v>3339</v>
      </c>
      <c r="B136" s="25"/>
      <c r="C136" s="26" t="s">
        <v>3005</v>
      </c>
      <c r="D136" s="70"/>
      <c r="G136" s="70" t="s">
        <v>204</v>
      </c>
      <c r="H136" s="26">
        <v>-1</v>
      </c>
      <c r="I136" s="70" t="s">
        <v>3340</v>
      </c>
      <c r="J136" s="26" t="s">
        <v>3341</v>
      </c>
      <c r="K136" s="26" t="s">
        <v>3342</v>
      </c>
      <c r="L136" s="26" t="s">
        <v>10000</v>
      </c>
      <c r="M136" s="76"/>
      <c r="N136" s="76"/>
      <c r="O136" s="76"/>
      <c r="P136" s="76"/>
      <c r="Q136" s="76"/>
      <c r="R136" s="76"/>
      <c r="Z136" s="70"/>
      <c r="AA136" s="70"/>
      <c r="AB136" s="70"/>
      <c r="AC136" s="70"/>
    </row>
    <row r="137" spans="1:30" s="26" customFormat="1" x14ac:dyDescent="0.3">
      <c r="A137" s="25" t="s">
        <v>3343</v>
      </c>
      <c r="B137" s="25"/>
      <c r="C137" s="26" t="s">
        <v>3005</v>
      </c>
      <c r="D137" s="70"/>
      <c r="G137" s="70" t="s">
        <v>204</v>
      </c>
      <c r="H137" s="26">
        <v>-1</v>
      </c>
      <c r="I137" s="70" t="s">
        <v>3344</v>
      </c>
      <c r="J137" s="26" t="s">
        <v>3345</v>
      </c>
      <c r="K137" s="26" t="s">
        <v>3346</v>
      </c>
      <c r="L137" s="26" t="s">
        <v>10001</v>
      </c>
      <c r="M137" s="76"/>
      <c r="N137" s="76"/>
      <c r="O137" s="76"/>
      <c r="P137" s="76"/>
      <c r="Q137" s="76"/>
      <c r="R137" s="76"/>
      <c r="Z137" s="70"/>
      <c r="AA137" s="70"/>
      <c r="AB137" s="70"/>
      <c r="AC137" s="70"/>
    </row>
    <row r="138" spans="1:30" s="24" customFormat="1" x14ac:dyDescent="0.3">
      <c r="A138" s="23">
        <v>57</v>
      </c>
      <c r="B138" s="23">
        <v>54</v>
      </c>
      <c r="C138" s="24" t="s">
        <v>2165</v>
      </c>
      <c r="D138" s="69" t="s">
        <v>195</v>
      </c>
      <c r="E138" s="24" t="s">
        <v>194</v>
      </c>
      <c r="F138" s="24" t="s">
        <v>206</v>
      </c>
      <c r="G138" s="69" t="s">
        <v>207</v>
      </c>
      <c r="I138" s="69"/>
      <c r="J138" s="24" t="s">
        <v>3173</v>
      </c>
      <c r="K138" s="24" t="s">
        <v>208</v>
      </c>
      <c r="L138" s="24" t="s">
        <v>9682</v>
      </c>
      <c r="M138" s="75" t="s">
        <v>19</v>
      </c>
      <c r="N138" s="75"/>
      <c r="O138" s="75" t="s">
        <v>67</v>
      </c>
      <c r="P138" s="75" t="s">
        <v>67</v>
      </c>
      <c r="Q138" s="75" t="s">
        <v>67</v>
      </c>
      <c r="R138" s="75" t="s">
        <v>2166</v>
      </c>
      <c r="U138" s="24" t="s">
        <v>2227</v>
      </c>
      <c r="Z138" s="69"/>
      <c r="AA138" s="69"/>
      <c r="AB138" s="69"/>
      <c r="AC138" s="69"/>
    </row>
    <row r="139" spans="1:30" s="24" customFormat="1" x14ac:dyDescent="0.3">
      <c r="A139" s="23">
        <v>58</v>
      </c>
      <c r="B139" s="23">
        <v>55</v>
      </c>
      <c r="C139" s="24" t="s">
        <v>2165</v>
      </c>
      <c r="D139" s="69" t="s">
        <v>210</v>
      </c>
      <c r="E139" s="24" t="s">
        <v>209</v>
      </c>
      <c r="F139" s="24" t="s">
        <v>211</v>
      </c>
      <c r="G139" s="69" t="s">
        <v>212</v>
      </c>
      <c r="I139" s="69"/>
      <c r="J139" s="24" t="s">
        <v>3016</v>
      </c>
      <c r="K139" s="24" t="s">
        <v>92</v>
      </c>
      <c r="M139" s="75" t="s">
        <v>19</v>
      </c>
      <c r="N139" s="75"/>
      <c r="O139" s="75"/>
      <c r="P139" s="75"/>
      <c r="Q139" s="75"/>
      <c r="R139" s="75" t="s">
        <v>2166</v>
      </c>
      <c r="U139" s="24" t="s">
        <v>2194</v>
      </c>
      <c r="V139" s="24" t="s">
        <v>2228</v>
      </c>
      <c r="W139" s="24" t="s">
        <v>2228</v>
      </c>
      <c r="Z139" s="69"/>
      <c r="AA139" s="69"/>
      <c r="AB139" s="69"/>
      <c r="AC139" s="69"/>
    </row>
    <row r="140" spans="1:30" s="26" customFormat="1" x14ac:dyDescent="0.3">
      <c r="A140" s="25" t="s">
        <v>3347</v>
      </c>
      <c r="B140" s="25"/>
      <c r="C140" s="26" t="s">
        <v>3005</v>
      </c>
      <c r="D140" s="70"/>
      <c r="G140" s="70" t="s">
        <v>212</v>
      </c>
      <c r="H140" s="26">
        <v>2</v>
      </c>
      <c r="I140" s="70" t="s">
        <v>3348</v>
      </c>
      <c r="J140" s="26" t="s">
        <v>3016</v>
      </c>
      <c r="K140" s="26" t="s">
        <v>3349</v>
      </c>
      <c r="L140" s="26" t="s">
        <v>10002</v>
      </c>
      <c r="M140" s="76"/>
      <c r="N140" s="76"/>
      <c r="O140" s="76"/>
      <c r="P140" s="76"/>
      <c r="Q140" s="76"/>
      <c r="R140" s="76"/>
      <c r="U140" s="26" t="s">
        <v>3350</v>
      </c>
      <c r="Z140" s="70"/>
      <c r="AA140" s="70"/>
      <c r="AB140" s="70"/>
      <c r="AC140" s="70"/>
    </row>
    <row r="141" spans="1:30" s="26" customFormat="1" x14ac:dyDescent="0.3">
      <c r="A141" s="25" t="s">
        <v>3351</v>
      </c>
      <c r="B141" s="25"/>
      <c r="C141" s="26" t="s">
        <v>3005</v>
      </c>
      <c r="D141" s="70"/>
      <c r="G141" s="70" t="s">
        <v>212</v>
      </c>
      <c r="H141" s="26">
        <v>-1</v>
      </c>
      <c r="I141" s="70" t="s">
        <v>3259</v>
      </c>
      <c r="J141" s="26" t="s">
        <v>3227</v>
      </c>
      <c r="K141" s="26" t="s">
        <v>3352</v>
      </c>
      <c r="L141" s="26" t="s">
        <v>10003</v>
      </c>
      <c r="M141" s="76"/>
      <c r="N141" s="76"/>
      <c r="O141" s="76"/>
      <c r="P141" s="76"/>
      <c r="Q141" s="76"/>
      <c r="R141" s="76"/>
      <c r="Z141" s="70"/>
      <c r="AA141" s="70"/>
      <c r="AB141" s="70"/>
      <c r="AC141" s="70"/>
    </row>
    <row r="142" spans="1:30" s="24" customFormat="1" x14ac:dyDescent="0.3">
      <c r="A142" s="23">
        <v>59</v>
      </c>
      <c r="B142" s="23">
        <v>56</v>
      </c>
      <c r="C142" s="24" t="s">
        <v>2165</v>
      </c>
      <c r="D142" s="69" t="s">
        <v>210</v>
      </c>
      <c r="E142" s="24" t="s">
        <v>209</v>
      </c>
      <c r="F142" s="24" t="s">
        <v>213</v>
      </c>
      <c r="G142" s="69" t="s">
        <v>214</v>
      </c>
      <c r="I142" s="69"/>
      <c r="J142" s="24" t="s">
        <v>3092</v>
      </c>
      <c r="K142" s="24" t="s">
        <v>215</v>
      </c>
      <c r="L142" s="24" t="s">
        <v>9683</v>
      </c>
      <c r="M142" s="75" t="s">
        <v>15</v>
      </c>
      <c r="N142" s="75"/>
      <c r="O142" s="75"/>
      <c r="P142" s="75"/>
      <c r="Q142" s="75"/>
      <c r="R142" s="75"/>
      <c r="U142" s="24" t="s">
        <v>2186</v>
      </c>
      <c r="Z142" s="69"/>
      <c r="AA142" s="69"/>
      <c r="AB142" s="69"/>
      <c r="AC142" s="69"/>
    </row>
    <row r="143" spans="1:30" s="24" customFormat="1" x14ac:dyDescent="0.3">
      <c r="A143" s="23">
        <v>60</v>
      </c>
      <c r="B143" s="23">
        <v>57</v>
      </c>
      <c r="C143" s="24" t="s">
        <v>2165</v>
      </c>
      <c r="D143" s="69" t="s">
        <v>210</v>
      </c>
      <c r="E143" s="24" t="s">
        <v>209</v>
      </c>
      <c r="F143" s="24" t="s">
        <v>216</v>
      </c>
      <c r="G143" s="69" t="s">
        <v>217</v>
      </c>
      <c r="I143" s="69"/>
      <c r="J143" s="24" t="s">
        <v>3353</v>
      </c>
      <c r="K143" s="24" t="s">
        <v>40</v>
      </c>
      <c r="L143" s="24" t="s">
        <v>9684</v>
      </c>
      <c r="M143" s="75" t="s">
        <v>50</v>
      </c>
      <c r="N143" s="75"/>
      <c r="O143" s="75"/>
      <c r="P143" s="75"/>
      <c r="Q143" s="75"/>
      <c r="R143" s="75" t="s">
        <v>2166</v>
      </c>
      <c r="U143" s="24" t="s">
        <v>2229</v>
      </c>
      <c r="V143" s="24" t="s">
        <v>2230</v>
      </c>
      <c r="W143" s="24" t="s">
        <v>2230</v>
      </c>
      <c r="Y143" s="24" t="s">
        <v>2230</v>
      </c>
      <c r="Z143" s="69"/>
      <c r="AA143" s="69"/>
      <c r="AB143" s="69"/>
      <c r="AC143" s="69"/>
    </row>
    <row r="144" spans="1:30" s="24" customFormat="1" x14ac:dyDescent="0.3">
      <c r="A144" s="23">
        <v>61</v>
      </c>
      <c r="B144" s="23">
        <v>58</v>
      </c>
      <c r="C144" s="24" t="s">
        <v>2165</v>
      </c>
      <c r="D144" s="69" t="s">
        <v>210</v>
      </c>
      <c r="E144" s="24" t="s">
        <v>209</v>
      </c>
      <c r="F144" s="24" t="s">
        <v>218</v>
      </c>
      <c r="G144" s="69" t="s">
        <v>219</v>
      </c>
      <c r="I144" s="69"/>
      <c r="J144" s="24" t="s">
        <v>3092</v>
      </c>
      <c r="K144" s="24" t="s">
        <v>215</v>
      </c>
      <c r="L144" s="24" t="s">
        <v>9685</v>
      </c>
      <c r="M144" s="75" t="s">
        <v>15</v>
      </c>
      <c r="N144" s="75"/>
      <c r="O144" s="75"/>
      <c r="P144" s="75"/>
      <c r="Q144" s="75"/>
      <c r="R144" s="75"/>
      <c r="Z144" s="69"/>
      <c r="AA144" s="69"/>
      <c r="AB144" s="69"/>
      <c r="AC144" s="69"/>
    </row>
    <row r="145" spans="1:31" s="24" customFormat="1" x14ac:dyDescent="0.3">
      <c r="A145" s="23">
        <v>62</v>
      </c>
      <c r="B145" s="23">
        <v>59</v>
      </c>
      <c r="C145" s="24" t="s">
        <v>2165</v>
      </c>
      <c r="D145" s="69" t="s">
        <v>210</v>
      </c>
      <c r="E145" s="24" t="s">
        <v>209</v>
      </c>
      <c r="F145" s="24" t="s">
        <v>220</v>
      </c>
      <c r="G145" s="69" t="s">
        <v>221</v>
      </c>
      <c r="H145" s="24">
        <v>1</v>
      </c>
      <c r="I145" s="69"/>
      <c r="J145" s="24" t="s">
        <v>3334</v>
      </c>
      <c r="K145" s="24" t="s">
        <v>119</v>
      </c>
      <c r="M145" s="75" t="s">
        <v>15</v>
      </c>
      <c r="N145" s="75"/>
      <c r="O145" s="75"/>
      <c r="P145" s="75"/>
      <c r="Q145" s="75"/>
      <c r="R145" s="75"/>
      <c r="Z145" s="69" t="s">
        <v>2231</v>
      </c>
      <c r="AA145" s="69"/>
      <c r="AB145" s="69" t="s">
        <v>2231</v>
      </c>
      <c r="AC145" s="69"/>
      <c r="AD145" s="24" t="s">
        <v>123</v>
      </c>
    </row>
    <row r="146" spans="1:31" s="26" customFormat="1" x14ac:dyDescent="0.3">
      <c r="A146" s="25" t="s">
        <v>3354</v>
      </c>
      <c r="B146" s="25"/>
      <c r="C146" s="26" t="s">
        <v>3005</v>
      </c>
      <c r="D146" s="70"/>
      <c r="G146" s="70" t="s">
        <v>221</v>
      </c>
      <c r="H146" s="26">
        <v>2</v>
      </c>
      <c r="I146" s="70" t="s">
        <v>3355</v>
      </c>
      <c r="J146" s="26" t="s">
        <v>3334</v>
      </c>
      <c r="K146" s="26" t="s">
        <v>3356</v>
      </c>
      <c r="L146" s="26" t="s">
        <v>10004</v>
      </c>
      <c r="M146" s="76"/>
      <c r="N146" s="76"/>
      <c r="O146" s="76"/>
      <c r="P146" s="76"/>
      <c r="Q146" s="76"/>
      <c r="R146" s="76"/>
      <c r="Z146" s="70"/>
      <c r="AA146" s="70"/>
      <c r="AB146" s="70"/>
      <c r="AC146" s="70"/>
    </row>
    <row r="147" spans="1:31" s="26" customFormat="1" x14ac:dyDescent="0.3">
      <c r="A147" s="25" t="s">
        <v>3357</v>
      </c>
      <c r="B147" s="25"/>
      <c r="C147" s="26" t="s">
        <v>3005</v>
      </c>
      <c r="D147" s="70"/>
      <c r="G147" s="70" t="s">
        <v>221</v>
      </c>
      <c r="H147" s="26">
        <v>-1</v>
      </c>
      <c r="I147" s="70" t="s">
        <v>3013</v>
      </c>
      <c r="J147" s="26" t="s">
        <v>3358</v>
      </c>
      <c r="K147" s="26" t="s">
        <v>3359</v>
      </c>
      <c r="L147" s="26" t="s">
        <v>10005</v>
      </c>
      <c r="M147" s="76"/>
      <c r="N147" s="76"/>
      <c r="O147" s="76"/>
      <c r="P147" s="76"/>
      <c r="Q147" s="76"/>
      <c r="R147" s="76"/>
      <c r="Z147" s="70"/>
      <c r="AA147" s="70"/>
      <c r="AB147" s="70"/>
      <c r="AC147" s="70"/>
    </row>
    <row r="148" spans="1:31" s="26" customFormat="1" x14ac:dyDescent="0.3">
      <c r="A148" s="25" t="s">
        <v>3360</v>
      </c>
      <c r="B148" s="25"/>
      <c r="C148" s="26" t="s">
        <v>3005</v>
      </c>
      <c r="D148" s="70"/>
      <c r="G148" s="70" t="s">
        <v>221</v>
      </c>
      <c r="H148" s="26">
        <v>-1</v>
      </c>
      <c r="I148" s="70" t="s">
        <v>3361</v>
      </c>
      <c r="J148" s="26" t="s">
        <v>3362</v>
      </c>
      <c r="K148" s="26" t="s">
        <v>3363</v>
      </c>
      <c r="L148" s="26" t="s">
        <v>10006</v>
      </c>
      <c r="M148" s="76"/>
      <c r="N148" s="76"/>
      <c r="O148" s="76"/>
      <c r="P148" s="76"/>
      <c r="Q148" s="76"/>
      <c r="R148" s="76"/>
      <c r="Z148" s="70"/>
      <c r="AA148" s="70"/>
      <c r="AB148" s="70"/>
      <c r="AC148" s="70"/>
    </row>
    <row r="149" spans="1:31" s="24" customFormat="1" x14ac:dyDescent="0.3">
      <c r="A149" s="23">
        <v>63</v>
      </c>
      <c r="B149" s="23">
        <v>60</v>
      </c>
      <c r="C149" s="24" t="s">
        <v>2165</v>
      </c>
      <c r="D149" s="69" t="s">
        <v>210</v>
      </c>
      <c r="E149" s="24" t="s">
        <v>209</v>
      </c>
      <c r="F149" s="24" t="s">
        <v>222</v>
      </c>
      <c r="G149" s="69" t="s">
        <v>223</v>
      </c>
      <c r="I149" s="69"/>
      <c r="J149" s="24" t="s">
        <v>3245</v>
      </c>
      <c r="K149" s="24" t="s">
        <v>224</v>
      </c>
      <c r="L149" s="24" t="s">
        <v>9686</v>
      </c>
      <c r="M149" s="75" t="s">
        <v>50</v>
      </c>
      <c r="N149" s="75"/>
      <c r="O149" s="75" t="s">
        <v>67</v>
      </c>
      <c r="P149" s="75" t="s">
        <v>67</v>
      </c>
      <c r="Q149" s="75" t="s">
        <v>67</v>
      </c>
      <c r="R149" s="75" t="s">
        <v>2166</v>
      </c>
      <c r="U149" s="24" t="s">
        <v>2232</v>
      </c>
      <c r="W149" s="24" t="s">
        <v>2233</v>
      </c>
      <c r="Y149" s="24" t="s">
        <v>2234</v>
      </c>
      <c r="Z149" s="69"/>
      <c r="AA149" s="69"/>
      <c r="AB149" s="69"/>
      <c r="AC149" s="69"/>
    </row>
    <row r="150" spans="1:31" s="24" customFormat="1" x14ac:dyDescent="0.3">
      <c r="A150" s="23">
        <v>64</v>
      </c>
      <c r="B150" s="23">
        <v>61</v>
      </c>
      <c r="C150" s="24" t="s">
        <v>2165</v>
      </c>
      <c r="D150" s="69" t="s">
        <v>210</v>
      </c>
      <c r="E150" s="24" t="s">
        <v>209</v>
      </c>
      <c r="F150" s="24" t="s">
        <v>225</v>
      </c>
      <c r="G150" s="69" t="s">
        <v>226</v>
      </c>
      <c r="I150" s="69"/>
      <c r="J150" s="24" t="s">
        <v>3364</v>
      </c>
      <c r="K150" s="24" t="s">
        <v>43</v>
      </c>
      <c r="L150" s="24" t="s">
        <v>9687</v>
      </c>
      <c r="M150" s="75" t="s">
        <v>15</v>
      </c>
      <c r="N150" s="75"/>
      <c r="O150" s="75"/>
      <c r="P150" s="75"/>
      <c r="Q150" s="75"/>
      <c r="R150" s="75"/>
      <c r="W150" s="24" t="s">
        <v>2235</v>
      </c>
      <c r="Y150" s="24" t="s">
        <v>2236</v>
      </c>
      <c r="Z150" s="69"/>
      <c r="AA150" s="69"/>
      <c r="AB150" s="69"/>
      <c r="AC150" s="69"/>
    </row>
    <row r="151" spans="1:31" s="24" customFormat="1" x14ac:dyDescent="0.3">
      <c r="A151" s="23">
        <v>65</v>
      </c>
      <c r="B151" s="23">
        <v>62</v>
      </c>
      <c r="C151" s="24" t="s">
        <v>2165</v>
      </c>
      <c r="D151" s="69" t="s">
        <v>210</v>
      </c>
      <c r="E151" s="24" t="s">
        <v>209</v>
      </c>
      <c r="F151" s="24" t="s">
        <v>227</v>
      </c>
      <c r="G151" s="69" t="s">
        <v>228</v>
      </c>
      <c r="I151" s="69"/>
      <c r="J151" s="24" t="s">
        <v>3016</v>
      </c>
      <c r="K151" s="24" t="s">
        <v>229</v>
      </c>
      <c r="M151" s="75" t="s">
        <v>15</v>
      </c>
      <c r="N151" s="75"/>
      <c r="O151" s="75"/>
      <c r="P151" s="75"/>
      <c r="Q151" s="75"/>
      <c r="R151" s="75"/>
      <c r="V151" s="24" t="s">
        <v>2237</v>
      </c>
      <c r="W151" s="24" t="s">
        <v>2237</v>
      </c>
      <c r="Y151" s="24" t="s">
        <v>2238</v>
      </c>
      <c r="Z151" s="69"/>
      <c r="AA151" s="69"/>
      <c r="AB151" s="69"/>
      <c r="AC151" s="69"/>
      <c r="AD151" s="24" t="s">
        <v>230</v>
      </c>
    </row>
    <row r="152" spans="1:31" s="26" customFormat="1" x14ac:dyDescent="0.3">
      <c r="A152" s="25" t="s">
        <v>3365</v>
      </c>
      <c r="B152" s="25"/>
      <c r="C152" s="26" t="s">
        <v>3005</v>
      </c>
      <c r="D152" s="70"/>
      <c r="G152" s="70" t="s">
        <v>228</v>
      </c>
      <c r="H152" s="26">
        <v>-1</v>
      </c>
      <c r="I152" s="70" t="s">
        <v>3366</v>
      </c>
      <c r="J152" s="26" t="s">
        <v>3016</v>
      </c>
      <c r="K152" s="26" t="s">
        <v>3367</v>
      </c>
      <c r="M152" s="76"/>
      <c r="N152" s="76"/>
      <c r="O152" s="76"/>
      <c r="P152" s="76"/>
      <c r="Q152" s="76"/>
      <c r="R152" s="76"/>
      <c r="Z152" s="70"/>
      <c r="AA152" s="70"/>
      <c r="AB152" s="70"/>
      <c r="AC152" s="70"/>
    </row>
    <row r="153" spans="1:31" s="26" customFormat="1" x14ac:dyDescent="0.3">
      <c r="A153" s="25" t="s">
        <v>3368</v>
      </c>
      <c r="B153" s="25"/>
      <c r="C153" s="26" t="s">
        <v>3005</v>
      </c>
      <c r="D153" s="70"/>
      <c r="G153" s="70" t="s">
        <v>228</v>
      </c>
      <c r="H153" s="26">
        <v>-1</v>
      </c>
      <c r="I153" s="70" t="s">
        <v>3369</v>
      </c>
      <c r="J153" s="26" t="s">
        <v>3092</v>
      </c>
      <c r="K153" s="26" t="s">
        <v>3370</v>
      </c>
      <c r="M153" s="76"/>
      <c r="N153" s="76"/>
      <c r="O153" s="76"/>
      <c r="P153" s="76"/>
      <c r="Q153" s="76"/>
      <c r="R153" s="76"/>
      <c r="Z153" s="70"/>
      <c r="AA153" s="70"/>
      <c r="AB153" s="70"/>
      <c r="AC153" s="70"/>
    </row>
    <row r="154" spans="1:31" s="26" customFormat="1" x14ac:dyDescent="0.3">
      <c r="A154" s="25" t="s">
        <v>3371</v>
      </c>
      <c r="B154" s="25"/>
      <c r="C154" s="26" t="s">
        <v>3005</v>
      </c>
      <c r="D154" s="70"/>
      <c r="G154" s="70" t="s">
        <v>228</v>
      </c>
      <c r="H154" s="26">
        <v>-1</v>
      </c>
      <c r="I154" s="70" t="s">
        <v>3372</v>
      </c>
      <c r="J154" s="26" t="s">
        <v>3373</v>
      </c>
      <c r="K154" s="26" t="s">
        <v>3374</v>
      </c>
      <c r="M154" s="76"/>
      <c r="N154" s="76"/>
      <c r="O154" s="76"/>
      <c r="P154" s="76"/>
      <c r="Q154" s="76"/>
      <c r="R154" s="76"/>
      <c r="Z154" s="70"/>
      <c r="AA154" s="70"/>
      <c r="AB154" s="70"/>
      <c r="AC154" s="70"/>
    </row>
    <row r="155" spans="1:31" s="26" customFormat="1" x14ac:dyDescent="0.3">
      <c r="A155" s="25" t="s">
        <v>3375</v>
      </c>
      <c r="B155" s="25"/>
      <c r="C155" s="26" t="s">
        <v>3005</v>
      </c>
      <c r="D155" s="70"/>
      <c r="G155" s="70" t="s">
        <v>228</v>
      </c>
      <c r="H155" s="26">
        <v>-1</v>
      </c>
      <c r="I155" s="70" t="s">
        <v>3376</v>
      </c>
      <c r="J155" s="26" t="s">
        <v>3377</v>
      </c>
      <c r="K155" s="26" t="s">
        <v>3378</v>
      </c>
      <c r="M155" s="76"/>
      <c r="N155" s="76"/>
      <c r="O155" s="76"/>
      <c r="P155" s="76"/>
      <c r="Q155" s="76"/>
      <c r="R155" s="76"/>
      <c r="Z155" s="70"/>
      <c r="AA155" s="70"/>
      <c r="AB155" s="70"/>
      <c r="AC155" s="70"/>
    </row>
    <row r="156" spans="1:31" s="24" customFormat="1" x14ac:dyDescent="0.3">
      <c r="A156" s="23">
        <v>66</v>
      </c>
      <c r="B156" s="23">
        <v>63</v>
      </c>
      <c r="C156" s="24" t="s">
        <v>2165</v>
      </c>
      <c r="D156" s="69" t="s">
        <v>210</v>
      </c>
      <c r="E156" s="24" t="s">
        <v>209</v>
      </c>
      <c r="F156" s="24" t="s">
        <v>2240</v>
      </c>
      <c r="G156" s="69" t="s">
        <v>232</v>
      </c>
      <c r="H156" s="24">
        <v>1</v>
      </c>
      <c r="I156" s="69"/>
      <c r="J156" s="24" t="s">
        <v>3092</v>
      </c>
      <c r="K156" s="24" t="s">
        <v>233</v>
      </c>
      <c r="M156" s="75" t="s">
        <v>15</v>
      </c>
      <c r="N156" s="75"/>
      <c r="O156" s="75"/>
      <c r="P156" s="75"/>
      <c r="Q156" s="75"/>
      <c r="R156" s="75"/>
      <c r="T156" s="24" t="s">
        <v>2174</v>
      </c>
      <c r="V156" s="24" t="s">
        <v>2239</v>
      </c>
      <c r="W156" s="24" t="s">
        <v>2239</v>
      </c>
      <c r="X156" s="24" t="s">
        <v>231</v>
      </c>
      <c r="Y156" s="24" t="s">
        <v>2241</v>
      </c>
      <c r="Z156" s="69"/>
      <c r="AA156" s="69"/>
      <c r="AB156" s="69"/>
      <c r="AC156" s="69"/>
      <c r="AE156" s="24" t="s">
        <v>2242</v>
      </c>
    </row>
    <row r="157" spans="1:31" s="26" customFormat="1" x14ac:dyDescent="0.3">
      <c r="A157" s="25" t="s">
        <v>3379</v>
      </c>
      <c r="B157" s="25"/>
      <c r="C157" s="26" t="s">
        <v>3005</v>
      </c>
      <c r="D157" s="70"/>
      <c r="G157" s="70" t="s">
        <v>232</v>
      </c>
      <c r="H157" s="26">
        <v>-1</v>
      </c>
      <c r="I157" s="70" t="s">
        <v>3380</v>
      </c>
      <c r="J157" s="26" t="s">
        <v>3381</v>
      </c>
      <c r="K157" s="26" t="s">
        <v>3382</v>
      </c>
      <c r="L157" s="26" t="s">
        <v>10007</v>
      </c>
      <c r="M157" s="76"/>
      <c r="N157" s="76"/>
      <c r="O157" s="76"/>
      <c r="P157" s="76"/>
      <c r="Q157" s="76"/>
      <c r="R157" s="76"/>
      <c r="Z157" s="70"/>
      <c r="AA157" s="70"/>
      <c r="AB157" s="70"/>
      <c r="AC157" s="70"/>
    </row>
    <row r="158" spans="1:31" s="26" customFormat="1" x14ac:dyDescent="0.3">
      <c r="A158" s="25" t="s">
        <v>3383</v>
      </c>
      <c r="B158" s="25"/>
      <c r="C158" s="26" t="s">
        <v>3005</v>
      </c>
      <c r="D158" s="70"/>
      <c r="G158" s="70" t="s">
        <v>232</v>
      </c>
      <c r="H158" s="26">
        <v>2</v>
      </c>
      <c r="I158" s="70" t="s">
        <v>3384</v>
      </c>
      <c r="J158" s="26" t="s">
        <v>3385</v>
      </c>
      <c r="K158" s="26" t="s">
        <v>3386</v>
      </c>
      <c r="L158" s="26" t="s">
        <v>10008</v>
      </c>
      <c r="M158" s="76"/>
      <c r="N158" s="76"/>
      <c r="O158" s="76"/>
      <c r="P158" s="76"/>
      <c r="Q158" s="76"/>
      <c r="R158" s="76"/>
      <c r="Z158" s="70"/>
      <c r="AA158" s="70"/>
      <c r="AB158" s="70"/>
      <c r="AC158" s="70"/>
    </row>
    <row r="159" spans="1:31" s="26" customFormat="1" x14ac:dyDescent="0.3">
      <c r="A159" s="25" t="s">
        <v>3387</v>
      </c>
      <c r="B159" s="25"/>
      <c r="C159" s="26" t="s">
        <v>3005</v>
      </c>
      <c r="D159" s="70"/>
      <c r="G159" s="70" t="s">
        <v>232</v>
      </c>
      <c r="H159" s="26">
        <v>-1</v>
      </c>
      <c r="I159" s="70" t="s">
        <v>3388</v>
      </c>
      <c r="J159" s="26" t="s">
        <v>3389</v>
      </c>
      <c r="K159" s="26" t="s">
        <v>3390</v>
      </c>
      <c r="L159" s="26" t="s">
        <v>10009</v>
      </c>
      <c r="M159" s="76"/>
      <c r="N159" s="76"/>
      <c r="O159" s="76"/>
      <c r="P159" s="76"/>
      <c r="Q159" s="76"/>
      <c r="R159" s="76"/>
      <c r="T159" s="26" t="s">
        <v>2200</v>
      </c>
      <c r="Z159" s="70"/>
      <c r="AA159" s="70"/>
      <c r="AB159" s="70"/>
      <c r="AC159" s="70"/>
      <c r="AE159" s="26" t="s">
        <v>3391</v>
      </c>
    </row>
    <row r="160" spans="1:31" s="26" customFormat="1" x14ac:dyDescent="0.3">
      <c r="A160" s="25" t="s">
        <v>3392</v>
      </c>
      <c r="B160" s="25"/>
      <c r="C160" s="26" t="s">
        <v>3005</v>
      </c>
      <c r="D160" s="70"/>
      <c r="G160" s="70" t="s">
        <v>232</v>
      </c>
      <c r="H160" s="26">
        <v>-1</v>
      </c>
      <c r="I160" s="70" t="s">
        <v>3393</v>
      </c>
      <c r="J160" s="26" t="s">
        <v>3394</v>
      </c>
      <c r="K160" s="26" t="s">
        <v>3395</v>
      </c>
      <c r="L160" s="26" t="s">
        <v>10010</v>
      </c>
      <c r="M160" s="76"/>
      <c r="N160" s="76"/>
      <c r="O160" s="76"/>
      <c r="P160" s="76"/>
      <c r="Q160" s="76"/>
      <c r="R160" s="76"/>
      <c r="Z160" s="70"/>
      <c r="AA160" s="70"/>
      <c r="AB160" s="70"/>
      <c r="AC160" s="70"/>
    </row>
    <row r="161" spans="1:31" s="26" customFormat="1" x14ac:dyDescent="0.3">
      <c r="A161" s="25" t="s">
        <v>3396</v>
      </c>
      <c r="B161" s="25"/>
      <c r="C161" s="26" t="s">
        <v>3005</v>
      </c>
      <c r="D161" s="70"/>
      <c r="G161" s="70" t="s">
        <v>232</v>
      </c>
      <c r="H161" s="26">
        <v>-1</v>
      </c>
      <c r="I161" s="70" t="s">
        <v>3397</v>
      </c>
      <c r="J161" s="26" t="s">
        <v>3092</v>
      </c>
      <c r="K161" s="26" t="s">
        <v>3244</v>
      </c>
      <c r="L161" s="26" t="s">
        <v>3244</v>
      </c>
      <c r="M161" s="76"/>
      <c r="N161" s="76"/>
      <c r="O161" s="76"/>
      <c r="P161" s="76"/>
      <c r="Q161" s="76"/>
      <c r="R161" s="76"/>
      <c r="Z161" s="70"/>
      <c r="AA161" s="70"/>
      <c r="AB161" s="70"/>
      <c r="AC161" s="70"/>
    </row>
    <row r="162" spans="1:31" s="26" customFormat="1" x14ac:dyDescent="0.3">
      <c r="A162" s="25" t="s">
        <v>3398</v>
      </c>
      <c r="B162" s="25"/>
      <c r="C162" s="26" t="s">
        <v>3005</v>
      </c>
      <c r="D162" s="70"/>
      <c r="G162" s="70" t="s">
        <v>232</v>
      </c>
      <c r="H162" s="26">
        <v>-1</v>
      </c>
      <c r="I162" s="70" t="s">
        <v>3399</v>
      </c>
      <c r="J162" s="26" t="s">
        <v>3400</v>
      </c>
      <c r="K162" s="26" t="s">
        <v>3401</v>
      </c>
      <c r="L162" s="26" t="s">
        <v>10011</v>
      </c>
      <c r="M162" s="76"/>
      <c r="N162" s="76"/>
      <c r="O162" s="76"/>
      <c r="P162" s="76"/>
      <c r="Q162" s="76"/>
      <c r="R162" s="76"/>
      <c r="Z162" s="70"/>
      <c r="AA162" s="70"/>
      <c r="AB162" s="70"/>
      <c r="AC162" s="70"/>
    </row>
    <row r="163" spans="1:31" s="24" customFormat="1" x14ac:dyDescent="0.3">
      <c r="A163" s="23">
        <v>67</v>
      </c>
      <c r="B163" s="23">
        <v>64</v>
      </c>
      <c r="C163" s="24" t="s">
        <v>2165</v>
      </c>
      <c r="D163" s="69" t="s">
        <v>210</v>
      </c>
      <c r="E163" s="24" t="s">
        <v>209</v>
      </c>
      <c r="F163" s="24" t="s">
        <v>234</v>
      </c>
      <c r="G163" s="69" t="s">
        <v>235</v>
      </c>
      <c r="H163" s="24">
        <v>1</v>
      </c>
      <c r="I163" s="69"/>
      <c r="J163" s="24" t="s">
        <v>3016</v>
      </c>
      <c r="K163" s="24" t="s">
        <v>237</v>
      </c>
      <c r="M163" s="75" t="s">
        <v>236</v>
      </c>
      <c r="N163" s="75"/>
      <c r="O163" s="75"/>
      <c r="P163" s="75"/>
      <c r="Q163" s="75"/>
      <c r="R163" s="75"/>
      <c r="V163" s="24" t="s">
        <v>2243</v>
      </c>
      <c r="Y163" s="24" t="s">
        <v>2244</v>
      </c>
      <c r="Z163" s="69"/>
      <c r="AA163" s="69"/>
      <c r="AB163" s="69"/>
      <c r="AC163" s="69" t="s">
        <v>11364</v>
      </c>
    </row>
    <row r="164" spans="1:31" s="26" customFormat="1" x14ac:dyDescent="0.3">
      <c r="A164" s="25" t="s">
        <v>3402</v>
      </c>
      <c r="B164" s="25"/>
      <c r="C164" s="26" t="s">
        <v>3005</v>
      </c>
      <c r="D164" s="70"/>
      <c r="G164" s="70" t="s">
        <v>235</v>
      </c>
      <c r="H164" s="26">
        <v>-1</v>
      </c>
      <c r="I164" s="70" t="s">
        <v>3403</v>
      </c>
      <c r="J164" s="26" t="s">
        <v>3016</v>
      </c>
      <c r="K164" s="26" t="s">
        <v>3404</v>
      </c>
      <c r="M164" s="76"/>
      <c r="N164" s="76"/>
      <c r="O164" s="76"/>
      <c r="P164" s="76"/>
      <c r="Q164" s="76"/>
      <c r="R164" s="76"/>
      <c r="Z164" s="70"/>
      <c r="AA164" s="70"/>
      <c r="AB164" s="70"/>
      <c r="AC164" s="70"/>
    </row>
    <row r="165" spans="1:31" s="26" customFormat="1" x14ac:dyDescent="0.3">
      <c r="A165" s="25" t="s">
        <v>3405</v>
      </c>
      <c r="B165" s="25"/>
      <c r="C165" s="26" t="s">
        <v>3005</v>
      </c>
      <c r="D165" s="70"/>
      <c r="G165" s="70" t="s">
        <v>235</v>
      </c>
      <c r="H165" s="26">
        <v>-1</v>
      </c>
      <c r="I165" s="70" t="s">
        <v>3406</v>
      </c>
      <c r="J165" s="26" t="s">
        <v>3407</v>
      </c>
      <c r="K165" s="26" t="s">
        <v>3280</v>
      </c>
      <c r="L165" s="26" t="s">
        <v>10012</v>
      </c>
      <c r="M165" s="76"/>
      <c r="N165" s="76"/>
      <c r="O165" s="76"/>
      <c r="P165" s="76"/>
      <c r="Q165" s="76"/>
      <c r="R165" s="76"/>
      <c r="Z165" s="70"/>
      <c r="AA165" s="70"/>
      <c r="AB165" s="70"/>
      <c r="AC165" s="70"/>
    </row>
    <row r="166" spans="1:31" s="26" customFormat="1" x14ac:dyDescent="0.3">
      <c r="A166" s="25" t="s">
        <v>3408</v>
      </c>
      <c r="B166" s="25"/>
      <c r="C166" s="26" t="s">
        <v>3005</v>
      </c>
      <c r="D166" s="70"/>
      <c r="G166" s="70" t="s">
        <v>235</v>
      </c>
      <c r="H166" s="26">
        <v>-1</v>
      </c>
      <c r="I166" s="70" t="s">
        <v>3409</v>
      </c>
      <c r="J166" s="26" t="s">
        <v>3410</v>
      </c>
      <c r="K166" s="26" t="s">
        <v>3411</v>
      </c>
      <c r="L166" s="26" t="s">
        <v>10013</v>
      </c>
      <c r="M166" s="76"/>
      <c r="N166" s="76"/>
      <c r="O166" s="76"/>
      <c r="P166" s="76"/>
      <c r="Q166" s="76"/>
      <c r="R166" s="76"/>
      <c r="Z166" s="70"/>
      <c r="AA166" s="70"/>
      <c r="AB166" s="70"/>
      <c r="AC166" s="70"/>
    </row>
    <row r="167" spans="1:31" s="26" customFormat="1" x14ac:dyDescent="0.3">
      <c r="A167" s="25" t="s">
        <v>3412</v>
      </c>
      <c r="B167" s="25"/>
      <c r="C167" s="26" t="s">
        <v>3005</v>
      </c>
      <c r="D167" s="70"/>
      <c r="G167" s="70" t="s">
        <v>235</v>
      </c>
      <c r="H167" s="26">
        <v>-1</v>
      </c>
      <c r="I167" s="70" t="s">
        <v>3413</v>
      </c>
      <c r="J167" s="26" t="s">
        <v>3414</v>
      </c>
      <c r="K167" s="26" t="s">
        <v>3415</v>
      </c>
      <c r="L167" s="26" t="s">
        <v>3520</v>
      </c>
      <c r="M167" s="76"/>
      <c r="N167" s="76"/>
      <c r="O167" s="76"/>
      <c r="P167" s="76"/>
      <c r="Q167" s="76"/>
      <c r="R167" s="76"/>
      <c r="Z167" s="70"/>
      <c r="AA167" s="70"/>
      <c r="AB167" s="70"/>
      <c r="AC167" s="70"/>
    </row>
    <row r="168" spans="1:31" s="26" customFormat="1" x14ac:dyDescent="0.3">
      <c r="A168" s="25" t="s">
        <v>3416</v>
      </c>
      <c r="B168" s="25"/>
      <c r="C168" s="26" t="s">
        <v>3005</v>
      </c>
      <c r="D168" s="70"/>
      <c r="G168" s="70" t="s">
        <v>235</v>
      </c>
      <c r="H168" s="26">
        <v>-1</v>
      </c>
      <c r="I168" s="70" t="s">
        <v>3417</v>
      </c>
      <c r="J168" s="26" t="s">
        <v>3418</v>
      </c>
      <c r="K168" s="26" t="s">
        <v>3419</v>
      </c>
      <c r="L168" s="26" t="s">
        <v>10014</v>
      </c>
      <c r="M168" s="76"/>
      <c r="N168" s="76"/>
      <c r="O168" s="76"/>
      <c r="P168" s="76"/>
      <c r="Q168" s="76"/>
      <c r="R168" s="76"/>
      <c r="Z168" s="70"/>
      <c r="AA168" s="70"/>
      <c r="AB168" s="70"/>
      <c r="AC168" s="70"/>
    </row>
    <row r="169" spans="1:31" s="26" customFormat="1" x14ac:dyDescent="0.3">
      <c r="A169" s="25" t="s">
        <v>3420</v>
      </c>
      <c r="B169" s="25"/>
      <c r="C169" s="26" t="s">
        <v>3005</v>
      </c>
      <c r="D169" s="70"/>
      <c r="G169" s="70" t="s">
        <v>235</v>
      </c>
      <c r="H169" s="26">
        <v>-1</v>
      </c>
      <c r="I169" s="70" t="s">
        <v>3421</v>
      </c>
      <c r="J169" s="26" t="s">
        <v>3422</v>
      </c>
      <c r="K169" s="26" t="s">
        <v>3423</v>
      </c>
      <c r="L169" s="26" t="s">
        <v>10015</v>
      </c>
      <c r="M169" s="76"/>
      <c r="N169" s="76"/>
      <c r="O169" s="76"/>
      <c r="P169" s="76"/>
      <c r="Q169" s="76"/>
      <c r="R169" s="76"/>
      <c r="Z169" s="70"/>
      <c r="AA169" s="70"/>
      <c r="AB169" s="70"/>
      <c r="AC169" s="70"/>
    </row>
    <row r="170" spans="1:31" s="26" customFormat="1" x14ac:dyDescent="0.3">
      <c r="A170" s="25" t="s">
        <v>3424</v>
      </c>
      <c r="B170" s="25"/>
      <c r="C170" s="26" t="s">
        <v>3005</v>
      </c>
      <c r="D170" s="70"/>
      <c r="G170" s="70" t="s">
        <v>235</v>
      </c>
      <c r="H170" s="26">
        <v>-1</v>
      </c>
      <c r="I170" s="70" t="s">
        <v>3425</v>
      </c>
      <c r="J170" s="26" t="s">
        <v>3426</v>
      </c>
      <c r="K170" s="26" t="s">
        <v>3427</v>
      </c>
      <c r="L170" s="26" t="s">
        <v>3427</v>
      </c>
      <c r="M170" s="76"/>
      <c r="N170" s="76"/>
      <c r="O170" s="76"/>
      <c r="P170" s="76"/>
      <c r="Q170" s="76"/>
      <c r="R170" s="76"/>
      <c r="Z170" s="70"/>
      <c r="AA170" s="70"/>
      <c r="AB170" s="70"/>
      <c r="AC170" s="70"/>
    </row>
    <row r="171" spans="1:31" s="26" customFormat="1" x14ac:dyDescent="0.3">
      <c r="A171" s="25" t="s">
        <v>3428</v>
      </c>
      <c r="B171" s="25"/>
      <c r="C171" s="26" t="s">
        <v>3005</v>
      </c>
      <c r="D171" s="70"/>
      <c r="G171" s="70" t="s">
        <v>235</v>
      </c>
      <c r="H171" s="26">
        <v>-1</v>
      </c>
      <c r="I171" s="70" t="s">
        <v>3429</v>
      </c>
      <c r="J171" s="26" t="s">
        <v>3430</v>
      </c>
      <c r="K171" s="26" t="s">
        <v>3431</v>
      </c>
      <c r="L171" s="26" t="s">
        <v>10016</v>
      </c>
      <c r="M171" s="76"/>
      <c r="N171" s="76"/>
      <c r="O171" s="76"/>
      <c r="P171" s="76"/>
      <c r="Q171" s="76"/>
      <c r="R171" s="76"/>
      <c r="T171" s="26" t="s">
        <v>2200</v>
      </c>
      <c r="Z171" s="70"/>
      <c r="AA171" s="70"/>
      <c r="AB171" s="70"/>
      <c r="AC171" s="70"/>
      <c r="AE171" s="26" t="s">
        <v>3432</v>
      </c>
    </row>
    <row r="172" spans="1:31" s="26" customFormat="1" x14ac:dyDescent="0.3">
      <c r="A172" s="25" t="s">
        <v>3433</v>
      </c>
      <c r="B172" s="25"/>
      <c r="C172" s="26" t="s">
        <v>3005</v>
      </c>
      <c r="D172" s="70"/>
      <c r="G172" s="70" t="s">
        <v>235</v>
      </c>
      <c r="H172" s="26">
        <v>-1</v>
      </c>
      <c r="I172" s="70" t="s">
        <v>3434</v>
      </c>
      <c r="J172" s="26" t="s">
        <v>3435</v>
      </c>
      <c r="K172" s="26" t="s">
        <v>3436</v>
      </c>
      <c r="L172" s="26" t="s">
        <v>10017</v>
      </c>
      <c r="M172" s="76"/>
      <c r="N172" s="76"/>
      <c r="O172" s="76"/>
      <c r="P172" s="76"/>
      <c r="Q172" s="76"/>
      <c r="R172" s="76"/>
      <c r="Z172" s="70"/>
      <c r="AA172" s="70"/>
      <c r="AB172" s="70"/>
      <c r="AC172" s="70"/>
    </row>
    <row r="173" spans="1:31" s="26" customFormat="1" x14ac:dyDescent="0.3">
      <c r="A173" s="25" t="s">
        <v>3437</v>
      </c>
      <c r="B173" s="25"/>
      <c r="C173" s="26" t="s">
        <v>3005</v>
      </c>
      <c r="D173" s="70"/>
      <c r="G173" s="70" t="s">
        <v>235</v>
      </c>
      <c r="H173" s="26">
        <v>-1</v>
      </c>
      <c r="I173" s="70" t="s">
        <v>3438</v>
      </c>
      <c r="J173" s="26" t="s">
        <v>3439</v>
      </c>
      <c r="K173" s="26" t="s">
        <v>3440</v>
      </c>
      <c r="L173" s="26" t="s">
        <v>10018</v>
      </c>
      <c r="M173" s="76"/>
      <c r="N173" s="76"/>
      <c r="O173" s="76"/>
      <c r="P173" s="76"/>
      <c r="Q173" s="76"/>
      <c r="R173" s="76"/>
      <c r="Z173" s="70"/>
      <c r="AA173" s="70"/>
      <c r="AB173" s="70"/>
      <c r="AC173" s="70"/>
    </row>
    <row r="174" spans="1:31" s="26" customFormat="1" x14ac:dyDescent="0.3">
      <c r="A174" s="25" t="s">
        <v>3441</v>
      </c>
      <c r="B174" s="25"/>
      <c r="C174" s="26" t="s">
        <v>3005</v>
      </c>
      <c r="D174" s="70"/>
      <c r="G174" s="70" t="s">
        <v>235</v>
      </c>
      <c r="H174" s="26">
        <v>-1</v>
      </c>
      <c r="I174" s="70" t="s">
        <v>3442</v>
      </c>
      <c r="J174" s="26" t="s">
        <v>3443</v>
      </c>
      <c r="K174" s="26" t="s">
        <v>3444</v>
      </c>
      <c r="L174" s="26" t="s">
        <v>10019</v>
      </c>
      <c r="M174" s="76"/>
      <c r="N174" s="76"/>
      <c r="O174" s="76"/>
      <c r="P174" s="76"/>
      <c r="Q174" s="76"/>
      <c r="R174" s="76"/>
      <c r="Z174" s="70"/>
      <c r="AA174" s="70"/>
      <c r="AB174" s="70"/>
      <c r="AC174" s="70"/>
    </row>
    <row r="175" spans="1:31" s="26" customFormat="1" x14ac:dyDescent="0.3">
      <c r="A175" s="25" t="s">
        <v>3445</v>
      </c>
      <c r="B175" s="25"/>
      <c r="C175" s="26" t="s">
        <v>3005</v>
      </c>
      <c r="D175" s="70"/>
      <c r="G175" s="70" t="s">
        <v>235</v>
      </c>
      <c r="H175" s="26">
        <v>2</v>
      </c>
      <c r="I175" s="70" t="s">
        <v>3446</v>
      </c>
      <c r="J175" s="26" t="s">
        <v>3447</v>
      </c>
      <c r="K175" s="26" t="s">
        <v>3448</v>
      </c>
      <c r="L175" s="26" t="s">
        <v>10020</v>
      </c>
      <c r="M175" s="76"/>
      <c r="N175" s="76"/>
      <c r="O175" s="76"/>
      <c r="P175" s="76"/>
      <c r="Q175" s="76"/>
      <c r="R175" s="76"/>
      <c r="T175" s="26" t="s">
        <v>2200</v>
      </c>
      <c r="Z175" s="70"/>
      <c r="AA175" s="70"/>
      <c r="AB175" s="70"/>
      <c r="AC175" s="70"/>
      <c r="AE175" s="26" t="s">
        <v>3449</v>
      </c>
    </row>
    <row r="176" spans="1:31" s="26" customFormat="1" x14ac:dyDescent="0.3">
      <c r="A176" s="25" t="s">
        <v>3450</v>
      </c>
      <c r="B176" s="25"/>
      <c r="C176" s="26" t="s">
        <v>3005</v>
      </c>
      <c r="D176" s="70"/>
      <c r="G176" s="70" t="s">
        <v>235</v>
      </c>
      <c r="H176" s="26">
        <v>-1</v>
      </c>
      <c r="I176" s="70" t="s">
        <v>3451</v>
      </c>
      <c r="J176" s="26" t="s">
        <v>3452</v>
      </c>
      <c r="K176" s="26" t="s">
        <v>3453</v>
      </c>
      <c r="L176" s="26" t="s">
        <v>3453</v>
      </c>
      <c r="M176" s="76"/>
      <c r="N176" s="76"/>
      <c r="O176" s="76"/>
      <c r="P176" s="76"/>
      <c r="Q176" s="76"/>
      <c r="R176" s="76"/>
      <c r="T176" s="26" t="s">
        <v>2200</v>
      </c>
      <c r="Z176" s="70"/>
      <c r="AA176" s="70"/>
      <c r="AB176" s="70"/>
      <c r="AC176" s="70"/>
      <c r="AE176" s="26" t="s">
        <v>3454</v>
      </c>
    </row>
    <row r="177" spans="1:31" s="26" customFormat="1" x14ac:dyDescent="0.3">
      <c r="A177" s="25" t="s">
        <v>3455</v>
      </c>
      <c r="B177" s="25"/>
      <c r="C177" s="26" t="s">
        <v>3005</v>
      </c>
      <c r="D177" s="70"/>
      <c r="G177" s="70" t="s">
        <v>235</v>
      </c>
      <c r="H177" s="26">
        <v>-1</v>
      </c>
      <c r="I177" s="70" t="s">
        <v>3456</v>
      </c>
      <c r="J177" s="26" t="s">
        <v>3426</v>
      </c>
      <c r="K177" s="26" t="s">
        <v>3457</v>
      </c>
      <c r="L177" s="26" t="s">
        <v>3457</v>
      </c>
      <c r="M177" s="76"/>
      <c r="N177" s="76"/>
      <c r="O177" s="76"/>
      <c r="P177" s="76"/>
      <c r="Q177" s="76"/>
      <c r="R177" s="76"/>
      <c r="Z177" s="70"/>
      <c r="AA177" s="70"/>
      <c r="AB177" s="70"/>
      <c r="AC177" s="70"/>
    </row>
    <row r="178" spans="1:31" s="26" customFormat="1" x14ac:dyDescent="0.3">
      <c r="A178" s="25" t="s">
        <v>3458</v>
      </c>
      <c r="B178" s="25"/>
      <c r="C178" s="26" t="s">
        <v>3005</v>
      </c>
      <c r="D178" s="70"/>
      <c r="G178" s="70" t="s">
        <v>235</v>
      </c>
      <c r="H178" s="26">
        <v>-1</v>
      </c>
      <c r="I178" s="70" t="s">
        <v>3459</v>
      </c>
      <c r="J178" s="26" t="s">
        <v>3460</v>
      </c>
      <c r="K178" s="26" t="s">
        <v>3461</v>
      </c>
      <c r="L178" s="26" t="s">
        <v>10021</v>
      </c>
      <c r="M178" s="76"/>
      <c r="N178" s="76"/>
      <c r="O178" s="76"/>
      <c r="P178" s="76"/>
      <c r="Q178" s="76"/>
      <c r="R178" s="76"/>
      <c r="Z178" s="70"/>
      <c r="AA178" s="70"/>
      <c r="AB178" s="70"/>
      <c r="AC178" s="70"/>
    </row>
    <row r="179" spans="1:31" s="26" customFormat="1" x14ac:dyDescent="0.3">
      <c r="A179" s="25" t="s">
        <v>3462</v>
      </c>
      <c r="B179" s="25"/>
      <c r="C179" s="26" t="s">
        <v>3005</v>
      </c>
      <c r="D179" s="70"/>
      <c r="G179" s="70" t="s">
        <v>235</v>
      </c>
      <c r="H179" s="26">
        <v>-1</v>
      </c>
      <c r="I179" s="70" t="s">
        <v>3463</v>
      </c>
      <c r="J179" s="26" t="s">
        <v>3464</v>
      </c>
      <c r="K179" s="26" t="s">
        <v>3465</v>
      </c>
      <c r="L179" s="26" t="s">
        <v>10022</v>
      </c>
      <c r="M179" s="76"/>
      <c r="N179" s="76"/>
      <c r="O179" s="76"/>
      <c r="P179" s="76"/>
      <c r="Q179" s="76"/>
      <c r="R179" s="76"/>
      <c r="Z179" s="70"/>
      <c r="AA179" s="70"/>
      <c r="AB179" s="70"/>
      <c r="AC179" s="70"/>
    </row>
    <row r="180" spans="1:31" s="26" customFormat="1" x14ac:dyDescent="0.3">
      <c r="A180" s="25" t="s">
        <v>3466</v>
      </c>
      <c r="B180" s="25"/>
      <c r="C180" s="26" t="s">
        <v>3005</v>
      </c>
      <c r="D180" s="70"/>
      <c r="G180" s="70" t="s">
        <v>235</v>
      </c>
      <c r="H180" s="26">
        <v>-1</v>
      </c>
      <c r="I180" s="70" t="s">
        <v>3467</v>
      </c>
      <c r="J180" s="26" t="s">
        <v>3468</v>
      </c>
      <c r="K180" s="26" t="s">
        <v>3469</v>
      </c>
      <c r="M180" s="76"/>
      <c r="N180" s="76"/>
      <c r="O180" s="76"/>
      <c r="P180" s="76"/>
      <c r="Q180" s="76"/>
      <c r="R180" s="76"/>
      <c r="T180" s="26" t="s">
        <v>2200</v>
      </c>
      <c r="Z180" s="70"/>
      <c r="AA180" s="70"/>
      <c r="AB180" s="70"/>
      <c r="AC180" s="70"/>
      <c r="AE180" s="26" t="s">
        <v>3470</v>
      </c>
    </row>
    <row r="181" spans="1:31" s="26" customFormat="1" x14ac:dyDescent="0.3">
      <c r="A181" s="25" t="s">
        <v>3471</v>
      </c>
      <c r="B181" s="25"/>
      <c r="C181" s="26" t="s">
        <v>3005</v>
      </c>
      <c r="D181" s="70"/>
      <c r="G181" s="70" t="s">
        <v>235</v>
      </c>
      <c r="H181" s="26">
        <v>-1</v>
      </c>
      <c r="I181" s="70" t="s">
        <v>3472</v>
      </c>
      <c r="J181" s="26" t="s">
        <v>3473</v>
      </c>
      <c r="K181" s="26" t="s">
        <v>3474</v>
      </c>
      <c r="L181" s="26" t="s">
        <v>10023</v>
      </c>
      <c r="M181" s="76"/>
      <c r="N181" s="76"/>
      <c r="O181" s="76"/>
      <c r="P181" s="76"/>
      <c r="Q181" s="76"/>
      <c r="R181" s="76"/>
      <c r="Z181" s="70"/>
      <c r="AA181" s="70"/>
      <c r="AB181" s="70"/>
      <c r="AC181" s="70"/>
    </row>
    <row r="182" spans="1:31" s="26" customFormat="1" x14ac:dyDescent="0.3">
      <c r="A182" s="25" t="s">
        <v>3475</v>
      </c>
      <c r="B182" s="25"/>
      <c r="C182" s="26" t="s">
        <v>3005</v>
      </c>
      <c r="D182" s="70"/>
      <c r="G182" s="70" t="s">
        <v>235</v>
      </c>
      <c r="H182" s="26">
        <v>-1</v>
      </c>
      <c r="I182" s="70" t="s">
        <v>3476</v>
      </c>
      <c r="J182" s="26" t="s">
        <v>3473</v>
      </c>
      <c r="K182" s="26" t="s">
        <v>3477</v>
      </c>
      <c r="L182" s="26" t="s">
        <v>10024</v>
      </c>
      <c r="M182" s="76"/>
      <c r="N182" s="76"/>
      <c r="O182" s="76"/>
      <c r="P182" s="76"/>
      <c r="Q182" s="76"/>
      <c r="R182" s="76"/>
      <c r="T182" s="26" t="s">
        <v>2200</v>
      </c>
      <c r="Z182" s="70"/>
      <c r="AA182" s="70"/>
      <c r="AB182" s="70"/>
      <c r="AC182" s="70"/>
      <c r="AE182" s="26" t="s">
        <v>3478</v>
      </c>
    </row>
    <row r="183" spans="1:31" s="26" customFormat="1" x14ac:dyDescent="0.3">
      <c r="A183" s="25" t="s">
        <v>3479</v>
      </c>
      <c r="B183" s="25"/>
      <c r="C183" s="26" t="s">
        <v>3005</v>
      </c>
      <c r="D183" s="70"/>
      <c r="G183" s="70" t="s">
        <v>235</v>
      </c>
      <c r="H183" s="26">
        <v>-1</v>
      </c>
      <c r="I183" s="70" t="s">
        <v>3480</v>
      </c>
      <c r="J183" s="26" t="s">
        <v>3237</v>
      </c>
      <c r="K183" s="26" t="s">
        <v>3481</v>
      </c>
      <c r="L183" s="26" t="s">
        <v>10025</v>
      </c>
      <c r="M183" s="76"/>
      <c r="N183" s="76"/>
      <c r="O183" s="76"/>
      <c r="P183" s="76"/>
      <c r="Q183" s="76"/>
      <c r="R183" s="76"/>
      <c r="Z183" s="70"/>
      <c r="AA183" s="70"/>
      <c r="AB183" s="70"/>
      <c r="AC183" s="70"/>
    </row>
    <row r="184" spans="1:31" s="26" customFormat="1" x14ac:dyDescent="0.3">
      <c r="A184" s="25" t="s">
        <v>3482</v>
      </c>
      <c r="B184" s="25"/>
      <c r="C184" s="26" t="s">
        <v>3005</v>
      </c>
      <c r="D184" s="70"/>
      <c r="G184" s="70" t="s">
        <v>235</v>
      </c>
      <c r="H184" s="26">
        <v>-1</v>
      </c>
      <c r="I184" s="70" t="s">
        <v>3483</v>
      </c>
      <c r="J184" s="26" t="s">
        <v>3460</v>
      </c>
      <c r="K184" s="26" t="s">
        <v>3484</v>
      </c>
      <c r="L184" s="26" t="s">
        <v>10026</v>
      </c>
      <c r="M184" s="76"/>
      <c r="N184" s="76"/>
      <c r="O184" s="76"/>
      <c r="P184" s="76"/>
      <c r="Q184" s="76"/>
      <c r="R184" s="76"/>
      <c r="Z184" s="70"/>
      <c r="AA184" s="70"/>
      <c r="AB184" s="70"/>
      <c r="AC184" s="70"/>
    </row>
    <row r="185" spans="1:31" s="24" customFormat="1" x14ac:dyDescent="0.3">
      <c r="A185" s="23">
        <v>68</v>
      </c>
      <c r="B185" s="23">
        <v>65</v>
      </c>
      <c r="C185" s="24" t="s">
        <v>2165</v>
      </c>
      <c r="D185" s="69" t="s">
        <v>210</v>
      </c>
      <c r="E185" s="24" t="s">
        <v>209</v>
      </c>
      <c r="F185" s="24" t="s">
        <v>238</v>
      </c>
      <c r="G185" s="69" t="s">
        <v>239</v>
      </c>
      <c r="I185" s="69"/>
      <c r="J185" s="24" t="s">
        <v>3485</v>
      </c>
      <c r="K185" s="24" t="s">
        <v>240</v>
      </c>
      <c r="L185" s="24" t="s">
        <v>9688</v>
      </c>
      <c r="M185" s="75" t="s">
        <v>50</v>
      </c>
      <c r="N185" s="75"/>
      <c r="O185" s="75"/>
      <c r="P185" s="75"/>
      <c r="Q185" s="75"/>
      <c r="R185" s="75" t="s">
        <v>2166</v>
      </c>
      <c r="V185" s="24" t="s">
        <v>2245</v>
      </c>
      <c r="W185" s="24" t="s">
        <v>2245</v>
      </c>
      <c r="Y185" s="24" t="s">
        <v>2246</v>
      </c>
      <c r="Z185" s="69"/>
      <c r="AA185" s="69"/>
      <c r="AB185" s="69"/>
      <c r="AC185" s="69"/>
    </row>
    <row r="186" spans="1:31" s="24" customFormat="1" x14ac:dyDescent="0.3">
      <c r="A186" s="23">
        <v>69</v>
      </c>
      <c r="B186" s="23">
        <v>66</v>
      </c>
      <c r="C186" s="24" t="s">
        <v>2165</v>
      </c>
      <c r="D186" s="69" t="s">
        <v>210</v>
      </c>
      <c r="E186" s="24" t="s">
        <v>209</v>
      </c>
      <c r="F186" s="24" t="s">
        <v>241</v>
      </c>
      <c r="G186" s="69" t="s">
        <v>242</v>
      </c>
      <c r="I186" s="69"/>
      <c r="J186" s="24" t="s">
        <v>3447</v>
      </c>
      <c r="K186" s="24" t="s">
        <v>243</v>
      </c>
      <c r="M186" s="75" t="s">
        <v>15</v>
      </c>
      <c r="N186" s="75"/>
      <c r="O186" s="75"/>
      <c r="P186" s="75"/>
      <c r="Q186" s="75"/>
      <c r="R186" s="75"/>
      <c r="V186" s="24" t="s">
        <v>2247</v>
      </c>
      <c r="W186" s="24" t="s">
        <v>2247</v>
      </c>
      <c r="Y186" s="24" t="s">
        <v>2248</v>
      </c>
      <c r="Z186" s="69"/>
      <c r="AA186" s="69"/>
      <c r="AB186" s="69"/>
      <c r="AC186" s="69"/>
    </row>
    <row r="187" spans="1:31" s="26" customFormat="1" x14ac:dyDescent="0.3">
      <c r="A187" s="25" t="s">
        <v>3486</v>
      </c>
      <c r="B187" s="25"/>
      <c r="C187" s="26" t="s">
        <v>3005</v>
      </c>
      <c r="D187" s="70"/>
      <c r="G187" s="70" t="s">
        <v>242</v>
      </c>
      <c r="H187" s="26">
        <v>-1</v>
      </c>
      <c r="I187" s="70" t="s">
        <v>3487</v>
      </c>
      <c r="J187" s="26" t="s">
        <v>3488</v>
      </c>
      <c r="K187" s="26" t="s">
        <v>3489</v>
      </c>
      <c r="L187" s="26" t="s">
        <v>10027</v>
      </c>
      <c r="M187" s="76"/>
      <c r="N187" s="76"/>
      <c r="O187" s="76"/>
      <c r="P187" s="76"/>
      <c r="Q187" s="76"/>
      <c r="R187" s="76"/>
      <c r="Z187" s="70"/>
      <c r="AA187" s="70"/>
      <c r="AB187" s="70"/>
      <c r="AC187" s="70"/>
    </row>
    <row r="188" spans="1:31" s="26" customFormat="1" x14ac:dyDescent="0.3">
      <c r="A188" s="25" t="s">
        <v>3490</v>
      </c>
      <c r="B188" s="25"/>
      <c r="C188" s="26" t="s">
        <v>3005</v>
      </c>
      <c r="D188" s="70"/>
      <c r="G188" s="70" t="s">
        <v>242</v>
      </c>
      <c r="H188" s="26">
        <v>-1</v>
      </c>
      <c r="I188" s="70" t="s">
        <v>3491</v>
      </c>
      <c r="J188" s="26" t="s">
        <v>3447</v>
      </c>
      <c r="K188" s="26" t="s">
        <v>3492</v>
      </c>
      <c r="L188" s="26" t="s">
        <v>10028</v>
      </c>
      <c r="M188" s="76"/>
      <c r="N188" s="76"/>
      <c r="O188" s="76"/>
      <c r="P188" s="76"/>
      <c r="Q188" s="76"/>
      <c r="R188" s="76"/>
      <c r="Z188" s="70"/>
      <c r="AA188" s="70"/>
      <c r="AB188" s="70"/>
      <c r="AC188" s="70"/>
    </row>
    <row r="189" spans="1:31" s="24" customFormat="1" x14ac:dyDescent="0.3">
      <c r="A189" s="23">
        <v>70</v>
      </c>
      <c r="B189" s="23">
        <v>67</v>
      </c>
      <c r="C189" s="24" t="s">
        <v>2165</v>
      </c>
      <c r="D189" s="69" t="s">
        <v>210</v>
      </c>
      <c r="E189" s="24" t="s">
        <v>209</v>
      </c>
      <c r="F189" s="24" t="s">
        <v>244</v>
      </c>
      <c r="G189" s="69" t="s">
        <v>245</v>
      </c>
      <c r="I189" s="69"/>
      <c r="J189" s="24" t="s">
        <v>3323</v>
      </c>
      <c r="K189" s="24" t="s">
        <v>246</v>
      </c>
      <c r="M189" s="75" t="s">
        <v>236</v>
      </c>
      <c r="N189" s="75"/>
      <c r="O189" s="75"/>
      <c r="P189" s="75"/>
      <c r="Q189" s="75"/>
      <c r="R189" s="75"/>
      <c r="T189" s="24" t="s">
        <v>2179</v>
      </c>
      <c r="V189" s="24" t="s">
        <v>2249</v>
      </c>
      <c r="W189" s="24" t="s">
        <v>2249</v>
      </c>
      <c r="Y189" s="24" t="s">
        <v>2249</v>
      </c>
      <c r="Z189" s="69" t="s">
        <v>2250</v>
      </c>
      <c r="AA189" s="69"/>
      <c r="AB189" s="69" t="s">
        <v>2251</v>
      </c>
      <c r="AC189" s="69" t="s">
        <v>2251</v>
      </c>
      <c r="AE189" s="24" t="s">
        <v>2252</v>
      </c>
    </row>
    <row r="190" spans="1:31" s="24" customFormat="1" x14ac:dyDescent="0.3">
      <c r="A190" s="23">
        <v>71</v>
      </c>
      <c r="B190" s="23">
        <v>68</v>
      </c>
      <c r="C190" s="24" t="s">
        <v>2165</v>
      </c>
      <c r="D190" s="69" t="s">
        <v>210</v>
      </c>
      <c r="E190" s="24" t="s">
        <v>209</v>
      </c>
      <c r="F190" s="24" t="s">
        <v>247</v>
      </c>
      <c r="G190" s="69" t="s">
        <v>248</v>
      </c>
      <c r="I190" s="69"/>
      <c r="J190" s="24" t="s">
        <v>3110</v>
      </c>
      <c r="K190" s="24" t="s">
        <v>170</v>
      </c>
      <c r="M190" s="75" t="s">
        <v>50</v>
      </c>
      <c r="N190" s="75"/>
      <c r="O190" s="75"/>
      <c r="P190" s="75"/>
      <c r="Q190" s="75"/>
      <c r="R190" s="75"/>
      <c r="W190" s="24" t="s">
        <v>2253</v>
      </c>
      <c r="Z190" s="69"/>
      <c r="AA190" s="69"/>
      <c r="AB190" s="69"/>
      <c r="AC190" s="69"/>
    </row>
    <row r="191" spans="1:31" s="26" customFormat="1" x14ac:dyDescent="0.3">
      <c r="A191" s="25" t="s">
        <v>3493</v>
      </c>
      <c r="B191" s="25"/>
      <c r="C191" s="26" t="s">
        <v>3005</v>
      </c>
      <c r="D191" s="70"/>
      <c r="G191" s="70" t="s">
        <v>248</v>
      </c>
      <c r="H191" s="26">
        <v>-1</v>
      </c>
      <c r="I191" s="70" t="s">
        <v>3494</v>
      </c>
      <c r="J191" s="26" t="s">
        <v>3110</v>
      </c>
      <c r="K191" s="26" t="s">
        <v>3495</v>
      </c>
      <c r="L191" s="26" t="s">
        <v>10029</v>
      </c>
      <c r="M191" s="76"/>
      <c r="N191" s="76"/>
      <c r="O191" s="76"/>
      <c r="P191" s="76"/>
      <c r="Q191" s="76"/>
      <c r="R191" s="76"/>
      <c r="Z191" s="70"/>
      <c r="AA191" s="70"/>
      <c r="AB191" s="70"/>
      <c r="AC191" s="70"/>
    </row>
    <row r="192" spans="1:31" s="26" customFormat="1" x14ac:dyDescent="0.3">
      <c r="A192" s="25" t="s">
        <v>3496</v>
      </c>
      <c r="B192" s="25"/>
      <c r="C192" s="26" t="s">
        <v>3005</v>
      </c>
      <c r="D192" s="70"/>
      <c r="G192" s="70" t="s">
        <v>248</v>
      </c>
      <c r="H192" s="26">
        <v>-1</v>
      </c>
      <c r="I192" s="70" t="s">
        <v>3497</v>
      </c>
      <c r="J192" s="26" t="s">
        <v>3498</v>
      </c>
      <c r="K192" s="26" t="s">
        <v>3499</v>
      </c>
      <c r="L192" s="26" t="s">
        <v>10030</v>
      </c>
      <c r="M192" s="76"/>
      <c r="N192" s="76"/>
      <c r="O192" s="76"/>
      <c r="P192" s="76"/>
      <c r="Q192" s="76"/>
      <c r="R192" s="76"/>
      <c r="Z192" s="70"/>
      <c r="AA192" s="70"/>
      <c r="AB192" s="70"/>
      <c r="AC192" s="70"/>
    </row>
    <row r="193" spans="1:31" s="26" customFormat="1" x14ac:dyDescent="0.3">
      <c r="A193" s="25" t="s">
        <v>3500</v>
      </c>
      <c r="B193" s="25"/>
      <c r="C193" s="26" t="s">
        <v>3005</v>
      </c>
      <c r="D193" s="70"/>
      <c r="G193" s="70" t="s">
        <v>248</v>
      </c>
      <c r="H193" s="26">
        <v>-1</v>
      </c>
      <c r="I193" s="70" t="s">
        <v>3501</v>
      </c>
      <c r="J193" s="26" t="s">
        <v>3502</v>
      </c>
      <c r="K193" s="26" t="s">
        <v>3503</v>
      </c>
      <c r="M193" s="76"/>
      <c r="N193" s="76"/>
      <c r="O193" s="76"/>
      <c r="P193" s="76"/>
      <c r="Q193" s="76"/>
      <c r="R193" s="76"/>
      <c r="Z193" s="70"/>
      <c r="AA193" s="70"/>
      <c r="AB193" s="70"/>
      <c r="AC193" s="70"/>
    </row>
    <row r="194" spans="1:31" s="26" customFormat="1" x14ac:dyDescent="0.3">
      <c r="A194" s="25" t="s">
        <v>3504</v>
      </c>
      <c r="B194" s="25"/>
      <c r="C194" s="26" t="s">
        <v>3005</v>
      </c>
      <c r="D194" s="70"/>
      <c r="G194" s="70" t="s">
        <v>248</v>
      </c>
      <c r="H194" s="26">
        <v>-1</v>
      </c>
      <c r="I194" s="70" t="s">
        <v>3505</v>
      </c>
      <c r="J194" s="26" t="s">
        <v>3506</v>
      </c>
      <c r="K194" s="26" t="s">
        <v>3507</v>
      </c>
      <c r="M194" s="76"/>
      <c r="N194" s="76"/>
      <c r="O194" s="76"/>
      <c r="P194" s="76"/>
      <c r="Q194" s="76"/>
      <c r="R194" s="76"/>
      <c r="Z194" s="70"/>
      <c r="AA194" s="70"/>
      <c r="AB194" s="70"/>
      <c r="AC194" s="70"/>
    </row>
    <row r="195" spans="1:31" s="24" customFormat="1" x14ac:dyDescent="0.3">
      <c r="A195" s="23">
        <v>72</v>
      </c>
      <c r="B195" s="23">
        <v>69</v>
      </c>
      <c r="C195" s="24" t="s">
        <v>2165</v>
      </c>
      <c r="D195" s="69" t="s">
        <v>210</v>
      </c>
      <c r="E195" s="24" t="s">
        <v>209</v>
      </c>
      <c r="F195" s="24" t="s">
        <v>249</v>
      </c>
      <c r="G195" s="69" t="s">
        <v>250</v>
      </c>
      <c r="I195" s="69"/>
      <c r="J195" s="24" t="s">
        <v>3508</v>
      </c>
      <c r="K195" s="24" t="s">
        <v>251</v>
      </c>
      <c r="M195" s="75" t="s">
        <v>15</v>
      </c>
      <c r="N195" s="75"/>
      <c r="O195" s="75"/>
      <c r="P195" s="75"/>
      <c r="Q195" s="75"/>
      <c r="R195" s="75"/>
      <c r="Z195" s="69"/>
      <c r="AA195" s="69"/>
      <c r="AB195" s="69"/>
      <c r="AC195" s="69"/>
    </row>
    <row r="196" spans="1:31" s="24" customFormat="1" x14ac:dyDescent="0.3">
      <c r="A196" s="23">
        <v>73</v>
      </c>
      <c r="B196" s="23">
        <v>70</v>
      </c>
      <c r="C196" s="24" t="s">
        <v>2165</v>
      </c>
      <c r="D196" s="69" t="s">
        <v>210</v>
      </c>
      <c r="E196" s="24" t="s">
        <v>209</v>
      </c>
      <c r="F196" s="24" t="s">
        <v>252</v>
      </c>
      <c r="G196" s="69" t="s">
        <v>253</v>
      </c>
      <c r="H196" s="24">
        <v>1</v>
      </c>
      <c r="I196" s="69"/>
      <c r="J196" s="24" t="s">
        <v>3509</v>
      </c>
      <c r="K196" s="24" t="s">
        <v>254</v>
      </c>
      <c r="M196" s="75" t="s">
        <v>15</v>
      </c>
      <c r="N196" s="75"/>
      <c r="O196" s="75"/>
      <c r="P196" s="75"/>
      <c r="Q196" s="75"/>
      <c r="R196" s="75"/>
      <c r="Z196" s="69"/>
      <c r="AA196" s="69"/>
      <c r="AB196" s="69"/>
      <c r="AC196" s="69"/>
    </row>
    <row r="197" spans="1:31" s="26" customFormat="1" x14ac:dyDescent="0.3">
      <c r="A197" s="25" t="s">
        <v>3510</v>
      </c>
      <c r="B197" s="25"/>
      <c r="C197" s="26" t="s">
        <v>3005</v>
      </c>
      <c r="D197" s="70"/>
      <c r="G197" s="70" t="s">
        <v>253</v>
      </c>
      <c r="H197" s="26">
        <v>-1</v>
      </c>
      <c r="I197" s="70" t="s">
        <v>3511</v>
      </c>
      <c r="J197" s="26" t="s">
        <v>3509</v>
      </c>
      <c r="K197" s="26" t="s">
        <v>3512</v>
      </c>
      <c r="L197" s="26" t="s">
        <v>10031</v>
      </c>
      <c r="M197" s="76"/>
      <c r="N197" s="76"/>
      <c r="O197" s="76"/>
      <c r="P197" s="76"/>
      <c r="Q197" s="76"/>
      <c r="R197" s="76"/>
      <c r="Z197" s="70"/>
      <c r="AA197" s="70"/>
      <c r="AB197" s="70"/>
      <c r="AC197" s="70"/>
    </row>
    <row r="198" spans="1:31" s="26" customFormat="1" x14ac:dyDescent="0.3">
      <c r="A198" s="25" t="s">
        <v>3513</v>
      </c>
      <c r="B198" s="25"/>
      <c r="C198" s="26" t="s">
        <v>3005</v>
      </c>
      <c r="D198" s="70"/>
      <c r="G198" s="70" t="s">
        <v>253</v>
      </c>
      <c r="H198" s="26">
        <v>-1</v>
      </c>
      <c r="I198" s="70" t="s">
        <v>3514</v>
      </c>
      <c r="J198" s="26" t="s">
        <v>3515</v>
      </c>
      <c r="K198" s="26" t="s">
        <v>3516</v>
      </c>
      <c r="M198" s="76"/>
      <c r="N198" s="76"/>
      <c r="O198" s="76"/>
      <c r="P198" s="76"/>
      <c r="Q198" s="76"/>
      <c r="R198" s="76"/>
      <c r="Z198" s="70"/>
      <c r="AA198" s="70"/>
      <c r="AB198" s="70"/>
      <c r="AC198" s="70"/>
    </row>
    <row r="199" spans="1:31" s="26" customFormat="1" x14ac:dyDescent="0.3">
      <c r="A199" s="25" t="s">
        <v>3517</v>
      </c>
      <c r="B199" s="25"/>
      <c r="C199" s="26" t="s">
        <v>3005</v>
      </c>
      <c r="D199" s="70"/>
      <c r="G199" s="70" t="s">
        <v>253</v>
      </c>
      <c r="H199" s="26">
        <v>-1</v>
      </c>
      <c r="I199" s="70" t="s">
        <v>3518</v>
      </c>
      <c r="J199" s="26" t="s">
        <v>3519</v>
      </c>
      <c r="K199" s="26" t="s">
        <v>3520</v>
      </c>
      <c r="L199" s="26" t="s">
        <v>3520</v>
      </c>
      <c r="M199" s="76"/>
      <c r="N199" s="76"/>
      <c r="O199" s="76"/>
      <c r="P199" s="76"/>
      <c r="Q199" s="76"/>
      <c r="R199" s="76"/>
      <c r="Z199" s="70"/>
      <c r="AA199" s="70"/>
      <c r="AB199" s="70"/>
      <c r="AC199" s="70"/>
    </row>
    <row r="200" spans="1:31" s="26" customFormat="1" x14ac:dyDescent="0.3">
      <c r="A200" s="25" t="s">
        <v>3521</v>
      </c>
      <c r="B200" s="25"/>
      <c r="C200" s="26" t="s">
        <v>3005</v>
      </c>
      <c r="D200" s="70"/>
      <c r="G200" s="70" t="s">
        <v>253</v>
      </c>
      <c r="H200" s="26">
        <v>2</v>
      </c>
      <c r="I200" s="70" t="s">
        <v>3522</v>
      </c>
      <c r="J200" s="26" t="s">
        <v>3523</v>
      </c>
      <c r="K200" s="26" t="s">
        <v>3524</v>
      </c>
      <c r="L200" s="26" t="s">
        <v>10032</v>
      </c>
      <c r="M200" s="76"/>
      <c r="N200" s="76"/>
      <c r="O200" s="76"/>
      <c r="P200" s="76"/>
      <c r="Q200" s="76"/>
      <c r="R200" s="76"/>
      <c r="Z200" s="70"/>
      <c r="AA200" s="70"/>
      <c r="AB200" s="70"/>
      <c r="AC200" s="70"/>
    </row>
    <row r="201" spans="1:31" s="24" customFormat="1" x14ac:dyDescent="0.3">
      <c r="A201" s="23">
        <v>74</v>
      </c>
      <c r="B201" s="23">
        <v>71</v>
      </c>
      <c r="C201" s="24" t="s">
        <v>2165</v>
      </c>
      <c r="D201" s="69" t="s">
        <v>210</v>
      </c>
      <c r="E201" s="24" t="s">
        <v>209</v>
      </c>
      <c r="F201" s="24" t="s">
        <v>255</v>
      </c>
      <c r="G201" s="69" t="s">
        <v>256</v>
      </c>
      <c r="I201" s="69"/>
      <c r="J201" s="24" t="s">
        <v>3110</v>
      </c>
      <c r="K201" s="24" t="s">
        <v>257</v>
      </c>
      <c r="M201" s="75" t="s">
        <v>236</v>
      </c>
      <c r="N201" s="75"/>
      <c r="O201" s="75"/>
      <c r="P201" s="75"/>
      <c r="Q201" s="75"/>
      <c r="R201" s="75"/>
      <c r="T201" s="24" t="s">
        <v>2254</v>
      </c>
      <c r="Y201" s="24" t="s">
        <v>2255</v>
      </c>
      <c r="Z201" s="69"/>
      <c r="AA201" s="69"/>
      <c r="AB201" s="69"/>
      <c r="AC201" s="69" t="s">
        <v>11365</v>
      </c>
      <c r="AD201" s="24" t="s">
        <v>11310</v>
      </c>
      <c r="AE201" s="24" t="s">
        <v>2256</v>
      </c>
    </row>
    <row r="202" spans="1:31" s="26" customFormat="1" x14ac:dyDescent="0.3">
      <c r="A202" s="25" t="s">
        <v>3525</v>
      </c>
      <c r="B202" s="25"/>
      <c r="C202" s="26" t="s">
        <v>3005</v>
      </c>
      <c r="D202" s="70"/>
      <c r="G202" s="70" t="s">
        <v>256</v>
      </c>
      <c r="H202" s="26">
        <v>-1</v>
      </c>
      <c r="I202" s="70" t="s">
        <v>3526</v>
      </c>
      <c r="J202" s="26" t="s">
        <v>3110</v>
      </c>
      <c r="K202" s="26" t="s">
        <v>3527</v>
      </c>
      <c r="M202" s="76"/>
      <c r="N202" s="76"/>
      <c r="O202" s="76"/>
      <c r="P202" s="76"/>
      <c r="Q202" s="76"/>
      <c r="R202" s="76"/>
      <c r="Z202" s="70"/>
      <c r="AA202" s="70"/>
      <c r="AB202" s="70"/>
      <c r="AC202" s="70"/>
    </row>
    <row r="203" spans="1:31" s="26" customFormat="1" x14ac:dyDescent="0.3">
      <c r="A203" s="25" t="s">
        <v>3528</v>
      </c>
      <c r="B203" s="25"/>
      <c r="C203" s="26" t="s">
        <v>3005</v>
      </c>
      <c r="D203" s="70"/>
      <c r="G203" s="70" t="s">
        <v>256</v>
      </c>
      <c r="H203" s="26">
        <v>-1</v>
      </c>
      <c r="I203" s="70" t="s">
        <v>3297</v>
      </c>
      <c r="J203" s="26" t="s">
        <v>3529</v>
      </c>
      <c r="K203" s="26" t="s">
        <v>3280</v>
      </c>
      <c r="M203" s="76"/>
      <c r="N203" s="76"/>
      <c r="O203" s="76"/>
      <c r="P203" s="76"/>
      <c r="Q203" s="76"/>
      <c r="R203" s="76"/>
      <c r="Z203" s="70"/>
      <c r="AA203" s="70"/>
      <c r="AB203" s="70"/>
      <c r="AC203" s="70"/>
    </row>
    <row r="204" spans="1:31" s="26" customFormat="1" x14ac:dyDescent="0.3">
      <c r="A204" s="25" t="s">
        <v>3530</v>
      </c>
      <c r="B204" s="25"/>
      <c r="C204" s="26" t="s">
        <v>3005</v>
      </c>
      <c r="D204" s="70"/>
      <c r="G204" s="70" t="s">
        <v>256</v>
      </c>
      <c r="H204" s="26">
        <v>-1</v>
      </c>
      <c r="I204" s="70" t="s">
        <v>3531</v>
      </c>
      <c r="J204" s="26" t="s">
        <v>3298</v>
      </c>
      <c r="K204" s="26" t="s">
        <v>3532</v>
      </c>
      <c r="M204" s="76"/>
      <c r="N204" s="76"/>
      <c r="O204" s="76"/>
      <c r="P204" s="76"/>
      <c r="Q204" s="76"/>
      <c r="R204" s="76"/>
      <c r="T204" s="26" t="s">
        <v>2254</v>
      </c>
      <c r="Z204" s="70"/>
      <c r="AA204" s="70"/>
      <c r="AB204" s="70"/>
      <c r="AC204" s="70"/>
      <c r="AE204" s="26" t="s">
        <v>3533</v>
      </c>
    </row>
    <row r="205" spans="1:31" s="26" customFormat="1" x14ac:dyDescent="0.3">
      <c r="A205" s="25" t="s">
        <v>3534</v>
      </c>
      <c r="B205" s="25"/>
      <c r="C205" s="26" t="s">
        <v>3005</v>
      </c>
      <c r="D205" s="70"/>
      <c r="G205" s="70" t="s">
        <v>256</v>
      </c>
      <c r="H205" s="26">
        <v>-1</v>
      </c>
      <c r="I205" s="70" t="s">
        <v>3535</v>
      </c>
      <c r="J205" s="26" t="s">
        <v>3536</v>
      </c>
      <c r="K205" s="26" t="s">
        <v>3537</v>
      </c>
      <c r="M205" s="76"/>
      <c r="N205" s="76"/>
      <c r="O205" s="76"/>
      <c r="P205" s="76"/>
      <c r="Q205" s="76"/>
      <c r="R205" s="76"/>
      <c r="T205" s="26" t="s">
        <v>3538</v>
      </c>
      <c r="Z205" s="70"/>
      <c r="AA205" s="70"/>
      <c r="AB205" s="70"/>
      <c r="AC205" s="70"/>
      <c r="AE205" s="26" t="s">
        <v>3539</v>
      </c>
    </row>
    <row r="206" spans="1:31" s="24" customFormat="1" x14ac:dyDescent="0.3">
      <c r="A206" s="23">
        <v>75</v>
      </c>
      <c r="B206" s="23">
        <v>72</v>
      </c>
      <c r="C206" s="24" t="s">
        <v>2165</v>
      </c>
      <c r="D206" s="69" t="s">
        <v>210</v>
      </c>
      <c r="E206" s="24" t="s">
        <v>209</v>
      </c>
      <c r="F206" s="24" t="s">
        <v>258</v>
      </c>
      <c r="G206" s="69" t="s">
        <v>259</v>
      </c>
      <c r="I206" s="69"/>
      <c r="J206" s="24" t="s">
        <v>3540</v>
      </c>
      <c r="K206" s="24" t="s">
        <v>260</v>
      </c>
      <c r="M206" s="75" t="s">
        <v>236</v>
      </c>
      <c r="N206" s="75"/>
      <c r="O206" s="75"/>
      <c r="P206" s="75"/>
      <c r="Q206" s="75"/>
      <c r="R206" s="75"/>
      <c r="T206" s="24" t="s">
        <v>2257</v>
      </c>
      <c r="Z206" s="69"/>
      <c r="AA206" s="69"/>
      <c r="AB206" s="69"/>
      <c r="AC206" s="69"/>
      <c r="AE206" s="24" t="s">
        <v>2258</v>
      </c>
    </row>
    <row r="207" spans="1:31" s="26" customFormat="1" x14ac:dyDescent="0.3">
      <c r="A207" s="25" t="s">
        <v>3541</v>
      </c>
      <c r="B207" s="25"/>
      <c r="C207" s="26" t="s">
        <v>3005</v>
      </c>
      <c r="D207" s="70"/>
      <c r="G207" s="70" t="s">
        <v>259</v>
      </c>
      <c r="H207" s="26">
        <v>-1</v>
      </c>
      <c r="I207" s="70" t="s">
        <v>3542</v>
      </c>
      <c r="J207" s="26" t="s">
        <v>3543</v>
      </c>
      <c r="K207" s="26" t="s">
        <v>3280</v>
      </c>
      <c r="M207" s="76"/>
      <c r="N207" s="76"/>
      <c r="O207" s="76"/>
      <c r="P207" s="76"/>
      <c r="Q207" s="76"/>
      <c r="R207" s="76"/>
      <c r="T207" s="26" t="s">
        <v>2254</v>
      </c>
      <c r="Z207" s="70"/>
      <c r="AA207" s="70"/>
      <c r="AB207" s="70"/>
      <c r="AC207" s="70"/>
      <c r="AE207" s="26" t="s">
        <v>3544</v>
      </c>
    </row>
    <row r="208" spans="1:31" s="26" customFormat="1" x14ac:dyDescent="0.3">
      <c r="A208" s="25" t="s">
        <v>3545</v>
      </c>
      <c r="B208" s="25"/>
      <c r="C208" s="26" t="s">
        <v>3005</v>
      </c>
      <c r="D208" s="70"/>
      <c r="G208" s="70" t="s">
        <v>259</v>
      </c>
      <c r="H208" s="26">
        <v>-1</v>
      </c>
      <c r="I208" s="70" t="s">
        <v>3546</v>
      </c>
      <c r="J208" s="26" t="s">
        <v>3540</v>
      </c>
      <c r="K208" s="26" t="s">
        <v>3547</v>
      </c>
      <c r="M208" s="76"/>
      <c r="N208" s="76"/>
      <c r="O208" s="76"/>
      <c r="P208" s="76"/>
      <c r="Q208" s="76"/>
      <c r="R208" s="76"/>
      <c r="Z208" s="70"/>
      <c r="AA208" s="70"/>
      <c r="AB208" s="70"/>
      <c r="AC208" s="70"/>
    </row>
    <row r="209" spans="1:31" s="26" customFormat="1" x14ac:dyDescent="0.3">
      <c r="A209" s="25" t="s">
        <v>3548</v>
      </c>
      <c r="B209" s="25"/>
      <c r="C209" s="26" t="s">
        <v>3005</v>
      </c>
      <c r="D209" s="70"/>
      <c r="G209" s="70" t="s">
        <v>259</v>
      </c>
      <c r="H209" s="26">
        <v>-1</v>
      </c>
      <c r="I209" s="70" t="s">
        <v>3549</v>
      </c>
      <c r="J209" s="26" t="s">
        <v>3473</v>
      </c>
      <c r="K209" s="26" t="s">
        <v>3550</v>
      </c>
      <c r="M209" s="76"/>
      <c r="N209" s="76"/>
      <c r="O209" s="76"/>
      <c r="P209" s="76"/>
      <c r="Q209" s="76"/>
      <c r="R209" s="76"/>
      <c r="T209" s="26" t="s">
        <v>2254</v>
      </c>
      <c r="Z209" s="70"/>
      <c r="AA209" s="70"/>
      <c r="AB209" s="70"/>
      <c r="AC209" s="70"/>
      <c r="AE209" s="26" t="s">
        <v>3551</v>
      </c>
    </row>
    <row r="210" spans="1:31" s="24" customFormat="1" x14ac:dyDescent="0.3">
      <c r="A210" s="23">
        <v>76</v>
      </c>
      <c r="B210" s="23">
        <v>73</v>
      </c>
      <c r="C210" s="24" t="s">
        <v>2165</v>
      </c>
      <c r="D210" s="69" t="s">
        <v>210</v>
      </c>
      <c r="E210" s="24" t="s">
        <v>209</v>
      </c>
      <c r="F210" s="24" t="s">
        <v>261</v>
      </c>
      <c r="G210" s="69" t="s">
        <v>262</v>
      </c>
      <c r="H210" s="24">
        <v>1</v>
      </c>
      <c r="I210" s="69"/>
      <c r="J210" s="24" t="s">
        <v>3174</v>
      </c>
      <c r="K210" s="24" t="s">
        <v>263</v>
      </c>
      <c r="M210" s="75" t="s">
        <v>236</v>
      </c>
      <c r="N210" s="75"/>
      <c r="O210" s="75"/>
      <c r="P210" s="75"/>
      <c r="Q210" s="75"/>
      <c r="R210" s="75"/>
      <c r="Z210" s="69"/>
      <c r="AA210" s="69"/>
      <c r="AB210" s="69"/>
      <c r="AC210" s="69"/>
      <c r="AD210" s="24" t="s">
        <v>264</v>
      </c>
    </row>
    <row r="211" spans="1:31" s="26" customFormat="1" x14ac:dyDescent="0.3">
      <c r="A211" s="25" t="s">
        <v>3552</v>
      </c>
      <c r="B211" s="25"/>
      <c r="C211" s="26" t="s">
        <v>3005</v>
      </c>
      <c r="D211" s="70"/>
      <c r="G211" s="70" t="s">
        <v>262</v>
      </c>
      <c r="H211" s="26">
        <v>2</v>
      </c>
      <c r="I211" s="70" t="s">
        <v>3553</v>
      </c>
      <c r="J211" s="26" t="s">
        <v>3174</v>
      </c>
      <c r="K211" s="26" t="s">
        <v>3554</v>
      </c>
      <c r="M211" s="76"/>
      <c r="N211" s="76"/>
      <c r="O211" s="76"/>
      <c r="P211" s="76"/>
      <c r="Q211" s="76"/>
      <c r="R211" s="76"/>
      <c r="Z211" s="70"/>
      <c r="AA211" s="70"/>
      <c r="AB211" s="70"/>
      <c r="AC211" s="70"/>
    </row>
    <row r="212" spans="1:31" s="26" customFormat="1" x14ac:dyDescent="0.3">
      <c r="A212" s="25" t="s">
        <v>3555</v>
      </c>
      <c r="B212" s="25"/>
      <c r="C212" s="26" t="s">
        <v>3005</v>
      </c>
      <c r="D212" s="70"/>
      <c r="G212" s="70" t="s">
        <v>262</v>
      </c>
      <c r="H212" s="26">
        <v>-1</v>
      </c>
      <c r="I212" s="70" t="s">
        <v>3556</v>
      </c>
      <c r="J212" s="26" t="s">
        <v>3557</v>
      </c>
      <c r="K212" s="26" t="s">
        <v>3558</v>
      </c>
      <c r="M212" s="76"/>
      <c r="N212" s="76"/>
      <c r="O212" s="76"/>
      <c r="P212" s="76"/>
      <c r="Q212" s="76"/>
      <c r="R212" s="76"/>
      <c r="Z212" s="70"/>
      <c r="AA212" s="70"/>
      <c r="AB212" s="70"/>
      <c r="AC212" s="70"/>
    </row>
    <row r="213" spans="1:31" s="24" customFormat="1" x14ac:dyDescent="0.3">
      <c r="A213" s="23">
        <v>77</v>
      </c>
      <c r="B213" s="23">
        <v>74</v>
      </c>
      <c r="C213" s="24" t="s">
        <v>2165</v>
      </c>
      <c r="D213" s="69" t="s">
        <v>210</v>
      </c>
      <c r="E213" s="24" t="s">
        <v>209</v>
      </c>
      <c r="F213" s="24" t="s">
        <v>265</v>
      </c>
      <c r="G213" s="69" t="s">
        <v>266</v>
      </c>
      <c r="I213" s="69"/>
      <c r="J213" s="24" t="s">
        <v>3092</v>
      </c>
      <c r="K213" s="24" t="s">
        <v>267</v>
      </c>
      <c r="M213" s="75" t="s">
        <v>15</v>
      </c>
      <c r="N213" s="75"/>
      <c r="O213" s="75"/>
      <c r="P213" s="75"/>
      <c r="Q213" s="75"/>
      <c r="R213" s="75"/>
      <c r="V213" s="24" t="s">
        <v>2259</v>
      </c>
      <c r="W213" s="24" t="s">
        <v>2260</v>
      </c>
      <c r="Y213" s="24" t="s">
        <v>2261</v>
      </c>
      <c r="Z213" s="69"/>
      <c r="AA213" s="69"/>
      <c r="AB213" s="69"/>
      <c r="AC213" s="69"/>
    </row>
    <row r="214" spans="1:31" s="26" customFormat="1" x14ac:dyDescent="0.3">
      <c r="A214" s="25" t="s">
        <v>3559</v>
      </c>
      <c r="B214" s="25"/>
      <c r="C214" s="26" t="s">
        <v>3005</v>
      </c>
      <c r="D214" s="70"/>
      <c r="G214" s="70" t="s">
        <v>266</v>
      </c>
      <c r="H214" s="26">
        <v>-1</v>
      </c>
      <c r="I214" s="70" t="s">
        <v>3560</v>
      </c>
      <c r="J214" s="26" t="s">
        <v>3092</v>
      </c>
      <c r="K214" s="26" t="s">
        <v>3561</v>
      </c>
      <c r="L214" s="26" t="s">
        <v>10033</v>
      </c>
      <c r="M214" s="76"/>
      <c r="N214" s="76"/>
      <c r="O214" s="76"/>
      <c r="P214" s="76"/>
      <c r="Q214" s="76"/>
      <c r="R214" s="76"/>
      <c r="Z214" s="70"/>
      <c r="AA214" s="70"/>
      <c r="AB214" s="70"/>
      <c r="AC214" s="70"/>
    </row>
    <row r="215" spans="1:31" s="26" customFormat="1" x14ac:dyDescent="0.3">
      <c r="A215" s="25" t="s">
        <v>3562</v>
      </c>
      <c r="B215" s="25"/>
      <c r="C215" s="26" t="s">
        <v>3005</v>
      </c>
      <c r="D215" s="70"/>
      <c r="G215" s="70" t="s">
        <v>266</v>
      </c>
      <c r="H215" s="26">
        <v>-1</v>
      </c>
      <c r="I215" s="70" t="s">
        <v>3563</v>
      </c>
      <c r="J215" s="26" t="s">
        <v>3564</v>
      </c>
      <c r="K215" s="26" t="s">
        <v>3565</v>
      </c>
      <c r="L215" s="26" t="s">
        <v>10034</v>
      </c>
      <c r="M215" s="76"/>
      <c r="N215" s="76"/>
      <c r="O215" s="76"/>
      <c r="P215" s="76"/>
      <c r="Q215" s="76"/>
      <c r="R215" s="76"/>
      <c r="Z215" s="70"/>
      <c r="AA215" s="70"/>
      <c r="AB215" s="70"/>
      <c r="AC215" s="70"/>
    </row>
    <row r="216" spans="1:31" s="24" customFormat="1" x14ac:dyDescent="0.3">
      <c r="A216" s="23">
        <v>78</v>
      </c>
      <c r="B216" s="23">
        <v>75</v>
      </c>
      <c r="C216" s="24" t="s">
        <v>2165</v>
      </c>
      <c r="D216" s="69" t="s">
        <v>210</v>
      </c>
      <c r="E216" s="24" t="s">
        <v>209</v>
      </c>
      <c r="F216" s="24" t="s">
        <v>268</v>
      </c>
      <c r="G216" s="69" t="s">
        <v>269</v>
      </c>
      <c r="I216" s="69"/>
      <c r="J216" s="24" t="s">
        <v>3566</v>
      </c>
      <c r="K216" s="24" t="s">
        <v>270</v>
      </c>
      <c r="L216" s="24" t="s">
        <v>9689</v>
      </c>
      <c r="M216" s="75" t="s">
        <v>50</v>
      </c>
      <c r="N216" s="75"/>
      <c r="O216" s="75" t="s">
        <v>66</v>
      </c>
      <c r="P216" s="75" t="s">
        <v>66</v>
      </c>
      <c r="Q216" s="75" t="s">
        <v>66</v>
      </c>
      <c r="R216" s="75"/>
      <c r="U216" s="24" t="s">
        <v>2262</v>
      </c>
      <c r="Z216" s="69"/>
      <c r="AA216" s="69"/>
      <c r="AB216" s="69"/>
      <c r="AC216" s="69"/>
    </row>
    <row r="217" spans="1:31" s="24" customFormat="1" x14ac:dyDescent="0.3">
      <c r="A217" s="23">
        <v>79</v>
      </c>
      <c r="B217" s="23">
        <v>76</v>
      </c>
      <c r="C217" s="24" t="s">
        <v>2165</v>
      </c>
      <c r="D217" s="69" t="s">
        <v>272</v>
      </c>
      <c r="E217" s="24" t="s">
        <v>271</v>
      </c>
      <c r="F217" s="24" t="s">
        <v>273</v>
      </c>
      <c r="G217" s="69" t="s">
        <v>274</v>
      </c>
      <c r="I217" s="69"/>
      <c r="J217" s="24" t="s">
        <v>3298</v>
      </c>
      <c r="K217" s="24" t="s">
        <v>276</v>
      </c>
      <c r="L217" s="24" t="s">
        <v>9690</v>
      </c>
      <c r="M217" s="75" t="s">
        <v>275</v>
      </c>
      <c r="N217" s="75"/>
      <c r="O217" s="75" t="s">
        <v>58</v>
      </c>
      <c r="P217" s="75" t="s">
        <v>58</v>
      </c>
      <c r="Q217" s="75" t="s">
        <v>130</v>
      </c>
      <c r="R217" s="75" t="s">
        <v>2166</v>
      </c>
      <c r="Z217" s="69"/>
      <c r="AA217" s="69"/>
      <c r="AB217" s="69"/>
      <c r="AC217" s="69"/>
      <c r="AD217" s="24" t="s">
        <v>277</v>
      </c>
    </row>
    <row r="218" spans="1:31" s="24" customFormat="1" x14ac:dyDescent="0.3">
      <c r="A218" s="23">
        <v>80</v>
      </c>
      <c r="B218" s="23">
        <v>77</v>
      </c>
      <c r="C218" s="24" t="s">
        <v>2165</v>
      </c>
      <c r="D218" s="69" t="s">
        <v>272</v>
      </c>
      <c r="E218" s="24" t="s">
        <v>271</v>
      </c>
      <c r="F218" s="24" t="s">
        <v>278</v>
      </c>
      <c r="G218" s="69" t="s">
        <v>279</v>
      </c>
      <c r="I218" s="69"/>
      <c r="J218" s="24" t="s">
        <v>3567</v>
      </c>
      <c r="K218" s="24" t="s">
        <v>280</v>
      </c>
      <c r="L218" s="24" t="s">
        <v>9691</v>
      </c>
      <c r="M218" s="75" t="s">
        <v>19</v>
      </c>
      <c r="N218" s="75"/>
      <c r="O218" s="75" t="s">
        <v>58</v>
      </c>
      <c r="P218" s="75" t="s">
        <v>58</v>
      </c>
      <c r="Q218" s="75" t="s">
        <v>66</v>
      </c>
      <c r="R218" s="75" t="s">
        <v>2166</v>
      </c>
      <c r="U218" s="24" t="s">
        <v>2263</v>
      </c>
      <c r="V218" s="24" t="s">
        <v>2171</v>
      </c>
      <c r="Z218" s="69"/>
      <c r="AA218" s="69"/>
      <c r="AB218" s="69"/>
      <c r="AC218" s="69"/>
      <c r="AD218" s="24" t="s">
        <v>11311</v>
      </c>
    </row>
    <row r="219" spans="1:31" s="24" customFormat="1" x14ac:dyDescent="0.3">
      <c r="A219" s="23">
        <v>81</v>
      </c>
      <c r="B219" s="23">
        <v>78</v>
      </c>
      <c r="C219" s="24" t="s">
        <v>2165</v>
      </c>
      <c r="D219" s="69" t="s">
        <v>272</v>
      </c>
      <c r="E219" s="24" t="s">
        <v>271</v>
      </c>
      <c r="F219" s="24" t="s">
        <v>281</v>
      </c>
      <c r="G219" s="69" t="s">
        <v>282</v>
      </c>
      <c r="I219" s="69"/>
      <c r="J219" s="24" t="s">
        <v>3568</v>
      </c>
      <c r="K219" s="24" t="s">
        <v>233</v>
      </c>
      <c r="L219" s="24" t="s">
        <v>9692</v>
      </c>
      <c r="M219" s="75" t="s">
        <v>19</v>
      </c>
      <c r="N219" s="75"/>
      <c r="O219" s="75"/>
      <c r="P219" s="75"/>
      <c r="Q219" s="75"/>
      <c r="R219" s="75" t="s">
        <v>2166</v>
      </c>
      <c r="V219" s="24" t="s">
        <v>2171</v>
      </c>
      <c r="Z219" s="69"/>
      <c r="AA219" s="69"/>
      <c r="AB219" s="69"/>
      <c r="AC219" s="69"/>
      <c r="AD219" s="24" t="s">
        <v>11312</v>
      </c>
    </row>
    <row r="220" spans="1:31" s="24" customFormat="1" x14ac:dyDescent="0.3">
      <c r="A220" s="23">
        <v>82</v>
      </c>
      <c r="B220" s="23">
        <v>79</v>
      </c>
      <c r="C220" s="24" t="s">
        <v>2165</v>
      </c>
      <c r="D220" s="69" t="s">
        <v>284</v>
      </c>
      <c r="E220" s="24" t="s">
        <v>283</v>
      </c>
      <c r="F220" s="24" t="s">
        <v>2264</v>
      </c>
      <c r="G220" s="69" t="s">
        <v>286</v>
      </c>
      <c r="I220" s="69"/>
      <c r="J220" s="24" t="s">
        <v>3569</v>
      </c>
      <c r="K220" s="24" t="s">
        <v>287</v>
      </c>
      <c r="L220" s="24" t="s">
        <v>9693</v>
      </c>
      <c r="M220" s="75" t="s">
        <v>50</v>
      </c>
      <c r="N220" s="75"/>
      <c r="O220" s="75" t="s">
        <v>85</v>
      </c>
      <c r="P220" s="75" t="s">
        <v>85</v>
      </c>
      <c r="Q220" s="75" t="s">
        <v>85</v>
      </c>
      <c r="R220" s="75" t="s">
        <v>2166</v>
      </c>
      <c r="V220" s="24" t="s">
        <v>2171</v>
      </c>
      <c r="X220" s="24" t="s">
        <v>285</v>
      </c>
      <c r="Z220" s="69"/>
      <c r="AA220" s="69"/>
      <c r="AB220" s="69"/>
      <c r="AC220" s="69"/>
      <c r="AD220" s="24" t="s">
        <v>11313</v>
      </c>
    </row>
    <row r="221" spans="1:31" s="24" customFormat="1" x14ac:dyDescent="0.3">
      <c r="A221" s="23">
        <v>83</v>
      </c>
      <c r="B221" s="23">
        <v>80</v>
      </c>
      <c r="C221" s="24" t="s">
        <v>2165</v>
      </c>
      <c r="D221" s="69" t="s">
        <v>284</v>
      </c>
      <c r="E221" s="24" t="s">
        <v>283</v>
      </c>
      <c r="F221" s="24" t="s">
        <v>288</v>
      </c>
      <c r="G221" s="69" t="s">
        <v>289</v>
      </c>
      <c r="I221" s="69"/>
      <c r="J221" s="24" t="s">
        <v>3092</v>
      </c>
      <c r="K221" s="24" t="s">
        <v>181</v>
      </c>
      <c r="M221" s="75" t="s">
        <v>50</v>
      </c>
      <c r="N221" s="75"/>
      <c r="O221" s="75"/>
      <c r="P221" s="75"/>
      <c r="Q221" s="75"/>
      <c r="R221" s="75"/>
      <c r="Z221" s="69"/>
      <c r="AA221" s="69"/>
      <c r="AB221" s="69"/>
      <c r="AC221" s="69"/>
      <c r="AD221" s="24" t="s">
        <v>290</v>
      </c>
    </row>
    <row r="222" spans="1:31" s="26" customFormat="1" x14ac:dyDescent="0.3">
      <c r="A222" s="25" t="s">
        <v>3570</v>
      </c>
      <c r="B222" s="25"/>
      <c r="C222" s="26" t="s">
        <v>3005</v>
      </c>
      <c r="D222" s="70"/>
      <c r="G222" s="70" t="s">
        <v>289</v>
      </c>
      <c r="H222" s="26">
        <v>-1</v>
      </c>
      <c r="I222" s="70" t="s">
        <v>3571</v>
      </c>
      <c r="J222" s="26" t="s">
        <v>3569</v>
      </c>
      <c r="K222" s="26" t="s">
        <v>3572</v>
      </c>
      <c r="L222" s="26" t="s">
        <v>10035</v>
      </c>
      <c r="M222" s="76"/>
      <c r="N222" s="76"/>
      <c r="O222" s="76"/>
      <c r="P222" s="76"/>
      <c r="Q222" s="76"/>
      <c r="R222" s="76"/>
      <c r="Z222" s="70"/>
      <c r="AA222" s="70"/>
      <c r="AB222" s="70"/>
      <c r="AC222" s="70"/>
    </row>
    <row r="223" spans="1:31" s="26" customFormat="1" x14ac:dyDescent="0.3">
      <c r="A223" s="25" t="s">
        <v>3573</v>
      </c>
      <c r="B223" s="25"/>
      <c r="C223" s="26" t="s">
        <v>3005</v>
      </c>
      <c r="D223" s="70"/>
      <c r="G223" s="70" t="s">
        <v>289</v>
      </c>
      <c r="H223" s="26">
        <v>-1</v>
      </c>
      <c r="I223" s="70" t="s">
        <v>3574</v>
      </c>
      <c r="J223" s="26" t="s">
        <v>3569</v>
      </c>
      <c r="K223" s="26" t="s">
        <v>3288</v>
      </c>
      <c r="L223" s="26" t="s">
        <v>10036</v>
      </c>
      <c r="M223" s="76"/>
      <c r="N223" s="76"/>
      <c r="O223" s="76"/>
      <c r="P223" s="76"/>
      <c r="Q223" s="76"/>
      <c r="R223" s="76"/>
      <c r="Z223" s="70"/>
      <c r="AA223" s="70"/>
      <c r="AB223" s="70"/>
      <c r="AC223" s="70"/>
    </row>
    <row r="224" spans="1:31" s="26" customFormat="1" x14ac:dyDescent="0.3">
      <c r="A224" s="25" t="s">
        <v>3575</v>
      </c>
      <c r="B224" s="25"/>
      <c r="C224" s="26" t="s">
        <v>3005</v>
      </c>
      <c r="D224" s="70"/>
      <c r="G224" s="70" t="s">
        <v>289</v>
      </c>
      <c r="H224" s="26">
        <v>-1</v>
      </c>
      <c r="I224" s="70" t="s">
        <v>3576</v>
      </c>
      <c r="J224" s="26" t="s">
        <v>3092</v>
      </c>
      <c r="K224" s="26" t="s">
        <v>3577</v>
      </c>
      <c r="L224" s="26" t="s">
        <v>10037</v>
      </c>
      <c r="M224" s="76"/>
      <c r="N224" s="76"/>
      <c r="O224" s="76"/>
      <c r="P224" s="76"/>
      <c r="Q224" s="76"/>
      <c r="R224" s="76"/>
      <c r="Z224" s="70"/>
      <c r="AA224" s="70"/>
      <c r="AB224" s="70"/>
      <c r="AC224" s="70"/>
    </row>
    <row r="225" spans="1:31" s="26" customFormat="1" x14ac:dyDescent="0.3">
      <c r="A225" s="25" t="s">
        <v>3578</v>
      </c>
      <c r="B225" s="25"/>
      <c r="C225" s="26" t="s">
        <v>3005</v>
      </c>
      <c r="D225" s="70"/>
      <c r="G225" s="70" t="s">
        <v>289</v>
      </c>
      <c r="H225" s="26">
        <v>-1</v>
      </c>
      <c r="I225" s="70" t="s">
        <v>3579</v>
      </c>
      <c r="J225" s="26" t="s">
        <v>3092</v>
      </c>
      <c r="K225" s="26" t="s">
        <v>3580</v>
      </c>
      <c r="L225" s="26" t="s">
        <v>10038</v>
      </c>
      <c r="M225" s="76"/>
      <c r="N225" s="76"/>
      <c r="O225" s="76"/>
      <c r="P225" s="76"/>
      <c r="Q225" s="76"/>
      <c r="R225" s="76"/>
      <c r="Z225" s="70"/>
      <c r="AA225" s="70"/>
      <c r="AB225" s="70"/>
      <c r="AC225" s="70"/>
    </row>
    <row r="226" spans="1:31" s="26" customFormat="1" x14ac:dyDescent="0.3">
      <c r="A226" s="25" t="s">
        <v>3581</v>
      </c>
      <c r="B226" s="25"/>
      <c r="C226" s="26" t="s">
        <v>3005</v>
      </c>
      <c r="D226" s="70"/>
      <c r="G226" s="70" t="s">
        <v>289</v>
      </c>
      <c r="H226" s="26">
        <v>-1</v>
      </c>
      <c r="I226" s="70" t="s">
        <v>3582</v>
      </c>
      <c r="J226" s="26" t="s">
        <v>3569</v>
      </c>
      <c r="K226" s="26" t="s">
        <v>3583</v>
      </c>
      <c r="L226" s="26" t="s">
        <v>10039</v>
      </c>
      <c r="M226" s="76"/>
      <c r="N226" s="76"/>
      <c r="O226" s="76"/>
      <c r="P226" s="76"/>
      <c r="Q226" s="76"/>
      <c r="R226" s="76"/>
      <c r="Z226" s="70"/>
      <c r="AA226" s="70"/>
      <c r="AB226" s="70"/>
      <c r="AC226" s="70"/>
    </row>
    <row r="227" spans="1:31" s="24" customFormat="1" x14ac:dyDescent="0.3">
      <c r="A227" s="23">
        <v>84</v>
      </c>
      <c r="B227" s="23">
        <v>81</v>
      </c>
      <c r="C227" s="24" t="s">
        <v>2165</v>
      </c>
      <c r="D227" s="69" t="s">
        <v>284</v>
      </c>
      <c r="E227" s="24" t="s">
        <v>283</v>
      </c>
      <c r="F227" s="24" t="s">
        <v>291</v>
      </c>
      <c r="G227" s="69" t="s">
        <v>292</v>
      </c>
      <c r="I227" s="69"/>
      <c r="J227" s="24" t="s">
        <v>3584</v>
      </c>
      <c r="K227" s="24" t="s">
        <v>181</v>
      </c>
      <c r="M227" s="75" t="s">
        <v>50</v>
      </c>
      <c r="N227" s="75"/>
      <c r="O227" s="75"/>
      <c r="P227" s="75"/>
      <c r="Q227" s="75"/>
      <c r="R227" s="75"/>
      <c r="Z227" s="69"/>
      <c r="AA227" s="69"/>
      <c r="AB227" s="69"/>
      <c r="AC227" s="69"/>
    </row>
    <row r="228" spans="1:31" s="26" customFormat="1" x14ac:dyDescent="0.3">
      <c r="A228" s="25" t="s">
        <v>3585</v>
      </c>
      <c r="B228" s="25"/>
      <c r="C228" s="26" t="s">
        <v>3005</v>
      </c>
      <c r="D228" s="70"/>
      <c r="G228" s="70" t="s">
        <v>292</v>
      </c>
      <c r="H228" s="26">
        <v>-1</v>
      </c>
      <c r="I228" s="70" t="s">
        <v>3586</v>
      </c>
      <c r="J228" s="26" t="s">
        <v>3587</v>
      </c>
      <c r="K228" s="26" t="s">
        <v>3572</v>
      </c>
      <c r="M228" s="76"/>
      <c r="N228" s="76"/>
      <c r="O228" s="76"/>
      <c r="P228" s="76"/>
      <c r="Q228" s="76"/>
      <c r="R228" s="76"/>
      <c r="T228" s="26" t="s">
        <v>2254</v>
      </c>
      <c r="Z228" s="70"/>
      <c r="AA228" s="70"/>
      <c r="AB228" s="70"/>
      <c r="AC228" s="70"/>
      <c r="AE228" s="26" t="s">
        <v>3588</v>
      </c>
    </row>
    <row r="229" spans="1:31" s="26" customFormat="1" x14ac:dyDescent="0.3">
      <c r="A229" s="25" t="s">
        <v>3589</v>
      </c>
      <c r="B229" s="25"/>
      <c r="C229" s="26" t="s">
        <v>3005</v>
      </c>
      <c r="D229" s="70"/>
      <c r="G229" s="70" t="s">
        <v>292</v>
      </c>
      <c r="H229" s="26">
        <v>-1</v>
      </c>
      <c r="I229" s="70" t="s">
        <v>3590</v>
      </c>
      <c r="J229" s="26" t="s">
        <v>3569</v>
      </c>
      <c r="K229" s="26" t="s">
        <v>3288</v>
      </c>
      <c r="L229" s="26" t="s">
        <v>10040</v>
      </c>
      <c r="M229" s="76"/>
      <c r="N229" s="76"/>
      <c r="O229" s="76"/>
      <c r="P229" s="76"/>
      <c r="Q229" s="76"/>
      <c r="R229" s="76"/>
      <c r="Z229" s="70"/>
      <c r="AA229" s="70"/>
      <c r="AB229" s="70"/>
      <c r="AC229" s="70"/>
    </row>
    <row r="230" spans="1:31" s="26" customFormat="1" x14ac:dyDescent="0.3">
      <c r="A230" s="25" t="s">
        <v>3591</v>
      </c>
      <c r="B230" s="25"/>
      <c r="C230" s="26" t="s">
        <v>3005</v>
      </c>
      <c r="D230" s="70"/>
      <c r="G230" s="70" t="s">
        <v>292</v>
      </c>
      <c r="H230" s="26">
        <v>-1</v>
      </c>
      <c r="I230" s="70" t="s">
        <v>3592</v>
      </c>
      <c r="J230" s="26" t="s">
        <v>3584</v>
      </c>
      <c r="K230" s="26" t="s">
        <v>3593</v>
      </c>
      <c r="L230" s="26" t="s">
        <v>10041</v>
      </c>
      <c r="M230" s="76"/>
      <c r="N230" s="76"/>
      <c r="O230" s="76"/>
      <c r="P230" s="76"/>
      <c r="Q230" s="76"/>
      <c r="R230" s="76"/>
      <c r="Z230" s="70"/>
      <c r="AA230" s="70"/>
      <c r="AB230" s="70"/>
      <c r="AC230" s="70"/>
    </row>
    <row r="231" spans="1:31" s="24" customFormat="1" x14ac:dyDescent="0.3">
      <c r="A231" s="23">
        <v>85</v>
      </c>
      <c r="B231" s="23">
        <v>82</v>
      </c>
      <c r="C231" s="24" t="s">
        <v>2165</v>
      </c>
      <c r="D231" s="69" t="s">
        <v>294</v>
      </c>
      <c r="E231" s="24" t="s">
        <v>293</v>
      </c>
      <c r="F231" s="24" t="s">
        <v>295</v>
      </c>
      <c r="G231" s="69" t="s">
        <v>296</v>
      </c>
      <c r="I231" s="69"/>
      <c r="J231" s="24" t="s">
        <v>3216</v>
      </c>
      <c r="K231" s="24" t="s">
        <v>181</v>
      </c>
      <c r="M231" s="75" t="s">
        <v>275</v>
      </c>
      <c r="N231" s="75"/>
      <c r="O231" s="75"/>
      <c r="P231" s="75"/>
      <c r="Q231" s="75" t="s">
        <v>85</v>
      </c>
      <c r="R231" s="75" t="s">
        <v>2166</v>
      </c>
      <c r="Z231" s="69"/>
      <c r="AA231" s="69"/>
      <c r="AB231" s="69"/>
      <c r="AC231" s="69"/>
      <c r="AD231" s="24" t="s">
        <v>297</v>
      </c>
    </row>
    <row r="232" spans="1:31" s="26" customFormat="1" x14ac:dyDescent="0.3">
      <c r="A232" s="25" t="s">
        <v>3594</v>
      </c>
      <c r="B232" s="25"/>
      <c r="C232" s="26" t="s">
        <v>3005</v>
      </c>
      <c r="D232" s="70"/>
      <c r="G232" s="70" t="s">
        <v>296</v>
      </c>
      <c r="H232" s="26">
        <v>-1</v>
      </c>
      <c r="I232" s="70" t="s">
        <v>3595</v>
      </c>
      <c r="J232" s="26" t="s">
        <v>3216</v>
      </c>
      <c r="K232" s="26" t="s">
        <v>3596</v>
      </c>
      <c r="L232" s="26" t="s">
        <v>10042</v>
      </c>
      <c r="M232" s="76"/>
      <c r="N232" s="76"/>
      <c r="O232" s="76"/>
      <c r="P232" s="76"/>
      <c r="Q232" s="76"/>
      <c r="R232" s="76"/>
      <c r="Z232" s="70"/>
      <c r="AA232" s="70"/>
      <c r="AB232" s="70"/>
      <c r="AC232" s="70"/>
    </row>
    <row r="233" spans="1:31" s="26" customFormat="1" x14ac:dyDescent="0.3">
      <c r="A233" s="25" t="s">
        <v>3597</v>
      </c>
      <c r="B233" s="25"/>
      <c r="C233" s="26" t="s">
        <v>3005</v>
      </c>
      <c r="D233" s="70"/>
      <c r="G233" s="70" t="s">
        <v>296</v>
      </c>
      <c r="H233" s="26">
        <v>-1</v>
      </c>
      <c r="I233" s="70" t="s">
        <v>3598</v>
      </c>
      <c r="J233" s="26" t="s">
        <v>3599</v>
      </c>
      <c r="K233" s="26" t="s">
        <v>3600</v>
      </c>
      <c r="L233" s="26" t="s">
        <v>9993</v>
      </c>
      <c r="M233" s="76"/>
      <c r="N233" s="76"/>
      <c r="O233" s="76"/>
      <c r="P233" s="76"/>
      <c r="Q233" s="76"/>
      <c r="R233" s="76"/>
      <c r="Z233" s="70"/>
      <c r="AA233" s="70"/>
      <c r="AB233" s="70"/>
      <c r="AC233" s="70"/>
    </row>
    <row r="234" spans="1:31" s="26" customFormat="1" x14ac:dyDescent="0.3">
      <c r="A234" s="25" t="s">
        <v>3601</v>
      </c>
      <c r="B234" s="25"/>
      <c r="C234" s="26" t="s">
        <v>3005</v>
      </c>
      <c r="D234" s="70"/>
      <c r="G234" s="70" t="s">
        <v>296</v>
      </c>
      <c r="H234" s="26">
        <v>-1</v>
      </c>
      <c r="I234" s="70" t="s">
        <v>3602</v>
      </c>
      <c r="J234" s="26" t="s">
        <v>3603</v>
      </c>
      <c r="K234" s="26" t="s">
        <v>3604</v>
      </c>
      <c r="L234" s="26" t="s">
        <v>10043</v>
      </c>
      <c r="M234" s="76"/>
      <c r="N234" s="76"/>
      <c r="O234" s="76"/>
      <c r="P234" s="76"/>
      <c r="Q234" s="76"/>
      <c r="R234" s="76"/>
      <c r="T234" s="26" t="s">
        <v>2200</v>
      </c>
      <c r="Z234" s="70"/>
      <c r="AA234" s="70"/>
      <c r="AB234" s="70"/>
      <c r="AC234" s="70"/>
      <c r="AE234" s="26" t="s">
        <v>3605</v>
      </c>
    </row>
    <row r="235" spans="1:31" s="26" customFormat="1" x14ac:dyDescent="0.3">
      <c r="A235" s="25" t="s">
        <v>3606</v>
      </c>
      <c r="B235" s="25"/>
      <c r="C235" s="26" t="s">
        <v>3005</v>
      </c>
      <c r="D235" s="70"/>
      <c r="G235" s="70" t="s">
        <v>296</v>
      </c>
      <c r="H235" s="26">
        <v>-1</v>
      </c>
      <c r="I235" s="70" t="s">
        <v>3607</v>
      </c>
      <c r="J235" s="26" t="s">
        <v>3608</v>
      </c>
      <c r="K235" s="26" t="s">
        <v>3609</v>
      </c>
      <c r="L235" s="26" t="s">
        <v>10044</v>
      </c>
      <c r="M235" s="76"/>
      <c r="N235" s="76"/>
      <c r="O235" s="76"/>
      <c r="P235" s="76"/>
      <c r="Q235" s="76"/>
      <c r="R235" s="76"/>
      <c r="T235" s="26" t="s">
        <v>2200</v>
      </c>
      <c r="Z235" s="70"/>
      <c r="AA235" s="70"/>
      <c r="AB235" s="70"/>
      <c r="AC235" s="70"/>
      <c r="AE235" s="26" t="s">
        <v>3610</v>
      </c>
    </row>
    <row r="236" spans="1:31" s="24" customFormat="1" x14ac:dyDescent="0.3">
      <c r="A236" s="23">
        <v>86</v>
      </c>
      <c r="B236" s="23">
        <v>83</v>
      </c>
      <c r="C236" s="24" t="s">
        <v>2165</v>
      </c>
      <c r="D236" s="69" t="s">
        <v>294</v>
      </c>
      <c r="E236" s="24" t="s">
        <v>293</v>
      </c>
      <c r="F236" s="24" t="s">
        <v>298</v>
      </c>
      <c r="G236" s="69" t="s">
        <v>299</v>
      </c>
      <c r="I236" s="69"/>
      <c r="J236" s="24" t="s">
        <v>3174</v>
      </c>
      <c r="K236" s="24" t="s">
        <v>181</v>
      </c>
      <c r="M236" s="75" t="s">
        <v>15</v>
      </c>
      <c r="N236" s="75"/>
      <c r="O236" s="75"/>
      <c r="P236" s="75"/>
      <c r="Q236" s="75"/>
      <c r="R236" s="75"/>
      <c r="Z236" s="69"/>
      <c r="AA236" s="69"/>
      <c r="AB236" s="69"/>
      <c r="AC236" s="69"/>
    </row>
    <row r="237" spans="1:31" s="26" customFormat="1" x14ac:dyDescent="0.3">
      <c r="A237" s="25" t="s">
        <v>3611</v>
      </c>
      <c r="B237" s="25"/>
      <c r="C237" s="26" t="s">
        <v>3005</v>
      </c>
      <c r="D237" s="70"/>
      <c r="G237" s="70" t="s">
        <v>299</v>
      </c>
      <c r="H237" s="26">
        <v>-1</v>
      </c>
      <c r="I237" s="70" t="s">
        <v>3612</v>
      </c>
      <c r="J237" s="26" t="s">
        <v>3174</v>
      </c>
      <c r="K237" s="26" t="s">
        <v>3596</v>
      </c>
      <c r="M237" s="76"/>
      <c r="N237" s="76"/>
      <c r="O237" s="76"/>
      <c r="P237" s="76"/>
      <c r="Q237" s="76"/>
      <c r="R237" s="76"/>
      <c r="Z237" s="70"/>
      <c r="AA237" s="70"/>
      <c r="AB237" s="70"/>
      <c r="AC237" s="70"/>
    </row>
    <row r="238" spans="1:31" s="26" customFormat="1" x14ac:dyDescent="0.3">
      <c r="A238" s="25" t="s">
        <v>3613</v>
      </c>
      <c r="B238" s="25"/>
      <c r="C238" s="26" t="s">
        <v>3005</v>
      </c>
      <c r="D238" s="70"/>
      <c r="G238" s="70" t="s">
        <v>299</v>
      </c>
      <c r="H238" s="26">
        <v>-1</v>
      </c>
      <c r="I238" s="70" t="s">
        <v>3614</v>
      </c>
      <c r="J238" s="26" t="s">
        <v>3615</v>
      </c>
      <c r="K238" s="26" t="s">
        <v>3616</v>
      </c>
      <c r="M238" s="76"/>
      <c r="N238" s="76"/>
      <c r="O238" s="76"/>
      <c r="P238" s="76"/>
      <c r="Q238" s="76"/>
      <c r="R238" s="76"/>
      <c r="Z238" s="70"/>
      <c r="AA238" s="70"/>
      <c r="AB238" s="70"/>
      <c r="AC238" s="70"/>
    </row>
    <row r="239" spans="1:31" s="26" customFormat="1" x14ac:dyDescent="0.3">
      <c r="A239" s="25" t="s">
        <v>3617</v>
      </c>
      <c r="B239" s="25"/>
      <c r="C239" s="26" t="s">
        <v>3005</v>
      </c>
      <c r="D239" s="70"/>
      <c r="G239" s="70" t="s">
        <v>299</v>
      </c>
      <c r="H239" s="26">
        <v>-1</v>
      </c>
      <c r="I239" s="70" t="s">
        <v>3618</v>
      </c>
      <c r="J239" s="26" t="s">
        <v>3619</v>
      </c>
      <c r="K239" s="26" t="s">
        <v>3620</v>
      </c>
      <c r="M239" s="76"/>
      <c r="N239" s="76"/>
      <c r="O239" s="76"/>
      <c r="P239" s="76"/>
      <c r="Q239" s="76"/>
      <c r="R239" s="76"/>
      <c r="Z239" s="70"/>
      <c r="AA239" s="70"/>
      <c r="AB239" s="70"/>
      <c r="AC239" s="70"/>
    </row>
    <row r="240" spans="1:31" s="24" customFormat="1" x14ac:dyDescent="0.3">
      <c r="A240" s="23">
        <v>87</v>
      </c>
      <c r="B240" s="23">
        <v>84</v>
      </c>
      <c r="C240" s="24" t="s">
        <v>2165</v>
      </c>
      <c r="D240" s="69" t="s">
        <v>294</v>
      </c>
      <c r="E240" s="24" t="s">
        <v>293</v>
      </c>
      <c r="F240" s="24" t="s">
        <v>300</v>
      </c>
      <c r="G240" s="69" t="s">
        <v>301</v>
      </c>
      <c r="I240" s="69"/>
      <c r="J240" s="24" t="s">
        <v>3323</v>
      </c>
      <c r="K240" s="24" t="s">
        <v>181</v>
      </c>
      <c r="M240" s="75" t="s">
        <v>236</v>
      </c>
      <c r="N240" s="75"/>
      <c r="O240" s="75"/>
      <c r="P240" s="75"/>
      <c r="Q240" s="75" t="s">
        <v>67</v>
      </c>
      <c r="R240" s="75"/>
      <c r="Z240" s="69"/>
      <c r="AA240" s="69"/>
      <c r="AB240" s="69"/>
      <c r="AC240" s="69"/>
    </row>
    <row r="241" spans="1:31" s="26" customFormat="1" x14ac:dyDescent="0.3">
      <c r="A241" s="25" t="s">
        <v>3621</v>
      </c>
      <c r="B241" s="25"/>
      <c r="C241" s="26" t="s">
        <v>3005</v>
      </c>
      <c r="D241" s="70"/>
      <c r="G241" s="70" t="s">
        <v>301</v>
      </c>
      <c r="H241" s="26">
        <v>-1</v>
      </c>
      <c r="I241" s="70" t="s">
        <v>3622</v>
      </c>
      <c r="J241" s="26" t="s">
        <v>3323</v>
      </c>
      <c r="K241" s="26" t="s">
        <v>3623</v>
      </c>
      <c r="M241" s="76"/>
      <c r="N241" s="76"/>
      <c r="O241" s="76"/>
      <c r="P241" s="76"/>
      <c r="Q241" s="76"/>
      <c r="R241" s="76"/>
      <c r="Z241" s="70"/>
      <c r="AA241" s="70"/>
      <c r="AB241" s="70"/>
      <c r="AC241" s="70"/>
    </row>
    <row r="242" spans="1:31" s="26" customFormat="1" x14ac:dyDescent="0.3">
      <c r="A242" s="25" t="s">
        <v>3624</v>
      </c>
      <c r="B242" s="25"/>
      <c r="C242" s="26" t="s">
        <v>3005</v>
      </c>
      <c r="D242" s="70"/>
      <c r="G242" s="70" t="s">
        <v>301</v>
      </c>
      <c r="H242" s="26">
        <v>-1</v>
      </c>
      <c r="I242" s="70" t="s">
        <v>3625</v>
      </c>
      <c r="J242" s="26" t="s">
        <v>3626</v>
      </c>
      <c r="K242" s="26" t="s">
        <v>3627</v>
      </c>
      <c r="M242" s="76"/>
      <c r="N242" s="76"/>
      <c r="O242" s="76"/>
      <c r="P242" s="76"/>
      <c r="Q242" s="76"/>
      <c r="R242" s="76"/>
      <c r="Z242" s="70"/>
      <c r="AA242" s="70"/>
      <c r="AB242" s="70"/>
      <c r="AC242" s="70"/>
    </row>
    <row r="243" spans="1:31" s="26" customFormat="1" x14ac:dyDescent="0.3">
      <c r="A243" s="25" t="s">
        <v>3628</v>
      </c>
      <c r="B243" s="25"/>
      <c r="C243" s="26" t="s">
        <v>3005</v>
      </c>
      <c r="D243" s="70"/>
      <c r="G243" s="70" t="s">
        <v>301</v>
      </c>
      <c r="H243" s="26">
        <v>-1</v>
      </c>
      <c r="I243" s="70" t="s">
        <v>3629</v>
      </c>
      <c r="J243" s="26" t="s">
        <v>3630</v>
      </c>
      <c r="K243" s="26" t="s">
        <v>3631</v>
      </c>
      <c r="M243" s="76"/>
      <c r="N243" s="76"/>
      <c r="O243" s="76"/>
      <c r="P243" s="76"/>
      <c r="Q243" s="76"/>
      <c r="R243" s="76"/>
      <c r="Z243" s="70"/>
      <c r="AA243" s="70"/>
      <c r="AB243" s="70"/>
      <c r="AC243" s="70"/>
    </row>
    <row r="244" spans="1:31" s="26" customFormat="1" x14ac:dyDescent="0.3">
      <c r="A244" s="25" t="s">
        <v>3632</v>
      </c>
      <c r="B244" s="25"/>
      <c r="C244" s="26" t="s">
        <v>3005</v>
      </c>
      <c r="D244" s="70"/>
      <c r="G244" s="70" t="s">
        <v>301</v>
      </c>
      <c r="H244" s="26">
        <v>-1</v>
      </c>
      <c r="I244" s="70" t="s">
        <v>3633</v>
      </c>
      <c r="J244" s="26" t="s">
        <v>3634</v>
      </c>
      <c r="K244" s="26" t="s">
        <v>3635</v>
      </c>
      <c r="M244" s="76"/>
      <c r="N244" s="76"/>
      <c r="O244" s="76"/>
      <c r="P244" s="76"/>
      <c r="Q244" s="76"/>
      <c r="R244" s="76"/>
      <c r="Z244" s="70"/>
      <c r="AA244" s="70"/>
      <c r="AB244" s="70"/>
      <c r="AC244" s="70"/>
    </row>
    <row r="245" spans="1:31" s="24" customFormat="1" x14ac:dyDescent="0.3">
      <c r="A245" s="23">
        <v>88</v>
      </c>
      <c r="B245" s="23">
        <v>85</v>
      </c>
      <c r="C245" s="24" t="s">
        <v>2165</v>
      </c>
      <c r="D245" s="69" t="s">
        <v>303</v>
      </c>
      <c r="E245" s="24" t="s">
        <v>302</v>
      </c>
      <c r="F245" s="24" t="s">
        <v>304</v>
      </c>
      <c r="G245" s="69" t="s">
        <v>305</v>
      </c>
      <c r="I245" s="69"/>
      <c r="J245" s="24" t="s">
        <v>3016</v>
      </c>
      <c r="K245" s="24" t="s">
        <v>306</v>
      </c>
      <c r="M245" s="75" t="s">
        <v>50</v>
      </c>
      <c r="N245" s="75"/>
      <c r="O245" s="75"/>
      <c r="P245" s="75"/>
      <c r="Q245" s="75"/>
      <c r="R245" s="75"/>
      <c r="Z245" s="69"/>
      <c r="AA245" s="69"/>
      <c r="AB245" s="69"/>
      <c r="AC245" s="69"/>
    </row>
    <row r="246" spans="1:31" s="26" customFormat="1" x14ac:dyDescent="0.3">
      <c r="A246" s="25" t="s">
        <v>3636</v>
      </c>
      <c r="B246" s="25"/>
      <c r="C246" s="26" t="s">
        <v>3005</v>
      </c>
      <c r="D246" s="70"/>
      <c r="G246" s="70" t="s">
        <v>305</v>
      </c>
      <c r="H246" s="26">
        <v>-1</v>
      </c>
      <c r="I246" s="70" t="s">
        <v>3637</v>
      </c>
      <c r="J246" s="26" t="s">
        <v>3016</v>
      </c>
      <c r="K246" s="26" t="s">
        <v>3638</v>
      </c>
      <c r="M246" s="76"/>
      <c r="N246" s="76"/>
      <c r="O246" s="76"/>
      <c r="P246" s="76"/>
      <c r="Q246" s="76"/>
      <c r="R246" s="76"/>
      <c r="Z246" s="70"/>
      <c r="AA246" s="70"/>
      <c r="AB246" s="70"/>
      <c r="AC246" s="70"/>
    </row>
    <row r="247" spans="1:31" s="26" customFormat="1" x14ac:dyDescent="0.3">
      <c r="A247" s="25" t="s">
        <v>3639</v>
      </c>
      <c r="B247" s="25"/>
      <c r="C247" s="26" t="s">
        <v>3005</v>
      </c>
      <c r="D247" s="70"/>
      <c r="G247" s="70" t="s">
        <v>305</v>
      </c>
      <c r="H247" s="26">
        <v>-1</v>
      </c>
      <c r="I247" s="70" t="s">
        <v>3640</v>
      </c>
      <c r="J247" s="26" t="s">
        <v>3641</v>
      </c>
      <c r="K247" s="26" t="s">
        <v>3642</v>
      </c>
      <c r="L247" s="26" t="s">
        <v>10045</v>
      </c>
      <c r="M247" s="76"/>
      <c r="N247" s="76"/>
      <c r="O247" s="76"/>
      <c r="P247" s="76"/>
      <c r="Q247" s="76"/>
      <c r="R247" s="76"/>
      <c r="Z247" s="70"/>
      <c r="AA247" s="70"/>
      <c r="AB247" s="70"/>
      <c r="AC247" s="70"/>
    </row>
    <row r="248" spans="1:31" s="26" customFormat="1" x14ac:dyDescent="0.3">
      <c r="A248" s="25" t="s">
        <v>3643</v>
      </c>
      <c r="B248" s="25"/>
      <c r="C248" s="26" t="s">
        <v>3005</v>
      </c>
      <c r="D248" s="70"/>
      <c r="G248" s="70" t="s">
        <v>305</v>
      </c>
      <c r="H248" s="26">
        <v>-1</v>
      </c>
      <c r="I248" s="70" t="s">
        <v>3644</v>
      </c>
      <c r="J248" s="26" t="s">
        <v>3645</v>
      </c>
      <c r="K248" s="26" t="s">
        <v>3646</v>
      </c>
      <c r="L248" s="26" t="s">
        <v>10046</v>
      </c>
      <c r="M248" s="76"/>
      <c r="N248" s="76"/>
      <c r="O248" s="76"/>
      <c r="P248" s="76"/>
      <c r="Q248" s="76"/>
      <c r="R248" s="76"/>
      <c r="Z248" s="70"/>
      <c r="AA248" s="70"/>
      <c r="AB248" s="70"/>
      <c r="AC248" s="70"/>
    </row>
    <row r="249" spans="1:31" s="26" customFormat="1" x14ac:dyDescent="0.3">
      <c r="A249" s="25" t="s">
        <v>3647</v>
      </c>
      <c r="B249" s="25"/>
      <c r="C249" s="26" t="s">
        <v>3005</v>
      </c>
      <c r="D249" s="70"/>
      <c r="G249" s="70" t="s">
        <v>305</v>
      </c>
      <c r="H249" s="26">
        <v>-1</v>
      </c>
      <c r="I249" s="70" t="s">
        <v>3648</v>
      </c>
      <c r="J249" s="26" t="s">
        <v>3649</v>
      </c>
      <c r="K249" s="26" t="s">
        <v>3650</v>
      </c>
      <c r="M249" s="76"/>
      <c r="N249" s="76"/>
      <c r="O249" s="76"/>
      <c r="P249" s="76"/>
      <c r="Q249" s="76"/>
      <c r="R249" s="76"/>
      <c r="Z249" s="70"/>
      <c r="AA249" s="70"/>
      <c r="AB249" s="70"/>
      <c r="AC249" s="70"/>
    </row>
    <row r="250" spans="1:31" s="26" customFormat="1" x14ac:dyDescent="0.3">
      <c r="A250" s="25" t="s">
        <v>3651</v>
      </c>
      <c r="B250" s="25"/>
      <c r="C250" s="26" t="s">
        <v>3005</v>
      </c>
      <c r="D250" s="70"/>
      <c r="G250" s="70" t="s">
        <v>305</v>
      </c>
      <c r="H250" s="26">
        <v>-1</v>
      </c>
      <c r="I250" s="70" t="s">
        <v>3652</v>
      </c>
      <c r="J250" s="26" t="s">
        <v>3653</v>
      </c>
      <c r="K250" s="26" t="s">
        <v>3654</v>
      </c>
      <c r="M250" s="76"/>
      <c r="N250" s="76"/>
      <c r="O250" s="76"/>
      <c r="P250" s="76"/>
      <c r="Q250" s="76"/>
      <c r="R250" s="76"/>
      <c r="Z250" s="70"/>
      <c r="AA250" s="70"/>
      <c r="AB250" s="70"/>
      <c r="AC250" s="70"/>
    </row>
    <row r="251" spans="1:31" s="24" customFormat="1" x14ac:dyDescent="0.3">
      <c r="A251" s="23">
        <v>89</v>
      </c>
      <c r="B251" s="23">
        <v>86</v>
      </c>
      <c r="C251" s="24" t="s">
        <v>2165</v>
      </c>
      <c r="D251" s="69" t="s">
        <v>308</v>
      </c>
      <c r="E251" s="24" t="s">
        <v>307</v>
      </c>
      <c r="F251" s="24" t="s">
        <v>309</v>
      </c>
      <c r="G251" s="69" t="s">
        <v>310</v>
      </c>
      <c r="I251" s="69"/>
      <c r="J251" s="24" t="s">
        <v>3655</v>
      </c>
      <c r="K251" s="24" t="s">
        <v>311</v>
      </c>
      <c r="L251" s="24" t="s">
        <v>9694</v>
      </c>
      <c r="M251" s="75" t="s">
        <v>15</v>
      </c>
      <c r="N251" s="75"/>
      <c r="O251" s="75" t="s">
        <v>58</v>
      </c>
      <c r="P251" s="75" t="s">
        <v>58</v>
      </c>
      <c r="Q251" s="75" t="s">
        <v>66</v>
      </c>
      <c r="R251" s="75" t="s">
        <v>2166</v>
      </c>
      <c r="T251" s="24" t="s">
        <v>2174</v>
      </c>
      <c r="V251" s="24" t="s">
        <v>2265</v>
      </c>
      <c r="Z251" s="69"/>
      <c r="AA251" s="69"/>
      <c r="AB251" s="69"/>
      <c r="AC251" s="69"/>
      <c r="AD251" s="24" t="s">
        <v>312</v>
      </c>
      <c r="AE251" s="24" t="s">
        <v>2266</v>
      </c>
    </row>
    <row r="252" spans="1:31" s="24" customFormat="1" x14ac:dyDescent="0.3">
      <c r="A252" s="23">
        <v>90</v>
      </c>
      <c r="B252" s="23">
        <v>87</v>
      </c>
      <c r="C252" s="24" t="s">
        <v>2165</v>
      </c>
      <c r="D252" s="69" t="s">
        <v>314</v>
      </c>
      <c r="E252" s="24" t="s">
        <v>313</v>
      </c>
      <c r="F252" s="24" t="s">
        <v>315</v>
      </c>
      <c r="G252" s="69" t="s">
        <v>316</v>
      </c>
      <c r="I252" s="69"/>
      <c r="J252" s="24" t="s">
        <v>3016</v>
      </c>
      <c r="K252" s="24" t="s">
        <v>318</v>
      </c>
      <c r="M252" s="75" t="s">
        <v>317</v>
      </c>
      <c r="N252" s="75"/>
      <c r="O252" s="75"/>
      <c r="P252" s="75"/>
      <c r="Q252" s="75"/>
      <c r="R252" s="75"/>
      <c r="V252" s="24" t="s">
        <v>2267</v>
      </c>
      <c r="W252" s="24" t="s">
        <v>2267</v>
      </c>
      <c r="Y252" s="24" t="s">
        <v>2267</v>
      </c>
      <c r="Z252" s="69"/>
      <c r="AA252" s="69"/>
      <c r="AB252" s="69"/>
      <c r="AC252" s="69"/>
      <c r="AD252" s="24" t="s">
        <v>319</v>
      </c>
    </row>
    <row r="253" spans="1:31" s="26" customFormat="1" x14ac:dyDescent="0.3">
      <c r="A253" s="25" t="s">
        <v>3656</v>
      </c>
      <c r="B253" s="25"/>
      <c r="C253" s="26" t="s">
        <v>3005</v>
      </c>
      <c r="D253" s="70"/>
      <c r="G253" s="70" t="s">
        <v>316</v>
      </c>
      <c r="H253" s="26">
        <v>-1</v>
      </c>
      <c r="I253" s="70" t="s">
        <v>3657</v>
      </c>
      <c r="J253" s="26" t="s">
        <v>3016</v>
      </c>
      <c r="K253" s="26" t="s">
        <v>3658</v>
      </c>
      <c r="M253" s="76"/>
      <c r="N253" s="76"/>
      <c r="O253" s="76"/>
      <c r="P253" s="76"/>
      <c r="Q253" s="76"/>
      <c r="R253" s="76"/>
      <c r="U253" s="26" t="s">
        <v>3659</v>
      </c>
      <c r="Z253" s="70"/>
      <c r="AA253" s="70"/>
      <c r="AB253" s="70"/>
      <c r="AC253" s="70"/>
    </row>
    <row r="254" spans="1:31" s="26" customFormat="1" x14ac:dyDescent="0.3">
      <c r="A254" s="25" t="s">
        <v>3660</v>
      </c>
      <c r="B254" s="25"/>
      <c r="C254" s="26" t="s">
        <v>3005</v>
      </c>
      <c r="D254" s="70"/>
      <c r="G254" s="70" t="s">
        <v>316</v>
      </c>
      <c r="H254" s="26">
        <v>-1</v>
      </c>
      <c r="I254" s="70" t="s">
        <v>3661</v>
      </c>
      <c r="J254" s="26" t="s">
        <v>3662</v>
      </c>
      <c r="K254" s="26" t="s">
        <v>3663</v>
      </c>
      <c r="M254" s="76"/>
      <c r="N254" s="76"/>
      <c r="O254" s="76"/>
      <c r="P254" s="76"/>
      <c r="Q254" s="76"/>
      <c r="R254" s="76"/>
      <c r="U254" s="26" t="s">
        <v>3664</v>
      </c>
      <c r="Z254" s="70"/>
      <c r="AA254" s="70"/>
      <c r="AB254" s="70"/>
      <c r="AC254" s="70"/>
    </row>
    <row r="255" spans="1:31" s="26" customFormat="1" x14ac:dyDescent="0.3">
      <c r="A255" s="25" t="s">
        <v>3665</v>
      </c>
      <c r="B255" s="25"/>
      <c r="C255" s="26" t="s">
        <v>3005</v>
      </c>
      <c r="D255" s="70"/>
      <c r="G255" s="70" t="s">
        <v>316</v>
      </c>
      <c r="H255" s="26">
        <v>-1</v>
      </c>
      <c r="I255" s="70" t="s">
        <v>3582</v>
      </c>
      <c r="J255" s="26" t="s">
        <v>3666</v>
      </c>
      <c r="K255" s="26" t="s">
        <v>3667</v>
      </c>
      <c r="M255" s="76"/>
      <c r="N255" s="76"/>
      <c r="O255" s="76"/>
      <c r="P255" s="76"/>
      <c r="Q255" s="76"/>
      <c r="R255" s="76"/>
      <c r="Z255" s="70"/>
      <c r="AA255" s="70"/>
      <c r="AB255" s="70"/>
      <c r="AC255" s="70"/>
    </row>
    <row r="256" spans="1:31" s="24" customFormat="1" x14ac:dyDescent="0.3">
      <c r="A256" s="23">
        <v>91</v>
      </c>
      <c r="B256" s="23">
        <v>88</v>
      </c>
      <c r="C256" s="24" t="s">
        <v>2165</v>
      </c>
      <c r="D256" s="69" t="s">
        <v>321</v>
      </c>
      <c r="E256" s="24" t="s">
        <v>320</v>
      </c>
      <c r="F256" s="24" t="s">
        <v>322</v>
      </c>
      <c r="G256" s="69" t="s">
        <v>323</v>
      </c>
      <c r="H256" s="24">
        <v>1</v>
      </c>
      <c r="I256" s="69"/>
      <c r="J256" s="24" t="s">
        <v>3668</v>
      </c>
      <c r="K256" s="24" t="s">
        <v>189</v>
      </c>
      <c r="M256" s="75" t="s">
        <v>15</v>
      </c>
      <c r="N256" s="75"/>
      <c r="O256" s="75"/>
      <c r="P256" s="75"/>
      <c r="Q256" s="75"/>
      <c r="R256" s="75"/>
      <c r="V256" s="24" t="s">
        <v>2268</v>
      </c>
      <c r="Z256" s="69"/>
      <c r="AA256" s="69"/>
      <c r="AB256" s="69"/>
      <c r="AC256" s="69"/>
    </row>
    <row r="257" spans="1:31" s="26" customFormat="1" x14ac:dyDescent="0.3">
      <c r="A257" s="25" t="s">
        <v>3669</v>
      </c>
      <c r="B257" s="25"/>
      <c r="C257" s="26" t="s">
        <v>3005</v>
      </c>
      <c r="D257" s="70"/>
      <c r="G257" s="70" t="s">
        <v>323</v>
      </c>
      <c r="H257" s="26">
        <v>-1</v>
      </c>
      <c r="I257" s="70" t="s">
        <v>3670</v>
      </c>
      <c r="J257" s="26" t="s">
        <v>3668</v>
      </c>
      <c r="K257" s="26" t="s">
        <v>3671</v>
      </c>
      <c r="M257" s="76"/>
      <c r="N257" s="76"/>
      <c r="O257" s="76"/>
      <c r="P257" s="76"/>
      <c r="Q257" s="76"/>
      <c r="R257" s="76"/>
      <c r="Z257" s="70"/>
      <c r="AA257" s="70"/>
      <c r="AB257" s="70"/>
      <c r="AC257" s="70"/>
    </row>
    <row r="258" spans="1:31" s="26" customFormat="1" x14ac:dyDescent="0.3">
      <c r="A258" s="25" t="s">
        <v>3672</v>
      </c>
      <c r="B258" s="25"/>
      <c r="C258" s="26" t="s">
        <v>3005</v>
      </c>
      <c r="D258" s="70"/>
      <c r="G258" s="70" t="s">
        <v>323</v>
      </c>
      <c r="H258" s="26">
        <v>-1</v>
      </c>
      <c r="I258" s="70" t="s">
        <v>3673</v>
      </c>
      <c r="J258" s="26" t="s">
        <v>3334</v>
      </c>
      <c r="K258" s="26" t="s">
        <v>3674</v>
      </c>
      <c r="L258" s="26" t="s">
        <v>10047</v>
      </c>
      <c r="M258" s="76"/>
      <c r="N258" s="76"/>
      <c r="O258" s="76"/>
      <c r="P258" s="76"/>
      <c r="Q258" s="76"/>
      <c r="R258" s="76"/>
      <c r="Z258" s="70"/>
      <c r="AA258" s="70"/>
      <c r="AB258" s="70"/>
      <c r="AC258" s="70"/>
    </row>
    <row r="259" spans="1:31" s="26" customFormat="1" x14ac:dyDescent="0.3">
      <c r="A259" s="25" t="s">
        <v>3675</v>
      </c>
      <c r="B259" s="25"/>
      <c r="C259" s="26" t="s">
        <v>3005</v>
      </c>
      <c r="D259" s="70"/>
      <c r="G259" s="70" t="s">
        <v>323</v>
      </c>
      <c r="H259" s="26">
        <v>2</v>
      </c>
      <c r="I259" s="70" t="s">
        <v>3676</v>
      </c>
      <c r="J259" s="26" t="s">
        <v>3677</v>
      </c>
      <c r="K259" s="26" t="s">
        <v>3678</v>
      </c>
      <c r="L259" s="26" t="s">
        <v>10048</v>
      </c>
      <c r="M259" s="76"/>
      <c r="N259" s="76"/>
      <c r="O259" s="76"/>
      <c r="P259" s="76"/>
      <c r="Q259" s="76"/>
      <c r="R259" s="76"/>
      <c r="Z259" s="70"/>
      <c r="AA259" s="70"/>
      <c r="AB259" s="70"/>
      <c r="AC259" s="70"/>
    </row>
    <row r="260" spans="1:31" s="24" customFormat="1" x14ac:dyDescent="0.3">
      <c r="A260" s="23">
        <v>92</v>
      </c>
      <c r="B260" s="23">
        <v>89</v>
      </c>
      <c r="C260" s="24" t="s">
        <v>2165</v>
      </c>
      <c r="D260" s="69" t="s">
        <v>321</v>
      </c>
      <c r="E260" s="24" t="s">
        <v>320</v>
      </c>
      <c r="F260" s="24" t="s">
        <v>324</v>
      </c>
      <c r="G260" s="69" t="s">
        <v>325</v>
      </c>
      <c r="H260" s="24">
        <v>2</v>
      </c>
      <c r="I260" s="69"/>
      <c r="J260" s="24" t="s">
        <v>3679</v>
      </c>
      <c r="K260" s="24" t="s">
        <v>326</v>
      </c>
      <c r="M260" s="75" t="s">
        <v>236</v>
      </c>
      <c r="N260" s="75"/>
      <c r="O260" s="75"/>
      <c r="P260" s="75"/>
      <c r="Q260" s="75"/>
      <c r="R260" s="75"/>
      <c r="V260" s="24" t="s">
        <v>2269</v>
      </c>
      <c r="W260" s="24" t="s">
        <v>2270</v>
      </c>
      <c r="Y260" s="24" t="s">
        <v>2270</v>
      </c>
      <c r="Z260" s="69"/>
      <c r="AA260" s="69" t="s">
        <v>2271</v>
      </c>
      <c r="AB260" s="69"/>
      <c r="AC260" s="69"/>
    </row>
    <row r="261" spans="1:31" s="26" customFormat="1" x14ac:dyDescent="0.3">
      <c r="A261" s="25" t="s">
        <v>3680</v>
      </c>
      <c r="B261" s="25"/>
      <c r="C261" s="26" t="s">
        <v>3005</v>
      </c>
      <c r="D261" s="70"/>
      <c r="G261" s="70" t="s">
        <v>325</v>
      </c>
      <c r="H261" s="26">
        <v>-1</v>
      </c>
      <c r="I261" s="70" t="s">
        <v>3681</v>
      </c>
      <c r="J261" s="26" t="s">
        <v>3682</v>
      </c>
      <c r="K261" s="26" t="s">
        <v>3683</v>
      </c>
      <c r="M261" s="76"/>
      <c r="N261" s="76"/>
      <c r="O261" s="76"/>
      <c r="P261" s="76"/>
      <c r="Q261" s="76"/>
      <c r="R261" s="76"/>
      <c r="U261" s="26" t="s">
        <v>3684</v>
      </c>
      <c r="Z261" s="70"/>
      <c r="AA261" s="70"/>
      <c r="AB261" s="70"/>
      <c r="AC261" s="70"/>
    </row>
    <row r="262" spans="1:31" s="26" customFormat="1" x14ac:dyDescent="0.3">
      <c r="A262" s="25" t="s">
        <v>3685</v>
      </c>
      <c r="B262" s="25"/>
      <c r="C262" s="26" t="s">
        <v>3005</v>
      </c>
      <c r="D262" s="70"/>
      <c r="G262" s="70" t="s">
        <v>325</v>
      </c>
      <c r="H262" s="26">
        <v>-1</v>
      </c>
      <c r="I262" s="70" t="s">
        <v>3248</v>
      </c>
      <c r="J262" s="26" t="s">
        <v>3686</v>
      </c>
      <c r="K262" s="26" t="s">
        <v>3687</v>
      </c>
      <c r="L262" s="26" t="s">
        <v>10049</v>
      </c>
      <c r="M262" s="76"/>
      <c r="N262" s="76"/>
      <c r="O262" s="76"/>
      <c r="P262" s="76"/>
      <c r="Q262" s="76"/>
      <c r="R262" s="76"/>
      <c r="Z262" s="70"/>
      <c r="AA262" s="70"/>
      <c r="AB262" s="70"/>
      <c r="AC262" s="70"/>
    </row>
    <row r="263" spans="1:31" s="26" customFormat="1" x14ac:dyDescent="0.3">
      <c r="A263" s="25" t="s">
        <v>3688</v>
      </c>
      <c r="B263" s="25"/>
      <c r="C263" s="26" t="s">
        <v>3005</v>
      </c>
      <c r="D263" s="70"/>
      <c r="G263" s="70" t="s">
        <v>325</v>
      </c>
      <c r="H263" s="26">
        <v>-1</v>
      </c>
      <c r="I263" s="70" t="s">
        <v>3689</v>
      </c>
      <c r="J263" s="26" t="s">
        <v>3686</v>
      </c>
      <c r="K263" s="26" t="s">
        <v>3690</v>
      </c>
      <c r="L263" s="26" t="s">
        <v>10050</v>
      </c>
      <c r="M263" s="76"/>
      <c r="N263" s="76"/>
      <c r="O263" s="76"/>
      <c r="P263" s="76"/>
      <c r="Q263" s="76"/>
      <c r="R263" s="76"/>
      <c r="Z263" s="70"/>
      <c r="AA263" s="70"/>
      <c r="AB263" s="70"/>
      <c r="AC263" s="70"/>
    </row>
    <row r="264" spans="1:31" s="26" customFormat="1" x14ac:dyDescent="0.3">
      <c r="A264" s="25" t="s">
        <v>3691</v>
      </c>
      <c r="B264" s="25"/>
      <c r="C264" s="26" t="s">
        <v>3005</v>
      </c>
      <c r="D264" s="70"/>
      <c r="G264" s="70" t="s">
        <v>325</v>
      </c>
      <c r="H264" s="26">
        <v>-1</v>
      </c>
      <c r="I264" s="70" t="s">
        <v>3692</v>
      </c>
      <c r="J264" s="26" t="s">
        <v>3679</v>
      </c>
      <c r="K264" s="26" t="s">
        <v>3215</v>
      </c>
      <c r="L264" s="26" t="s">
        <v>3215</v>
      </c>
      <c r="M264" s="76"/>
      <c r="N264" s="76"/>
      <c r="O264" s="76"/>
      <c r="P264" s="76"/>
      <c r="Q264" s="76"/>
      <c r="R264" s="76"/>
      <c r="Z264" s="70"/>
      <c r="AA264" s="70"/>
      <c r="AB264" s="70"/>
      <c r="AC264" s="70"/>
    </row>
    <row r="265" spans="1:31" s="26" customFormat="1" x14ac:dyDescent="0.3">
      <c r="A265" s="25" t="s">
        <v>3693</v>
      </c>
      <c r="B265" s="25"/>
      <c r="C265" s="26" t="s">
        <v>3005</v>
      </c>
      <c r="D265" s="70"/>
      <c r="G265" s="70" t="s">
        <v>325</v>
      </c>
      <c r="H265" s="26">
        <v>3</v>
      </c>
      <c r="I265" s="70" t="s">
        <v>3694</v>
      </c>
      <c r="J265" s="26" t="s">
        <v>3695</v>
      </c>
      <c r="K265" s="26" t="s">
        <v>3696</v>
      </c>
      <c r="L265" s="26" t="s">
        <v>10051</v>
      </c>
      <c r="M265" s="76"/>
      <c r="N265" s="76"/>
      <c r="O265" s="76"/>
      <c r="P265" s="76"/>
      <c r="Q265" s="76"/>
      <c r="R265" s="76"/>
      <c r="Z265" s="70"/>
      <c r="AA265" s="70"/>
      <c r="AB265" s="70"/>
      <c r="AC265" s="70"/>
    </row>
    <row r="266" spans="1:31" s="26" customFormat="1" x14ac:dyDescent="0.3">
      <c r="A266" s="25" t="s">
        <v>3697</v>
      </c>
      <c r="B266" s="25"/>
      <c r="C266" s="26" t="s">
        <v>3005</v>
      </c>
      <c r="D266" s="70"/>
      <c r="G266" s="70" t="s">
        <v>325</v>
      </c>
      <c r="H266" s="26">
        <v>2</v>
      </c>
      <c r="I266" s="70" t="s">
        <v>3267</v>
      </c>
      <c r="J266" s="26" t="s">
        <v>3698</v>
      </c>
      <c r="K266" s="26" t="s">
        <v>3699</v>
      </c>
      <c r="L266" s="26" t="s">
        <v>10052</v>
      </c>
      <c r="M266" s="76"/>
      <c r="N266" s="76"/>
      <c r="O266" s="76"/>
      <c r="P266" s="76"/>
      <c r="Q266" s="76"/>
      <c r="R266" s="76"/>
      <c r="Z266" s="70"/>
      <c r="AA266" s="70"/>
      <c r="AB266" s="70"/>
      <c r="AC266" s="70"/>
    </row>
    <row r="267" spans="1:31" s="24" customFormat="1" x14ac:dyDescent="0.3">
      <c r="A267" s="23">
        <v>93</v>
      </c>
      <c r="B267" s="23">
        <v>90</v>
      </c>
      <c r="C267" s="24" t="s">
        <v>2165</v>
      </c>
      <c r="D267" s="69" t="s">
        <v>321</v>
      </c>
      <c r="E267" s="24" t="s">
        <v>320</v>
      </c>
      <c r="F267" s="24" t="s">
        <v>327</v>
      </c>
      <c r="G267" s="69" t="s">
        <v>328</v>
      </c>
      <c r="H267" s="24">
        <v>2</v>
      </c>
      <c r="I267" s="69"/>
      <c r="J267" s="24" t="s">
        <v>3700</v>
      </c>
      <c r="K267" s="24" t="s">
        <v>68</v>
      </c>
      <c r="M267" s="75" t="s">
        <v>65</v>
      </c>
      <c r="N267" s="75" t="s">
        <v>2015</v>
      </c>
      <c r="O267" s="75"/>
      <c r="P267" s="75"/>
      <c r="Q267" s="75"/>
      <c r="R267" s="75"/>
      <c r="T267" s="24" t="s">
        <v>2179</v>
      </c>
      <c r="V267" s="24" t="s">
        <v>2272</v>
      </c>
      <c r="W267" s="24" t="s">
        <v>2273</v>
      </c>
      <c r="Y267" s="24" t="s">
        <v>2274</v>
      </c>
      <c r="Z267" s="69" t="s">
        <v>2275</v>
      </c>
      <c r="AA267" s="69"/>
      <c r="AB267" s="69"/>
      <c r="AC267" s="69"/>
      <c r="AE267" s="24" t="s">
        <v>2276</v>
      </c>
    </row>
    <row r="268" spans="1:31" s="26" customFormat="1" x14ac:dyDescent="0.3">
      <c r="A268" s="25" t="s">
        <v>3701</v>
      </c>
      <c r="B268" s="25"/>
      <c r="C268" s="26" t="s">
        <v>3005</v>
      </c>
      <c r="D268" s="70"/>
      <c r="G268" s="70" t="s">
        <v>328</v>
      </c>
      <c r="H268" s="26">
        <v>1</v>
      </c>
      <c r="I268" s="70" t="s">
        <v>3702</v>
      </c>
      <c r="J268" s="26" t="s">
        <v>3703</v>
      </c>
      <c r="K268" s="26" t="s">
        <v>3704</v>
      </c>
      <c r="M268" s="76"/>
      <c r="N268" s="76"/>
      <c r="O268" s="76"/>
      <c r="P268" s="76"/>
      <c r="Q268" s="76"/>
      <c r="R268" s="76"/>
      <c r="Z268" s="70"/>
      <c r="AA268" s="70"/>
      <c r="AB268" s="70"/>
      <c r="AC268" s="70"/>
    </row>
    <row r="269" spans="1:31" s="26" customFormat="1" x14ac:dyDescent="0.3">
      <c r="A269" s="25" t="s">
        <v>3705</v>
      </c>
      <c r="B269" s="25"/>
      <c r="C269" s="26" t="s">
        <v>3005</v>
      </c>
      <c r="D269" s="70"/>
      <c r="G269" s="70" t="s">
        <v>328</v>
      </c>
      <c r="H269" s="26">
        <v>1</v>
      </c>
      <c r="I269" s="70" t="s">
        <v>3706</v>
      </c>
      <c r="J269" s="26" t="s">
        <v>3700</v>
      </c>
      <c r="K269" s="26" t="s">
        <v>3707</v>
      </c>
      <c r="M269" s="76"/>
      <c r="N269" s="76"/>
      <c r="O269" s="76"/>
      <c r="P269" s="76"/>
      <c r="Q269" s="76"/>
      <c r="R269" s="76"/>
      <c r="Z269" s="70"/>
      <c r="AA269" s="70"/>
      <c r="AB269" s="70"/>
      <c r="AC269" s="70"/>
    </row>
    <row r="270" spans="1:31" s="24" customFormat="1" x14ac:dyDescent="0.3">
      <c r="A270" s="23">
        <v>94</v>
      </c>
      <c r="B270" s="23">
        <v>91</v>
      </c>
      <c r="C270" s="24" t="s">
        <v>2165</v>
      </c>
      <c r="D270" s="69" t="s">
        <v>321</v>
      </c>
      <c r="E270" s="24" t="s">
        <v>320</v>
      </c>
      <c r="F270" s="24" t="s">
        <v>329</v>
      </c>
      <c r="G270" s="69" t="s">
        <v>330</v>
      </c>
      <c r="H270" s="24">
        <v>1</v>
      </c>
      <c r="I270" s="69"/>
      <c r="J270" s="24" t="s">
        <v>3708</v>
      </c>
      <c r="K270" s="24" t="s">
        <v>43</v>
      </c>
      <c r="M270" s="75" t="s">
        <v>331</v>
      </c>
      <c r="N270" s="75"/>
      <c r="O270" s="75"/>
      <c r="P270" s="75"/>
      <c r="Q270" s="75"/>
      <c r="R270" s="75" t="s">
        <v>2166</v>
      </c>
      <c r="Z270" s="69"/>
      <c r="AA270" s="69"/>
      <c r="AB270" s="69"/>
      <c r="AC270" s="69"/>
    </row>
    <row r="271" spans="1:31" s="26" customFormat="1" x14ac:dyDescent="0.3">
      <c r="A271" s="25" t="s">
        <v>3709</v>
      </c>
      <c r="B271" s="25"/>
      <c r="C271" s="26" t="s">
        <v>3005</v>
      </c>
      <c r="D271" s="70"/>
      <c r="G271" s="70" t="s">
        <v>330</v>
      </c>
      <c r="H271" s="26">
        <v>-1</v>
      </c>
      <c r="I271" s="70" t="s">
        <v>3710</v>
      </c>
      <c r="J271" s="26" t="s">
        <v>3708</v>
      </c>
      <c r="K271" s="26" t="s">
        <v>3711</v>
      </c>
      <c r="L271" s="26" t="s">
        <v>10053</v>
      </c>
      <c r="M271" s="76"/>
      <c r="N271" s="76"/>
      <c r="O271" s="76"/>
      <c r="P271" s="76"/>
      <c r="Q271" s="76"/>
      <c r="R271" s="76"/>
      <c r="Z271" s="70"/>
      <c r="AA271" s="70"/>
      <c r="AB271" s="70"/>
      <c r="AC271" s="70"/>
    </row>
    <row r="272" spans="1:31" s="26" customFormat="1" x14ac:dyDescent="0.3">
      <c r="A272" s="25" t="s">
        <v>3712</v>
      </c>
      <c r="B272" s="25"/>
      <c r="C272" s="26" t="s">
        <v>3005</v>
      </c>
      <c r="D272" s="70"/>
      <c r="G272" s="70" t="s">
        <v>330</v>
      </c>
      <c r="H272" s="26">
        <v>-1</v>
      </c>
      <c r="I272" s="70" t="s">
        <v>3713</v>
      </c>
      <c r="J272" s="26" t="s">
        <v>3714</v>
      </c>
      <c r="K272" s="26" t="s">
        <v>3715</v>
      </c>
      <c r="L272" s="26" t="s">
        <v>10054</v>
      </c>
      <c r="M272" s="76"/>
      <c r="N272" s="76"/>
      <c r="O272" s="76"/>
      <c r="P272" s="76"/>
      <c r="Q272" s="76"/>
      <c r="R272" s="76"/>
      <c r="Z272" s="70"/>
      <c r="AA272" s="70"/>
      <c r="AB272" s="70"/>
      <c r="AC272" s="70"/>
    </row>
    <row r="273" spans="1:30" s="26" customFormat="1" x14ac:dyDescent="0.3">
      <c r="A273" s="25" t="s">
        <v>3716</v>
      </c>
      <c r="B273" s="25"/>
      <c r="C273" s="26" t="s">
        <v>3005</v>
      </c>
      <c r="D273" s="70"/>
      <c r="G273" s="70" t="s">
        <v>330</v>
      </c>
      <c r="H273" s="26">
        <v>-1</v>
      </c>
      <c r="I273" s="70" t="s">
        <v>3717</v>
      </c>
      <c r="J273" s="26" t="s">
        <v>3718</v>
      </c>
      <c r="K273" s="26" t="s">
        <v>2679</v>
      </c>
      <c r="L273" s="26" t="s">
        <v>2679</v>
      </c>
      <c r="M273" s="76"/>
      <c r="N273" s="76"/>
      <c r="O273" s="76"/>
      <c r="P273" s="76"/>
      <c r="Q273" s="76"/>
      <c r="R273" s="76"/>
      <c r="Z273" s="70"/>
      <c r="AA273" s="70"/>
      <c r="AB273" s="70"/>
      <c r="AC273" s="70"/>
    </row>
    <row r="274" spans="1:30" s="26" customFormat="1" x14ac:dyDescent="0.3">
      <c r="A274" s="25" t="s">
        <v>3719</v>
      </c>
      <c r="B274" s="25"/>
      <c r="C274" s="26" t="s">
        <v>3005</v>
      </c>
      <c r="D274" s="70"/>
      <c r="G274" s="70" t="s">
        <v>330</v>
      </c>
      <c r="H274" s="26">
        <v>2</v>
      </c>
      <c r="I274" s="70" t="s">
        <v>3720</v>
      </c>
      <c r="J274" s="26" t="s">
        <v>3721</v>
      </c>
      <c r="K274" s="26" t="s">
        <v>2015</v>
      </c>
      <c r="L274" s="26" t="s">
        <v>9660</v>
      </c>
      <c r="M274" s="76"/>
      <c r="N274" s="76"/>
      <c r="O274" s="76"/>
      <c r="P274" s="76"/>
      <c r="Q274" s="76"/>
      <c r="R274" s="76"/>
      <c r="Z274" s="70"/>
      <c r="AA274" s="70"/>
      <c r="AB274" s="70"/>
      <c r="AC274" s="70"/>
    </row>
    <row r="275" spans="1:30" s="26" customFormat="1" x14ac:dyDescent="0.3">
      <c r="A275" s="25" t="s">
        <v>3722</v>
      </c>
      <c r="B275" s="25"/>
      <c r="C275" s="26" t="s">
        <v>3005</v>
      </c>
      <c r="D275" s="70"/>
      <c r="G275" s="70" t="s">
        <v>330</v>
      </c>
      <c r="H275" s="26">
        <v>-1</v>
      </c>
      <c r="I275" s="70" t="s">
        <v>3723</v>
      </c>
      <c r="J275" s="26" t="s">
        <v>3724</v>
      </c>
      <c r="K275" s="26" t="s">
        <v>3725</v>
      </c>
      <c r="L275" s="26" t="s">
        <v>10055</v>
      </c>
      <c r="M275" s="76"/>
      <c r="N275" s="76"/>
      <c r="O275" s="76"/>
      <c r="P275" s="76"/>
      <c r="Q275" s="76"/>
      <c r="R275" s="76"/>
      <c r="Z275" s="70"/>
      <c r="AA275" s="70"/>
      <c r="AB275" s="70"/>
      <c r="AC275" s="70"/>
    </row>
    <row r="276" spans="1:30" s="24" customFormat="1" x14ac:dyDescent="0.3">
      <c r="A276" s="23">
        <v>95</v>
      </c>
      <c r="B276" s="23">
        <v>92</v>
      </c>
      <c r="C276" s="24" t="s">
        <v>2165</v>
      </c>
      <c r="D276" s="69" t="s">
        <v>321</v>
      </c>
      <c r="E276" s="24" t="s">
        <v>320</v>
      </c>
      <c r="F276" s="24" t="s">
        <v>332</v>
      </c>
      <c r="G276" s="69" t="s">
        <v>333</v>
      </c>
      <c r="I276" s="69"/>
      <c r="J276" s="24" t="s">
        <v>3174</v>
      </c>
      <c r="K276" s="24" t="s">
        <v>334</v>
      </c>
      <c r="L276" s="24" t="s">
        <v>9695</v>
      </c>
      <c r="M276" s="75" t="s">
        <v>19</v>
      </c>
      <c r="N276" s="75"/>
      <c r="O276" s="75" t="s">
        <v>58</v>
      </c>
      <c r="P276" s="75" t="s">
        <v>58</v>
      </c>
      <c r="Q276" s="75" t="s">
        <v>130</v>
      </c>
      <c r="R276" s="75" t="s">
        <v>2166</v>
      </c>
      <c r="U276" s="24" t="s">
        <v>2277</v>
      </c>
      <c r="V276" s="24" t="s">
        <v>2171</v>
      </c>
      <c r="Z276" s="69"/>
      <c r="AA276" s="69"/>
      <c r="AB276" s="69"/>
      <c r="AC276" s="69"/>
      <c r="AD276" s="24" t="s">
        <v>11314</v>
      </c>
    </row>
    <row r="277" spans="1:30" s="24" customFormat="1" x14ac:dyDescent="0.3">
      <c r="A277" s="23">
        <v>96</v>
      </c>
      <c r="B277" s="23">
        <v>93</v>
      </c>
      <c r="C277" s="24" t="s">
        <v>2165</v>
      </c>
      <c r="D277" s="69" t="s">
        <v>321</v>
      </c>
      <c r="E277" s="24" t="s">
        <v>320</v>
      </c>
      <c r="F277" s="24" t="s">
        <v>335</v>
      </c>
      <c r="G277" s="69" t="s">
        <v>336</v>
      </c>
      <c r="H277" s="24">
        <v>1</v>
      </c>
      <c r="I277" s="69"/>
      <c r="J277" s="24" t="s">
        <v>3334</v>
      </c>
      <c r="K277" s="24" t="s">
        <v>43</v>
      </c>
      <c r="M277" s="75" t="s">
        <v>15</v>
      </c>
      <c r="N277" s="75"/>
      <c r="O277" s="75"/>
      <c r="P277" s="75"/>
      <c r="Q277" s="75"/>
      <c r="R277" s="75"/>
      <c r="W277" s="24" t="s">
        <v>2278</v>
      </c>
      <c r="Y277" s="24" t="s">
        <v>2279</v>
      </c>
      <c r="Z277" s="69"/>
      <c r="AA277" s="69"/>
      <c r="AB277" s="69"/>
      <c r="AC277" s="69"/>
    </row>
    <row r="278" spans="1:30" s="26" customFormat="1" x14ac:dyDescent="0.3">
      <c r="A278" s="25" t="s">
        <v>3726</v>
      </c>
      <c r="B278" s="25"/>
      <c r="C278" s="26" t="s">
        <v>3005</v>
      </c>
      <c r="D278" s="70"/>
      <c r="G278" s="70" t="s">
        <v>336</v>
      </c>
      <c r="H278" s="26">
        <v>-1</v>
      </c>
      <c r="I278" s="70" t="s">
        <v>3727</v>
      </c>
      <c r="J278" s="26" t="s">
        <v>3334</v>
      </c>
      <c r="K278" s="26" t="s">
        <v>3728</v>
      </c>
      <c r="L278" s="26" t="s">
        <v>10056</v>
      </c>
      <c r="M278" s="76"/>
      <c r="N278" s="76"/>
      <c r="O278" s="76"/>
      <c r="P278" s="76"/>
      <c r="Q278" s="76"/>
      <c r="R278" s="76"/>
      <c r="Z278" s="70"/>
      <c r="AA278" s="70"/>
      <c r="AB278" s="70"/>
      <c r="AC278" s="70"/>
    </row>
    <row r="279" spans="1:30" s="26" customFormat="1" x14ac:dyDescent="0.3">
      <c r="A279" s="25" t="s">
        <v>3729</v>
      </c>
      <c r="B279" s="25"/>
      <c r="C279" s="26" t="s">
        <v>3005</v>
      </c>
      <c r="D279" s="70"/>
      <c r="G279" s="70" t="s">
        <v>336</v>
      </c>
      <c r="H279" s="26">
        <v>-1</v>
      </c>
      <c r="I279" s="70" t="s">
        <v>3730</v>
      </c>
      <c r="J279" s="26" t="s">
        <v>3731</v>
      </c>
      <c r="K279" s="26" t="s">
        <v>3732</v>
      </c>
      <c r="L279" s="26" t="s">
        <v>10057</v>
      </c>
      <c r="M279" s="76"/>
      <c r="N279" s="76"/>
      <c r="O279" s="76"/>
      <c r="P279" s="76"/>
      <c r="Q279" s="76"/>
      <c r="R279" s="76"/>
      <c r="Z279" s="70"/>
      <c r="AA279" s="70"/>
      <c r="AB279" s="70"/>
      <c r="AC279" s="70"/>
    </row>
    <row r="280" spans="1:30" s="26" customFormat="1" x14ac:dyDescent="0.3">
      <c r="A280" s="25" t="s">
        <v>3733</v>
      </c>
      <c r="B280" s="25"/>
      <c r="C280" s="26" t="s">
        <v>3005</v>
      </c>
      <c r="D280" s="70"/>
      <c r="G280" s="70" t="s">
        <v>336</v>
      </c>
      <c r="H280" s="26">
        <v>-1</v>
      </c>
      <c r="I280" s="70" t="s">
        <v>3734</v>
      </c>
      <c r="J280" s="26" t="s">
        <v>3735</v>
      </c>
      <c r="K280" s="26" t="s">
        <v>3736</v>
      </c>
      <c r="L280" s="26" t="s">
        <v>3736</v>
      </c>
      <c r="M280" s="76"/>
      <c r="N280" s="76"/>
      <c r="O280" s="76"/>
      <c r="P280" s="76"/>
      <c r="Q280" s="76"/>
      <c r="R280" s="76"/>
      <c r="Z280" s="70"/>
      <c r="AA280" s="70"/>
      <c r="AB280" s="70"/>
      <c r="AC280" s="70"/>
    </row>
    <row r="281" spans="1:30" s="26" customFormat="1" x14ac:dyDescent="0.3">
      <c r="A281" s="25" t="s">
        <v>3737</v>
      </c>
      <c r="B281" s="25"/>
      <c r="C281" s="26" t="s">
        <v>3005</v>
      </c>
      <c r="D281" s="70"/>
      <c r="G281" s="70" t="s">
        <v>336</v>
      </c>
      <c r="H281" s="26">
        <v>-1</v>
      </c>
      <c r="I281" s="70" t="s">
        <v>3738</v>
      </c>
      <c r="J281" s="26" t="s">
        <v>3739</v>
      </c>
      <c r="K281" s="26" t="s">
        <v>3740</v>
      </c>
      <c r="L281" s="26" t="s">
        <v>10058</v>
      </c>
      <c r="M281" s="76"/>
      <c r="N281" s="76"/>
      <c r="O281" s="76"/>
      <c r="P281" s="76"/>
      <c r="Q281" s="76"/>
      <c r="R281" s="76"/>
      <c r="Z281" s="70"/>
      <c r="AA281" s="70"/>
      <c r="AB281" s="70"/>
      <c r="AC281" s="70"/>
    </row>
    <row r="282" spans="1:30" s="26" customFormat="1" x14ac:dyDescent="0.3">
      <c r="A282" s="25" t="s">
        <v>3741</v>
      </c>
      <c r="B282" s="25"/>
      <c r="C282" s="26" t="s">
        <v>3005</v>
      </c>
      <c r="D282" s="70"/>
      <c r="G282" s="70" t="s">
        <v>336</v>
      </c>
      <c r="H282" s="26">
        <v>-1</v>
      </c>
      <c r="I282" s="70" t="s">
        <v>3742</v>
      </c>
      <c r="J282" s="26" t="s">
        <v>3700</v>
      </c>
      <c r="K282" s="26" t="s">
        <v>3743</v>
      </c>
      <c r="L282" s="26" t="s">
        <v>10059</v>
      </c>
      <c r="M282" s="76"/>
      <c r="N282" s="76"/>
      <c r="O282" s="76"/>
      <c r="P282" s="76"/>
      <c r="Q282" s="76"/>
      <c r="R282" s="76"/>
      <c r="Z282" s="70"/>
      <c r="AA282" s="70"/>
      <c r="AB282" s="70"/>
      <c r="AC282" s="70"/>
    </row>
    <row r="283" spans="1:30" s="26" customFormat="1" x14ac:dyDescent="0.3">
      <c r="A283" s="25" t="s">
        <v>3744</v>
      </c>
      <c r="B283" s="25"/>
      <c r="C283" s="26" t="s">
        <v>3005</v>
      </c>
      <c r="D283" s="70"/>
      <c r="G283" s="70" t="s">
        <v>336</v>
      </c>
      <c r="H283" s="26">
        <v>-1</v>
      </c>
      <c r="I283" s="70" t="s">
        <v>3745</v>
      </c>
      <c r="J283" s="26" t="s">
        <v>3739</v>
      </c>
      <c r="K283" s="26" t="s">
        <v>3746</v>
      </c>
      <c r="L283" s="26" t="s">
        <v>10060</v>
      </c>
      <c r="M283" s="76"/>
      <c r="N283" s="76"/>
      <c r="O283" s="76"/>
      <c r="P283" s="76"/>
      <c r="Q283" s="76"/>
      <c r="R283" s="76"/>
      <c r="Z283" s="70"/>
      <c r="AA283" s="70"/>
      <c r="AB283" s="70"/>
      <c r="AC283" s="70"/>
    </row>
    <row r="284" spans="1:30" s="26" customFormat="1" x14ac:dyDescent="0.3">
      <c r="A284" s="25" t="s">
        <v>3747</v>
      </c>
      <c r="B284" s="25"/>
      <c r="C284" s="26" t="s">
        <v>3005</v>
      </c>
      <c r="D284" s="70"/>
      <c r="G284" s="70" t="s">
        <v>336</v>
      </c>
      <c r="H284" s="26">
        <v>-1</v>
      </c>
      <c r="I284" s="70" t="s">
        <v>3748</v>
      </c>
      <c r="J284" s="26" t="s">
        <v>3749</v>
      </c>
      <c r="K284" s="26" t="s">
        <v>3750</v>
      </c>
      <c r="L284" s="26" t="s">
        <v>10061</v>
      </c>
      <c r="M284" s="76"/>
      <c r="N284" s="76"/>
      <c r="O284" s="76"/>
      <c r="P284" s="76"/>
      <c r="Q284" s="76"/>
      <c r="R284" s="76"/>
      <c r="Z284" s="70"/>
      <c r="AA284" s="70"/>
      <c r="AB284" s="70"/>
      <c r="AC284" s="70"/>
    </row>
    <row r="285" spans="1:30" s="26" customFormat="1" x14ac:dyDescent="0.3">
      <c r="A285" s="25" t="s">
        <v>3751</v>
      </c>
      <c r="B285" s="25"/>
      <c r="C285" s="26" t="s">
        <v>3005</v>
      </c>
      <c r="D285" s="70"/>
      <c r="G285" s="70" t="s">
        <v>336</v>
      </c>
      <c r="H285" s="26">
        <v>-1</v>
      </c>
      <c r="I285" s="70" t="s">
        <v>3752</v>
      </c>
      <c r="J285" s="26" t="s">
        <v>3753</v>
      </c>
      <c r="K285" s="26" t="s">
        <v>3754</v>
      </c>
      <c r="M285" s="76"/>
      <c r="N285" s="76"/>
      <c r="O285" s="76"/>
      <c r="P285" s="76"/>
      <c r="Q285" s="76"/>
      <c r="R285" s="76"/>
      <c r="Z285" s="70"/>
      <c r="AA285" s="70"/>
      <c r="AB285" s="70"/>
      <c r="AC285" s="70"/>
    </row>
    <row r="286" spans="1:30" s="26" customFormat="1" x14ac:dyDescent="0.3">
      <c r="A286" s="25" t="s">
        <v>3755</v>
      </c>
      <c r="B286" s="25"/>
      <c r="C286" s="26" t="s">
        <v>3005</v>
      </c>
      <c r="D286" s="70"/>
      <c r="G286" s="70" t="s">
        <v>336</v>
      </c>
      <c r="H286" s="26">
        <v>-1</v>
      </c>
      <c r="I286" s="70" t="s">
        <v>3756</v>
      </c>
      <c r="J286" s="26" t="s">
        <v>3109</v>
      </c>
      <c r="K286" s="26" t="s">
        <v>3757</v>
      </c>
      <c r="L286" s="26" t="s">
        <v>3757</v>
      </c>
      <c r="M286" s="76"/>
      <c r="N286" s="76"/>
      <c r="O286" s="76"/>
      <c r="P286" s="76"/>
      <c r="Q286" s="76"/>
      <c r="R286" s="76"/>
      <c r="Z286" s="70"/>
      <c r="AA286" s="70"/>
      <c r="AB286" s="70"/>
      <c r="AC286" s="70"/>
    </row>
    <row r="287" spans="1:30" s="26" customFormat="1" x14ac:dyDescent="0.3">
      <c r="A287" s="25" t="s">
        <v>3758</v>
      </c>
      <c r="B287" s="25"/>
      <c r="C287" s="26" t="s">
        <v>3005</v>
      </c>
      <c r="D287" s="70"/>
      <c r="G287" s="70" t="s">
        <v>336</v>
      </c>
      <c r="H287" s="26">
        <v>-1</v>
      </c>
      <c r="I287" s="70" t="s">
        <v>3759</v>
      </c>
      <c r="J287" s="26" t="s">
        <v>3760</v>
      </c>
      <c r="K287" s="26" t="s">
        <v>3761</v>
      </c>
      <c r="L287" s="26" t="s">
        <v>10062</v>
      </c>
      <c r="M287" s="76"/>
      <c r="N287" s="76"/>
      <c r="O287" s="76"/>
      <c r="P287" s="76"/>
      <c r="Q287" s="76"/>
      <c r="R287" s="76"/>
      <c r="Z287" s="70"/>
      <c r="AA287" s="70"/>
      <c r="AB287" s="70"/>
      <c r="AC287" s="70"/>
    </row>
    <row r="288" spans="1:30" s="26" customFormat="1" x14ac:dyDescent="0.3">
      <c r="A288" s="25" t="s">
        <v>3762</v>
      </c>
      <c r="B288" s="25"/>
      <c r="C288" s="26" t="s">
        <v>3005</v>
      </c>
      <c r="D288" s="70"/>
      <c r="G288" s="70" t="s">
        <v>336</v>
      </c>
      <c r="H288" s="26">
        <v>-1</v>
      </c>
      <c r="I288" s="70" t="s">
        <v>3763</v>
      </c>
      <c r="J288" s="26" t="s">
        <v>3764</v>
      </c>
      <c r="K288" s="26" t="s">
        <v>3765</v>
      </c>
      <c r="L288" s="26" t="s">
        <v>10063</v>
      </c>
      <c r="M288" s="76"/>
      <c r="N288" s="76"/>
      <c r="O288" s="76"/>
      <c r="P288" s="76"/>
      <c r="Q288" s="76"/>
      <c r="R288" s="76"/>
      <c r="Z288" s="70"/>
      <c r="AA288" s="70"/>
      <c r="AB288" s="70"/>
      <c r="AC288" s="70"/>
    </row>
    <row r="289" spans="1:31" s="26" customFormat="1" x14ac:dyDescent="0.3">
      <c r="A289" s="25" t="s">
        <v>3766</v>
      </c>
      <c r="B289" s="25"/>
      <c r="C289" s="26" t="s">
        <v>3005</v>
      </c>
      <c r="D289" s="70"/>
      <c r="G289" s="70" t="s">
        <v>336</v>
      </c>
      <c r="H289" s="26">
        <v>-1</v>
      </c>
      <c r="I289" s="70" t="s">
        <v>3767</v>
      </c>
      <c r="J289" s="26" t="s">
        <v>3753</v>
      </c>
      <c r="K289" s="26" t="s">
        <v>3768</v>
      </c>
      <c r="L289" s="26" t="s">
        <v>10064</v>
      </c>
      <c r="M289" s="76"/>
      <c r="N289" s="76"/>
      <c r="O289" s="76"/>
      <c r="P289" s="76"/>
      <c r="Q289" s="76"/>
      <c r="R289" s="76"/>
      <c r="Z289" s="70"/>
      <c r="AA289" s="70"/>
      <c r="AB289" s="70"/>
      <c r="AC289" s="70"/>
    </row>
    <row r="290" spans="1:31" s="26" customFormat="1" x14ac:dyDescent="0.3">
      <c r="A290" s="25" t="s">
        <v>3769</v>
      </c>
      <c r="B290" s="25"/>
      <c r="C290" s="26" t="s">
        <v>3005</v>
      </c>
      <c r="D290" s="70"/>
      <c r="G290" s="70" t="s">
        <v>336</v>
      </c>
      <c r="H290" s="26">
        <v>-1</v>
      </c>
      <c r="I290" s="70" t="s">
        <v>3770</v>
      </c>
      <c r="J290" s="26" t="s">
        <v>3771</v>
      </c>
      <c r="K290" s="26" t="s">
        <v>3772</v>
      </c>
      <c r="M290" s="76"/>
      <c r="N290" s="76"/>
      <c r="O290" s="76"/>
      <c r="P290" s="76"/>
      <c r="Q290" s="76"/>
      <c r="R290" s="76"/>
      <c r="Z290" s="70"/>
      <c r="AA290" s="70"/>
      <c r="AB290" s="70"/>
      <c r="AC290" s="70"/>
    </row>
    <row r="291" spans="1:31" s="26" customFormat="1" x14ac:dyDescent="0.3">
      <c r="A291" s="25" t="s">
        <v>3773</v>
      </c>
      <c r="B291" s="25"/>
      <c r="C291" s="26" t="s">
        <v>3005</v>
      </c>
      <c r="D291" s="70"/>
      <c r="G291" s="70" t="s">
        <v>336</v>
      </c>
      <c r="H291" s="26">
        <v>-1</v>
      </c>
      <c r="I291" s="70" t="s">
        <v>3774</v>
      </c>
      <c r="J291" s="26" t="s">
        <v>3775</v>
      </c>
      <c r="K291" s="26" t="s">
        <v>3776</v>
      </c>
      <c r="M291" s="76"/>
      <c r="N291" s="76"/>
      <c r="O291" s="76"/>
      <c r="P291" s="76"/>
      <c r="Q291" s="76"/>
      <c r="R291" s="76"/>
      <c r="Z291" s="70"/>
      <c r="AA291" s="70"/>
      <c r="AB291" s="70"/>
      <c r="AC291" s="70"/>
    </row>
    <row r="292" spans="1:31" s="26" customFormat="1" x14ac:dyDescent="0.3">
      <c r="A292" s="25" t="s">
        <v>3777</v>
      </c>
      <c r="B292" s="25"/>
      <c r="C292" s="26" t="s">
        <v>3005</v>
      </c>
      <c r="D292" s="70"/>
      <c r="G292" s="70" t="s">
        <v>336</v>
      </c>
      <c r="H292" s="26">
        <v>-1</v>
      </c>
      <c r="I292" s="70" t="s">
        <v>3778</v>
      </c>
      <c r="J292" s="26" t="s">
        <v>3779</v>
      </c>
      <c r="K292" s="26" t="s">
        <v>3780</v>
      </c>
      <c r="L292" s="26" t="s">
        <v>10065</v>
      </c>
      <c r="M292" s="76"/>
      <c r="N292" s="76"/>
      <c r="O292" s="76"/>
      <c r="P292" s="76"/>
      <c r="Q292" s="76"/>
      <c r="R292" s="76"/>
      <c r="Z292" s="70"/>
      <c r="AA292" s="70"/>
      <c r="AB292" s="70"/>
      <c r="AC292" s="70"/>
    </row>
    <row r="293" spans="1:31" s="26" customFormat="1" x14ac:dyDescent="0.3">
      <c r="A293" s="25" t="s">
        <v>3781</v>
      </c>
      <c r="B293" s="25"/>
      <c r="C293" s="26" t="s">
        <v>3005</v>
      </c>
      <c r="D293" s="70"/>
      <c r="G293" s="70" t="s">
        <v>336</v>
      </c>
      <c r="H293" s="26">
        <v>-1</v>
      </c>
      <c r="I293" s="70" t="s">
        <v>3782</v>
      </c>
      <c r="J293" s="26" t="s">
        <v>3783</v>
      </c>
      <c r="K293" s="26" t="s">
        <v>3784</v>
      </c>
      <c r="M293" s="76"/>
      <c r="N293" s="76"/>
      <c r="O293" s="76"/>
      <c r="P293" s="76"/>
      <c r="Q293" s="76"/>
      <c r="R293" s="76"/>
      <c r="Z293" s="70"/>
      <c r="AA293" s="70"/>
      <c r="AB293" s="70"/>
      <c r="AC293" s="70"/>
    </row>
    <row r="294" spans="1:31" s="26" customFormat="1" x14ac:dyDescent="0.3">
      <c r="A294" s="25" t="s">
        <v>3785</v>
      </c>
      <c r="B294" s="25"/>
      <c r="C294" s="26" t="s">
        <v>3005</v>
      </c>
      <c r="D294" s="70"/>
      <c r="G294" s="70" t="s">
        <v>336</v>
      </c>
      <c r="H294" s="26">
        <v>-1</v>
      </c>
      <c r="I294" s="70" t="s">
        <v>3786</v>
      </c>
      <c r="J294" s="26" t="s">
        <v>3787</v>
      </c>
      <c r="K294" s="26" t="s">
        <v>3788</v>
      </c>
      <c r="M294" s="76"/>
      <c r="N294" s="76"/>
      <c r="O294" s="76"/>
      <c r="P294" s="76"/>
      <c r="Q294" s="76"/>
      <c r="R294" s="76"/>
      <c r="Z294" s="70"/>
      <c r="AA294" s="70"/>
      <c r="AB294" s="70"/>
      <c r="AC294" s="70"/>
    </row>
    <row r="295" spans="1:31" s="26" customFormat="1" x14ac:dyDescent="0.3">
      <c r="A295" s="25" t="s">
        <v>3789</v>
      </c>
      <c r="B295" s="25"/>
      <c r="C295" s="26" t="s">
        <v>3005</v>
      </c>
      <c r="D295" s="70"/>
      <c r="G295" s="70" t="s">
        <v>336</v>
      </c>
      <c r="H295" s="26">
        <v>-1</v>
      </c>
      <c r="I295" s="70" t="s">
        <v>3790</v>
      </c>
      <c r="J295" s="26" t="s">
        <v>3447</v>
      </c>
      <c r="K295" s="26" t="s">
        <v>3791</v>
      </c>
      <c r="L295" s="26" t="s">
        <v>5732</v>
      </c>
      <c r="M295" s="76"/>
      <c r="N295" s="76"/>
      <c r="O295" s="76"/>
      <c r="P295" s="76"/>
      <c r="Q295" s="76"/>
      <c r="R295" s="76"/>
      <c r="Z295" s="70"/>
      <c r="AA295" s="70"/>
      <c r="AB295" s="70"/>
      <c r="AC295" s="70"/>
    </row>
    <row r="296" spans="1:31" s="26" customFormat="1" x14ac:dyDescent="0.3">
      <c r="A296" s="25" t="s">
        <v>3792</v>
      </c>
      <c r="B296" s="25"/>
      <c r="C296" s="26" t="s">
        <v>3005</v>
      </c>
      <c r="D296" s="70"/>
      <c r="G296" s="70" t="s">
        <v>336</v>
      </c>
      <c r="H296" s="26">
        <v>-1</v>
      </c>
      <c r="I296" s="70" t="s">
        <v>3793</v>
      </c>
      <c r="J296" s="26" t="s">
        <v>3794</v>
      </c>
      <c r="K296" s="26" t="s">
        <v>3795</v>
      </c>
      <c r="M296" s="76"/>
      <c r="N296" s="76"/>
      <c r="O296" s="76"/>
      <c r="P296" s="76"/>
      <c r="Q296" s="76"/>
      <c r="R296" s="76"/>
      <c r="Z296" s="70"/>
      <c r="AA296" s="70"/>
      <c r="AB296" s="70"/>
      <c r="AC296" s="70"/>
    </row>
    <row r="297" spans="1:31" s="26" customFormat="1" x14ac:dyDescent="0.3">
      <c r="A297" s="25" t="s">
        <v>3796</v>
      </c>
      <c r="B297" s="25"/>
      <c r="C297" s="26" t="s">
        <v>3005</v>
      </c>
      <c r="D297" s="70"/>
      <c r="G297" s="70" t="s">
        <v>336</v>
      </c>
      <c r="H297" s="26">
        <v>3</v>
      </c>
      <c r="I297" s="70" t="s">
        <v>3694</v>
      </c>
      <c r="J297" s="26" t="s">
        <v>3700</v>
      </c>
      <c r="K297" s="26" t="s">
        <v>3797</v>
      </c>
      <c r="L297" s="26" t="s">
        <v>9788</v>
      </c>
      <c r="M297" s="76"/>
      <c r="N297" s="76"/>
      <c r="O297" s="76"/>
      <c r="P297" s="76"/>
      <c r="Q297" s="76"/>
      <c r="R297" s="76"/>
      <c r="Z297" s="70"/>
      <c r="AA297" s="70"/>
      <c r="AB297" s="70"/>
      <c r="AC297" s="70"/>
    </row>
    <row r="298" spans="1:31" s="26" customFormat="1" x14ac:dyDescent="0.3">
      <c r="A298" s="25" t="s">
        <v>3798</v>
      </c>
      <c r="B298" s="25"/>
      <c r="C298" s="26" t="s">
        <v>3005</v>
      </c>
      <c r="D298" s="70"/>
      <c r="G298" s="70" t="s">
        <v>336</v>
      </c>
      <c r="H298" s="26">
        <v>-1</v>
      </c>
      <c r="I298" s="70" t="s">
        <v>3799</v>
      </c>
      <c r="J298" s="26" t="s">
        <v>3749</v>
      </c>
      <c r="K298" s="26" t="s">
        <v>3800</v>
      </c>
      <c r="M298" s="76"/>
      <c r="N298" s="76"/>
      <c r="O298" s="76"/>
      <c r="P298" s="76"/>
      <c r="Q298" s="76"/>
      <c r="R298" s="76"/>
      <c r="T298" s="26" t="s">
        <v>3801</v>
      </c>
      <c r="Z298" s="70"/>
      <c r="AA298" s="70"/>
      <c r="AB298" s="70"/>
      <c r="AC298" s="70"/>
      <c r="AE298" s="26" t="s">
        <v>3802</v>
      </c>
    </row>
    <row r="299" spans="1:31" s="24" customFormat="1" x14ac:dyDescent="0.3">
      <c r="A299" s="23">
        <v>97</v>
      </c>
      <c r="B299" s="23">
        <v>94</v>
      </c>
      <c r="C299" s="24" t="s">
        <v>2165</v>
      </c>
      <c r="D299" s="69" t="s">
        <v>321</v>
      </c>
      <c r="E299" s="24" t="s">
        <v>320</v>
      </c>
      <c r="F299" s="24" t="s">
        <v>337</v>
      </c>
      <c r="G299" s="69" t="s">
        <v>338</v>
      </c>
      <c r="I299" s="69"/>
      <c r="J299" s="24" t="s">
        <v>3803</v>
      </c>
      <c r="K299" s="24" t="s">
        <v>68</v>
      </c>
      <c r="L299" s="24" t="s">
        <v>9696</v>
      </c>
      <c r="M299" s="75" t="s">
        <v>65</v>
      </c>
      <c r="N299" s="75" t="s">
        <v>2015</v>
      </c>
      <c r="O299" s="75"/>
      <c r="P299" s="75"/>
      <c r="Q299" s="75"/>
      <c r="R299" s="75"/>
      <c r="V299" s="24" t="s">
        <v>2278</v>
      </c>
      <c r="W299" s="24" t="s">
        <v>2280</v>
      </c>
      <c r="Y299" s="24" t="s">
        <v>2281</v>
      </c>
      <c r="Z299" s="69"/>
      <c r="AA299" s="69"/>
      <c r="AB299" s="69"/>
      <c r="AC299" s="69"/>
    </row>
    <row r="300" spans="1:31" s="24" customFormat="1" x14ac:dyDescent="0.3">
      <c r="A300" s="23">
        <v>98</v>
      </c>
      <c r="B300" s="23">
        <v>95</v>
      </c>
      <c r="C300" s="24" t="s">
        <v>2165</v>
      </c>
      <c r="D300" s="69" t="s">
        <v>321</v>
      </c>
      <c r="E300" s="24" t="s">
        <v>320</v>
      </c>
      <c r="F300" s="24" t="s">
        <v>339</v>
      </c>
      <c r="G300" s="69" t="s">
        <v>340</v>
      </c>
      <c r="I300" s="69"/>
      <c r="J300" s="24" t="s">
        <v>3804</v>
      </c>
      <c r="K300" s="24" t="s">
        <v>68</v>
      </c>
      <c r="L300" s="24" t="s">
        <v>9697</v>
      </c>
      <c r="M300" s="75" t="s">
        <v>65</v>
      </c>
      <c r="N300" s="75" t="s">
        <v>2015</v>
      </c>
      <c r="O300" s="75" t="s">
        <v>85</v>
      </c>
      <c r="P300" s="75" t="s">
        <v>85</v>
      </c>
      <c r="Q300" s="75" t="s">
        <v>85</v>
      </c>
      <c r="R300" s="75"/>
      <c r="T300" s="24" t="s">
        <v>2219</v>
      </c>
      <c r="Z300" s="69"/>
      <c r="AA300" s="69"/>
      <c r="AB300" s="69"/>
      <c r="AC300" s="69"/>
      <c r="AE300" s="24" t="s">
        <v>2282</v>
      </c>
    </row>
    <row r="301" spans="1:31" s="24" customFormat="1" x14ac:dyDescent="0.3">
      <c r="A301" s="23">
        <v>99</v>
      </c>
      <c r="B301" s="23">
        <v>96</v>
      </c>
      <c r="C301" s="24" t="s">
        <v>2165</v>
      </c>
      <c r="D301" s="69" t="s">
        <v>321</v>
      </c>
      <c r="E301" s="24" t="s">
        <v>320</v>
      </c>
      <c r="F301" s="24" t="s">
        <v>341</v>
      </c>
      <c r="G301" s="69" t="s">
        <v>342</v>
      </c>
      <c r="H301" s="24">
        <v>1</v>
      </c>
      <c r="I301" s="69"/>
      <c r="J301" s="24" t="s">
        <v>3662</v>
      </c>
      <c r="K301" s="24" t="s">
        <v>343</v>
      </c>
      <c r="M301" s="75" t="s">
        <v>15</v>
      </c>
      <c r="N301" s="75"/>
      <c r="O301" s="75"/>
      <c r="P301" s="75"/>
      <c r="Q301" s="75"/>
      <c r="R301" s="75"/>
      <c r="W301" s="24" t="s">
        <v>2283</v>
      </c>
      <c r="Z301" s="69"/>
      <c r="AA301" s="69"/>
      <c r="AB301" s="69"/>
      <c r="AC301" s="69" t="s">
        <v>11366</v>
      </c>
    </row>
    <row r="302" spans="1:31" s="26" customFormat="1" x14ac:dyDescent="0.3">
      <c r="A302" s="25" t="s">
        <v>3805</v>
      </c>
      <c r="B302" s="25"/>
      <c r="C302" s="26" t="s">
        <v>3005</v>
      </c>
      <c r="D302" s="70"/>
      <c r="G302" s="70" t="s">
        <v>342</v>
      </c>
      <c r="H302" s="26">
        <v>2</v>
      </c>
      <c r="I302" s="70" t="s">
        <v>3806</v>
      </c>
      <c r="J302" s="26" t="s">
        <v>3447</v>
      </c>
      <c r="K302" s="26" t="s">
        <v>3807</v>
      </c>
      <c r="L302" s="26" t="s">
        <v>10066</v>
      </c>
      <c r="M302" s="76"/>
      <c r="N302" s="76"/>
      <c r="O302" s="76"/>
      <c r="P302" s="76"/>
      <c r="Q302" s="76"/>
      <c r="R302" s="76"/>
      <c r="T302" s="26" t="s">
        <v>2254</v>
      </c>
      <c r="Z302" s="70"/>
      <c r="AA302" s="70"/>
      <c r="AB302" s="70"/>
      <c r="AC302" s="70"/>
      <c r="AE302" s="26" t="s">
        <v>3808</v>
      </c>
    </row>
    <row r="303" spans="1:31" s="26" customFormat="1" x14ac:dyDescent="0.3">
      <c r="A303" s="25" t="s">
        <v>3809</v>
      </c>
      <c r="B303" s="25"/>
      <c r="C303" s="26" t="s">
        <v>3005</v>
      </c>
      <c r="D303" s="70"/>
      <c r="G303" s="70" t="s">
        <v>342</v>
      </c>
      <c r="H303" s="26">
        <v>-1</v>
      </c>
      <c r="I303" s="70" t="s">
        <v>3810</v>
      </c>
      <c r="J303" s="26" t="s">
        <v>3662</v>
      </c>
      <c r="K303" s="26" t="s">
        <v>3732</v>
      </c>
      <c r="L303" s="26" t="s">
        <v>10067</v>
      </c>
      <c r="M303" s="76"/>
      <c r="N303" s="76"/>
      <c r="O303" s="76"/>
      <c r="P303" s="76"/>
      <c r="Q303" s="76"/>
      <c r="R303" s="76"/>
      <c r="Z303" s="70"/>
      <c r="AA303" s="70"/>
      <c r="AB303" s="70"/>
      <c r="AC303" s="70"/>
    </row>
    <row r="304" spans="1:31" s="26" customFormat="1" x14ac:dyDescent="0.3">
      <c r="A304" s="25" t="s">
        <v>3811</v>
      </c>
      <c r="B304" s="25"/>
      <c r="C304" s="26" t="s">
        <v>3005</v>
      </c>
      <c r="D304" s="70"/>
      <c r="G304" s="70" t="s">
        <v>342</v>
      </c>
      <c r="H304" s="26">
        <v>-1</v>
      </c>
      <c r="I304" s="70" t="s">
        <v>3812</v>
      </c>
      <c r="J304" s="26" t="s">
        <v>3662</v>
      </c>
      <c r="K304" s="26" t="s">
        <v>3736</v>
      </c>
      <c r="L304" s="26" t="s">
        <v>3736</v>
      </c>
      <c r="M304" s="76"/>
      <c r="N304" s="76"/>
      <c r="O304" s="76"/>
      <c r="P304" s="76"/>
      <c r="Q304" s="76"/>
      <c r="R304" s="76"/>
      <c r="Z304" s="70"/>
      <c r="AA304" s="70"/>
      <c r="AB304" s="70"/>
      <c r="AC304" s="70"/>
    </row>
    <row r="305" spans="1:31" s="26" customFormat="1" x14ac:dyDescent="0.3">
      <c r="A305" s="25" t="s">
        <v>3813</v>
      </c>
      <c r="B305" s="25"/>
      <c r="C305" s="26" t="s">
        <v>3005</v>
      </c>
      <c r="D305" s="70"/>
      <c r="G305" s="70" t="s">
        <v>342</v>
      </c>
      <c r="H305" s="26">
        <v>-1</v>
      </c>
      <c r="I305" s="70" t="s">
        <v>3814</v>
      </c>
      <c r="J305" s="26" t="s">
        <v>3815</v>
      </c>
      <c r="K305" s="26" t="s">
        <v>3750</v>
      </c>
      <c r="L305" s="26" t="s">
        <v>10061</v>
      </c>
      <c r="M305" s="76"/>
      <c r="N305" s="76"/>
      <c r="O305" s="76"/>
      <c r="P305" s="76"/>
      <c r="Q305" s="76"/>
      <c r="R305" s="76"/>
      <c r="Z305" s="70"/>
      <c r="AA305" s="70"/>
      <c r="AB305" s="70"/>
      <c r="AC305" s="70"/>
    </row>
    <row r="306" spans="1:31" s="26" customFormat="1" x14ac:dyDescent="0.3">
      <c r="A306" s="25" t="s">
        <v>3816</v>
      </c>
      <c r="B306" s="25"/>
      <c r="C306" s="26" t="s">
        <v>3005</v>
      </c>
      <c r="D306" s="70"/>
      <c r="G306" s="70" t="s">
        <v>342</v>
      </c>
      <c r="H306" s="26">
        <v>-1</v>
      </c>
      <c r="I306" s="70" t="s">
        <v>3817</v>
      </c>
      <c r="J306" s="26" t="s">
        <v>3818</v>
      </c>
      <c r="K306" s="26" t="s">
        <v>3788</v>
      </c>
      <c r="L306" s="26" t="s">
        <v>9073</v>
      </c>
      <c r="M306" s="76"/>
      <c r="N306" s="76"/>
      <c r="O306" s="76"/>
      <c r="P306" s="76"/>
      <c r="Q306" s="76"/>
      <c r="R306" s="76"/>
      <c r="Z306" s="70"/>
      <c r="AA306" s="70"/>
      <c r="AB306" s="70"/>
      <c r="AC306" s="70"/>
    </row>
    <row r="307" spans="1:31" s="24" customFormat="1" x14ac:dyDescent="0.3">
      <c r="A307" s="23">
        <v>100</v>
      </c>
      <c r="B307" s="23">
        <v>97</v>
      </c>
      <c r="C307" s="24" t="s">
        <v>2165</v>
      </c>
      <c r="D307" s="69" t="s">
        <v>321</v>
      </c>
      <c r="E307" s="24" t="s">
        <v>320</v>
      </c>
      <c r="F307" s="24" t="s">
        <v>344</v>
      </c>
      <c r="G307" s="69" t="s">
        <v>345</v>
      </c>
      <c r="I307" s="69"/>
      <c r="J307" s="24" t="s">
        <v>3819</v>
      </c>
      <c r="K307" s="24" t="s">
        <v>346</v>
      </c>
      <c r="L307" s="24" t="s">
        <v>9698</v>
      </c>
      <c r="M307" s="75" t="s">
        <v>65</v>
      </c>
      <c r="N307" s="75" t="s">
        <v>2017</v>
      </c>
      <c r="O307" s="75" t="s">
        <v>67</v>
      </c>
      <c r="P307" s="75" t="s">
        <v>67</v>
      </c>
      <c r="Q307" s="75" t="s">
        <v>66</v>
      </c>
      <c r="R307" s="75"/>
      <c r="Y307" s="24" t="s">
        <v>2284</v>
      </c>
      <c r="Z307" s="69"/>
      <c r="AA307" s="69"/>
      <c r="AB307" s="69"/>
      <c r="AC307" s="69" t="s">
        <v>11367</v>
      </c>
    </row>
    <row r="308" spans="1:31" s="24" customFormat="1" x14ac:dyDescent="0.3">
      <c r="A308" s="23">
        <v>101</v>
      </c>
      <c r="B308" s="23">
        <v>98</v>
      </c>
      <c r="C308" s="24" t="s">
        <v>2165</v>
      </c>
      <c r="D308" s="69" t="s">
        <v>321</v>
      </c>
      <c r="E308" s="24" t="s">
        <v>320</v>
      </c>
      <c r="F308" s="24" t="s">
        <v>347</v>
      </c>
      <c r="G308" s="69" t="s">
        <v>348</v>
      </c>
      <c r="I308" s="69"/>
      <c r="J308" s="24" t="s">
        <v>3820</v>
      </c>
      <c r="K308" s="24" t="s">
        <v>349</v>
      </c>
      <c r="L308" s="24" t="s">
        <v>9699</v>
      </c>
      <c r="M308" s="75" t="s">
        <v>65</v>
      </c>
      <c r="N308" s="75" t="s">
        <v>2015</v>
      </c>
      <c r="O308" s="75" t="s">
        <v>67</v>
      </c>
      <c r="P308" s="75" t="s">
        <v>67</v>
      </c>
      <c r="Q308" s="75" t="s">
        <v>67</v>
      </c>
      <c r="R308" s="75"/>
      <c r="T308" s="24" t="s">
        <v>2179</v>
      </c>
      <c r="V308" s="24" t="s">
        <v>344</v>
      </c>
      <c r="Y308" s="24" t="s">
        <v>2285</v>
      </c>
      <c r="Z308" s="69"/>
      <c r="AA308" s="69"/>
      <c r="AB308" s="69"/>
      <c r="AC308" s="69"/>
      <c r="AE308" s="24" t="s">
        <v>2286</v>
      </c>
    </row>
    <row r="309" spans="1:31" s="24" customFormat="1" x14ac:dyDescent="0.3">
      <c r="A309" s="23">
        <v>102</v>
      </c>
      <c r="B309" s="23">
        <v>99</v>
      </c>
      <c r="C309" s="24" t="s">
        <v>2165</v>
      </c>
      <c r="D309" s="69" t="s">
        <v>321</v>
      </c>
      <c r="E309" s="24" t="s">
        <v>320</v>
      </c>
      <c r="F309" s="24" t="s">
        <v>350</v>
      </c>
      <c r="G309" s="69" t="s">
        <v>351</v>
      </c>
      <c r="H309" s="24">
        <v>1</v>
      </c>
      <c r="I309" s="69"/>
      <c r="J309" s="24" t="s">
        <v>3821</v>
      </c>
      <c r="K309" s="24" t="s">
        <v>352</v>
      </c>
      <c r="M309" s="75" t="s">
        <v>15</v>
      </c>
      <c r="N309" s="75"/>
      <c r="O309" s="75"/>
      <c r="P309" s="75" t="s">
        <v>58</v>
      </c>
      <c r="Q309" s="75"/>
      <c r="R309" s="75"/>
      <c r="T309" s="24" t="s">
        <v>2174</v>
      </c>
      <c r="Z309" s="69"/>
      <c r="AA309" s="69"/>
      <c r="AB309" s="69"/>
      <c r="AC309" s="69" t="s">
        <v>11368</v>
      </c>
      <c r="AE309" s="24" t="s">
        <v>2287</v>
      </c>
    </row>
    <row r="310" spans="1:31" s="26" customFormat="1" x14ac:dyDescent="0.3">
      <c r="A310" s="25" t="s">
        <v>3822</v>
      </c>
      <c r="B310" s="25"/>
      <c r="C310" s="26" t="s">
        <v>3005</v>
      </c>
      <c r="D310" s="70"/>
      <c r="G310" s="70" t="s">
        <v>351</v>
      </c>
      <c r="H310" s="26">
        <v>-1</v>
      </c>
      <c r="I310" s="70" t="s">
        <v>3823</v>
      </c>
      <c r="J310" s="26" t="s">
        <v>3821</v>
      </c>
      <c r="K310" s="26" t="s">
        <v>3824</v>
      </c>
      <c r="L310" s="26" t="s">
        <v>10068</v>
      </c>
      <c r="M310" s="76"/>
      <c r="N310" s="76"/>
      <c r="O310" s="76"/>
      <c r="P310" s="76"/>
      <c r="Q310" s="76"/>
      <c r="R310" s="76"/>
      <c r="Z310" s="70"/>
      <c r="AA310" s="70"/>
      <c r="AB310" s="70"/>
      <c r="AC310" s="70"/>
    </row>
    <row r="311" spans="1:31" s="26" customFormat="1" x14ac:dyDescent="0.3">
      <c r="A311" s="25" t="s">
        <v>3825</v>
      </c>
      <c r="B311" s="25"/>
      <c r="C311" s="26" t="s">
        <v>3005</v>
      </c>
      <c r="D311" s="70"/>
      <c r="G311" s="70" t="s">
        <v>351</v>
      </c>
      <c r="H311" s="26">
        <v>2</v>
      </c>
      <c r="I311" s="70" t="s">
        <v>3826</v>
      </c>
      <c r="J311" s="26" t="s">
        <v>3827</v>
      </c>
      <c r="K311" s="26" t="s">
        <v>3828</v>
      </c>
      <c r="L311" s="26" t="s">
        <v>10069</v>
      </c>
      <c r="M311" s="76"/>
      <c r="N311" s="76"/>
      <c r="O311" s="76"/>
      <c r="P311" s="76"/>
      <c r="Q311" s="76"/>
      <c r="R311" s="76"/>
      <c r="Z311" s="70"/>
      <c r="AA311" s="70"/>
      <c r="AB311" s="70"/>
      <c r="AC311" s="70"/>
    </row>
    <row r="312" spans="1:31" s="24" customFormat="1" x14ac:dyDescent="0.3">
      <c r="A312" s="23">
        <v>103</v>
      </c>
      <c r="B312" s="23">
        <v>100</v>
      </c>
      <c r="C312" s="24" t="s">
        <v>2165</v>
      </c>
      <c r="D312" s="69" t="s">
        <v>321</v>
      </c>
      <c r="E312" s="24" t="s">
        <v>320</v>
      </c>
      <c r="F312" s="24" t="s">
        <v>353</v>
      </c>
      <c r="G312" s="69" t="s">
        <v>354</v>
      </c>
      <c r="H312" s="24">
        <v>3</v>
      </c>
      <c r="I312" s="69"/>
      <c r="J312" s="24" t="s">
        <v>3829</v>
      </c>
      <c r="K312" s="24" t="s">
        <v>43</v>
      </c>
      <c r="M312" s="75" t="s">
        <v>15</v>
      </c>
      <c r="N312" s="75"/>
      <c r="O312" s="75"/>
      <c r="P312" s="75"/>
      <c r="Q312" s="75"/>
      <c r="R312" s="75"/>
      <c r="Z312" s="69"/>
      <c r="AA312" s="69"/>
      <c r="AB312" s="69"/>
      <c r="AC312" s="69"/>
    </row>
    <row r="313" spans="1:31" s="26" customFormat="1" x14ac:dyDescent="0.3">
      <c r="A313" s="25" t="s">
        <v>3830</v>
      </c>
      <c r="B313" s="25"/>
      <c r="C313" s="26" t="s">
        <v>3005</v>
      </c>
      <c r="D313" s="70"/>
      <c r="G313" s="70" t="s">
        <v>354</v>
      </c>
      <c r="H313" s="26">
        <v>-1</v>
      </c>
      <c r="I313" s="70" t="s">
        <v>3831</v>
      </c>
      <c r="J313" s="26" t="s">
        <v>3832</v>
      </c>
      <c r="K313" s="26" t="s">
        <v>3833</v>
      </c>
      <c r="L313" s="26" t="s">
        <v>10070</v>
      </c>
      <c r="M313" s="76"/>
      <c r="N313" s="76"/>
      <c r="O313" s="76"/>
      <c r="P313" s="76"/>
      <c r="Q313" s="76"/>
      <c r="R313" s="76"/>
      <c r="Z313" s="70"/>
      <c r="AA313" s="70"/>
      <c r="AB313" s="70"/>
      <c r="AC313" s="70"/>
    </row>
    <row r="314" spans="1:31" s="26" customFormat="1" x14ac:dyDescent="0.3">
      <c r="A314" s="25" t="s">
        <v>3834</v>
      </c>
      <c r="B314" s="25"/>
      <c r="C314" s="26" t="s">
        <v>3005</v>
      </c>
      <c r="D314" s="70"/>
      <c r="G314" s="70" t="s">
        <v>354</v>
      </c>
      <c r="H314" s="26">
        <v>-1</v>
      </c>
      <c r="I314" s="70" t="s">
        <v>3835</v>
      </c>
      <c r="J314" s="26" t="s">
        <v>3836</v>
      </c>
      <c r="K314" s="26" t="s">
        <v>3757</v>
      </c>
      <c r="L314" s="26" t="s">
        <v>3757</v>
      </c>
      <c r="M314" s="76"/>
      <c r="N314" s="76"/>
      <c r="O314" s="76"/>
      <c r="P314" s="76"/>
      <c r="Q314" s="76"/>
      <c r="R314" s="76"/>
      <c r="Z314" s="70"/>
      <c r="AA314" s="70"/>
      <c r="AB314" s="70"/>
      <c r="AC314" s="70"/>
    </row>
    <row r="315" spans="1:31" s="26" customFormat="1" x14ac:dyDescent="0.3">
      <c r="A315" s="25" t="s">
        <v>3837</v>
      </c>
      <c r="B315" s="25"/>
      <c r="C315" s="26" t="s">
        <v>3005</v>
      </c>
      <c r="D315" s="70"/>
      <c r="G315" s="70" t="s">
        <v>354</v>
      </c>
      <c r="H315" s="26">
        <v>-1</v>
      </c>
      <c r="I315" s="70" t="s">
        <v>3838</v>
      </c>
      <c r="J315" s="26" t="s">
        <v>3839</v>
      </c>
      <c r="K315" s="26" t="s">
        <v>3840</v>
      </c>
      <c r="L315" s="26" t="s">
        <v>10071</v>
      </c>
      <c r="M315" s="76"/>
      <c r="N315" s="76"/>
      <c r="O315" s="76"/>
      <c r="P315" s="76"/>
      <c r="Q315" s="76"/>
      <c r="R315" s="76"/>
      <c r="Z315" s="70"/>
      <c r="AA315" s="70"/>
      <c r="AB315" s="70"/>
      <c r="AC315" s="70"/>
    </row>
    <row r="316" spans="1:31" s="26" customFormat="1" x14ac:dyDescent="0.3">
      <c r="A316" s="25" t="s">
        <v>3841</v>
      </c>
      <c r="B316" s="25"/>
      <c r="C316" s="26" t="s">
        <v>3005</v>
      </c>
      <c r="D316" s="70"/>
      <c r="G316" s="70" t="s">
        <v>354</v>
      </c>
      <c r="H316" s="26">
        <v>-1</v>
      </c>
      <c r="I316" s="70" t="s">
        <v>3842</v>
      </c>
      <c r="J316" s="26" t="s">
        <v>3843</v>
      </c>
      <c r="K316" s="26" t="s">
        <v>3736</v>
      </c>
      <c r="L316" s="26" t="s">
        <v>3736</v>
      </c>
      <c r="M316" s="76"/>
      <c r="N316" s="76"/>
      <c r="O316" s="76"/>
      <c r="P316" s="76"/>
      <c r="Q316" s="76"/>
      <c r="R316" s="76"/>
      <c r="Z316" s="70"/>
      <c r="AA316" s="70"/>
      <c r="AB316" s="70"/>
      <c r="AC316" s="70"/>
    </row>
    <row r="317" spans="1:31" s="26" customFormat="1" x14ac:dyDescent="0.3">
      <c r="A317" s="25" t="s">
        <v>3844</v>
      </c>
      <c r="B317" s="25"/>
      <c r="C317" s="26" t="s">
        <v>3005</v>
      </c>
      <c r="D317" s="70"/>
      <c r="G317" s="70" t="s">
        <v>354</v>
      </c>
      <c r="H317" s="26">
        <v>-1</v>
      </c>
      <c r="I317" s="70" t="s">
        <v>3845</v>
      </c>
      <c r="J317" s="26" t="s">
        <v>3829</v>
      </c>
      <c r="K317" s="26" t="s">
        <v>3846</v>
      </c>
      <c r="L317" s="26" t="s">
        <v>3846</v>
      </c>
      <c r="M317" s="76"/>
      <c r="N317" s="76"/>
      <c r="O317" s="76"/>
      <c r="P317" s="76"/>
      <c r="Q317" s="76"/>
      <c r="R317" s="76"/>
      <c r="Z317" s="70"/>
      <c r="AA317" s="70"/>
      <c r="AB317" s="70"/>
      <c r="AC317" s="70"/>
    </row>
    <row r="318" spans="1:31" s="26" customFormat="1" x14ac:dyDescent="0.3">
      <c r="A318" s="25" t="s">
        <v>3847</v>
      </c>
      <c r="B318" s="25"/>
      <c r="C318" s="26" t="s">
        <v>3005</v>
      </c>
      <c r="D318" s="70"/>
      <c r="G318" s="70" t="s">
        <v>354</v>
      </c>
      <c r="H318" s="26">
        <v>-1</v>
      </c>
      <c r="I318" s="70" t="s">
        <v>3848</v>
      </c>
      <c r="J318" s="26" t="s">
        <v>3836</v>
      </c>
      <c r="K318" s="26" t="s">
        <v>3784</v>
      </c>
      <c r="L318" s="26" t="s">
        <v>10072</v>
      </c>
      <c r="M318" s="76"/>
      <c r="N318" s="76"/>
      <c r="O318" s="76"/>
      <c r="P318" s="76"/>
      <c r="Q318" s="76"/>
      <c r="R318" s="76"/>
      <c r="Z318" s="70"/>
      <c r="AA318" s="70"/>
      <c r="AB318" s="70"/>
      <c r="AC318" s="70"/>
    </row>
    <row r="319" spans="1:31" s="26" customFormat="1" x14ac:dyDescent="0.3">
      <c r="A319" s="25" t="s">
        <v>3849</v>
      </c>
      <c r="B319" s="25"/>
      <c r="C319" s="26" t="s">
        <v>3005</v>
      </c>
      <c r="D319" s="70"/>
      <c r="G319" s="70" t="s">
        <v>354</v>
      </c>
      <c r="H319" s="26">
        <v>-1</v>
      </c>
      <c r="I319" s="70" t="s">
        <v>3850</v>
      </c>
      <c r="J319" s="26" t="s">
        <v>3836</v>
      </c>
      <c r="K319" s="26" t="s">
        <v>3215</v>
      </c>
      <c r="L319" s="26" t="s">
        <v>10073</v>
      </c>
      <c r="M319" s="76"/>
      <c r="N319" s="76"/>
      <c r="O319" s="76"/>
      <c r="P319" s="76"/>
      <c r="Q319" s="76"/>
      <c r="R319" s="76"/>
      <c r="Z319" s="70"/>
      <c r="AA319" s="70"/>
      <c r="AB319" s="70"/>
      <c r="AC319" s="70"/>
    </row>
    <row r="320" spans="1:31" s="26" customFormat="1" x14ac:dyDescent="0.3">
      <c r="A320" s="25" t="s">
        <v>3851</v>
      </c>
      <c r="B320" s="25"/>
      <c r="C320" s="26" t="s">
        <v>3005</v>
      </c>
      <c r="D320" s="70"/>
      <c r="G320" s="70" t="s">
        <v>354</v>
      </c>
      <c r="H320" s="26">
        <v>-1</v>
      </c>
      <c r="I320" s="70" t="s">
        <v>3852</v>
      </c>
      <c r="J320" s="26" t="s">
        <v>3836</v>
      </c>
      <c r="K320" s="26" t="s">
        <v>2679</v>
      </c>
      <c r="L320" s="26" t="s">
        <v>2679</v>
      </c>
      <c r="M320" s="76"/>
      <c r="N320" s="76"/>
      <c r="O320" s="76"/>
      <c r="P320" s="76"/>
      <c r="Q320" s="76"/>
      <c r="R320" s="76"/>
      <c r="Z320" s="70"/>
      <c r="AA320" s="70"/>
      <c r="AB320" s="70"/>
      <c r="AC320" s="70"/>
    </row>
    <row r="321" spans="1:29" s="26" customFormat="1" x14ac:dyDescent="0.3">
      <c r="A321" s="25" t="s">
        <v>3853</v>
      </c>
      <c r="B321" s="25"/>
      <c r="C321" s="26" t="s">
        <v>3005</v>
      </c>
      <c r="D321" s="70"/>
      <c r="G321" s="70" t="s">
        <v>354</v>
      </c>
      <c r="H321" s="26">
        <v>4</v>
      </c>
      <c r="I321" s="70" t="s">
        <v>3854</v>
      </c>
      <c r="J321" s="26" t="s">
        <v>3836</v>
      </c>
      <c r="K321" s="26" t="s">
        <v>3855</v>
      </c>
      <c r="L321" s="26" t="s">
        <v>10074</v>
      </c>
      <c r="M321" s="76"/>
      <c r="N321" s="76"/>
      <c r="O321" s="76"/>
      <c r="P321" s="76"/>
      <c r="Q321" s="76"/>
      <c r="R321" s="76"/>
      <c r="Z321" s="70"/>
      <c r="AA321" s="70"/>
      <c r="AB321" s="70"/>
      <c r="AC321" s="70"/>
    </row>
    <row r="322" spans="1:29" s="26" customFormat="1" x14ac:dyDescent="0.3">
      <c r="A322" s="25" t="s">
        <v>3856</v>
      </c>
      <c r="B322" s="25"/>
      <c r="C322" s="26" t="s">
        <v>3005</v>
      </c>
      <c r="D322" s="70"/>
      <c r="G322" s="70" t="s">
        <v>354</v>
      </c>
      <c r="H322" s="26">
        <v>2</v>
      </c>
      <c r="I322" s="70" t="s">
        <v>3857</v>
      </c>
      <c r="J322" s="26" t="s">
        <v>3858</v>
      </c>
      <c r="K322" s="26" t="s">
        <v>3859</v>
      </c>
      <c r="L322" s="26" t="s">
        <v>10075</v>
      </c>
      <c r="M322" s="76"/>
      <c r="N322" s="76"/>
      <c r="O322" s="76"/>
      <c r="P322" s="76"/>
      <c r="Q322" s="76"/>
      <c r="R322" s="76"/>
      <c r="Z322" s="70"/>
      <c r="AA322" s="70"/>
      <c r="AB322" s="70"/>
      <c r="AC322" s="70"/>
    </row>
    <row r="323" spans="1:29" s="26" customFormat="1" x14ac:dyDescent="0.3">
      <c r="A323" s="25" t="s">
        <v>3860</v>
      </c>
      <c r="B323" s="25"/>
      <c r="C323" s="26" t="s">
        <v>3005</v>
      </c>
      <c r="D323" s="70"/>
      <c r="G323" s="70" t="s">
        <v>354</v>
      </c>
      <c r="H323" s="26">
        <v>1</v>
      </c>
      <c r="I323" s="70" t="s">
        <v>3861</v>
      </c>
      <c r="J323" s="26" t="s">
        <v>3010</v>
      </c>
      <c r="K323" s="26" t="s">
        <v>3862</v>
      </c>
      <c r="L323" s="26" t="s">
        <v>10076</v>
      </c>
      <c r="M323" s="76"/>
      <c r="N323" s="76"/>
      <c r="O323" s="76"/>
      <c r="P323" s="76"/>
      <c r="Q323" s="76"/>
      <c r="R323" s="76"/>
      <c r="Z323" s="70"/>
      <c r="AA323" s="70"/>
      <c r="AB323" s="70"/>
      <c r="AC323" s="70"/>
    </row>
    <row r="324" spans="1:29" s="24" customFormat="1" x14ac:dyDescent="0.3">
      <c r="A324" s="23">
        <v>104</v>
      </c>
      <c r="B324" s="23">
        <v>101</v>
      </c>
      <c r="C324" s="24" t="s">
        <v>2165</v>
      </c>
      <c r="D324" s="69" t="s">
        <v>321</v>
      </c>
      <c r="E324" s="24" t="s">
        <v>320</v>
      </c>
      <c r="F324" s="24" t="s">
        <v>355</v>
      </c>
      <c r="G324" s="69" t="s">
        <v>356</v>
      </c>
      <c r="I324" s="69"/>
      <c r="J324" s="24" t="s">
        <v>3447</v>
      </c>
      <c r="K324" s="24" t="s">
        <v>357</v>
      </c>
      <c r="L324" s="24" t="s">
        <v>9700</v>
      </c>
      <c r="M324" s="75" t="s">
        <v>50</v>
      </c>
      <c r="N324" s="75"/>
      <c r="O324" s="75"/>
      <c r="P324" s="75"/>
      <c r="Q324" s="75"/>
      <c r="R324" s="75"/>
      <c r="U324" s="24" t="s">
        <v>2288</v>
      </c>
      <c r="V324" s="24" t="s">
        <v>2289</v>
      </c>
      <c r="Z324" s="69"/>
      <c r="AA324" s="69"/>
      <c r="AB324" s="69"/>
      <c r="AC324" s="69"/>
    </row>
    <row r="325" spans="1:29" s="24" customFormat="1" x14ac:dyDescent="0.3">
      <c r="A325" s="23">
        <v>105</v>
      </c>
      <c r="B325" s="23">
        <v>102</v>
      </c>
      <c r="C325" s="24" t="s">
        <v>2165</v>
      </c>
      <c r="D325" s="69" t="s">
        <v>321</v>
      </c>
      <c r="E325" s="24" t="s">
        <v>320</v>
      </c>
      <c r="F325" s="24" t="s">
        <v>358</v>
      </c>
      <c r="G325" s="69" t="s">
        <v>359</v>
      </c>
      <c r="I325" s="69"/>
      <c r="J325" s="24" t="s">
        <v>3863</v>
      </c>
      <c r="K325" s="24" t="s">
        <v>360</v>
      </c>
      <c r="M325" s="75" t="s">
        <v>50</v>
      </c>
      <c r="N325" s="75"/>
      <c r="O325" s="75"/>
      <c r="P325" s="75"/>
      <c r="Q325" s="75"/>
      <c r="R325" s="75"/>
      <c r="U325" s="24" t="s">
        <v>2288</v>
      </c>
      <c r="Z325" s="69"/>
      <c r="AA325" s="69"/>
      <c r="AB325" s="69"/>
      <c r="AC325" s="69"/>
    </row>
    <row r="326" spans="1:29" s="26" customFormat="1" x14ac:dyDescent="0.3">
      <c r="A326" s="25" t="s">
        <v>3864</v>
      </c>
      <c r="B326" s="25"/>
      <c r="C326" s="26" t="s">
        <v>3005</v>
      </c>
      <c r="D326" s="70"/>
      <c r="G326" s="70" t="s">
        <v>359</v>
      </c>
      <c r="H326" s="26">
        <v>-1</v>
      </c>
      <c r="I326" s="70" t="s">
        <v>3865</v>
      </c>
      <c r="J326" s="26" t="s">
        <v>3866</v>
      </c>
      <c r="K326" s="26" t="s">
        <v>3867</v>
      </c>
      <c r="L326" s="26" t="s">
        <v>10077</v>
      </c>
      <c r="M326" s="76"/>
      <c r="N326" s="76"/>
      <c r="O326" s="76"/>
      <c r="P326" s="76"/>
      <c r="Q326" s="76"/>
      <c r="R326" s="76"/>
      <c r="U326" s="26" t="s">
        <v>3868</v>
      </c>
      <c r="Z326" s="70"/>
      <c r="AA326" s="70"/>
      <c r="AB326" s="70"/>
      <c r="AC326" s="70"/>
    </row>
    <row r="327" spans="1:29" s="26" customFormat="1" x14ac:dyDescent="0.3">
      <c r="A327" s="25" t="s">
        <v>3869</v>
      </c>
      <c r="B327" s="25"/>
      <c r="C327" s="26" t="s">
        <v>3005</v>
      </c>
      <c r="D327" s="70"/>
      <c r="G327" s="70" t="s">
        <v>359</v>
      </c>
      <c r="H327" s="26">
        <v>2</v>
      </c>
      <c r="I327" s="70" t="s">
        <v>3870</v>
      </c>
      <c r="J327" s="26" t="s">
        <v>3863</v>
      </c>
      <c r="K327" s="26" t="s">
        <v>3871</v>
      </c>
      <c r="L327" s="26" t="s">
        <v>10078</v>
      </c>
      <c r="M327" s="76"/>
      <c r="N327" s="76"/>
      <c r="O327" s="76"/>
      <c r="P327" s="76"/>
      <c r="Q327" s="76"/>
      <c r="R327" s="76"/>
      <c r="U327" s="26" t="s">
        <v>3872</v>
      </c>
      <c r="Z327" s="70"/>
      <c r="AA327" s="70"/>
      <c r="AB327" s="70"/>
      <c r="AC327" s="70"/>
    </row>
    <row r="328" spans="1:29" s="26" customFormat="1" x14ac:dyDescent="0.3">
      <c r="A328" s="25" t="s">
        <v>3873</v>
      </c>
      <c r="B328" s="25"/>
      <c r="C328" s="26" t="s">
        <v>3005</v>
      </c>
      <c r="D328" s="70"/>
      <c r="G328" s="70" t="s">
        <v>359</v>
      </c>
      <c r="H328" s="26">
        <v>-1</v>
      </c>
      <c r="I328" s="70" t="s">
        <v>3874</v>
      </c>
      <c r="J328" s="26" t="s">
        <v>3875</v>
      </c>
      <c r="K328" s="26" t="s">
        <v>3876</v>
      </c>
      <c r="L328" s="26" t="s">
        <v>10079</v>
      </c>
      <c r="M328" s="76"/>
      <c r="N328" s="76"/>
      <c r="O328" s="76"/>
      <c r="P328" s="76"/>
      <c r="Q328" s="76"/>
      <c r="R328" s="76"/>
      <c r="Z328" s="70"/>
      <c r="AA328" s="70"/>
      <c r="AB328" s="70"/>
      <c r="AC328" s="70"/>
    </row>
    <row r="329" spans="1:29" s="24" customFormat="1" x14ac:dyDescent="0.3">
      <c r="A329" s="23">
        <v>106</v>
      </c>
      <c r="B329" s="23">
        <v>103</v>
      </c>
      <c r="C329" s="24" t="s">
        <v>2165</v>
      </c>
      <c r="D329" s="69" t="s">
        <v>321</v>
      </c>
      <c r="E329" s="24" t="s">
        <v>320</v>
      </c>
      <c r="F329" s="24" t="s">
        <v>361</v>
      </c>
      <c r="G329" s="69" t="s">
        <v>362</v>
      </c>
      <c r="H329" s="24">
        <v>2</v>
      </c>
      <c r="I329" s="69"/>
      <c r="J329" s="24" t="s">
        <v>3877</v>
      </c>
      <c r="K329" s="24" t="s">
        <v>43</v>
      </c>
      <c r="M329" s="75" t="s">
        <v>15</v>
      </c>
      <c r="N329" s="75"/>
      <c r="O329" s="75"/>
      <c r="P329" s="75"/>
      <c r="Q329" s="75"/>
      <c r="R329" s="75"/>
      <c r="Z329" s="69"/>
      <c r="AA329" s="69"/>
      <c r="AB329" s="69"/>
      <c r="AC329" s="69"/>
    </row>
    <row r="330" spans="1:29" s="26" customFormat="1" x14ac:dyDescent="0.3">
      <c r="A330" s="25" t="s">
        <v>3878</v>
      </c>
      <c r="B330" s="25"/>
      <c r="C330" s="26" t="s">
        <v>3005</v>
      </c>
      <c r="D330" s="70"/>
      <c r="G330" s="70" t="s">
        <v>362</v>
      </c>
      <c r="H330" s="26">
        <v>-1</v>
      </c>
      <c r="I330" s="70" t="s">
        <v>3879</v>
      </c>
      <c r="J330" s="26" t="s">
        <v>3880</v>
      </c>
      <c r="K330" s="26" t="s">
        <v>3881</v>
      </c>
      <c r="L330" s="26" t="s">
        <v>10080</v>
      </c>
      <c r="M330" s="76"/>
      <c r="N330" s="76"/>
      <c r="O330" s="76"/>
      <c r="P330" s="76"/>
      <c r="Q330" s="76"/>
      <c r="R330" s="76"/>
      <c r="Z330" s="70"/>
      <c r="AA330" s="70"/>
      <c r="AB330" s="70"/>
      <c r="AC330" s="70"/>
    </row>
    <row r="331" spans="1:29" s="26" customFormat="1" x14ac:dyDescent="0.3">
      <c r="A331" s="25" t="s">
        <v>3882</v>
      </c>
      <c r="B331" s="25"/>
      <c r="C331" s="26" t="s">
        <v>3005</v>
      </c>
      <c r="D331" s="70"/>
      <c r="G331" s="70" t="s">
        <v>362</v>
      </c>
      <c r="H331" s="26">
        <v>-1</v>
      </c>
      <c r="I331" s="70" t="s">
        <v>3883</v>
      </c>
      <c r="J331" s="26" t="s">
        <v>3884</v>
      </c>
      <c r="K331" s="26" t="s">
        <v>3757</v>
      </c>
      <c r="L331" s="26" t="s">
        <v>10081</v>
      </c>
      <c r="M331" s="76"/>
      <c r="N331" s="76"/>
      <c r="O331" s="76"/>
      <c r="P331" s="76"/>
      <c r="Q331" s="76"/>
      <c r="R331" s="76"/>
      <c r="Z331" s="70"/>
      <c r="AA331" s="70"/>
      <c r="AB331" s="70"/>
      <c r="AC331" s="70"/>
    </row>
    <row r="332" spans="1:29" s="26" customFormat="1" x14ac:dyDescent="0.3">
      <c r="A332" s="25" t="s">
        <v>3885</v>
      </c>
      <c r="B332" s="25"/>
      <c r="C332" s="26" t="s">
        <v>3005</v>
      </c>
      <c r="D332" s="70"/>
      <c r="G332" s="70" t="s">
        <v>362</v>
      </c>
      <c r="H332" s="26">
        <v>-1</v>
      </c>
      <c r="I332" s="70" t="s">
        <v>3886</v>
      </c>
      <c r="J332" s="26" t="s">
        <v>3887</v>
      </c>
      <c r="K332" s="26" t="s">
        <v>3888</v>
      </c>
      <c r="L332" s="26" t="s">
        <v>10082</v>
      </c>
      <c r="M332" s="76"/>
      <c r="N332" s="76"/>
      <c r="O332" s="76"/>
      <c r="P332" s="76"/>
      <c r="Q332" s="76"/>
      <c r="R332" s="76"/>
      <c r="Z332" s="70"/>
      <c r="AA332" s="70"/>
      <c r="AB332" s="70"/>
      <c r="AC332" s="70"/>
    </row>
    <row r="333" spans="1:29" s="26" customFormat="1" x14ac:dyDescent="0.3">
      <c r="A333" s="25" t="s">
        <v>3889</v>
      </c>
      <c r="B333" s="25"/>
      <c r="C333" s="26" t="s">
        <v>3005</v>
      </c>
      <c r="D333" s="70"/>
      <c r="G333" s="70" t="s">
        <v>362</v>
      </c>
      <c r="H333" s="26">
        <v>-1</v>
      </c>
      <c r="I333" s="70" t="s">
        <v>3890</v>
      </c>
      <c r="J333" s="26" t="s">
        <v>3891</v>
      </c>
      <c r="K333" s="26" t="s">
        <v>3846</v>
      </c>
      <c r="L333" s="26" t="s">
        <v>3846</v>
      </c>
      <c r="M333" s="76"/>
      <c r="N333" s="76"/>
      <c r="O333" s="76"/>
      <c r="P333" s="76"/>
      <c r="Q333" s="76"/>
      <c r="R333" s="76"/>
      <c r="Z333" s="70"/>
      <c r="AA333" s="70"/>
      <c r="AB333" s="70"/>
      <c r="AC333" s="70"/>
    </row>
    <row r="334" spans="1:29" s="26" customFormat="1" x14ac:dyDescent="0.3">
      <c r="A334" s="25" t="s">
        <v>3892</v>
      </c>
      <c r="B334" s="25"/>
      <c r="C334" s="26" t="s">
        <v>3005</v>
      </c>
      <c r="D334" s="70"/>
      <c r="G334" s="70" t="s">
        <v>362</v>
      </c>
      <c r="H334" s="26">
        <v>-1</v>
      </c>
      <c r="I334" s="70" t="s">
        <v>3893</v>
      </c>
      <c r="J334" s="26" t="s">
        <v>3894</v>
      </c>
      <c r="K334" s="26" t="s">
        <v>3765</v>
      </c>
      <c r="L334" s="26" t="s">
        <v>10083</v>
      </c>
      <c r="M334" s="76"/>
      <c r="N334" s="76"/>
      <c r="O334" s="76"/>
      <c r="P334" s="76"/>
      <c r="Q334" s="76"/>
      <c r="R334" s="76"/>
      <c r="Z334" s="70"/>
      <c r="AA334" s="70"/>
      <c r="AB334" s="70"/>
      <c r="AC334" s="70"/>
    </row>
    <row r="335" spans="1:29" s="26" customFormat="1" x14ac:dyDescent="0.3">
      <c r="A335" s="25" t="s">
        <v>3895</v>
      </c>
      <c r="B335" s="25"/>
      <c r="C335" s="26" t="s">
        <v>3005</v>
      </c>
      <c r="D335" s="70"/>
      <c r="G335" s="70" t="s">
        <v>362</v>
      </c>
      <c r="H335" s="26">
        <v>-1</v>
      </c>
      <c r="I335" s="70" t="s">
        <v>3896</v>
      </c>
      <c r="J335" s="26" t="s">
        <v>3877</v>
      </c>
      <c r="K335" s="26" t="s">
        <v>3791</v>
      </c>
      <c r="L335" s="26" t="s">
        <v>5732</v>
      </c>
      <c r="M335" s="76"/>
      <c r="N335" s="76"/>
      <c r="O335" s="76"/>
      <c r="P335" s="76"/>
      <c r="Q335" s="76"/>
      <c r="R335" s="76"/>
      <c r="Z335" s="70"/>
      <c r="AA335" s="70"/>
      <c r="AB335" s="70"/>
      <c r="AC335" s="70"/>
    </row>
    <row r="336" spans="1:29" s="26" customFormat="1" x14ac:dyDescent="0.3">
      <c r="A336" s="25" t="s">
        <v>3897</v>
      </c>
      <c r="B336" s="25"/>
      <c r="C336" s="26" t="s">
        <v>3005</v>
      </c>
      <c r="D336" s="70"/>
      <c r="G336" s="70" t="s">
        <v>362</v>
      </c>
      <c r="H336" s="26">
        <v>-1</v>
      </c>
      <c r="I336" s="70" t="s">
        <v>3898</v>
      </c>
      <c r="J336" s="26" t="s">
        <v>3899</v>
      </c>
      <c r="K336" s="26" t="s">
        <v>3900</v>
      </c>
      <c r="L336" s="26" t="s">
        <v>10084</v>
      </c>
      <c r="M336" s="76"/>
      <c r="N336" s="76"/>
      <c r="O336" s="76"/>
      <c r="P336" s="76"/>
      <c r="Q336" s="76"/>
      <c r="R336" s="76"/>
      <c r="Z336" s="70"/>
      <c r="AA336" s="70"/>
      <c r="AB336" s="70"/>
      <c r="AC336" s="70"/>
    </row>
    <row r="337" spans="1:30" s="26" customFormat="1" x14ac:dyDescent="0.3">
      <c r="A337" s="25" t="s">
        <v>3901</v>
      </c>
      <c r="B337" s="25"/>
      <c r="C337" s="26" t="s">
        <v>3005</v>
      </c>
      <c r="D337" s="70"/>
      <c r="G337" s="70" t="s">
        <v>362</v>
      </c>
      <c r="H337" s="26">
        <v>-1</v>
      </c>
      <c r="I337" s="70" t="s">
        <v>3902</v>
      </c>
      <c r="J337" s="26" t="s">
        <v>3903</v>
      </c>
      <c r="K337" s="26" t="s">
        <v>3904</v>
      </c>
      <c r="L337" s="26" t="s">
        <v>10085</v>
      </c>
      <c r="M337" s="76"/>
      <c r="N337" s="76"/>
      <c r="O337" s="76"/>
      <c r="P337" s="76"/>
      <c r="Q337" s="76"/>
      <c r="R337" s="76"/>
      <c r="Z337" s="70"/>
      <c r="AA337" s="70"/>
      <c r="AB337" s="70"/>
      <c r="AC337" s="70"/>
    </row>
    <row r="338" spans="1:30" s="26" customFormat="1" x14ac:dyDescent="0.3">
      <c r="A338" s="25" t="s">
        <v>3905</v>
      </c>
      <c r="B338" s="25"/>
      <c r="C338" s="26" t="s">
        <v>3005</v>
      </c>
      <c r="D338" s="70"/>
      <c r="G338" s="70" t="s">
        <v>362</v>
      </c>
      <c r="H338" s="26">
        <v>2</v>
      </c>
      <c r="I338" s="70" t="s">
        <v>3906</v>
      </c>
      <c r="J338" s="26" t="s">
        <v>3907</v>
      </c>
      <c r="K338" s="26" t="s">
        <v>3908</v>
      </c>
      <c r="L338" s="26" t="s">
        <v>10086</v>
      </c>
      <c r="M338" s="76"/>
      <c r="N338" s="76"/>
      <c r="O338" s="76"/>
      <c r="P338" s="76"/>
      <c r="Q338" s="76"/>
      <c r="R338" s="76"/>
      <c r="Z338" s="70"/>
      <c r="AA338" s="70"/>
      <c r="AB338" s="70"/>
      <c r="AC338" s="70"/>
    </row>
    <row r="339" spans="1:30" s="26" customFormat="1" x14ac:dyDescent="0.3">
      <c r="A339" s="25" t="s">
        <v>3909</v>
      </c>
      <c r="B339" s="25"/>
      <c r="C339" s="26" t="s">
        <v>3005</v>
      </c>
      <c r="D339" s="70"/>
      <c r="G339" s="70" t="s">
        <v>362</v>
      </c>
      <c r="H339" s="26">
        <v>2</v>
      </c>
      <c r="I339" s="70" t="s">
        <v>3910</v>
      </c>
      <c r="J339" s="26" t="s">
        <v>3911</v>
      </c>
      <c r="K339" s="26" t="s">
        <v>3912</v>
      </c>
      <c r="L339" s="26" t="s">
        <v>10087</v>
      </c>
      <c r="M339" s="76"/>
      <c r="N339" s="76"/>
      <c r="O339" s="76"/>
      <c r="P339" s="76"/>
      <c r="Q339" s="76"/>
      <c r="R339" s="76"/>
      <c r="Z339" s="70"/>
      <c r="AA339" s="70"/>
      <c r="AB339" s="70"/>
      <c r="AC339" s="70"/>
    </row>
    <row r="340" spans="1:30" s="24" customFormat="1" x14ac:dyDescent="0.3">
      <c r="A340" s="23">
        <v>107</v>
      </c>
      <c r="B340" s="23">
        <v>699</v>
      </c>
      <c r="C340" s="24" t="s">
        <v>2165</v>
      </c>
      <c r="D340" s="69" t="s">
        <v>321</v>
      </c>
      <c r="E340" s="24" t="s">
        <v>320</v>
      </c>
      <c r="F340" s="24" t="s">
        <v>363</v>
      </c>
      <c r="G340" s="69" t="s">
        <v>364</v>
      </c>
      <c r="I340" s="69"/>
      <c r="J340" s="24" t="s">
        <v>3016</v>
      </c>
      <c r="K340" s="24" t="s">
        <v>92</v>
      </c>
      <c r="M340" s="75" t="s">
        <v>19</v>
      </c>
      <c r="N340" s="75"/>
      <c r="O340" s="75"/>
      <c r="P340" s="75"/>
      <c r="Q340" s="75"/>
      <c r="R340" s="75" t="s">
        <v>2166</v>
      </c>
      <c r="U340" s="24" t="s">
        <v>2290</v>
      </c>
      <c r="V340" s="24" t="s">
        <v>2171</v>
      </c>
      <c r="Z340" s="69"/>
      <c r="AA340" s="69"/>
      <c r="AB340" s="69"/>
      <c r="AC340" s="69"/>
      <c r="AD340" s="24" t="s">
        <v>11315</v>
      </c>
    </row>
    <row r="341" spans="1:30" s="26" customFormat="1" x14ac:dyDescent="0.3">
      <c r="A341" s="25" t="s">
        <v>3913</v>
      </c>
      <c r="B341" s="25"/>
      <c r="C341" s="26" t="s">
        <v>3005</v>
      </c>
      <c r="D341" s="70"/>
      <c r="G341" s="70" t="s">
        <v>364</v>
      </c>
      <c r="H341" s="26">
        <v>-1</v>
      </c>
      <c r="I341" s="70" t="s">
        <v>3914</v>
      </c>
      <c r="J341" s="26" t="s">
        <v>3016</v>
      </c>
      <c r="K341" s="26" t="s">
        <v>3915</v>
      </c>
      <c r="L341" s="26" t="s">
        <v>10088</v>
      </c>
      <c r="M341" s="76"/>
      <c r="N341" s="76"/>
      <c r="O341" s="76"/>
      <c r="P341" s="76"/>
      <c r="Q341" s="76"/>
      <c r="R341" s="76"/>
      <c r="U341" s="26" t="s">
        <v>3916</v>
      </c>
      <c r="Z341" s="70"/>
      <c r="AA341" s="70"/>
      <c r="AB341" s="70"/>
      <c r="AC341" s="70"/>
    </row>
    <row r="342" spans="1:30" s="26" customFormat="1" x14ac:dyDescent="0.3">
      <c r="A342" s="25" t="s">
        <v>3917</v>
      </c>
      <c r="B342" s="25"/>
      <c r="C342" s="26" t="s">
        <v>3005</v>
      </c>
      <c r="D342" s="70"/>
      <c r="G342" s="70" t="s">
        <v>364</v>
      </c>
      <c r="H342" s="26">
        <v>-1</v>
      </c>
      <c r="I342" s="70" t="s">
        <v>3918</v>
      </c>
      <c r="J342" s="26" t="s">
        <v>3919</v>
      </c>
      <c r="K342" s="26" t="s">
        <v>3920</v>
      </c>
      <c r="L342" s="26" t="s">
        <v>10089</v>
      </c>
      <c r="M342" s="76"/>
      <c r="N342" s="76"/>
      <c r="O342" s="76"/>
      <c r="P342" s="76"/>
      <c r="Q342" s="76"/>
      <c r="R342" s="76"/>
      <c r="U342" s="26" t="s">
        <v>3921</v>
      </c>
      <c r="Z342" s="70"/>
      <c r="AA342" s="70"/>
      <c r="AB342" s="70"/>
      <c r="AC342" s="70"/>
    </row>
    <row r="343" spans="1:30" s="26" customFormat="1" x14ac:dyDescent="0.3">
      <c r="A343" s="25" t="s">
        <v>3922</v>
      </c>
      <c r="B343" s="25"/>
      <c r="C343" s="26" t="s">
        <v>3005</v>
      </c>
      <c r="D343" s="70"/>
      <c r="G343" s="70" t="s">
        <v>364</v>
      </c>
      <c r="H343" s="26">
        <v>-1</v>
      </c>
      <c r="I343" s="70" t="s">
        <v>3923</v>
      </c>
      <c r="J343" s="26" t="s">
        <v>3924</v>
      </c>
      <c r="K343" s="26" t="s">
        <v>3925</v>
      </c>
      <c r="M343" s="76"/>
      <c r="N343" s="76"/>
      <c r="O343" s="76"/>
      <c r="P343" s="76"/>
      <c r="Q343" s="76"/>
      <c r="R343" s="76"/>
      <c r="Z343" s="70"/>
      <c r="AA343" s="70"/>
      <c r="AB343" s="70"/>
      <c r="AC343" s="70"/>
    </row>
    <row r="344" spans="1:30" s="26" customFormat="1" x14ac:dyDescent="0.3">
      <c r="A344" s="25" t="s">
        <v>3926</v>
      </c>
      <c r="B344" s="25"/>
      <c r="C344" s="26" t="s">
        <v>3005</v>
      </c>
      <c r="D344" s="70"/>
      <c r="G344" s="70" t="s">
        <v>364</v>
      </c>
      <c r="H344" s="26">
        <v>-1</v>
      </c>
      <c r="I344" s="70" t="s">
        <v>3927</v>
      </c>
      <c r="J344" s="26" t="s">
        <v>3928</v>
      </c>
      <c r="K344" s="26" t="s">
        <v>3929</v>
      </c>
      <c r="L344" s="26" t="s">
        <v>10090</v>
      </c>
      <c r="M344" s="76"/>
      <c r="N344" s="76"/>
      <c r="O344" s="76"/>
      <c r="P344" s="76"/>
      <c r="Q344" s="76"/>
      <c r="R344" s="76"/>
      <c r="Z344" s="70"/>
      <c r="AA344" s="70"/>
      <c r="AB344" s="70"/>
      <c r="AC344" s="70"/>
    </row>
    <row r="345" spans="1:30" s="26" customFormat="1" x14ac:dyDescent="0.3">
      <c r="A345" s="25" t="s">
        <v>3930</v>
      </c>
      <c r="B345" s="25"/>
      <c r="C345" s="26" t="s">
        <v>3005</v>
      </c>
      <c r="D345" s="70"/>
      <c r="G345" s="70" t="s">
        <v>364</v>
      </c>
      <c r="H345" s="26">
        <v>-1</v>
      </c>
      <c r="I345" s="70" t="s">
        <v>3931</v>
      </c>
      <c r="J345" s="26" t="s">
        <v>3932</v>
      </c>
      <c r="K345" s="26" t="s">
        <v>3933</v>
      </c>
      <c r="L345" s="26" t="s">
        <v>3933</v>
      </c>
      <c r="M345" s="76"/>
      <c r="N345" s="76"/>
      <c r="O345" s="76"/>
      <c r="P345" s="76"/>
      <c r="Q345" s="76"/>
      <c r="R345" s="76"/>
      <c r="Z345" s="70"/>
      <c r="AA345" s="70"/>
      <c r="AB345" s="70"/>
      <c r="AC345" s="70"/>
    </row>
    <row r="346" spans="1:30" s="26" customFormat="1" x14ac:dyDescent="0.3">
      <c r="A346" s="25" t="s">
        <v>3934</v>
      </c>
      <c r="B346" s="25"/>
      <c r="C346" s="26" t="s">
        <v>3005</v>
      </c>
      <c r="D346" s="70"/>
      <c r="G346" s="70" t="s">
        <v>364</v>
      </c>
      <c r="H346" s="26">
        <v>-1</v>
      </c>
      <c r="I346" s="70" t="s">
        <v>3935</v>
      </c>
      <c r="J346" s="26" t="s">
        <v>3936</v>
      </c>
      <c r="K346" s="26" t="s">
        <v>3650</v>
      </c>
      <c r="L346" s="26" t="s">
        <v>10091</v>
      </c>
      <c r="M346" s="76"/>
      <c r="N346" s="76"/>
      <c r="O346" s="76"/>
      <c r="P346" s="76"/>
      <c r="Q346" s="76"/>
      <c r="R346" s="76"/>
      <c r="Z346" s="70"/>
      <c r="AA346" s="70"/>
      <c r="AB346" s="70"/>
      <c r="AC346" s="70"/>
    </row>
    <row r="347" spans="1:30" s="26" customFormat="1" x14ac:dyDescent="0.3">
      <c r="A347" s="25" t="s">
        <v>3937</v>
      </c>
      <c r="B347" s="25"/>
      <c r="C347" s="26" t="s">
        <v>3005</v>
      </c>
      <c r="D347" s="70"/>
      <c r="G347" s="70" t="s">
        <v>364</v>
      </c>
      <c r="H347" s="26">
        <v>-1</v>
      </c>
      <c r="I347" s="70" t="s">
        <v>3938</v>
      </c>
      <c r="J347" s="26" t="s">
        <v>3939</v>
      </c>
      <c r="K347" s="26" t="s">
        <v>3940</v>
      </c>
      <c r="L347" s="26" t="s">
        <v>10092</v>
      </c>
      <c r="M347" s="76"/>
      <c r="N347" s="76"/>
      <c r="O347" s="76"/>
      <c r="P347" s="76"/>
      <c r="Q347" s="76"/>
      <c r="R347" s="76"/>
      <c r="Z347" s="70"/>
      <c r="AA347" s="70"/>
      <c r="AB347" s="70"/>
      <c r="AC347" s="70"/>
    </row>
    <row r="348" spans="1:30" s="24" customFormat="1" x14ac:dyDescent="0.3">
      <c r="A348" s="23">
        <v>108</v>
      </c>
      <c r="B348" s="23">
        <v>104</v>
      </c>
      <c r="C348" s="24" t="s">
        <v>2165</v>
      </c>
      <c r="D348" s="69" t="s">
        <v>321</v>
      </c>
      <c r="E348" s="24" t="s">
        <v>320</v>
      </c>
      <c r="F348" s="24" t="s">
        <v>365</v>
      </c>
      <c r="G348" s="69" t="s">
        <v>366</v>
      </c>
      <c r="I348" s="69"/>
      <c r="J348" s="24" t="s">
        <v>3941</v>
      </c>
      <c r="K348" s="24" t="s">
        <v>367</v>
      </c>
      <c r="M348" s="75" t="s">
        <v>50</v>
      </c>
      <c r="N348" s="75"/>
      <c r="O348" s="75"/>
      <c r="P348" s="75"/>
      <c r="Q348" s="75"/>
      <c r="R348" s="75"/>
      <c r="U348" s="24" t="s">
        <v>2288</v>
      </c>
      <c r="V348" s="24" t="s">
        <v>2291</v>
      </c>
      <c r="W348" s="24" t="s">
        <v>2291</v>
      </c>
      <c r="Y348" s="24" t="s">
        <v>2292</v>
      </c>
      <c r="Z348" s="69"/>
      <c r="AA348" s="69"/>
      <c r="AB348" s="69"/>
      <c r="AC348" s="69"/>
    </row>
    <row r="349" spans="1:30" s="24" customFormat="1" x14ac:dyDescent="0.3">
      <c r="A349" s="23">
        <v>109</v>
      </c>
      <c r="B349" s="23">
        <v>105</v>
      </c>
      <c r="C349" s="24" t="s">
        <v>2165</v>
      </c>
      <c r="D349" s="69" t="s">
        <v>321</v>
      </c>
      <c r="E349" s="24" t="s">
        <v>320</v>
      </c>
      <c r="F349" s="24" t="s">
        <v>368</v>
      </c>
      <c r="G349" s="69" t="s">
        <v>369</v>
      </c>
      <c r="I349" s="69"/>
      <c r="J349" s="24" t="s">
        <v>3942</v>
      </c>
      <c r="K349" s="24" t="s">
        <v>370</v>
      </c>
      <c r="L349" s="24" t="s">
        <v>9701</v>
      </c>
      <c r="M349" s="75" t="s">
        <v>236</v>
      </c>
      <c r="N349" s="75"/>
      <c r="O349" s="75"/>
      <c r="P349" s="75"/>
      <c r="Q349" s="75"/>
      <c r="R349" s="75"/>
      <c r="U349" s="24" t="s">
        <v>2293</v>
      </c>
      <c r="Z349" s="69"/>
      <c r="AA349" s="69"/>
      <c r="AB349" s="69"/>
      <c r="AC349" s="69"/>
    </row>
    <row r="350" spans="1:30" s="24" customFormat="1" x14ac:dyDescent="0.3">
      <c r="A350" s="23">
        <v>110</v>
      </c>
      <c r="B350" s="23">
        <v>106</v>
      </c>
      <c r="C350" s="24" t="s">
        <v>2165</v>
      </c>
      <c r="D350" s="69" t="s">
        <v>321</v>
      </c>
      <c r="E350" s="24" t="s">
        <v>320</v>
      </c>
      <c r="F350" s="24" t="s">
        <v>371</v>
      </c>
      <c r="G350" s="69" t="s">
        <v>372</v>
      </c>
      <c r="I350" s="69"/>
      <c r="J350" s="24" t="s">
        <v>3323</v>
      </c>
      <c r="K350" s="24" t="s">
        <v>263</v>
      </c>
      <c r="M350" s="75" t="s">
        <v>19</v>
      </c>
      <c r="N350" s="75"/>
      <c r="O350" s="75"/>
      <c r="P350" s="75"/>
      <c r="Q350" s="75"/>
      <c r="R350" s="75" t="s">
        <v>2166</v>
      </c>
      <c r="Z350" s="69"/>
      <c r="AA350" s="69"/>
      <c r="AB350" s="69"/>
      <c r="AC350" s="69"/>
    </row>
    <row r="351" spans="1:30" s="26" customFormat="1" x14ac:dyDescent="0.3">
      <c r="A351" s="25" t="s">
        <v>3943</v>
      </c>
      <c r="B351" s="25"/>
      <c r="C351" s="26" t="s">
        <v>3005</v>
      </c>
      <c r="D351" s="70"/>
      <c r="G351" s="70" t="s">
        <v>372</v>
      </c>
      <c r="H351" s="26">
        <v>-1</v>
      </c>
      <c r="I351" s="70" t="s">
        <v>3944</v>
      </c>
      <c r="J351" s="26" t="s">
        <v>3323</v>
      </c>
      <c r="K351" s="26" t="s">
        <v>3945</v>
      </c>
      <c r="L351" s="26" t="s">
        <v>10093</v>
      </c>
      <c r="M351" s="76"/>
      <c r="N351" s="76"/>
      <c r="O351" s="76"/>
      <c r="P351" s="76"/>
      <c r="Q351" s="76"/>
      <c r="R351" s="76"/>
      <c r="U351" s="26" t="s">
        <v>3946</v>
      </c>
      <c r="Z351" s="70"/>
      <c r="AA351" s="70"/>
      <c r="AB351" s="70"/>
      <c r="AC351" s="70"/>
    </row>
    <row r="352" spans="1:30" s="26" customFormat="1" x14ac:dyDescent="0.3">
      <c r="A352" s="25" t="s">
        <v>3947</v>
      </c>
      <c r="B352" s="25"/>
      <c r="C352" s="26" t="s">
        <v>3005</v>
      </c>
      <c r="D352" s="70"/>
      <c r="G352" s="70" t="s">
        <v>372</v>
      </c>
      <c r="H352" s="26">
        <v>-1</v>
      </c>
      <c r="I352" s="70" t="s">
        <v>3948</v>
      </c>
      <c r="J352" s="26" t="s">
        <v>3949</v>
      </c>
      <c r="K352" s="26" t="s">
        <v>3950</v>
      </c>
      <c r="L352" s="26" t="s">
        <v>10094</v>
      </c>
      <c r="M352" s="76"/>
      <c r="N352" s="76"/>
      <c r="O352" s="76"/>
      <c r="P352" s="76"/>
      <c r="Q352" s="76"/>
      <c r="R352" s="76"/>
      <c r="U352" s="26" t="s">
        <v>3951</v>
      </c>
      <c r="Z352" s="70"/>
      <c r="AA352" s="70"/>
      <c r="AB352" s="70"/>
      <c r="AC352" s="70"/>
    </row>
    <row r="353" spans="1:31" s="26" customFormat="1" x14ac:dyDescent="0.3">
      <c r="A353" s="25" t="s">
        <v>3952</v>
      </c>
      <c r="B353" s="25"/>
      <c r="C353" s="26" t="s">
        <v>3005</v>
      </c>
      <c r="D353" s="70"/>
      <c r="G353" s="70" t="s">
        <v>372</v>
      </c>
      <c r="H353" s="26">
        <v>-1</v>
      </c>
      <c r="I353" s="70" t="s">
        <v>3953</v>
      </c>
      <c r="J353" s="26" t="s">
        <v>3954</v>
      </c>
      <c r="K353" s="26" t="s">
        <v>3955</v>
      </c>
      <c r="L353" s="26" t="s">
        <v>10095</v>
      </c>
      <c r="M353" s="76"/>
      <c r="N353" s="76"/>
      <c r="O353" s="76"/>
      <c r="P353" s="76"/>
      <c r="Q353" s="76"/>
      <c r="R353" s="76"/>
      <c r="Z353" s="70"/>
      <c r="AA353" s="70"/>
      <c r="AB353" s="70"/>
      <c r="AC353" s="70"/>
    </row>
    <row r="354" spans="1:31" s="26" customFormat="1" x14ac:dyDescent="0.3">
      <c r="A354" s="25" t="s">
        <v>3956</v>
      </c>
      <c r="B354" s="25"/>
      <c r="C354" s="26" t="s">
        <v>3005</v>
      </c>
      <c r="D354" s="70"/>
      <c r="G354" s="70" t="s">
        <v>372</v>
      </c>
      <c r="H354" s="26">
        <v>-1</v>
      </c>
      <c r="I354" s="70" t="s">
        <v>3957</v>
      </c>
      <c r="J354" s="26" t="s">
        <v>3958</v>
      </c>
      <c r="K354" s="26" t="s">
        <v>3959</v>
      </c>
      <c r="L354" s="26" t="s">
        <v>10096</v>
      </c>
      <c r="M354" s="76"/>
      <c r="N354" s="76"/>
      <c r="O354" s="76"/>
      <c r="P354" s="76"/>
      <c r="Q354" s="76"/>
      <c r="R354" s="76"/>
      <c r="Z354" s="70"/>
      <c r="AA354" s="70"/>
      <c r="AB354" s="70"/>
      <c r="AC354" s="70"/>
    </row>
    <row r="355" spans="1:31" s="26" customFormat="1" x14ac:dyDescent="0.3">
      <c r="A355" s="25" t="s">
        <v>3960</v>
      </c>
      <c r="B355" s="25"/>
      <c r="C355" s="26" t="s">
        <v>3005</v>
      </c>
      <c r="D355" s="70"/>
      <c r="G355" s="70" t="s">
        <v>372</v>
      </c>
      <c r="H355" s="26">
        <v>-1</v>
      </c>
      <c r="I355" s="70" t="s">
        <v>3879</v>
      </c>
      <c r="J355" s="26" t="s">
        <v>3615</v>
      </c>
      <c r="K355" s="26" t="s">
        <v>3961</v>
      </c>
      <c r="L355" s="26" t="s">
        <v>10097</v>
      </c>
      <c r="M355" s="76"/>
      <c r="N355" s="76"/>
      <c r="O355" s="76"/>
      <c r="P355" s="76"/>
      <c r="Q355" s="76"/>
      <c r="R355" s="76"/>
      <c r="Z355" s="70"/>
      <c r="AA355" s="70"/>
      <c r="AB355" s="70"/>
      <c r="AC355" s="70"/>
    </row>
    <row r="356" spans="1:31" s="24" customFormat="1" x14ac:dyDescent="0.3">
      <c r="A356" s="23">
        <v>111</v>
      </c>
      <c r="B356" s="23">
        <v>107</v>
      </c>
      <c r="C356" s="24" t="s">
        <v>2165</v>
      </c>
      <c r="D356" s="69" t="s">
        <v>321</v>
      </c>
      <c r="E356" s="24" t="s">
        <v>320</v>
      </c>
      <c r="F356" s="24" t="s">
        <v>373</v>
      </c>
      <c r="G356" s="69" t="s">
        <v>374</v>
      </c>
      <c r="H356" s="24">
        <v>1</v>
      </c>
      <c r="I356" s="69"/>
      <c r="J356" s="24" t="s">
        <v>3323</v>
      </c>
      <c r="K356" s="24" t="s">
        <v>375</v>
      </c>
      <c r="M356" s="75" t="s">
        <v>15</v>
      </c>
      <c r="N356" s="75"/>
      <c r="O356" s="75"/>
      <c r="P356" s="75"/>
      <c r="Q356" s="75"/>
      <c r="R356" s="75"/>
      <c r="Z356" s="69"/>
      <c r="AA356" s="69"/>
      <c r="AB356" s="69"/>
      <c r="AC356" s="69"/>
    </row>
    <row r="357" spans="1:31" s="26" customFormat="1" x14ac:dyDescent="0.3">
      <c r="A357" s="25" t="s">
        <v>3962</v>
      </c>
      <c r="B357" s="25"/>
      <c r="C357" s="26" t="s">
        <v>3005</v>
      </c>
      <c r="D357" s="70"/>
      <c r="G357" s="70" t="s">
        <v>374</v>
      </c>
      <c r="H357" s="26">
        <v>-1</v>
      </c>
      <c r="I357" s="70" t="s">
        <v>3963</v>
      </c>
      <c r="J357" s="26" t="s">
        <v>3323</v>
      </c>
      <c r="K357" s="26" t="s">
        <v>3964</v>
      </c>
      <c r="L357" s="26" t="s">
        <v>10098</v>
      </c>
      <c r="M357" s="76"/>
      <c r="N357" s="76"/>
      <c r="O357" s="76"/>
      <c r="P357" s="76"/>
      <c r="Q357" s="76"/>
      <c r="R357" s="76"/>
      <c r="Z357" s="70"/>
      <c r="AA357" s="70"/>
      <c r="AB357" s="70"/>
      <c r="AC357" s="70"/>
    </row>
    <row r="358" spans="1:31" s="26" customFormat="1" x14ac:dyDescent="0.3">
      <c r="A358" s="25" t="s">
        <v>3965</v>
      </c>
      <c r="B358" s="25"/>
      <c r="C358" s="26" t="s">
        <v>3005</v>
      </c>
      <c r="D358" s="70"/>
      <c r="G358" s="70" t="s">
        <v>374</v>
      </c>
      <c r="H358" s="26">
        <v>2</v>
      </c>
      <c r="I358" s="70" t="s">
        <v>3966</v>
      </c>
      <c r="J358" s="26" t="s">
        <v>3967</v>
      </c>
      <c r="K358" s="26" t="s">
        <v>3968</v>
      </c>
      <c r="L358" s="26" t="s">
        <v>10099</v>
      </c>
      <c r="M358" s="76"/>
      <c r="N358" s="76"/>
      <c r="O358" s="76"/>
      <c r="P358" s="76"/>
      <c r="Q358" s="76"/>
      <c r="R358" s="76"/>
      <c r="Z358" s="70"/>
      <c r="AA358" s="70"/>
      <c r="AB358" s="70"/>
      <c r="AC358" s="70"/>
    </row>
    <row r="359" spans="1:31" s="26" customFormat="1" x14ac:dyDescent="0.3">
      <c r="A359" s="25" t="s">
        <v>3969</v>
      </c>
      <c r="B359" s="25"/>
      <c r="C359" s="26" t="s">
        <v>3005</v>
      </c>
      <c r="D359" s="70"/>
      <c r="G359" s="70" t="s">
        <v>374</v>
      </c>
      <c r="H359" s="26">
        <v>-1</v>
      </c>
      <c r="I359" s="70" t="s">
        <v>3970</v>
      </c>
      <c r="J359" s="26" t="s">
        <v>3971</v>
      </c>
      <c r="K359" s="26" t="s">
        <v>3972</v>
      </c>
      <c r="L359" s="26" t="s">
        <v>10100</v>
      </c>
      <c r="M359" s="76"/>
      <c r="N359" s="76"/>
      <c r="O359" s="76"/>
      <c r="P359" s="76"/>
      <c r="Q359" s="76"/>
      <c r="R359" s="76"/>
      <c r="Z359" s="70"/>
      <c r="AA359" s="70"/>
      <c r="AB359" s="70"/>
      <c r="AC359" s="70"/>
    </row>
    <row r="360" spans="1:31" s="26" customFormat="1" x14ac:dyDescent="0.3">
      <c r="A360" s="25" t="s">
        <v>3973</v>
      </c>
      <c r="B360" s="25"/>
      <c r="C360" s="26" t="s">
        <v>3005</v>
      </c>
      <c r="D360" s="70"/>
      <c r="G360" s="70" t="s">
        <v>374</v>
      </c>
      <c r="H360" s="26">
        <v>-1</v>
      </c>
      <c r="I360" s="70" t="s">
        <v>3058</v>
      </c>
      <c r="J360" s="26" t="s">
        <v>3974</v>
      </c>
      <c r="K360" s="26" t="s">
        <v>3363</v>
      </c>
      <c r="L360" s="26" t="s">
        <v>10006</v>
      </c>
      <c r="M360" s="76"/>
      <c r="N360" s="76"/>
      <c r="O360" s="76"/>
      <c r="P360" s="76"/>
      <c r="Q360" s="76"/>
      <c r="R360" s="76"/>
      <c r="Z360" s="70"/>
      <c r="AA360" s="70"/>
      <c r="AB360" s="70"/>
      <c r="AC360" s="70"/>
    </row>
    <row r="361" spans="1:31" s="24" customFormat="1" x14ac:dyDescent="0.3">
      <c r="A361" s="23">
        <v>112</v>
      </c>
      <c r="B361" s="23">
        <v>108</v>
      </c>
      <c r="C361" s="24" t="s">
        <v>2165</v>
      </c>
      <c r="D361" s="69" t="s">
        <v>321</v>
      </c>
      <c r="E361" s="24" t="s">
        <v>320</v>
      </c>
      <c r="F361" s="24" t="s">
        <v>376</v>
      </c>
      <c r="G361" s="69" t="s">
        <v>377</v>
      </c>
      <c r="I361" s="69"/>
      <c r="J361" s="24" t="s">
        <v>3662</v>
      </c>
      <c r="K361" s="24" t="s">
        <v>378</v>
      </c>
      <c r="L361" s="24" t="s">
        <v>9702</v>
      </c>
      <c r="M361" s="75" t="s">
        <v>15</v>
      </c>
      <c r="N361" s="75"/>
      <c r="O361" s="75"/>
      <c r="P361" s="75"/>
      <c r="Q361" s="75"/>
      <c r="R361" s="75"/>
      <c r="V361" s="24" t="s">
        <v>2294</v>
      </c>
      <c r="W361" s="24" t="s">
        <v>2294</v>
      </c>
      <c r="Y361" s="24" t="s">
        <v>2295</v>
      </c>
      <c r="Z361" s="69"/>
      <c r="AA361" s="69"/>
      <c r="AB361" s="69"/>
      <c r="AC361" s="69"/>
    </row>
    <row r="362" spans="1:31" s="24" customFormat="1" x14ac:dyDescent="0.3">
      <c r="A362" s="23">
        <v>113</v>
      </c>
      <c r="B362" s="23">
        <v>109</v>
      </c>
      <c r="C362" s="24" t="s">
        <v>2165</v>
      </c>
      <c r="D362" s="69" t="s">
        <v>321</v>
      </c>
      <c r="E362" s="24" t="s">
        <v>320</v>
      </c>
      <c r="F362" s="24" t="s">
        <v>379</v>
      </c>
      <c r="G362" s="69" t="s">
        <v>380</v>
      </c>
      <c r="I362" s="69"/>
      <c r="J362" s="24" t="s">
        <v>3447</v>
      </c>
      <c r="K362" s="24" t="s">
        <v>43</v>
      </c>
      <c r="L362" s="24" t="s">
        <v>9703</v>
      </c>
      <c r="M362" s="75" t="s">
        <v>15</v>
      </c>
      <c r="N362" s="75"/>
      <c r="O362" s="75" t="s">
        <v>58</v>
      </c>
      <c r="P362" s="75" t="s">
        <v>58</v>
      </c>
      <c r="Q362" s="75" t="s">
        <v>66</v>
      </c>
      <c r="R362" s="75"/>
      <c r="V362" s="24" t="s">
        <v>2296</v>
      </c>
      <c r="W362" s="24" t="s">
        <v>2297</v>
      </c>
      <c r="Y362" s="24" t="s">
        <v>2298</v>
      </c>
      <c r="Z362" s="69"/>
      <c r="AA362" s="69"/>
      <c r="AB362" s="69" t="s">
        <v>2299</v>
      </c>
      <c r="AC362" s="69" t="s">
        <v>11369</v>
      </c>
    </row>
    <row r="363" spans="1:31" s="24" customFormat="1" x14ac:dyDescent="0.3">
      <c r="A363" s="23">
        <v>114</v>
      </c>
      <c r="B363" s="23">
        <v>110</v>
      </c>
      <c r="C363" s="24" t="s">
        <v>2165</v>
      </c>
      <c r="D363" s="69" t="s">
        <v>321</v>
      </c>
      <c r="E363" s="24" t="s">
        <v>320</v>
      </c>
      <c r="F363" s="24" t="s">
        <v>381</v>
      </c>
      <c r="G363" s="69" t="s">
        <v>382</v>
      </c>
      <c r="I363" s="69"/>
      <c r="J363" s="24" t="s">
        <v>3662</v>
      </c>
      <c r="K363" s="24" t="s">
        <v>383</v>
      </c>
      <c r="L363" s="24" t="s">
        <v>9704</v>
      </c>
      <c r="M363" s="75" t="s">
        <v>50</v>
      </c>
      <c r="N363" s="75"/>
      <c r="O363" s="75"/>
      <c r="P363" s="75"/>
      <c r="Q363" s="75"/>
      <c r="R363" s="75"/>
      <c r="U363" s="24" t="s">
        <v>2209</v>
      </c>
      <c r="W363" s="24" t="s">
        <v>2300</v>
      </c>
      <c r="Z363" s="69"/>
      <c r="AA363" s="69"/>
      <c r="AB363" s="69"/>
      <c r="AC363" s="69"/>
      <c r="AD363" s="24" t="s">
        <v>123</v>
      </c>
    </row>
    <row r="364" spans="1:31" s="24" customFormat="1" x14ac:dyDescent="0.3">
      <c r="A364" s="23">
        <v>115</v>
      </c>
      <c r="B364" s="23">
        <v>111</v>
      </c>
      <c r="C364" s="24" t="s">
        <v>2165</v>
      </c>
      <c r="D364" s="69" t="s">
        <v>321</v>
      </c>
      <c r="E364" s="24" t="s">
        <v>320</v>
      </c>
      <c r="F364" s="24" t="s">
        <v>384</v>
      </c>
      <c r="G364" s="69" t="s">
        <v>385</v>
      </c>
      <c r="I364" s="69"/>
      <c r="J364" s="24" t="s">
        <v>3975</v>
      </c>
      <c r="K364" s="24" t="s">
        <v>386</v>
      </c>
      <c r="M364" s="75" t="s">
        <v>331</v>
      </c>
      <c r="N364" s="75"/>
      <c r="O364" s="75"/>
      <c r="P364" s="75"/>
      <c r="Q364" s="75"/>
      <c r="R364" s="75"/>
      <c r="T364" s="24" t="s">
        <v>2179</v>
      </c>
      <c r="V364" s="24" t="s">
        <v>2301</v>
      </c>
      <c r="Y364" s="24" t="s">
        <v>2302</v>
      </c>
      <c r="Z364" s="69"/>
      <c r="AA364" s="69"/>
      <c r="AB364" s="69"/>
      <c r="AC364" s="69"/>
      <c r="AD364" s="24" t="s">
        <v>11316</v>
      </c>
      <c r="AE364" s="24" t="s">
        <v>2303</v>
      </c>
    </row>
    <row r="365" spans="1:31" s="26" customFormat="1" x14ac:dyDescent="0.3">
      <c r="A365" s="25" t="s">
        <v>3976</v>
      </c>
      <c r="B365" s="25"/>
      <c r="C365" s="26" t="s">
        <v>3005</v>
      </c>
      <c r="D365" s="70"/>
      <c r="G365" s="70" t="s">
        <v>385</v>
      </c>
      <c r="H365" s="26">
        <v>-1</v>
      </c>
      <c r="I365" s="70" t="s">
        <v>3977</v>
      </c>
      <c r="J365" s="26" t="s">
        <v>3975</v>
      </c>
      <c r="K365" s="26" t="s">
        <v>3978</v>
      </c>
      <c r="L365" s="26" t="s">
        <v>10101</v>
      </c>
      <c r="M365" s="76"/>
      <c r="N365" s="76"/>
      <c r="O365" s="76"/>
      <c r="P365" s="76"/>
      <c r="Q365" s="76"/>
      <c r="R365" s="76"/>
      <c r="U365" s="26" t="s">
        <v>3979</v>
      </c>
      <c r="Z365" s="70"/>
      <c r="AA365" s="70"/>
      <c r="AB365" s="70"/>
      <c r="AC365" s="70"/>
    </row>
    <row r="366" spans="1:31" s="26" customFormat="1" x14ac:dyDescent="0.3">
      <c r="A366" s="25" t="s">
        <v>3980</v>
      </c>
      <c r="B366" s="25"/>
      <c r="C366" s="26" t="s">
        <v>3005</v>
      </c>
      <c r="D366" s="70"/>
      <c r="G366" s="70" t="s">
        <v>385</v>
      </c>
      <c r="H366" s="26">
        <v>-1</v>
      </c>
      <c r="I366" s="70" t="s">
        <v>3981</v>
      </c>
      <c r="J366" s="26" t="s">
        <v>3982</v>
      </c>
      <c r="K366" s="26" t="s">
        <v>3983</v>
      </c>
      <c r="L366" s="26" t="s">
        <v>10102</v>
      </c>
      <c r="M366" s="76"/>
      <c r="N366" s="76"/>
      <c r="O366" s="76"/>
      <c r="P366" s="76"/>
      <c r="Q366" s="76"/>
      <c r="R366" s="76"/>
      <c r="Z366" s="70"/>
      <c r="AA366" s="70"/>
      <c r="AB366" s="70"/>
      <c r="AC366" s="70"/>
    </row>
    <row r="367" spans="1:31" s="26" customFormat="1" x14ac:dyDescent="0.3">
      <c r="A367" s="25" t="s">
        <v>3984</v>
      </c>
      <c r="B367" s="25"/>
      <c r="C367" s="26" t="s">
        <v>3005</v>
      </c>
      <c r="D367" s="70"/>
      <c r="G367" s="70" t="s">
        <v>385</v>
      </c>
      <c r="H367" s="26">
        <v>-1</v>
      </c>
      <c r="I367" s="70" t="s">
        <v>3985</v>
      </c>
      <c r="J367" s="26" t="s">
        <v>3986</v>
      </c>
      <c r="K367" s="26" t="s">
        <v>3987</v>
      </c>
      <c r="L367" s="26" t="s">
        <v>10103</v>
      </c>
      <c r="M367" s="76"/>
      <c r="N367" s="76"/>
      <c r="O367" s="76"/>
      <c r="P367" s="76"/>
      <c r="Q367" s="76"/>
      <c r="R367" s="76"/>
      <c r="Z367" s="70"/>
      <c r="AA367" s="70"/>
      <c r="AB367" s="70"/>
      <c r="AC367" s="70"/>
    </row>
    <row r="368" spans="1:31" s="24" customFormat="1" x14ac:dyDescent="0.3">
      <c r="A368" s="23">
        <v>116</v>
      </c>
      <c r="B368" s="23">
        <v>112</v>
      </c>
      <c r="C368" s="24" t="s">
        <v>2165</v>
      </c>
      <c r="D368" s="69" t="s">
        <v>388</v>
      </c>
      <c r="E368" s="24" t="s">
        <v>387</v>
      </c>
      <c r="F368" s="24" t="s">
        <v>389</v>
      </c>
      <c r="G368" s="69" t="s">
        <v>390</v>
      </c>
      <c r="I368" s="69"/>
      <c r="J368" s="24" t="s">
        <v>3364</v>
      </c>
      <c r="K368" s="24" t="s">
        <v>391</v>
      </c>
      <c r="L368" s="24" t="s">
        <v>9705</v>
      </c>
      <c r="M368" s="75" t="s">
        <v>10</v>
      </c>
      <c r="N368" s="75"/>
      <c r="O368" s="75"/>
      <c r="P368" s="75"/>
      <c r="Q368" s="75"/>
      <c r="R368" s="75"/>
      <c r="Z368" s="69"/>
      <c r="AA368" s="69"/>
      <c r="AB368" s="69"/>
      <c r="AC368" s="69"/>
    </row>
    <row r="369" spans="1:31" s="24" customFormat="1" x14ac:dyDescent="0.3">
      <c r="A369" s="23">
        <v>117</v>
      </c>
      <c r="B369" s="23">
        <v>113</v>
      </c>
      <c r="C369" s="24" t="s">
        <v>2165</v>
      </c>
      <c r="D369" s="69" t="s">
        <v>388</v>
      </c>
      <c r="E369" s="24" t="s">
        <v>387</v>
      </c>
      <c r="F369" s="24" t="s">
        <v>392</v>
      </c>
      <c r="G369" s="69" t="s">
        <v>393</v>
      </c>
      <c r="H369" s="24">
        <v>2</v>
      </c>
      <c r="I369" s="69"/>
      <c r="J369" s="24" t="s">
        <v>3988</v>
      </c>
      <c r="K369" s="24" t="s">
        <v>43</v>
      </c>
      <c r="M369" s="75" t="s">
        <v>15</v>
      </c>
      <c r="N369" s="75"/>
      <c r="O369" s="75"/>
      <c r="P369" s="75"/>
      <c r="Q369" s="75"/>
      <c r="R369" s="75"/>
      <c r="Z369" s="69"/>
      <c r="AA369" s="69"/>
      <c r="AB369" s="69"/>
      <c r="AC369" s="69"/>
    </row>
    <row r="370" spans="1:31" s="26" customFormat="1" x14ac:dyDescent="0.3">
      <c r="A370" s="25" t="s">
        <v>3989</v>
      </c>
      <c r="B370" s="25"/>
      <c r="C370" s="26" t="s">
        <v>3005</v>
      </c>
      <c r="D370" s="70"/>
      <c r="G370" s="70" t="s">
        <v>393</v>
      </c>
      <c r="H370" s="26">
        <v>-1</v>
      </c>
      <c r="I370" s="70" t="s">
        <v>3990</v>
      </c>
      <c r="J370" s="26" t="s">
        <v>3991</v>
      </c>
      <c r="K370" s="26" t="s">
        <v>3992</v>
      </c>
      <c r="L370" s="26" t="s">
        <v>10104</v>
      </c>
      <c r="M370" s="76"/>
      <c r="N370" s="76"/>
      <c r="O370" s="76"/>
      <c r="P370" s="76"/>
      <c r="Q370" s="76"/>
      <c r="R370" s="76"/>
      <c r="Z370" s="70"/>
      <c r="AA370" s="70"/>
      <c r="AB370" s="70"/>
      <c r="AC370" s="70"/>
    </row>
    <row r="371" spans="1:31" s="26" customFormat="1" x14ac:dyDescent="0.3">
      <c r="A371" s="25" t="s">
        <v>3993</v>
      </c>
      <c r="B371" s="25"/>
      <c r="C371" s="26" t="s">
        <v>3005</v>
      </c>
      <c r="D371" s="70"/>
      <c r="G371" s="70" t="s">
        <v>393</v>
      </c>
      <c r="H371" s="26">
        <v>-1</v>
      </c>
      <c r="I371" s="70" t="s">
        <v>3994</v>
      </c>
      <c r="J371" s="26" t="s">
        <v>3995</v>
      </c>
      <c r="K371" s="26" t="s">
        <v>3996</v>
      </c>
      <c r="L371" s="26" t="s">
        <v>10105</v>
      </c>
      <c r="M371" s="76"/>
      <c r="N371" s="76"/>
      <c r="O371" s="76"/>
      <c r="P371" s="76"/>
      <c r="Q371" s="76"/>
      <c r="R371" s="76"/>
      <c r="Z371" s="70"/>
      <c r="AA371" s="70"/>
      <c r="AB371" s="70"/>
      <c r="AC371" s="70"/>
    </row>
    <row r="372" spans="1:31" s="26" customFormat="1" x14ac:dyDescent="0.3">
      <c r="A372" s="25" t="s">
        <v>3997</v>
      </c>
      <c r="B372" s="25"/>
      <c r="C372" s="26" t="s">
        <v>3005</v>
      </c>
      <c r="D372" s="70"/>
      <c r="G372" s="70" t="s">
        <v>393</v>
      </c>
      <c r="H372" s="26">
        <v>-1</v>
      </c>
      <c r="I372" s="70" t="s">
        <v>3998</v>
      </c>
      <c r="J372" s="26" t="s">
        <v>3999</v>
      </c>
      <c r="K372" s="26" t="s">
        <v>4000</v>
      </c>
      <c r="L372" s="26" t="s">
        <v>10106</v>
      </c>
      <c r="M372" s="76"/>
      <c r="N372" s="76"/>
      <c r="O372" s="76"/>
      <c r="P372" s="76"/>
      <c r="Q372" s="76"/>
      <c r="R372" s="76"/>
      <c r="Z372" s="70"/>
      <c r="AA372" s="70"/>
      <c r="AB372" s="70"/>
      <c r="AC372" s="70"/>
    </row>
    <row r="373" spans="1:31" s="26" customFormat="1" x14ac:dyDescent="0.3">
      <c r="A373" s="25" t="s">
        <v>4001</v>
      </c>
      <c r="B373" s="25"/>
      <c r="C373" s="26" t="s">
        <v>3005</v>
      </c>
      <c r="D373" s="70"/>
      <c r="G373" s="70" t="s">
        <v>393</v>
      </c>
      <c r="H373" s="26">
        <v>2</v>
      </c>
      <c r="I373" s="70" t="s">
        <v>4002</v>
      </c>
      <c r="J373" s="26" t="s">
        <v>4003</v>
      </c>
      <c r="K373" s="26" t="s">
        <v>4004</v>
      </c>
      <c r="L373" s="26" t="s">
        <v>10107</v>
      </c>
      <c r="M373" s="76"/>
      <c r="N373" s="76"/>
      <c r="O373" s="76"/>
      <c r="P373" s="76"/>
      <c r="Q373" s="76"/>
      <c r="R373" s="76"/>
      <c r="Z373" s="70"/>
      <c r="AA373" s="70"/>
      <c r="AB373" s="70"/>
      <c r="AC373" s="70"/>
    </row>
    <row r="374" spans="1:31" s="26" customFormat="1" x14ac:dyDescent="0.3">
      <c r="A374" s="25" t="s">
        <v>4005</v>
      </c>
      <c r="B374" s="25"/>
      <c r="C374" s="26" t="s">
        <v>3005</v>
      </c>
      <c r="D374" s="70"/>
      <c r="G374" s="70" t="s">
        <v>393</v>
      </c>
      <c r="H374" s="26">
        <v>-1</v>
      </c>
      <c r="I374" s="70" t="s">
        <v>4006</v>
      </c>
      <c r="J374" s="26" t="s">
        <v>4007</v>
      </c>
      <c r="K374" s="26" t="s">
        <v>4008</v>
      </c>
      <c r="L374" s="26" t="s">
        <v>10108</v>
      </c>
      <c r="M374" s="76"/>
      <c r="N374" s="76"/>
      <c r="O374" s="76"/>
      <c r="P374" s="76"/>
      <c r="Q374" s="76"/>
      <c r="R374" s="76"/>
      <c r="Z374" s="70"/>
      <c r="AA374" s="70"/>
      <c r="AB374" s="70"/>
      <c r="AC374" s="70"/>
    </row>
    <row r="375" spans="1:31" s="26" customFormat="1" x14ac:dyDescent="0.3">
      <c r="A375" s="25" t="s">
        <v>4009</v>
      </c>
      <c r="B375" s="25"/>
      <c r="C375" s="26" t="s">
        <v>3005</v>
      </c>
      <c r="D375" s="70"/>
      <c r="G375" s="70" t="s">
        <v>393</v>
      </c>
      <c r="H375" s="26">
        <v>2</v>
      </c>
      <c r="I375" s="70" t="s">
        <v>4010</v>
      </c>
      <c r="J375" s="26" t="s">
        <v>3988</v>
      </c>
      <c r="K375" s="26" t="s">
        <v>4011</v>
      </c>
      <c r="L375" s="26" t="s">
        <v>10109</v>
      </c>
      <c r="M375" s="76"/>
      <c r="N375" s="76"/>
      <c r="O375" s="76"/>
      <c r="P375" s="76"/>
      <c r="Q375" s="76"/>
      <c r="R375" s="76"/>
      <c r="Z375" s="70"/>
      <c r="AA375" s="70"/>
      <c r="AB375" s="70"/>
      <c r="AC375" s="70"/>
    </row>
    <row r="376" spans="1:31" s="26" customFormat="1" x14ac:dyDescent="0.3">
      <c r="A376" s="25" t="s">
        <v>4012</v>
      </c>
      <c r="B376" s="25"/>
      <c r="C376" s="26" t="s">
        <v>3005</v>
      </c>
      <c r="D376" s="70"/>
      <c r="G376" s="70" t="s">
        <v>393</v>
      </c>
      <c r="H376" s="26">
        <v>-1</v>
      </c>
      <c r="I376" s="70" t="s">
        <v>4013</v>
      </c>
      <c r="J376" s="26" t="s">
        <v>4014</v>
      </c>
      <c r="K376" s="26" t="s">
        <v>4015</v>
      </c>
      <c r="L376" s="26" t="s">
        <v>10110</v>
      </c>
      <c r="M376" s="76"/>
      <c r="N376" s="76"/>
      <c r="O376" s="76"/>
      <c r="P376" s="76"/>
      <c r="Q376" s="76"/>
      <c r="R376" s="76"/>
      <c r="Z376" s="70"/>
      <c r="AA376" s="70"/>
      <c r="AB376" s="70"/>
      <c r="AC376" s="70"/>
    </row>
    <row r="377" spans="1:31" s="24" customFormat="1" x14ac:dyDescent="0.3">
      <c r="A377" s="23">
        <v>118</v>
      </c>
      <c r="B377" s="23">
        <v>114</v>
      </c>
      <c r="C377" s="24" t="s">
        <v>2165</v>
      </c>
      <c r="D377" s="69" t="s">
        <v>388</v>
      </c>
      <c r="E377" s="24" t="s">
        <v>387</v>
      </c>
      <c r="F377" s="24" t="s">
        <v>394</v>
      </c>
      <c r="G377" s="69" t="s">
        <v>395</v>
      </c>
      <c r="I377" s="69"/>
      <c r="J377" s="24" t="s">
        <v>4016</v>
      </c>
      <c r="K377" s="24" t="s">
        <v>68</v>
      </c>
      <c r="L377" s="24" t="s">
        <v>9706</v>
      </c>
      <c r="M377" s="75" t="s">
        <v>65</v>
      </c>
      <c r="N377" s="75" t="s">
        <v>2018</v>
      </c>
      <c r="O377" s="75" t="s">
        <v>66</v>
      </c>
      <c r="P377" s="75" t="s">
        <v>66</v>
      </c>
      <c r="Q377" s="75" t="s">
        <v>67</v>
      </c>
      <c r="R377" s="75"/>
      <c r="V377" s="24" t="s">
        <v>2171</v>
      </c>
      <c r="Z377" s="69"/>
      <c r="AA377" s="69"/>
      <c r="AB377" s="69"/>
      <c r="AC377" s="69"/>
      <c r="AD377" s="24" t="s">
        <v>11317</v>
      </c>
    </row>
    <row r="378" spans="1:31" s="24" customFormat="1" x14ac:dyDescent="0.3">
      <c r="A378" s="23">
        <v>119</v>
      </c>
      <c r="B378" s="23">
        <v>115</v>
      </c>
      <c r="C378" s="24" t="s">
        <v>2165</v>
      </c>
      <c r="D378" s="69" t="s">
        <v>388</v>
      </c>
      <c r="E378" s="24" t="s">
        <v>387</v>
      </c>
      <c r="F378" s="24" t="s">
        <v>396</v>
      </c>
      <c r="G378" s="69" t="s">
        <v>397</v>
      </c>
      <c r="H378" s="24">
        <v>1</v>
      </c>
      <c r="I378" s="69"/>
      <c r="J378" s="24" t="s">
        <v>3174</v>
      </c>
      <c r="K378" s="24" t="s">
        <v>398</v>
      </c>
      <c r="M378" s="75" t="s">
        <v>15</v>
      </c>
      <c r="N378" s="75"/>
      <c r="O378" s="75"/>
      <c r="P378" s="75"/>
      <c r="Q378" s="75"/>
      <c r="R378" s="75"/>
      <c r="Z378" s="69"/>
      <c r="AA378" s="69"/>
      <c r="AB378" s="69" t="s">
        <v>2304</v>
      </c>
      <c r="AC378" s="69"/>
    </row>
    <row r="379" spans="1:31" s="26" customFormat="1" x14ac:dyDescent="0.3">
      <c r="A379" s="25" t="s">
        <v>4017</v>
      </c>
      <c r="B379" s="25"/>
      <c r="C379" s="26" t="s">
        <v>3005</v>
      </c>
      <c r="D379" s="70"/>
      <c r="G379" s="70" t="s">
        <v>397</v>
      </c>
      <c r="H379" s="26">
        <v>2</v>
      </c>
      <c r="I379" s="70" t="s">
        <v>3689</v>
      </c>
      <c r="J379" s="26" t="s">
        <v>3174</v>
      </c>
      <c r="K379" s="26" t="s">
        <v>2015</v>
      </c>
      <c r="L379" s="26" t="s">
        <v>9660</v>
      </c>
      <c r="M379" s="76"/>
      <c r="N379" s="76"/>
      <c r="O379" s="76"/>
      <c r="P379" s="76"/>
      <c r="Q379" s="76"/>
      <c r="R379" s="76"/>
      <c r="Z379" s="70"/>
      <c r="AA379" s="70"/>
      <c r="AB379" s="70"/>
      <c r="AC379" s="70"/>
    </row>
    <row r="380" spans="1:31" s="26" customFormat="1" x14ac:dyDescent="0.3">
      <c r="A380" s="25" t="s">
        <v>4018</v>
      </c>
      <c r="B380" s="25"/>
      <c r="C380" s="26" t="s">
        <v>3005</v>
      </c>
      <c r="D380" s="70"/>
      <c r="G380" s="70" t="s">
        <v>397</v>
      </c>
      <c r="H380" s="26">
        <v>-1</v>
      </c>
      <c r="I380" s="70" t="s">
        <v>3723</v>
      </c>
      <c r="J380" s="26" t="s">
        <v>4019</v>
      </c>
      <c r="K380" s="26" t="s">
        <v>4020</v>
      </c>
      <c r="L380" s="26" t="s">
        <v>10111</v>
      </c>
      <c r="M380" s="76"/>
      <c r="N380" s="76"/>
      <c r="O380" s="76"/>
      <c r="P380" s="76"/>
      <c r="Q380" s="76"/>
      <c r="R380" s="76"/>
      <c r="Z380" s="70"/>
      <c r="AA380" s="70"/>
      <c r="AB380" s="70"/>
      <c r="AC380" s="70"/>
    </row>
    <row r="381" spans="1:31" s="26" customFormat="1" x14ac:dyDescent="0.3">
      <c r="A381" s="25" t="s">
        <v>4021</v>
      </c>
      <c r="B381" s="25"/>
      <c r="C381" s="26" t="s">
        <v>3005</v>
      </c>
      <c r="D381" s="70"/>
      <c r="G381" s="70" t="s">
        <v>397</v>
      </c>
      <c r="H381" s="26">
        <v>-1</v>
      </c>
      <c r="I381" s="70" t="s">
        <v>4022</v>
      </c>
      <c r="J381" s="26" t="s">
        <v>4023</v>
      </c>
      <c r="K381" s="26" t="s">
        <v>4024</v>
      </c>
      <c r="L381" s="26" t="s">
        <v>10112</v>
      </c>
      <c r="M381" s="76"/>
      <c r="N381" s="76"/>
      <c r="O381" s="76"/>
      <c r="P381" s="76"/>
      <c r="Q381" s="76"/>
      <c r="R381" s="76"/>
      <c r="Z381" s="70"/>
      <c r="AA381" s="70"/>
      <c r="AB381" s="70"/>
      <c r="AC381" s="70"/>
    </row>
    <row r="382" spans="1:31" s="26" customFormat="1" x14ac:dyDescent="0.3">
      <c r="A382" s="25" t="s">
        <v>4025</v>
      </c>
      <c r="B382" s="25"/>
      <c r="C382" s="26" t="s">
        <v>3005</v>
      </c>
      <c r="D382" s="70"/>
      <c r="G382" s="70" t="s">
        <v>397</v>
      </c>
      <c r="H382" s="26">
        <v>-1</v>
      </c>
      <c r="I382" s="70" t="s">
        <v>4026</v>
      </c>
      <c r="J382" s="26" t="s">
        <v>4027</v>
      </c>
      <c r="K382" s="26" t="s">
        <v>4028</v>
      </c>
      <c r="L382" s="26" t="s">
        <v>10113</v>
      </c>
      <c r="M382" s="76"/>
      <c r="N382" s="76"/>
      <c r="O382" s="76"/>
      <c r="P382" s="76"/>
      <c r="Q382" s="76"/>
      <c r="R382" s="76"/>
      <c r="Z382" s="70"/>
      <c r="AA382" s="70"/>
      <c r="AB382" s="70"/>
      <c r="AC382" s="70"/>
    </row>
    <row r="383" spans="1:31" s="26" customFormat="1" x14ac:dyDescent="0.3">
      <c r="A383" s="25" t="s">
        <v>4029</v>
      </c>
      <c r="B383" s="25"/>
      <c r="C383" s="26" t="s">
        <v>3005</v>
      </c>
      <c r="D383" s="70"/>
      <c r="G383" s="70" t="s">
        <v>397</v>
      </c>
      <c r="H383" s="26">
        <v>-1</v>
      </c>
      <c r="I383" s="70" t="s">
        <v>4030</v>
      </c>
      <c r="J383" s="26" t="s">
        <v>4031</v>
      </c>
      <c r="K383" s="26" t="s">
        <v>4032</v>
      </c>
      <c r="L383" s="26" t="s">
        <v>10114</v>
      </c>
      <c r="M383" s="76"/>
      <c r="N383" s="76"/>
      <c r="O383" s="76"/>
      <c r="P383" s="76"/>
      <c r="Q383" s="76"/>
      <c r="R383" s="76"/>
      <c r="T383" s="26" t="s">
        <v>2200</v>
      </c>
      <c r="Z383" s="70"/>
      <c r="AA383" s="70"/>
      <c r="AB383" s="70"/>
      <c r="AC383" s="70"/>
      <c r="AE383" s="26" t="s">
        <v>4033</v>
      </c>
    </row>
    <row r="384" spans="1:31" s="24" customFormat="1" x14ac:dyDescent="0.3">
      <c r="A384" s="23">
        <v>120</v>
      </c>
      <c r="B384" s="23">
        <v>116</v>
      </c>
      <c r="C384" s="24" t="s">
        <v>2165</v>
      </c>
      <c r="D384" s="69" t="s">
        <v>388</v>
      </c>
      <c r="E384" s="24" t="s">
        <v>387</v>
      </c>
      <c r="F384" s="24" t="s">
        <v>399</v>
      </c>
      <c r="G384" s="69" t="s">
        <v>400</v>
      </c>
      <c r="H384" s="24">
        <v>1</v>
      </c>
      <c r="I384" s="69"/>
      <c r="J384" s="24" t="s">
        <v>3174</v>
      </c>
      <c r="K384" s="24" t="s">
        <v>401</v>
      </c>
      <c r="M384" s="75" t="s">
        <v>15</v>
      </c>
      <c r="N384" s="75"/>
      <c r="O384" s="75"/>
      <c r="P384" s="75"/>
      <c r="Q384" s="75"/>
      <c r="R384" s="75"/>
      <c r="Z384" s="69"/>
      <c r="AA384" s="69"/>
      <c r="AB384" s="69" t="s">
        <v>2305</v>
      </c>
      <c r="AC384" s="69"/>
    </row>
    <row r="385" spans="1:29" s="26" customFormat="1" x14ac:dyDescent="0.3">
      <c r="A385" s="25" t="s">
        <v>4034</v>
      </c>
      <c r="B385" s="25"/>
      <c r="C385" s="26" t="s">
        <v>3005</v>
      </c>
      <c r="D385" s="70"/>
      <c r="G385" s="70" t="s">
        <v>400</v>
      </c>
      <c r="H385" s="26">
        <v>-1</v>
      </c>
      <c r="I385" s="70" t="s">
        <v>4035</v>
      </c>
      <c r="J385" s="26" t="s">
        <v>4036</v>
      </c>
      <c r="K385" s="26" t="s">
        <v>4037</v>
      </c>
      <c r="L385" s="26" t="s">
        <v>10115</v>
      </c>
      <c r="M385" s="76"/>
      <c r="N385" s="76"/>
      <c r="O385" s="76"/>
      <c r="P385" s="76"/>
      <c r="Q385" s="76"/>
      <c r="R385" s="76"/>
      <c r="Z385" s="70"/>
      <c r="AA385" s="70"/>
      <c r="AB385" s="70"/>
      <c r="AC385" s="70"/>
    </row>
    <row r="386" spans="1:29" s="26" customFormat="1" x14ac:dyDescent="0.3">
      <c r="A386" s="25" t="s">
        <v>4038</v>
      </c>
      <c r="B386" s="25"/>
      <c r="C386" s="26" t="s">
        <v>3005</v>
      </c>
      <c r="D386" s="70"/>
      <c r="G386" s="70" t="s">
        <v>400</v>
      </c>
      <c r="H386" s="26">
        <v>-1</v>
      </c>
      <c r="I386" s="70" t="s">
        <v>4039</v>
      </c>
      <c r="J386" s="26" t="s">
        <v>4040</v>
      </c>
      <c r="K386" s="26" t="s">
        <v>4041</v>
      </c>
      <c r="L386" s="26" t="s">
        <v>10116</v>
      </c>
      <c r="M386" s="76"/>
      <c r="N386" s="76"/>
      <c r="O386" s="76"/>
      <c r="P386" s="76"/>
      <c r="Q386" s="76"/>
      <c r="R386" s="76"/>
      <c r="Z386" s="70"/>
      <c r="AA386" s="70"/>
      <c r="AB386" s="70"/>
      <c r="AC386" s="70"/>
    </row>
    <row r="387" spans="1:29" s="26" customFormat="1" x14ac:dyDescent="0.3">
      <c r="A387" s="25" t="s">
        <v>4042</v>
      </c>
      <c r="B387" s="25"/>
      <c r="C387" s="26" t="s">
        <v>3005</v>
      </c>
      <c r="D387" s="70"/>
      <c r="G387" s="70" t="s">
        <v>400</v>
      </c>
      <c r="H387" s="26">
        <v>-1</v>
      </c>
      <c r="I387" s="70" t="s">
        <v>4043</v>
      </c>
      <c r="J387" s="26" t="s">
        <v>4036</v>
      </c>
      <c r="K387" s="26" t="s">
        <v>4044</v>
      </c>
      <c r="L387" s="26" t="s">
        <v>10117</v>
      </c>
      <c r="M387" s="76"/>
      <c r="N387" s="76"/>
      <c r="O387" s="76"/>
      <c r="P387" s="76"/>
      <c r="Q387" s="76"/>
      <c r="R387" s="76"/>
      <c r="Z387" s="70"/>
      <c r="AA387" s="70"/>
      <c r="AB387" s="70"/>
      <c r="AC387" s="70"/>
    </row>
    <row r="388" spans="1:29" s="26" customFormat="1" x14ac:dyDescent="0.3">
      <c r="A388" s="25" t="s">
        <v>4045</v>
      </c>
      <c r="B388" s="25"/>
      <c r="C388" s="26" t="s">
        <v>3005</v>
      </c>
      <c r="D388" s="70"/>
      <c r="G388" s="70" t="s">
        <v>400</v>
      </c>
      <c r="H388" s="26">
        <v>2</v>
      </c>
      <c r="I388" s="70" t="s">
        <v>3267</v>
      </c>
      <c r="J388" s="26" t="s">
        <v>3174</v>
      </c>
      <c r="K388" s="26" t="s">
        <v>4046</v>
      </c>
      <c r="L388" s="26" t="s">
        <v>10118</v>
      </c>
      <c r="M388" s="76"/>
      <c r="N388" s="76"/>
      <c r="O388" s="76"/>
      <c r="P388" s="76"/>
      <c r="Q388" s="76"/>
      <c r="R388" s="76"/>
      <c r="Z388" s="70"/>
      <c r="AA388" s="70"/>
      <c r="AB388" s="70"/>
      <c r="AC388" s="70"/>
    </row>
    <row r="389" spans="1:29" s="26" customFormat="1" x14ac:dyDescent="0.3">
      <c r="A389" s="25" t="s">
        <v>4047</v>
      </c>
      <c r="B389" s="25"/>
      <c r="C389" s="26" t="s">
        <v>3005</v>
      </c>
      <c r="D389" s="70"/>
      <c r="G389" s="70" t="s">
        <v>400</v>
      </c>
      <c r="H389" s="26">
        <v>-1</v>
      </c>
      <c r="I389" s="70" t="s">
        <v>3393</v>
      </c>
      <c r="J389" s="26" t="s">
        <v>4048</v>
      </c>
      <c r="K389" s="26" t="s">
        <v>4049</v>
      </c>
      <c r="L389" s="26" t="s">
        <v>10119</v>
      </c>
      <c r="M389" s="76"/>
      <c r="N389" s="76"/>
      <c r="O389" s="76"/>
      <c r="P389" s="76"/>
      <c r="Q389" s="76"/>
      <c r="R389" s="76"/>
      <c r="Z389" s="70"/>
      <c r="AA389" s="70"/>
      <c r="AB389" s="70"/>
      <c r="AC389" s="70"/>
    </row>
    <row r="390" spans="1:29" s="26" customFormat="1" x14ac:dyDescent="0.3">
      <c r="A390" s="25" t="s">
        <v>4050</v>
      </c>
      <c r="B390" s="25"/>
      <c r="C390" s="26" t="s">
        <v>3005</v>
      </c>
      <c r="D390" s="70"/>
      <c r="G390" s="70" t="s">
        <v>400</v>
      </c>
      <c r="H390" s="26">
        <v>-1</v>
      </c>
      <c r="I390" s="70" t="s">
        <v>4051</v>
      </c>
      <c r="J390" s="26" t="s">
        <v>4052</v>
      </c>
      <c r="K390" s="26" t="s">
        <v>4053</v>
      </c>
      <c r="L390" s="26" t="s">
        <v>10120</v>
      </c>
      <c r="M390" s="76"/>
      <c r="N390" s="76"/>
      <c r="O390" s="76"/>
      <c r="P390" s="76"/>
      <c r="Q390" s="76"/>
      <c r="R390" s="76"/>
      <c r="Z390" s="70"/>
      <c r="AA390" s="70"/>
      <c r="AB390" s="70"/>
      <c r="AC390" s="70"/>
    </row>
    <row r="391" spans="1:29" s="26" customFormat="1" x14ac:dyDescent="0.3">
      <c r="A391" s="25" t="s">
        <v>4054</v>
      </c>
      <c r="B391" s="25"/>
      <c r="C391" s="26" t="s">
        <v>3005</v>
      </c>
      <c r="D391" s="70"/>
      <c r="G391" s="70" t="s">
        <v>400</v>
      </c>
      <c r="H391" s="26">
        <v>-1</v>
      </c>
      <c r="I391" s="70" t="s">
        <v>4055</v>
      </c>
      <c r="J391" s="26" t="s">
        <v>4056</v>
      </c>
      <c r="K391" s="26" t="s">
        <v>4057</v>
      </c>
      <c r="L391" s="26" t="s">
        <v>10121</v>
      </c>
      <c r="M391" s="76"/>
      <c r="N391" s="76"/>
      <c r="O391" s="76"/>
      <c r="P391" s="76"/>
      <c r="Q391" s="76"/>
      <c r="R391" s="76"/>
      <c r="Z391" s="70"/>
      <c r="AA391" s="70"/>
      <c r="AB391" s="70"/>
      <c r="AC391" s="70"/>
    </row>
    <row r="392" spans="1:29" s="26" customFormat="1" x14ac:dyDescent="0.3">
      <c r="A392" s="25" t="s">
        <v>4058</v>
      </c>
      <c r="B392" s="25"/>
      <c r="C392" s="26" t="s">
        <v>3005</v>
      </c>
      <c r="D392" s="70"/>
      <c r="G392" s="70" t="s">
        <v>400</v>
      </c>
      <c r="H392" s="26">
        <v>-1</v>
      </c>
      <c r="I392" s="70" t="s">
        <v>4059</v>
      </c>
      <c r="J392" s="26" t="s">
        <v>4052</v>
      </c>
      <c r="K392" s="26" t="s">
        <v>4060</v>
      </c>
      <c r="L392" s="26" t="s">
        <v>10122</v>
      </c>
      <c r="M392" s="76"/>
      <c r="N392" s="76"/>
      <c r="O392" s="76"/>
      <c r="P392" s="76"/>
      <c r="Q392" s="76"/>
      <c r="R392" s="76"/>
      <c r="Z392" s="70"/>
      <c r="AA392" s="70"/>
      <c r="AB392" s="70"/>
      <c r="AC392" s="70"/>
    </row>
    <row r="393" spans="1:29" s="26" customFormat="1" x14ac:dyDescent="0.3">
      <c r="A393" s="25" t="s">
        <v>4061</v>
      </c>
      <c r="B393" s="25"/>
      <c r="C393" s="26" t="s">
        <v>3005</v>
      </c>
      <c r="D393" s="70"/>
      <c r="G393" s="70" t="s">
        <v>400</v>
      </c>
      <c r="H393" s="26">
        <v>-1</v>
      </c>
      <c r="I393" s="70" t="s">
        <v>4062</v>
      </c>
      <c r="J393" s="26" t="s">
        <v>4036</v>
      </c>
      <c r="K393" s="26" t="s">
        <v>4063</v>
      </c>
      <c r="L393" s="26" t="s">
        <v>10123</v>
      </c>
      <c r="M393" s="76"/>
      <c r="N393" s="76"/>
      <c r="O393" s="76"/>
      <c r="P393" s="76"/>
      <c r="Q393" s="76"/>
      <c r="R393" s="76"/>
      <c r="Z393" s="70"/>
      <c r="AA393" s="70"/>
      <c r="AB393" s="70"/>
      <c r="AC393" s="70"/>
    </row>
    <row r="394" spans="1:29" s="26" customFormat="1" x14ac:dyDescent="0.3">
      <c r="A394" s="25" t="s">
        <v>4064</v>
      </c>
      <c r="B394" s="25"/>
      <c r="C394" s="26" t="s">
        <v>3005</v>
      </c>
      <c r="D394" s="70"/>
      <c r="G394" s="70" t="s">
        <v>400</v>
      </c>
      <c r="H394" s="26">
        <v>-1</v>
      </c>
      <c r="I394" s="70" t="s">
        <v>4065</v>
      </c>
      <c r="J394" s="26" t="s">
        <v>4066</v>
      </c>
      <c r="K394" s="26" t="s">
        <v>4067</v>
      </c>
      <c r="L394" s="26" t="s">
        <v>10124</v>
      </c>
      <c r="M394" s="76"/>
      <c r="N394" s="76"/>
      <c r="O394" s="76"/>
      <c r="P394" s="76"/>
      <c r="Q394" s="76"/>
      <c r="R394" s="76"/>
      <c r="Z394" s="70"/>
      <c r="AA394" s="70"/>
      <c r="AB394" s="70"/>
      <c r="AC394" s="70"/>
    </row>
    <row r="395" spans="1:29" s="26" customFormat="1" x14ac:dyDescent="0.3">
      <c r="A395" s="25" t="s">
        <v>4068</v>
      </c>
      <c r="B395" s="25"/>
      <c r="C395" s="26" t="s">
        <v>3005</v>
      </c>
      <c r="D395" s="70"/>
      <c r="G395" s="70" t="s">
        <v>400</v>
      </c>
      <c r="H395" s="26">
        <v>-1</v>
      </c>
      <c r="I395" s="70" t="s">
        <v>4069</v>
      </c>
      <c r="J395" s="26" t="s">
        <v>4070</v>
      </c>
      <c r="K395" s="26" t="s">
        <v>3363</v>
      </c>
      <c r="L395" s="26" t="s">
        <v>10006</v>
      </c>
      <c r="M395" s="76"/>
      <c r="N395" s="76"/>
      <c r="O395" s="76"/>
      <c r="P395" s="76"/>
      <c r="Q395" s="76"/>
      <c r="R395" s="76"/>
      <c r="Z395" s="70"/>
      <c r="AA395" s="70"/>
      <c r="AB395" s="70"/>
      <c r="AC395" s="70"/>
    </row>
    <row r="396" spans="1:29" s="26" customFormat="1" x14ac:dyDescent="0.3">
      <c r="A396" s="25" t="s">
        <v>4071</v>
      </c>
      <c r="B396" s="25"/>
      <c r="C396" s="26" t="s">
        <v>3005</v>
      </c>
      <c r="D396" s="70"/>
      <c r="G396" s="70" t="s">
        <v>400</v>
      </c>
      <c r="H396" s="26">
        <v>-1</v>
      </c>
      <c r="I396" s="70" t="s">
        <v>4072</v>
      </c>
      <c r="J396" s="26" t="s">
        <v>4036</v>
      </c>
      <c r="K396" s="26" t="s">
        <v>4073</v>
      </c>
      <c r="L396" s="26" t="s">
        <v>10125</v>
      </c>
      <c r="M396" s="76"/>
      <c r="N396" s="76"/>
      <c r="O396" s="76"/>
      <c r="P396" s="76"/>
      <c r="Q396" s="76"/>
      <c r="R396" s="76"/>
      <c r="Z396" s="70"/>
      <c r="AA396" s="70"/>
      <c r="AB396" s="70"/>
      <c r="AC396" s="70"/>
    </row>
    <row r="397" spans="1:29" s="26" customFormat="1" x14ac:dyDescent="0.3">
      <c r="A397" s="25" t="s">
        <v>4074</v>
      </c>
      <c r="B397" s="25"/>
      <c r="C397" s="26" t="s">
        <v>3005</v>
      </c>
      <c r="D397" s="70"/>
      <c r="G397" s="70" t="s">
        <v>400</v>
      </c>
      <c r="H397" s="26">
        <v>-1</v>
      </c>
      <c r="I397" s="70" t="s">
        <v>4075</v>
      </c>
      <c r="J397" s="26" t="s">
        <v>4036</v>
      </c>
      <c r="K397" s="26" t="s">
        <v>4076</v>
      </c>
      <c r="L397" s="26" t="s">
        <v>10034</v>
      </c>
      <c r="M397" s="76"/>
      <c r="N397" s="76"/>
      <c r="O397" s="76"/>
      <c r="P397" s="76"/>
      <c r="Q397" s="76"/>
      <c r="R397" s="76"/>
      <c r="Z397" s="70"/>
      <c r="AA397" s="70"/>
      <c r="AB397" s="70"/>
      <c r="AC397" s="70"/>
    </row>
    <row r="398" spans="1:29" s="26" customFormat="1" x14ac:dyDescent="0.3">
      <c r="A398" s="25" t="s">
        <v>4077</v>
      </c>
      <c r="B398" s="25"/>
      <c r="C398" s="26" t="s">
        <v>3005</v>
      </c>
      <c r="D398" s="70"/>
      <c r="G398" s="70" t="s">
        <v>400</v>
      </c>
      <c r="H398" s="26">
        <v>-1</v>
      </c>
      <c r="I398" s="70" t="s">
        <v>4078</v>
      </c>
      <c r="J398" s="26" t="s">
        <v>4036</v>
      </c>
      <c r="K398" s="26" t="s">
        <v>4079</v>
      </c>
      <c r="L398" s="26" t="s">
        <v>10126</v>
      </c>
      <c r="M398" s="76"/>
      <c r="N398" s="76"/>
      <c r="O398" s="76"/>
      <c r="P398" s="76"/>
      <c r="Q398" s="76"/>
      <c r="R398" s="76"/>
      <c r="Z398" s="70"/>
      <c r="AA398" s="70"/>
      <c r="AB398" s="70"/>
      <c r="AC398" s="70"/>
    </row>
    <row r="399" spans="1:29" s="26" customFormat="1" x14ac:dyDescent="0.3">
      <c r="A399" s="25" t="s">
        <v>4080</v>
      </c>
      <c r="B399" s="25"/>
      <c r="C399" s="26" t="s">
        <v>3005</v>
      </c>
      <c r="D399" s="70"/>
      <c r="G399" s="70" t="s">
        <v>400</v>
      </c>
      <c r="H399" s="26">
        <v>-1</v>
      </c>
      <c r="I399" s="70" t="s">
        <v>4081</v>
      </c>
      <c r="J399" s="26" t="s">
        <v>4082</v>
      </c>
      <c r="K399" s="26" t="s">
        <v>4083</v>
      </c>
      <c r="L399" s="26" t="s">
        <v>10127</v>
      </c>
      <c r="M399" s="76"/>
      <c r="N399" s="76"/>
      <c r="O399" s="76"/>
      <c r="P399" s="76"/>
      <c r="Q399" s="76"/>
      <c r="R399" s="76"/>
      <c r="Z399" s="70"/>
      <c r="AA399" s="70"/>
      <c r="AB399" s="70"/>
      <c r="AC399" s="70"/>
    </row>
    <row r="400" spans="1:29" s="26" customFormat="1" x14ac:dyDescent="0.3">
      <c r="A400" s="25" t="s">
        <v>4084</v>
      </c>
      <c r="B400" s="25"/>
      <c r="C400" s="26" t="s">
        <v>3005</v>
      </c>
      <c r="D400" s="70"/>
      <c r="G400" s="70" t="s">
        <v>400</v>
      </c>
      <c r="H400" s="26">
        <v>-1</v>
      </c>
      <c r="I400" s="70" t="s">
        <v>4085</v>
      </c>
      <c r="J400" s="26" t="s">
        <v>4086</v>
      </c>
      <c r="K400" s="26" t="s">
        <v>4087</v>
      </c>
      <c r="L400" s="26" t="s">
        <v>4087</v>
      </c>
      <c r="M400" s="76"/>
      <c r="N400" s="76"/>
      <c r="O400" s="76"/>
      <c r="P400" s="76"/>
      <c r="Q400" s="76"/>
      <c r="R400" s="76"/>
      <c r="Z400" s="70"/>
      <c r="AA400" s="70"/>
      <c r="AB400" s="70"/>
      <c r="AC400" s="70"/>
    </row>
    <row r="401" spans="1:31" s="26" customFormat="1" x14ac:dyDescent="0.3">
      <c r="A401" s="25" t="s">
        <v>4088</v>
      </c>
      <c r="B401" s="25"/>
      <c r="C401" s="26" t="s">
        <v>3005</v>
      </c>
      <c r="D401" s="70"/>
      <c r="G401" s="70" t="s">
        <v>400</v>
      </c>
      <c r="H401" s="26">
        <v>-1</v>
      </c>
      <c r="I401" s="70" t="s">
        <v>4089</v>
      </c>
      <c r="J401" s="26" t="s">
        <v>4090</v>
      </c>
      <c r="K401" s="26" t="s">
        <v>4091</v>
      </c>
      <c r="L401" s="26" t="s">
        <v>10128</v>
      </c>
      <c r="M401" s="76"/>
      <c r="N401" s="76"/>
      <c r="O401" s="76"/>
      <c r="P401" s="76"/>
      <c r="Q401" s="76"/>
      <c r="R401" s="76"/>
      <c r="Z401" s="70"/>
      <c r="AA401" s="70"/>
      <c r="AB401" s="70"/>
      <c r="AC401" s="70"/>
    </row>
    <row r="402" spans="1:31" s="26" customFormat="1" x14ac:dyDescent="0.3">
      <c r="A402" s="25" t="s">
        <v>4092</v>
      </c>
      <c r="B402" s="25"/>
      <c r="C402" s="26" t="s">
        <v>3005</v>
      </c>
      <c r="D402" s="70"/>
      <c r="G402" s="70" t="s">
        <v>400</v>
      </c>
      <c r="H402" s="26">
        <v>-1</v>
      </c>
      <c r="I402" s="70" t="s">
        <v>4093</v>
      </c>
      <c r="J402" s="26" t="s">
        <v>4070</v>
      </c>
      <c r="K402" s="26" t="s">
        <v>4094</v>
      </c>
      <c r="L402" s="26" t="s">
        <v>10129</v>
      </c>
      <c r="M402" s="76"/>
      <c r="N402" s="76"/>
      <c r="O402" s="76"/>
      <c r="P402" s="76"/>
      <c r="Q402" s="76"/>
      <c r="R402" s="76"/>
      <c r="T402" s="26" t="s">
        <v>2200</v>
      </c>
      <c r="Z402" s="70"/>
      <c r="AA402" s="70"/>
      <c r="AB402" s="70"/>
      <c r="AC402" s="70"/>
      <c r="AE402" s="26" t="s">
        <v>4095</v>
      </c>
    </row>
    <row r="403" spans="1:31" s="26" customFormat="1" x14ac:dyDescent="0.3">
      <c r="A403" s="25" t="s">
        <v>4096</v>
      </c>
      <c r="B403" s="25"/>
      <c r="C403" s="26" t="s">
        <v>3005</v>
      </c>
      <c r="D403" s="70"/>
      <c r="G403" s="70" t="s">
        <v>400</v>
      </c>
      <c r="H403" s="26">
        <v>-1</v>
      </c>
      <c r="I403" s="70" t="s">
        <v>4097</v>
      </c>
      <c r="J403" s="26" t="s">
        <v>4098</v>
      </c>
      <c r="K403" s="26" t="s">
        <v>4099</v>
      </c>
      <c r="L403" s="26" t="s">
        <v>10130</v>
      </c>
      <c r="M403" s="76"/>
      <c r="N403" s="76"/>
      <c r="O403" s="76"/>
      <c r="P403" s="76"/>
      <c r="Q403" s="76"/>
      <c r="R403" s="76"/>
      <c r="Z403" s="70"/>
      <c r="AA403" s="70"/>
      <c r="AB403" s="70"/>
      <c r="AC403" s="70"/>
    </row>
    <row r="404" spans="1:31" s="26" customFormat="1" x14ac:dyDescent="0.3">
      <c r="A404" s="25" t="s">
        <v>4100</v>
      </c>
      <c r="B404" s="25"/>
      <c r="C404" s="26" t="s">
        <v>3005</v>
      </c>
      <c r="D404" s="70"/>
      <c r="G404" s="70" t="s">
        <v>400</v>
      </c>
      <c r="H404" s="26">
        <v>-1</v>
      </c>
      <c r="I404" s="70" t="s">
        <v>4101</v>
      </c>
      <c r="J404" s="26" t="s">
        <v>4102</v>
      </c>
      <c r="K404" s="26" t="s">
        <v>4103</v>
      </c>
      <c r="L404" s="26" t="s">
        <v>10131</v>
      </c>
      <c r="M404" s="76"/>
      <c r="N404" s="76"/>
      <c r="O404" s="76"/>
      <c r="P404" s="76"/>
      <c r="Q404" s="76"/>
      <c r="R404" s="76"/>
      <c r="T404" s="26" t="s">
        <v>2200</v>
      </c>
      <c r="Z404" s="70"/>
      <c r="AA404" s="70"/>
      <c r="AB404" s="70"/>
      <c r="AC404" s="70"/>
      <c r="AE404" s="26" t="s">
        <v>4104</v>
      </c>
    </row>
    <row r="405" spans="1:31" s="24" customFormat="1" x14ac:dyDescent="0.3">
      <c r="A405" s="23">
        <v>121</v>
      </c>
      <c r="B405" s="23">
        <v>117</v>
      </c>
      <c r="C405" s="24" t="s">
        <v>2165</v>
      </c>
      <c r="D405" s="69" t="s">
        <v>388</v>
      </c>
      <c r="E405" s="24" t="s">
        <v>387</v>
      </c>
      <c r="F405" s="24" t="s">
        <v>402</v>
      </c>
      <c r="G405" s="69" t="s">
        <v>403</v>
      </c>
      <c r="H405" s="24">
        <v>1</v>
      </c>
      <c r="I405" s="69"/>
      <c r="J405" s="24" t="s">
        <v>3174</v>
      </c>
      <c r="K405" s="24" t="s">
        <v>43</v>
      </c>
      <c r="M405" s="75" t="s">
        <v>15</v>
      </c>
      <c r="N405" s="75"/>
      <c r="O405" s="75"/>
      <c r="P405" s="75"/>
      <c r="Q405" s="75"/>
      <c r="R405" s="75"/>
      <c r="Z405" s="69" t="s">
        <v>2306</v>
      </c>
      <c r="AA405" s="69"/>
      <c r="AB405" s="69" t="s">
        <v>2306</v>
      </c>
      <c r="AC405" s="69"/>
    </row>
    <row r="406" spans="1:31" s="26" customFormat="1" x14ac:dyDescent="0.3">
      <c r="A406" s="25" t="s">
        <v>4105</v>
      </c>
      <c r="B406" s="25"/>
      <c r="C406" s="26" t="s">
        <v>3005</v>
      </c>
      <c r="D406" s="70"/>
      <c r="G406" s="70" t="s">
        <v>403</v>
      </c>
      <c r="H406" s="26">
        <v>-1</v>
      </c>
      <c r="I406" s="70" t="s">
        <v>4106</v>
      </c>
      <c r="J406" s="26" t="s">
        <v>4107</v>
      </c>
      <c r="K406" s="26" t="s">
        <v>4108</v>
      </c>
      <c r="M406" s="76"/>
      <c r="N406" s="76"/>
      <c r="O406" s="76"/>
      <c r="P406" s="76"/>
      <c r="Q406" s="76"/>
      <c r="R406" s="76"/>
      <c r="Z406" s="70"/>
      <c r="AA406" s="70"/>
      <c r="AB406" s="70"/>
      <c r="AC406" s="70"/>
    </row>
    <row r="407" spans="1:31" s="26" customFormat="1" x14ac:dyDescent="0.3">
      <c r="A407" s="25" t="s">
        <v>4109</v>
      </c>
      <c r="B407" s="25"/>
      <c r="C407" s="26" t="s">
        <v>3005</v>
      </c>
      <c r="D407" s="70"/>
      <c r="G407" s="70" t="s">
        <v>403</v>
      </c>
      <c r="H407" s="26">
        <v>-1</v>
      </c>
      <c r="I407" s="70" t="s">
        <v>4110</v>
      </c>
      <c r="J407" s="26" t="s">
        <v>4111</v>
      </c>
      <c r="K407" s="26" t="s">
        <v>3904</v>
      </c>
      <c r="M407" s="76"/>
      <c r="N407" s="76"/>
      <c r="O407" s="76"/>
      <c r="P407" s="76"/>
      <c r="Q407" s="76"/>
      <c r="R407" s="76"/>
      <c r="Z407" s="70"/>
      <c r="AA407" s="70"/>
      <c r="AB407" s="70"/>
      <c r="AC407" s="70"/>
    </row>
    <row r="408" spans="1:31" s="26" customFormat="1" x14ac:dyDescent="0.3">
      <c r="A408" s="25" t="s">
        <v>4112</v>
      </c>
      <c r="B408" s="25"/>
      <c r="C408" s="26" t="s">
        <v>3005</v>
      </c>
      <c r="D408" s="70"/>
      <c r="G408" s="70" t="s">
        <v>403</v>
      </c>
      <c r="H408" s="26">
        <v>-1</v>
      </c>
      <c r="I408" s="70" t="s">
        <v>3497</v>
      </c>
      <c r="J408" s="26" t="s">
        <v>3999</v>
      </c>
      <c r="K408" s="26" t="s">
        <v>4113</v>
      </c>
      <c r="M408" s="76"/>
      <c r="N408" s="76"/>
      <c r="O408" s="76"/>
      <c r="P408" s="76"/>
      <c r="Q408" s="76"/>
      <c r="R408" s="76"/>
      <c r="Z408" s="70"/>
      <c r="AA408" s="70"/>
      <c r="AB408" s="70"/>
      <c r="AC408" s="70"/>
    </row>
    <row r="409" spans="1:31" s="26" customFormat="1" x14ac:dyDescent="0.3">
      <c r="A409" s="25" t="s">
        <v>4114</v>
      </c>
      <c r="B409" s="25"/>
      <c r="C409" s="26" t="s">
        <v>3005</v>
      </c>
      <c r="D409" s="70"/>
      <c r="G409" s="70" t="s">
        <v>403</v>
      </c>
      <c r="H409" s="26">
        <v>-1</v>
      </c>
      <c r="I409" s="70" t="s">
        <v>4115</v>
      </c>
      <c r="J409" s="26" t="s">
        <v>4116</v>
      </c>
      <c r="K409" s="26" t="s">
        <v>3757</v>
      </c>
      <c r="M409" s="76"/>
      <c r="N409" s="76"/>
      <c r="O409" s="76"/>
      <c r="P409" s="76"/>
      <c r="Q409" s="76"/>
      <c r="R409" s="76"/>
      <c r="Z409" s="70"/>
      <c r="AA409" s="70"/>
      <c r="AB409" s="70"/>
      <c r="AC409" s="70"/>
    </row>
    <row r="410" spans="1:31" s="26" customFormat="1" x14ac:dyDescent="0.3">
      <c r="A410" s="25" t="s">
        <v>4117</v>
      </c>
      <c r="B410" s="25"/>
      <c r="C410" s="26" t="s">
        <v>3005</v>
      </c>
      <c r="D410" s="70"/>
      <c r="G410" s="70" t="s">
        <v>403</v>
      </c>
      <c r="H410" s="26">
        <v>-1</v>
      </c>
      <c r="I410" s="70" t="s">
        <v>3870</v>
      </c>
      <c r="J410" s="26" t="s">
        <v>3447</v>
      </c>
      <c r="K410" s="26" t="s">
        <v>4118</v>
      </c>
      <c r="M410" s="76"/>
      <c r="N410" s="76"/>
      <c r="O410" s="76"/>
      <c r="P410" s="76"/>
      <c r="Q410" s="76"/>
      <c r="R410" s="76"/>
      <c r="Z410" s="70"/>
      <c r="AA410" s="70"/>
      <c r="AB410" s="70"/>
      <c r="AC410" s="70"/>
    </row>
    <row r="411" spans="1:31" s="26" customFormat="1" x14ac:dyDescent="0.3">
      <c r="A411" s="25" t="s">
        <v>4119</v>
      </c>
      <c r="B411" s="25"/>
      <c r="C411" s="26" t="s">
        <v>3005</v>
      </c>
      <c r="D411" s="70"/>
      <c r="G411" s="70" t="s">
        <v>403</v>
      </c>
      <c r="H411" s="26">
        <v>2</v>
      </c>
      <c r="I411" s="70" t="s">
        <v>4120</v>
      </c>
      <c r="J411" s="26" t="s">
        <v>3174</v>
      </c>
      <c r="K411" s="26" t="s">
        <v>4121</v>
      </c>
      <c r="M411" s="76"/>
      <c r="N411" s="76"/>
      <c r="O411" s="76"/>
      <c r="P411" s="76"/>
      <c r="Q411" s="76"/>
      <c r="R411" s="76"/>
      <c r="Z411" s="70"/>
      <c r="AA411" s="70"/>
      <c r="AB411" s="70"/>
      <c r="AC411" s="70"/>
    </row>
    <row r="412" spans="1:31" s="24" customFormat="1" x14ac:dyDescent="0.3">
      <c r="A412" s="23">
        <v>122</v>
      </c>
      <c r="B412" s="23">
        <v>118</v>
      </c>
      <c r="C412" s="24" t="s">
        <v>2165</v>
      </c>
      <c r="D412" s="69" t="s">
        <v>388</v>
      </c>
      <c r="E412" s="24" t="s">
        <v>387</v>
      </c>
      <c r="F412" s="24" t="s">
        <v>404</v>
      </c>
      <c r="G412" s="69" t="s">
        <v>405</v>
      </c>
      <c r="I412" s="69"/>
      <c r="J412" s="24" t="s">
        <v>4122</v>
      </c>
      <c r="K412" s="24" t="s">
        <v>68</v>
      </c>
      <c r="L412" s="24" t="s">
        <v>9707</v>
      </c>
      <c r="M412" s="75" t="s">
        <v>65</v>
      </c>
      <c r="N412" s="75" t="s">
        <v>2017</v>
      </c>
      <c r="O412" s="75" t="s">
        <v>406</v>
      </c>
      <c r="P412" s="75" t="s">
        <v>406</v>
      </c>
      <c r="Q412" s="75" t="s">
        <v>67</v>
      </c>
      <c r="R412" s="75" t="s">
        <v>2166</v>
      </c>
      <c r="W412" s="24" t="s">
        <v>2307</v>
      </c>
      <c r="Z412" s="69"/>
      <c r="AA412" s="69" t="s">
        <v>2308</v>
      </c>
      <c r="AB412" s="69"/>
      <c r="AC412" s="69" t="s">
        <v>11370</v>
      </c>
    </row>
    <row r="413" spans="1:31" s="24" customFormat="1" x14ac:dyDescent="0.3">
      <c r="A413" s="23">
        <v>123</v>
      </c>
      <c r="B413" s="23">
        <v>119</v>
      </c>
      <c r="C413" s="24" t="s">
        <v>2165</v>
      </c>
      <c r="D413" s="69" t="s">
        <v>388</v>
      </c>
      <c r="E413" s="24" t="s">
        <v>387</v>
      </c>
      <c r="F413" s="24" t="s">
        <v>407</v>
      </c>
      <c r="G413" s="69" t="s">
        <v>408</v>
      </c>
      <c r="I413" s="69"/>
      <c r="J413" s="24" t="s">
        <v>4123</v>
      </c>
      <c r="K413" s="24" t="s">
        <v>68</v>
      </c>
      <c r="L413" s="24" t="s">
        <v>9708</v>
      </c>
      <c r="M413" s="75" t="s">
        <v>65</v>
      </c>
      <c r="N413" s="75" t="s">
        <v>2015</v>
      </c>
      <c r="O413" s="75"/>
      <c r="P413" s="75"/>
      <c r="Q413" s="75"/>
      <c r="R413" s="75"/>
      <c r="Y413" s="24" t="s">
        <v>2309</v>
      </c>
      <c r="Z413" s="69"/>
      <c r="AA413" s="69"/>
      <c r="AB413" s="69"/>
      <c r="AC413" s="69" t="s">
        <v>11371</v>
      </c>
    </row>
    <row r="414" spans="1:31" s="24" customFormat="1" x14ac:dyDescent="0.3">
      <c r="A414" s="23">
        <v>124</v>
      </c>
      <c r="B414" s="23">
        <v>120</v>
      </c>
      <c r="C414" s="24" t="s">
        <v>2165</v>
      </c>
      <c r="D414" s="69" t="s">
        <v>388</v>
      </c>
      <c r="E414" s="24" t="s">
        <v>387</v>
      </c>
      <c r="F414" s="24" t="s">
        <v>409</v>
      </c>
      <c r="G414" s="69" t="s">
        <v>410</v>
      </c>
      <c r="H414" s="24">
        <v>1</v>
      </c>
      <c r="I414" s="69"/>
      <c r="J414" s="24" t="s">
        <v>3942</v>
      </c>
      <c r="K414" s="24" t="s">
        <v>43</v>
      </c>
      <c r="M414" s="75" t="s">
        <v>15</v>
      </c>
      <c r="N414" s="75"/>
      <c r="O414" s="75"/>
      <c r="P414" s="75"/>
      <c r="Q414" s="75"/>
      <c r="R414" s="75"/>
      <c r="T414" s="24" t="s">
        <v>2200</v>
      </c>
      <c r="Z414" s="69"/>
      <c r="AA414" s="69"/>
      <c r="AB414" s="69"/>
      <c r="AC414" s="69"/>
      <c r="AE414" s="24" t="s">
        <v>2310</v>
      </c>
    </row>
    <row r="415" spans="1:31" s="26" customFormat="1" x14ac:dyDescent="0.3">
      <c r="A415" s="25" t="s">
        <v>4124</v>
      </c>
      <c r="B415" s="25"/>
      <c r="C415" s="26" t="s">
        <v>3005</v>
      </c>
      <c r="D415" s="70"/>
      <c r="G415" s="70" t="s">
        <v>410</v>
      </c>
      <c r="H415" s="26">
        <v>2</v>
      </c>
      <c r="I415" s="70" t="s">
        <v>4125</v>
      </c>
      <c r="J415" s="26" t="s">
        <v>3942</v>
      </c>
      <c r="K415" s="26" t="s">
        <v>4126</v>
      </c>
      <c r="L415" s="26" t="s">
        <v>10132</v>
      </c>
      <c r="M415" s="76"/>
      <c r="N415" s="76"/>
      <c r="O415" s="76"/>
      <c r="P415" s="76"/>
      <c r="Q415" s="76"/>
      <c r="R415" s="76"/>
      <c r="T415" s="26" t="s">
        <v>2200</v>
      </c>
      <c r="Z415" s="70"/>
      <c r="AA415" s="70"/>
      <c r="AB415" s="70"/>
      <c r="AC415" s="70"/>
      <c r="AE415" s="26" t="s">
        <v>4127</v>
      </c>
    </row>
    <row r="416" spans="1:31" s="26" customFormat="1" x14ac:dyDescent="0.3">
      <c r="A416" s="25" t="s">
        <v>4128</v>
      </c>
      <c r="B416" s="25"/>
      <c r="C416" s="26" t="s">
        <v>3005</v>
      </c>
      <c r="D416" s="70"/>
      <c r="G416" s="70" t="s">
        <v>410</v>
      </c>
      <c r="H416" s="26">
        <v>-1</v>
      </c>
      <c r="I416" s="70" t="s">
        <v>4129</v>
      </c>
      <c r="J416" s="26" t="s">
        <v>3435</v>
      </c>
      <c r="K416" s="26" t="s">
        <v>3904</v>
      </c>
      <c r="L416" s="26" t="s">
        <v>10085</v>
      </c>
      <c r="M416" s="76"/>
      <c r="N416" s="76"/>
      <c r="O416" s="76"/>
      <c r="P416" s="76"/>
      <c r="Q416" s="76"/>
      <c r="R416" s="76"/>
      <c r="T416" s="26" t="s">
        <v>2200</v>
      </c>
      <c r="Z416" s="70"/>
      <c r="AA416" s="70"/>
      <c r="AB416" s="70"/>
      <c r="AC416" s="70"/>
      <c r="AE416" s="26" t="s">
        <v>4130</v>
      </c>
    </row>
    <row r="417" spans="1:31" s="26" customFormat="1" x14ac:dyDescent="0.3">
      <c r="A417" s="25" t="s">
        <v>4131</v>
      </c>
      <c r="B417" s="25"/>
      <c r="C417" s="26" t="s">
        <v>3005</v>
      </c>
      <c r="D417" s="70"/>
      <c r="G417" s="70" t="s">
        <v>410</v>
      </c>
      <c r="H417" s="26">
        <v>-1</v>
      </c>
      <c r="I417" s="70" t="s">
        <v>4132</v>
      </c>
      <c r="J417" s="26" t="s">
        <v>4133</v>
      </c>
      <c r="K417" s="26" t="s">
        <v>4134</v>
      </c>
      <c r="L417" s="26" t="s">
        <v>10133</v>
      </c>
      <c r="M417" s="76"/>
      <c r="N417" s="76"/>
      <c r="O417" s="76"/>
      <c r="P417" s="76"/>
      <c r="Q417" s="76"/>
      <c r="R417" s="76"/>
      <c r="T417" s="26" t="s">
        <v>2200</v>
      </c>
      <c r="Z417" s="70"/>
      <c r="AA417" s="70"/>
      <c r="AB417" s="70"/>
      <c r="AC417" s="70"/>
      <c r="AE417" s="26" t="s">
        <v>4135</v>
      </c>
    </row>
    <row r="418" spans="1:31" s="24" customFormat="1" x14ac:dyDescent="0.3">
      <c r="A418" s="23">
        <v>125</v>
      </c>
      <c r="B418" s="23">
        <v>121</v>
      </c>
      <c r="C418" s="24" t="s">
        <v>2165</v>
      </c>
      <c r="D418" s="69" t="s">
        <v>388</v>
      </c>
      <c r="E418" s="24" t="s">
        <v>387</v>
      </c>
      <c r="F418" s="24" t="s">
        <v>411</v>
      </c>
      <c r="G418" s="69" t="s">
        <v>412</v>
      </c>
      <c r="I418" s="69"/>
      <c r="J418" s="24" t="s">
        <v>4136</v>
      </c>
      <c r="K418" s="24" t="s">
        <v>263</v>
      </c>
      <c r="M418" s="75" t="s">
        <v>50</v>
      </c>
      <c r="N418" s="75"/>
      <c r="O418" s="75"/>
      <c r="P418" s="75"/>
      <c r="Q418" s="75"/>
      <c r="R418" s="75"/>
      <c r="Z418" s="69" t="s">
        <v>2311</v>
      </c>
      <c r="AA418" s="69"/>
      <c r="AB418" s="69" t="s">
        <v>2311</v>
      </c>
      <c r="AC418" s="69"/>
    </row>
    <row r="419" spans="1:31" s="26" customFormat="1" x14ac:dyDescent="0.3">
      <c r="A419" s="25" t="s">
        <v>4137</v>
      </c>
      <c r="B419" s="25"/>
      <c r="C419" s="26" t="s">
        <v>3005</v>
      </c>
      <c r="D419" s="70"/>
      <c r="G419" s="70" t="s">
        <v>412</v>
      </c>
      <c r="H419" s="26">
        <v>-1</v>
      </c>
      <c r="I419" s="70" t="s">
        <v>3546</v>
      </c>
      <c r="J419" s="26" t="s">
        <v>4138</v>
      </c>
      <c r="K419" s="26" t="s">
        <v>4139</v>
      </c>
      <c r="M419" s="76"/>
      <c r="N419" s="76"/>
      <c r="O419" s="76"/>
      <c r="P419" s="76"/>
      <c r="Q419" s="76"/>
      <c r="R419" s="76"/>
      <c r="T419" s="26" t="s">
        <v>2200</v>
      </c>
      <c r="U419" s="26" t="s">
        <v>4140</v>
      </c>
      <c r="Z419" s="70"/>
      <c r="AA419" s="70"/>
      <c r="AB419" s="70"/>
      <c r="AC419" s="70"/>
      <c r="AE419" s="26" t="s">
        <v>4141</v>
      </c>
    </row>
    <row r="420" spans="1:31" s="26" customFormat="1" x14ac:dyDescent="0.3">
      <c r="A420" s="25" t="s">
        <v>4142</v>
      </c>
      <c r="B420" s="25"/>
      <c r="C420" s="26" t="s">
        <v>3005</v>
      </c>
      <c r="D420" s="70"/>
      <c r="G420" s="70" t="s">
        <v>412</v>
      </c>
      <c r="H420" s="26">
        <v>-1</v>
      </c>
      <c r="I420" s="70" t="s">
        <v>4143</v>
      </c>
      <c r="J420" s="26" t="s">
        <v>4136</v>
      </c>
      <c r="K420" s="26" t="s">
        <v>4144</v>
      </c>
      <c r="M420" s="76"/>
      <c r="N420" s="76"/>
      <c r="O420" s="76"/>
      <c r="P420" s="76"/>
      <c r="Q420" s="76"/>
      <c r="R420" s="76"/>
      <c r="U420" s="26" t="s">
        <v>3951</v>
      </c>
      <c r="Z420" s="70"/>
      <c r="AA420" s="70"/>
      <c r="AB420" s="70"/>
      <c r="AC420" s="70"/>
    </row>
    <row r="421" spans="1:31" s="26" customFormat="1" x14ac:dyDescent="0.3">
      <c r="A421" s="25" t="s">
        <v>4145</v>
      </c>
      <c r="B421" s="25"/>
      <c r="C421" s="26" t="s">
        <v>3005</v>
      </c>
      <c r="D421" s="70"/>
      <c r="G421" s="70" t="s">
        <v>412</v>
      </c>
      <c r="H421" s="26">
        <v>-1</v>
      </c>
      <c r="I421" s="70" t="s">
        <v>4146</v>
      </c>
      <c r="J421" s="26" t="s">
        <v>4147</v>
      </c>
      <c r="K421" s="26" t="s">
        <v>2679</v>
      </c>
      <c r="L421" s="26" t="s">
        <v>10134</v>
      </c>
      <c r="M421" s="76"/>
      <c r="N421" s="76"/>
      <c r="O421" s="76"/>
      <c r="P421" s="76"/>
      <c r="Q421" s="76"/>
      <c r="R421" s="76"/>
      <c r="Z421" s="70"/>
      <c r="AA421" s="70"/>
      <c r="AB421" s="70"/>
      <c r="AC421" s="70"/>
    </row>
    <row r="422" spans="1:31" s="26" customFormat="1" x14ac:dyDescent="0.3">
      <c r="A422" s="25" t="s">
        <v>4148</v>
      </c>
      <c r="B422" s="25"/>
      <c r="C422" s="26" t="s">
        <v>3005</v>
      </c>
      <c r="D422" s="70"/>
      <c r="G422" s="70" t="s">
        <v>412</v>
      </c>
      <c r="H422" s="26">
        <v>-1</v>
      </c>
      <c r="I422" s="70" t="s">
        <v>4149</v>
      </c>
      <c r="J422" s="26" t="s">
        <v>4150</v>
      </c>
      <c r="K422" s="26" t="s">
        <v>4151</v>
      </c>
      <c r="L422" s="26" t="s">
        <v>10135</v>
      </c>
      <c r="M422" s="76"/>
      <c r="N422" s="76"/>
      <c r="O422" s="76"/>
      <c r="P422" s="76"/>
      <c r="Q422" s="76"/>
      <c r="R422" s="76"/>
      <c r="Z422" s="70"/>
      <c r="AA422" s="70"/>
      <c r="AB422" s="70"/>
      <c r="AC422" s="70"/>
    </row>
    <row r="423" spans="1:31" s="26" customFormat="1" x14ac:dyDescent="0.3">
      <c r="A423" s="25" t="s">
        <v>4152</v>
      </c>
      <c r="B423" s="25"/>
      <c r="C423" s="26" t="s">
        <v>3005</v>
      </c>
      <c r="D423" s="70"/>
      <c r="G423" s="70" t="s">
        <v>412</v>
      </c>
      <c r="H423" s="26">
        <v>-1</v>
      </c>
      <c r="I423" s="70" t="s">
        <v>4153</v>
      </c>
      <c r="J423" s="26" t="s">
        <v>4154</v>
      </c>
      <c r="K423" s="26" t="s">
        <v>4155</v>
      </c>
      <c r="L423" s="26" t="s">
        <v>10136</v>
      </c>
      <c r="M423" s="76"/>
      <c r="N423" s="76"/>
      <c r="O423" s="76"/>
      <c r="P423" s="76"/>
      <c r="Q423" s="76"/>
      <c r="R423" s="76"/>
      <c r="Z423" s="70"/>
      <c r="AA423" s="70"/>
      <c r="AB423" s="70"/>
      <c r="AC423" s="70"/>
    </row>
    <row r="424" spans="1:31" s="26" customFormat="1" x14ac:dyDescent="0.3">
      <c r="A424" s="25" t="s">
        <v>4156</v>
      </c>
      <c r="B424" s="25"/>
      <c r="C424" s="26" t="s">
        <v>3005</v>
      </c>
      <c r="D424" s="70"/>
      <c r="G424" s="70" t="s">
        <v>412</v>
      </c>
      <c r="H424" s="26">
        <v>-1</v>
      </c>
      <c r="I424" s="70" t="s">
        <v>3879</v>
      </c>
      <c r="J424" s="26" t="s">
        <v>3584</v>
      </c>
      <c r="K424" s="26" t="s">
        <v>4157</v>
      </c>
      <c r="L424" s="26" t="s">
        <v>10137</v>
      </c>
      <c r="M424" s="76"/>
      <c r="N424" s="76"/>
      <c r="O424" s="76"/>
      <c r="P424" s="76"/>
      <c r="Q424" s="76"/>
      <c r="R424" s="76"/>
      <c r="Z424" s="70"/>
      <c r="AA424" s="70"/>
      <c r="AB424" s="70"/>
      <c r="AC424" s="70"/>
    </row>
    <row r="425" spans="1:31" s="24" customFormat="1" x14ac:dyDescent="0.3">
      <c r="A425" s="23">
        <v>126</v>
      </c>
      <c r="B425" s="23">
        <v>122</v>
      </c>
      <c r="C425" s="24" t="s">
        <v>2165</v>
      </c>
      <c r="D425" s="69" t="s">
        <v>388</v>
      </c>
      <c r="E425" s="24" t="s">
        <v>387</v>
      </c>
      <c r="F425" s="24" t="s">
        <v>413</v>
      </c>
      <c r="G425" s="69" t="s">
        <v>414</v>
      </c>
      <c r="H425" s="24">
        <v>1</v>
      </c>
      <c r="I425" s="69"/>
      <c r="J425" s="24" t="s">
        <v>3174</v>
      </c>
      <c r="K425" s="24" t="s">
        <v>215</v>
      </c>
      <c r="M425" s="75" t="s">
        <v>15</v>
      </c>
      <c r="N425" s="75"/>
      <c r="O425" s="75"/>
      <c r="P425" s="75"/>
      <c r="Q425" s="75"/>
      <c r="R425" s="75"/>
      <c r="Z425" s="69" t="s">
        <v>2312</v>
      </c>
      <c r="AA425" s="69"/>
      <c r="AB425" s="69" t="s">
        <v>2312</v>
      </c>
      <c r="AC425" s="69"/>
    </row>
    <row r="426" spans="1:31" s="26" customFormat="1" x14ac:dyDescent="0.3">
      <c r="A426" s="25" t="s">
        <v>4158</v>
      </c>
      <c r="B426" s="25"/>
      <c r="C426" s="26" t="s">
        <v>3005</v>
      </c>
      <c r="D426" s="70"/>
      <c r="G426" s="70" t="s">
        <v>414</v>
      </c>
      <c r="H426" s="26">
        <v>2</v>
      </c>
      <c r="I426" s="70" t="s">
        <v>4159</v>
      </c>
      <c r="J426" s="26" t="s">
        <v>3174</v>
      </c>
      <c r="K426" s="26" t="s">
        <v>4160</v>
      </c>
      <c r="L426" s="26" t="s">
        <v>10138</v>
      </c>
      <c r="M426" s="76"/>
      <c r="N426" s="76"/>
      <c r="O426" s="76"/>
      <c r="P426" s="76"/>
      <c r="Q426" s="76"/>
      <c r="R426" s="76"/>
      <c r="T426" s="26" t="s">
        <v>2200</v>
      </c>
      <c r="Z426" s="70"/>
      <c r="AA426" s="70"/>
      <c r="AB426" s="70"/>
      <c r="AC426" s="70"/>
      <c r="AE426" s="26" t="s">
        <v>4161</v>
      </c>
    </row>
    <row r="427" spans="1:31" s="26" customFormat="1" x14ac:dyDescent="0.3">
      <c r="A427" s="25" t="s">
        <v>4162</v>
      </c>
      <c r="B427" s="25"/>
      <c r="C427" s="26" t="s">
        <v>3005</v>
      </c>
      <c r="D427" s="70"/>
      <c r="G427" s="70" t="s">
        <v>414</v>
      </c>
      <c r="H427" s="26">
        <v>-1</v>
      </c>
      <c r="I427" s="70" t="s">
        <v>4163</v>
      </c>
      <c r="J427" s="26" t="s">
        <v>4164</v>
      </c>
      <c r="K427" s="26" t="s">
        <v>4165</v>
      </c>
      <c r="L427" s="26" t="s">
        <v>10139</v>
      </c>
      <c r="M427" s="76"/>
      <c r="N427" s="76"/>
      <c r="O427" s="76"/>
      <c r="P427" s="76"/>
      <c r="Q427" s="76"/>
      <c r="R427" s="76"/>
      <c r="Z427" s="70"/>
      <c r="AA427" s="70"/>
      <c r="AB427" s="70"/>
      <c r="AC427" s="70"/>
    </row>
    <row r="428" spans="1:31" s="26" customFormat="1" x14ac:dyDescent="0.3">
      <c r="A428" s="25" t="s">
        <v>4166</v>
      </c>
      <c r="B428" s="25"/>
      <c r="C428" s="26" t="s">
        <v>3005</v>
      </c>
      <c r="D428" s="70"/>
      <c r="G428" s="70" t="s">
        <v>414</v>
      </c>
      <c r="H428" s="26">
        <v>-1</v>
      </c>
      <c r="I428" s="70" t="s">
        <v>4167</v>
      </c>
      <c r="J428" s="26" t="s">
        <v>4168</v>
      </c>
      <c r="K428" s="26" t="s">
        <v>4000</v>
      </c>
      <c r="L428" s="26" t="s">
        <v>10106</v>
      </c>
      <c r="M428" s="76"/>
      <c r="N428" s="76"/>
      <c r="O428" s="76"/>
      <c r="P428" s="76"/>
      <c r="Q428" s="76"/>
      <c r="R428" s="76"/>
      <c r="Z428" s="70"/>
      <c r="AA428" s="70"/>
      <c r="AB428" s="70"/>
      <c r="AC428" s="70"/>
    </row>
    <row r="429" spans="1:31" s="26" customFormat="1" x14ac:dyDescent="0.3">
      <c r="A429" s="25" t="s">
        <v>4169</v>
      </c>
      <c r="B429" s="25"/>
      <c r="C429" s="26" t="s">
        <v>3005</v>
      </c>
      <c r="D429" s="70"/>
      <c r="G429" s="70" t="s">
        <v>414</v>
      </c>
      <c r="H429" s="26">
        <v>-1</v>
      </c>
      <c r="I429" s="70" t="s">
        <v>4170</v>
      </c>
      <c r="J429" s="26" t="s">
        <v>4171</v>
      </c>
      <c r="K429" s="26" t="s">
        <v>4172</v>
      </c>
      <c r="L429" s="26" t="s">
        <v>10140</v>
      </c>
      <c r="M429" s="76"/>
      <c r="N429" s="76"/>
      <c r="O429" s="76"/>
      <c r="P429" s="76"/>
      <c r="Q429" s="76"/>
      <c r="R429" s="76"/>
      <c r="Z429" s="70"/>
      <c r="AA429" s="70"/>
      <c r="AB429" s="70"/>
      <c r="AC429" s="70"/>
    </row>
    <row r="430" spans="1:31" s="24" customFormat="1" x14ac:dyDescent="0.3">
      <c r="A430" s="23">
        <v>127</v>
      </c>
      <c r="B430" s="23">
        <v>123</v>
      </c>
      <c r="C430" s="24" t="s">
        <v>2165</v>
      </c>
      <c r="D430" s="69" t="s">
        <v>388</v>
      </c>
      <c r="E430" s="24" t="s">
        <v>387</v>
      </c>
      <c r="F430" s="24" t="s">
        <v>415</v>
      </c>
      <c r="G430" s="69" t="s">
        <v>416</v>
      </c>
      <c r="I430" s="69"/>
      <c r="J430" s="24" t="s">
        <v>3092</v>
      </c>
      <c r="K430" s="24" t="s">
        <v>417</v>
      </c>
      <c r="M430" s="75" t="s">
        <v>15</v>
      </c>
      <c r="N430" s="75"/>
      <c r="O430" s="75"/>
      <c r="P430" s="75"/>
      <c r="Q430" s="75"/>
      <c r="R430" s="75" t="s">
        <v>2166</v>
      </c>
      <c r="T430" s="24" t="s">
        <v>2200</v>
      </c>
      <c r="Z430" s="69" t="s">
        <v>2313</v>
      </c>
      <c r="AA430" s="69"/>
      <c r="AB430" s="69" t="s">
        <v>2313</v>
      </c>
      <c r="AC430" s="69"/>
      <c r="AE430" s="24" t="s">
        <v>2314</v>
      </c>
    </row>
    <row r="431" spans="1:31" s="24" customFormat="1" x14ac:dyDescent="0.3">
      <c r="A431" s="23">
        <v>128</v>
      </c>
      <c r="B431" s="23">
        <v>124</v>
      </c>
      <c r="C431" s="24" t="s">
        <v>2165</v>
      </c>
      <c r="D431" s="69" t="s">
        <v>388</v>
      </c>
      <c r="E431" s="24" t="s">
        <v>387</v>
      </c>
      <c r="F431" s="24" t="s">
        <v>418</v>
      </c>
      <c r="G431" s="69" t="s">
        <v>419</v>
      </c>
      <c r="I431" s="69"/>
      <c r="J431" s="24" t="s">
        <v>4173</v>
      </c>
      <c r="K431" s="24" t="s">
        <v>420</v>
      </c>
      <c r="L431" s="24" t="s">
        <v>9709</v>
      </c>
      <c r="M431" s="75" t="s">
        <v>15</v>
      </c>
      <c r="N431" s="75"/>
      <c r="O431" s="75"/>
      <c r="P431" s="75"/>
      <c r="Q431" s="75"/>
      <c r="R431" s="75"/>
      <c r="Z431" s="69" t="s">
        <v>2315</v>
      </c>
      <c r="AA431" s="69"/>
      <c r="AB431" s="69" t="s">
        <v>2315</v>
      </c>
      <c r="AC431" s="69"/>
    </row>
    <row r="432" spans="1:31" s="24" customFormat="1" x14ac:dyDescent="0.3">
      <c r="A432" s="23">
        <v>129</v>
      </c>
      <c r="B432" s="23">
        <v>125</v>
      </c>
      <c r="C432" s="24" t="s">
        <v>2165</v>
      </c>
      <c r="D432" s="69" t="s">
        <v>388</v>
      </c>
      <c r="E432" s="24" t="s">
        <v>387</v>
      </c>
      <c r="F432" s="24" t="s">
        <v>421</v>
      </c>
      <c r="G432" s="69" t="s">
        <v>422</v>
      </c>
      <c r="I432" s="69"/>
      <c r="J432" s="24" t="s">
        <v>3092</v>
      </c>
      <c r="K432" s="24" t="s">
        <v>43</v>
      </c>
      <c r="L432" s="24" t="s">
        <v>9710</v>
      </c>
      <c r="M432" s="75" t="s">
        <v>15</v>
      </c>
      <c r="N432" s="75"/>
      <c r="O432" s="75"/>
      <c r="P432" s="75"/>
      <c r="Q432" s="75"/>
      <c r="R432" s="75"/>
      <c r="Z432" s="69"/>
      <c r="AA432" s="69"/>
      <c r="AB432" s="69"/>
      <c r="AC432" s="69"/>
    </row>
    <row r="433" spans="1:31" s="24" customFormat="1" x14ac:dyDescent="0.3">
      <c r="A433" s="23">
        <v>130</v>
      </c>
      <c r="B433" s="23">
        <v>126</v>
      </c>
      <c r="C433" s="24" t="s">
        <v>2165</v>
      </c>
      <c r="D433" s="69" t="s">
        <v>388</v>
      </c>
      <c r="E433" s="24" t="s">
        <v>387</v>
      </c>
      <c r="F433" s="24" t="s">
        <v>423</v>
      </c>
      <c r="G433" s="69" t="s">
        <v>424</v>
      </c>
      <c r="I433" s="69"/>
      <c r="J433" s="24" t="s">
        <v>4174</v>
      </c>
      <c r="K433" s="24" t="s">
        <v>425</v>
      </c>
      <c r="L433" s="24" t="s">
        <v>9711</v>
      </c>
      <c r="M433" s="75" t="s">
        <v>65</v>
      </c>
      <c r="N433" s="75" t="s">
        <v>2015</v>
      </c>
      <c r="O433" s="75" t="s">
        <v>732</v>
      </c>
      <c r="P433" s="75"/>
      <c r="Q433" s="75"/>
      <c r="R433" s="75"/>
      <c r="T433" s="24" t="s">
        <v>2179</v>
      </c>
      <c r="V433" s="24" t="s">
        <v>2316</v>
      </c>
      <c r="Y433" s="24" t="s">
        <v>2316</v>
      </c>
      <c r="Z433" s="69"/>
      <c r="AA433" s="69"/>
      <c r="AB433" s="69" t="s">
        <v>2317</v>
      </c>
      <c r="AC433" s="69"/>
      <c r="AD433" s="24" t="s">
        <v>11318</v>
      </c>
      <c r="AE433" s="24" t="s">
        <v>2318</v>
      </c>
    </row>
    <row r="434" spans="1:31" s="24" customFormat="1" x14ac:dyDescent="0.3">
      <c r="A434" s="23">
        <v>131</v>
      </c>
      <c r="B434" s="23">
        <v>127</v>
      </c>
      <c r="C434" s="24" t="s">
        <v>2165</v>
      </c>
      <c r="D434" s="69" t="s">
        <v>388</v>
      </c>
      <c r="E434" s="24" t="s">
        <v>387</v>
      </c>
      <c r="F434" s="24" t="s">
        <v>426</v>
      </c>
      <c r="G434" s="69" t="s">
        <v>427</v>
      </c>
      <c r="H434" s="24">
        <v>1</v>
      </c>
      <c r="I434" s="69"/>
      <c r="J434" s="24" t="s">
        <v>3016</v>
      </c>
      <c r="K434" s="24" t="s">
        <v>428</v>
      </c>
      <c r="M434" s="75" t="s">
        <v>236</v>
      </c>
      <c r="N434" s="75"/>
      <c r="O434" s="75"/>
      <c r="P434" s="75"/>
      <c r="Q434" s="75"/>
      <c r="R434" s="75"/>
      <c r="W434" s="24" t="s">
        <v>2319</v>
      </c>
      <c r="Z434" s="69"/>
      <c r="AA434" s="69"/>
      <c r="AB434" s="69"/>
      <c r="AC434" s="69"/>
    </row>
    <row r="435" spans="1:31" s="26" customFormat="1" x14ac:dyDescent="0.3">
      <c r="A435" s="25" t="s">
        <v>4175</v>
      </c>
      <c r="B435" s="25"/>
      <c r="C435" s="26" t="s">
        <v>3005</v>
      </c>
      <c r="D435" s="70"/>
      <c r="G435" s="70" t="s">
        <v>427</v>
      </c>
      <c r="H435" s="26">
        <v>-1</v>
      </c>
      <c r="I435" s="70" t="s">
        <v>4176</v>
      </c>
      <c r="J435" s="26" t="s">
        <v>3016</v>
      </c>
      <c r="K435" s="26" t="s">
        <v>4177</v>
      </c>
      <c r="L435" s="26" t="s">
        <v>10141</v>
      </c>
      <c r="M435" s="76"/>
      <c r="N435" s="76"/>
      <c r="O435" s="76"/>
      <c r="P435" s="76"/>
      <c r="Q435" s="76"/>
      <c r="R435" s="76"/>
      <c r="Z435" s="70"/>
      <c r="AA435" s="70"/>
      <c r="AB435" s="70"/>
      <c r="AC435" s="70"/>
    </row>
    <row r="436" spans="1:31" s="26" customFormat="1" x14ac:dyDescent="0.3">
      <c r="A436" s="25" t="s">
        <v>4178</v>
      </c>
      <c r="B436" s="25"/>
      <c r="C436" s="26" t="s">
        <v>3005</v>
      </c>
      <c r="D436" s="70"/>
      <c r="G436" s="70" t="s">
        <v>427</v>
      </c>
      <c r="H436" s="26">
        <v>-1</v>
      </c>
      <c r="I436" s="70" t="s">
        <v>4179</v>
      </c>
      <c r="J436" s="26" t="s">
        <v>4180</v>
      </c>
      <c r="K436" s="26" t="s">
        <v>4181</v>
      </c>
      <c r="L436" s="26" t="s">
        <v>10142</v>
      </c>
      <c r="M436" s="76"/>
      <c r="N436" s="76"/>
      <c r="O436" s="76"/>
      <c r="P436" s="76"/>
      <c r="Q436" s="76"/>
      <c r="R436" s="76"/>
      <c r="Z436" s="70"/>
      <c r="AA436" s="70"/>
      <c r="AB436" s="70"/>
      <c r="AC436" s="70"/>
    </row>
    <row r="437" spans="1:31" s="26" customFormat="1" x14ac:dyDescent="0.3">
      <c r="A437" s="25" t="s">
        <v>4182</v>
      </c>
      <c r="B437" s="25"/>
      <c r="C437" s="26" t="s">
        <v>3005</v>
      </c>
      <c r="D437" s="70"/>
      <c r="G437" s="70" t="s">
        <v>427</v>
      </c>
      <c r="H437" s="26">
        <v>-1</v>
      </c>
      <c r="I437" s="70" t="s">
        <v>4183</v>
      </c>
      <c r="J437" s="26" t="s">
        <v>4184</v>
      </c>
      <c r="K437" s="26" t="s">
        <v>4185</v>
      </c>
      <c r="L437" s="26" t="s">
        <v>10143</v>
      </c>
      <c r="M437" s="76"/>
      <c r="N437" s="76"/>
      <c r="O437" s="76"/>
      <c r="P437" s="76"/>
      <c r="Q437" s="76"/>
      <c r="R437" s="76"/>
      <c r="Z437" s="70"/>
      <c r="AA437" s="70"/>
      <c r="AB437" s="70"/>
      <c r="AC437" s="70"/>
    </row>
    <row r="438" spans="1:31" s="26" customFormat="1" x14ac:dyDescent="0.3">
      <c r="A438" s="25" t="s">
        <v>4186</v>
      </c>
      <c r="B438" s="25"/>
      <c r="C438" s="26" t="s">
        <v>3005</v>
      </c>
      <c r="D438" s="70"/>
      <c r="G438" s="70" t="s">
        <v>427</v>
      </c>
      <c r="H438" s="26">
        <v>2</v>
      </c>
      <c r="I438" s="70" t="s">
        <v>3681</v>
      </c>
      <c r="J438" s="26" t="s">
        <v>4187</v>
      </c>
      <c r="K438" s="26" t="s">
        <v>4188</v>
      </c>
      <c r="L438" s="26" t="s">
        <v>4188</v>
      </c>
      <c r="M438" s="76"/>
      <c r="N438" s="76"/>
      <c r="O438" s="76"/>
      <c r="P438" s="76"/>
      <c r="Q438" s="76"/>
      <c r="R438" s="76"/>
      <c r="Z438" s="70"/>
      <c r="AA438" s="70"/>
      <c r="AB438" s="70"/>
      <c r="AC438" s="70"/>
    </row>
    <row r="439" spans="1:31" s="26" customFormat="1" x14ac:dyDescent="0.3">
      <c r="A439" s="25" t="s">
        <v>4189</v>
      </c>
      <c r="B439" s="25"/>
      <c r="C439" s="26" t="s">
        <v>3005</v>
      </c>
      <c r="D439" s="70"/>
      <c r="G439" s="70" t="s">
        <v>427</v>
      </c>
      <c r="H439" s="26">
        <v>-1</v>
      </c>
      <c r="I439" s="70" t="s">
        <v>4190</v>
      </c>
      <c r="J439" s="26" t="s">
        <v>3506</v>
      </c>
      <c r="K439" s="26" t="s">
        <v>4191</v>
      </c>
      <c r="L439" s="26" t="s">
        <v>10144</v>
      </c>
      <c r="M439" s="76"/>
      <c r="N439" s="76"/>
      <c r="O439" s="76"/>
      <c r="P439" s="76"/>
      <c r="Q439" s="76"/>
      <c r="R439" s="76"/>
      <c r="Z439" s="70"/>
      <c r="AA439" s="70"/>
      <c r="AB439" s="70"/>
      <c r="AC439" s="70"/>
    </row>
    <row r="440" spans="1:31" s="24" customFormat="1" x14ac:dyDescent="0.3">
      <c r="A440" s="23">
        <v>132</v>
      </c>
      <c r="B440" s="23">
        <v>128</v>
      </c>
      <c r="C440" s="24" t="s">
        <v>2165</v>
      </c>
      <c r="D440" s="69" t="s">
        <v>388</v>
      </c>
      <c r="E440" s="24" t="s">
        <v>387</v>
      </c>
      <c r="F440" s="24" t="s">
        <v>429</v>
      </c>
      <c r="G440" s="69" t="s">
        <v>430</v>
      </c>
      <c r="H440" s="24">
        <v>1</v>
      </c>
      <c r="I440" s="69"/>
      <c r="J440" s="24" t="s">
        <v>3110</v>
      </c>
      <c r="K440" s="24" t="s">
        <v>431</v>
      </c>
      <c r="M440" s="75" t="s">
        <v>50</v>
      </c>
      <c r="N440" s="75"/>
      <c r="O440" s="75"/>
      <c r="P440" s="75"/>
      <c r="Q440" s="75"/>
      <c r="R440" s="75"/>
      <c r="U440" s="24" t="s">
        <v>2320</v>
      </c>
      <c r="Y440" s="24" t="s">
        <v>2321</v>
      </c>
      <c r="Z440" s="69"/>
      <c r="AA440" s="69"/>
      <c r="AB440" s="69"/>
      <c r="AC440" s="69"/>
    </row>
    <row r="441" spans="1:31" s="26" customFormat="1" x14ac:dyDescent="0.3">
      <c r="A441" s="25" t="s">
        <v>4192</v>
      </c>
      <c r="B441" s="25"/>
      <c r="C441" s="26" t="s">
        <v>3005</v>
      </c>
      <c r="D441" s="70"/>
      <c r="G441" s="70" t="s">
        <v>430</v>
      </c>
      <c r="H441" s="26">
        <v>2</v>
      </c>
      <c r="I441" s="70" t="s">
        <v>4193</v>
      </c>
      <c r="J441" s="26" t="s">
        <v>3110</v>
      </c>
      <c r="K441" s="26" t="s">
        <v>4194</v>
      </c>
      <c r="L441" s="26" t="s">
        <v>10145</v>
      </c>
      <c r="M441" s="76"/>
      <c r="N441" s="76"/>
      <c r="O441" s="76"/>
      <c r="P441" s="76"/>
      <c r="Q441" s="76"/>
      <c r="R441" s="76"/>
      <c r="Z441" s="70"/>
      <c r="AA441" s="70"/>
      <c r="AB441" s="70"/>
      <c r="AC441" s="70"/>
    </row>
    <row r="442" spans="1:31" s="26" customFormat="1" x14ac:dyDescent="0.3">
      <c r="A442" s="25" t="s">
        <v>4195</v>
      </c>
      <c r="B442" s="25"/>
      <c r="C442" s="26" t="s">
        <v>3005</v>
      </c>
      <c r="D442" s="70"/>
      <c r="G442" s="70" t="s">
        <v>430</v>
      </c>
      <c r="H442" s="26">
        <v>-1</v>
      </c>
      <c r="I442" s="70" t="s">
        <v>4196</v>
      </c>
      <c r="J442" s="26" t="s">
        <v>4197</v>
      </c>
      <c r="K442" s="26" t="s">
        <v>4198</v>
      </c>
      <c r="L442" s="26" t="s">
        <v>10146</v>
      </c>
      <c r="M442" s="76"/>
      <c r="N442" s="76"/>
      <c r="O442" s="76"/>
      <c r="P442" s="76"/>
      <c r="Q442" s="76"/>
      <c r="R442" s="76"/>
      <c r="Z442" s="70"/>
      <c r="AA442" s="70"/>
      <c r="AB442" s="70"/>
      <c r="AC442" s="70"/>
    </row>
    <row r="443" spans="1:31" s="26" customFormat="1" x14ac:dyDescent="0.3">
      <c r="A443" s="25" t="s">
        <v>4199</v>
      </c>
      <c r="B443" s="25"/>
      <c r="C443" s="26" t="s">
        <v>3005</v>
      </c>
      <c r="D443" s="70"/>
      <c r="G443" s="70" t="s">
        <v>430</v>
      </c>
      <c r="H443" s="26">
        <v>-1</v>
      </c>
      <c r="I443" s="70" t="s">
        <v>4200</v>
      </c>
      <c r="J443" s="26" t="s">
        <v>4201</v>
      </c>
      <c r="K443" s="26" t="s">
        <v>4202</v>
      </c>
      <c r="L443" s="26" t="s">
        <v>10147</v>
      </c>
      <c r="M443" s="76"/>
      <c r="N443" s="76"/>
      <c r="O443" s="76"/>
      <c r="P443" s="76"/>
      <c r="Q443" s="76"/>
      <c r="R443" s="76"/>
      <c r="T443" s="26" t="s">
        <v>2200</v>
      </c>
      <c r="Z443" s="70"/>
      <c r="AA443" s="70"/>
      <c r="AB443" s="70"/>
      <c r="AC443" s="70"/>
      <c r="AE443" s="26" t="s">
        <v>4203</v>
      </c>
    </row>
    <row r="444" spans="1:31" s="26" customFormat="1" x14ac:dyDescent="0.3">
      <c r="A444" s="25" t="s">
        <v>4204</v>
      </c>
      <c r="B444" s="25"/>
      <c r="C444" s="26" t="s">
        <v>3005</v>
      </c>
      <c r="D444" s="70"/>
      <c r="G444" s="70" t="s">
        <v>430</v>
      </c>
      <c r="H444" s="26">
        <v>-1</v>
      </c>
      <c r="I444" s="70" t="s">
        <v>3013</v>
      </c>
      <c r="J444" s="26" t="s">
        <v>4205</v>
      </c>
      <c r="K444" s="26" t="s">
        <v>4206</v>
      </c>
      <c r="L444" s="26" t="s">
        <v>10148</v>
      </c>
      <c r="M444" s="76"/>
      <c r="N444" s="76"/>
      <c r="O444" s="76"/>
      <c r="P444" s="76"/>
      <c r="Q444" s="76"/>
      <c r="R444" s="76"/>
      <c r="Z444" s="70"/>
      <c r="AA444" s="70"/>
      <c r="AB444" s="70"/>
      <c r="AC444" s="70"/>
    </row>
    <row r="445" spans="1:31" s="24" customFormat="1" x14ac:dyDescent="0.3">
      <c r="A445" s="23">
        <v>133</v>
      </c>
      <c r="B445" s="23">
        <v>129</v>
      </c>
      <c r="C445" s="24" t="s">
        <v>2165</v>
      </c>
      <c r="D445" s="69" t="s">
        <v>433</v>
      </c>
      <c r="E445" s="24" t="s">
        <v>432</v>
      </c>
      <c r="F445" s="24" t="s">
        <v>434</v>
      </c>
      <c r="G445" s="69" t="s">
        <v>435</v>
      </c>
      <c r="I445" s="69"/>
      <c r="J445" s="24" t="s">
        <v>3016</v>
      </c>
      <c r="K445" s="24" t="s">
        <v>436</v>
      </c>
      <c r="M445" s="75" t="s">
        <v>275</v>
      </c>
      <c r="N445" s="75"/>
      <c r="O445" s="75" t="s">
        <v>66</v>
      </c>
      <c r="P445" s="75" t="s">
        <v>66</v>
      </c>
      <c r="Q445" s="75" t="s">
        <v>85</v>
      </c>
      <c r="R445" s="75" t="s">
        <v>2166</v>
      </c>
      <c r="Z445" s="69"/>
      <c r="AA445" s="69" t="s">
        <v>2322</v>
      </c>
      <c r="AB445" s="69"/>
      <c r="AC445" s="69"/>
      <c r="AD445" s="24" t="s">
        <v>437</v>
      </c>
    </row>
    <row r="446" spans="1:31" s="26" customFormat="1" x14ac:dyDescent="0.3">
      <c r="A446" s="25" t="s">
        <v>4207</v>
      </c>
      <c r="B446" s="25"/>
      <c r="C446" s="26" t="s">
        <v>3005</v>
      </c>
      <c r="D446" s="70"/>
      <c r="G446" s="70" t="s">
        <v>435</v>
      </c>
      <c r="H446" s="26">
        <v>-1</v>
      </c>
      <c r="I446" s="70" t="s">
        <v>4208</v>
      </c>
      <c r="J446" s="26" t="s">
        <v>3016</v>
      </c>
      <c r="K446" s="26" t="s">
        <v>4209</v>
      </c>
      <c r="L446" s="26" t="s">
        <v>10149</v>
      </c>
      <c r="M446" s="76"/>
      <c r="N446" s="76"/>
      <c r="O446" s="76"/>
      <c r="P446" s="76"/>
      <c r="Q446" s="76"/>
      <c r="R446" s="76"/>
      <c r="Z446" s="70"/>
      <c r="AA446" s="70"/>
      <c r="AB446" s="70"/>
      <c r="AC446" s="70"/>
    </row>
    <row r="447" spans="1:31" s="26" customFormat="1" x14ac:dyDescent="0.3">
      <c r="A447" s="25" t="s">
        <v>4210</v>
      </c>
      <c r="B447" s="25"/>
      <c r="C447" s="26" t="s">
        <v>3005</v>
      </c>
      <c r="D447" s="70"/>
      <c r="G447" s="70" t="s">
        <v>435</v>
      </c>
      <c r="H447" s="26">
        <v>-1</v>
      </c>
      <c r="I447" s="70" t="s">
        <v>4211</v>
      </c>
      <c r="J447" s="26" t="s">
        <v>4212</v>
      </c>
      <c r="K447" s="26" t="s">
        <v>4213</v>
      </c>
      <c r="L447" s="26" t="s">
        <v>10150</v>
      </c>
      <c r="M447" s="76"/>
      <c r="N447" s="76"/>
      <c r="O447" s="76"/>
      <c r="P447" s="76"/>
      <c r="Q447" s="76"/>
      <c r="R447" s="76"/>
      <c r="Z447" s="70"/>
      <c r="AA447" s="70"/>
      <c r="AB447" s="70"/>
      <c r="AC447" s="70"/>
    </row>
    <row r="448" spans="1:31" s="26" customFormat="1" x14ac:dyDescent="0.3">
      <c r="A448" s="25" t="s">
        <v>4214</v>
      </c>
      <c r="B448" s="25"/>
      <c r="C448" s="26" t="s">
        <v>3005</v>
      </c>
      <c r="D448" s="70"/>
      <c r="G448" s="70" t="s">
        <v>435</v>
      </c>
      <c r="H448" s="26">
        <v>-1</v>
      </c>
      <c r="I448" s="70" t="s">
        <v>4215</v>
      </c>
      <c r="J448" s="26" t="s">
        <v>4216</v>
      </c>
      <c r="K448" s="26" t="s">
        <v>3099</v>
      </c>
      <c r="L448" s="26" t="s">
        <v>10151</v>
      </c>
      <c r="M448" s="76"/>
      <c r="N448" s="76"/>
      <c r="O448" s="76"/>
      <c r="P448" s="76"/>
      <c r="Q448" s="76"/>
      <c r="R448" s="76"/>
      <c r="Z448" s="70"/>
      <c r="AA448" s="70"/>
      <c r="AB448" s="70"/>
      <c r="AC448" s="70"/>
    </row>
    <row r="449" spans="1:31" s="24" customFormat="1" x14ac:dyDescent="0.3">
      <c r="A449" s="23">
        <v>134</v>
      </c>
      <c r="B449" s="23">
        <v>130</v>
      </c>
      <c r="C449" s="24" t="s">
        <v>2165</v>
      </c>
      <c r="D449" s="69" t="s">
        <v>433</v>
      </c>
      <c r="E449" s="24" t="s">
        <v>432</v>
      </c>
      <c r="F449" s="24" t="s">
        <v>438</v>
      </c>
      <c r="G449" s="69" t="s">
        <v>439</v>
      </c>
      <c r="I449" s="69"/>
      <c r="J449" s="24" t="s">
        <v>3016</v>
      </c>
      <c r="K449" s="24" t="s">
        <v>440</v>
      </c>
      <c r="L449" s="24" t="s">
        <v>9712</v>
      </c>
      <c r="M449" s="75" t="s">
        <v>19</v>
      </c>
      <c r="N449" s="75"/>
      <c r="O449" s="75"/>
      <c r="P449" s="75"/>
      <c r="Q449" s="75"/>
      <c r="R449" s="75" t="s">
        <v>2166</v>
      </c>
      <c r="T449" s="24" t="s">
        <v>2323</v>
      </c>
      <c r="U449" s="24" t="s">
        <v>2324</v>
      </c>
      <c r="V449" s="24" t="s">
        <v>2171</v>
      </c>
      <c r="Z449" s="69" t="s">
        <v>2325</v>
      </c>
      <c r="AA449" s="69"/>
      <c r="AB449" s="69" t="s">
        <v>2325</v>
      </c>
      <c r="AC449" s="69"/>
      <c r="AD449" s="24" t="s">
        <v>11319</v>
      </c>
      <c r="AE449" s="24" t="s">
        <v>2326</v>
      </c>
    </row>
    <row r="450" spans="1:31" s="24" customFormat="1" x14ac:dyDescent="0.3">
      <c r="A450" s="23">
        <v>135</v>
      </c>
      <c r="B450" s="23">
        <v>131</v>
      </c>
      <c r="C450" s="24" t="s">
        <v>2165</v>
      </c>
      <c r="D450" s="69" t="s">
        <v>442</v>
      </c>
      <c r="E450" s="24" t="s">
        <v>441</v>
      </c>
      <c r="F450" s="24" t="s">
        <v>443</v>
      </c>
      <c r="G450" s="69" t="s">
        <v>444</v>
      </c>
      <c r="H450" s="24">
        <v>4</v>
      </c>
      <c r="I450" s="69"/>
      <c r="J450" s="24" t="s">
        <v>3668</v>
      </c>
      <c r="K450" s="24" t="s">
        <v>189</v>
      </c>
      <c r="M450" s="75" t="s">
        <v>15</v>
      </c>
      <c r="N450" s="75"/>
      <c r="O450" s="75"/>
      <c r="P450" s="75"/>
      <c r="Q450" s="75"/>
      <c r="R450" s="75" t="s">
        <v>2166</v>
      </c>
      <c r="T450" s="24" t="s">
        <v>2174</v>
      </c>
      <c r="V450" s="24" t="s">
        <v>2327</v>
      </c>
      <c r="W450" s="24" t="s">
        <v>2327</v>
      </c>
      <c r="Z450" s="69"/>
      <c r="AA450" s="69"/>
      <c r="AB450" s="69"/>
      <c r="AC450" s="69" t="s">
        <v>11372</v>
      </c>
      <c r="AE450" s="24" t="s">
        <v>2328</v>
      </c>
    </row>
    <row r="451" spans="1:31" s="26" customFormat="1" x14ac:dyDescent="0.3">
      <c r="A451" s="25" t="s">
        <v>4217</v>
      </c>
      <c r="B451" s="25"/>
      <c r="C451" s="26" t="s">
        <v>3005</v>
      </c>
      <c r="D451" s="70"/>
      <c r="G451" s="70" t="s">
        <v>444</v>
      </c>
      <c r="H451" s="26">
        <v>-1</v>
      </c>
      <c r="I451" s="70" t="s">
        <v>4218</v>
      </c>
      <c r="J451" s="26" t="s">
        <v>3668</v>
      </c>
      <c r="K451" s="26" t="s">
        <v>4219</v>
      </c>
      <c r="L451" s="26" t="s">
        <v>10152</v>
      </c>
      <c r="M451" s="76"/>
      <c r="N451" s="76"/>
      <c r="O451" s="76"/>
      <c r="P451" s="76"/>
      <c r="Q451" s="76"/>
      <c r="R451" s="76"/>
      <c r="Z451" s="70"/>
      <c r="AA451" s="70"/>
      <c r="AB451" s="70"/>
      <c r="AC451" s="70"/>
    </row>
    <row r="452" spans="1:31" s="26" customFormat="1" x14ac:dyDescent="0.3">
      <c r="A452" s="25" t="s">
        <v>4220</v>
      </c>
      <c r="B452" s="25"/>
      <c r="C452" s="26" t="s">
        <v>3005</v>
      </c>
      <c r="D452" s="70"/>
      <c r="G452" s="70" t="s">
        <v>444</v>
      </c>
      <c r="H452" s="26">
        <v>-1</v>
      </c>
      <c r="I452" s="70" t="s">
        <v>4221</v>
      </c>
      <c r="J452" s="26" t="s">
        <v>4222</v>
      </c>
      <c r="K452" s="26" t="s">
        <v>3280</v>
      </c>
      <c r="L452" s="26" t="s">
        <v>10153</v>
      </c>
      <c r="M452" s="76"/>
      <c r="N452" s="76"/>
      <c r="O452" s="76"/>
      <c r="P452" s="76"/>
      <c r="Q452" s="76"/>
      <c r="R452" s="76"/>
      <c r="Z452" s="70"/>
      <c r="AA452" s="70"/>
      <c r="AB452" s="70"/>
      <c r="AC452" s="70"/>
    </row>
    <row r="453" spans="1:31" s="26" customFormat="1" x14ac:dyDescent="0.3">
      <c r="A453" s="25" t="s">
        <v>4223</v>
      </c>
      <c r="B453" s="25"/>
      <c r="C453" s="26" t="s">
        <v>3005</v>
      </c>
      <c r="D453" s="70"/>
      <c r="G453" s="70" t="s">
        <v>444</v>
      </c>
      <c r="H453" s="26">
        <v>-1</v>
      </c>
      <c r="I453" s="70" t="s">
        <v>4224</v>
      </c>
      <c r="J453" s="26" t="s">
        <v>4225</v>
      </c>
      <c r="K453" s="26" t="s">
        <v>4226</v>
      </c>
      <c r="L453" s="26" t="s">
        <v>10154</v>
      </c>
      <c r="M453" s="76"/>
      <c r="N453" s="76"/>
      <c r="O453" s="76"/>
      <c r="P453" s="76"/>
      <c r="Q453" s="76"/>
      <c r="R453" s="76"/>
      <c r="Z453" s="70"/>
      <c r="AA453" s="70"/>
      <c r="AB453" s="70"/>
      <c r="AC453" s="70"/>
    </row>
    <row r="454" spans="1:31" s="26" customFormat="1" x14ac:dyDescent="0.3">
      <c r="A454" s="25" t="s">
        <v>4227</v>
      </c>
      <c r="B454" s="25"/>
      <c r="C454" s="26" t="s">
        <v>3005</v>
      </c>
      <c r="D454" s="70"/>
      <c r="G454" s="70" t="s">
        <v>444</v>
      </c>
      <c r="H454" s="26">
        <v>-1</v>
      </c>
      <c r="I454" s="70" t="s">
        <v>4228</v>
      </c>
      <c r="J454" s="26" t="s">
        <v>4229</v>
      </c>
      <c r="K454" s="26" t="s">
        <v>4230</v>
      </c>
      <c r="L454" s="26" t="s">
        <v>10155</v>
      </c>
      <c r="M454" s="76"/>
      <c r="N454" s="76"/>
      <c r="O454" s="76"/>
      <c r="P454" s="76"/>
      <c r="Q454" s="76"/>
      <c r="R454" s="76"/>
      <c r="Z454" s="70"/>
      <c r="AA454" s="70"/>
      <c r="AB454" s="70"/>
      <c r="AC454" s="70"/>
    </row>
    <row r="455" spans="1:31" s="26" customFormat="1" x14ac:dyDescent="0.3">
      <c r="A455" s="25" t="s">
        <v>4231</v>
      </c>
      <c r="B455" s="25"/>
      <c r="C455" s="26" t="s">
        <v>3005</v>
      </c>
      <c r="D455" s="70"/>
      <c r="G455" s="70" t="s">
        <v>444</v>
      </c>
      <c r="H455" s="26">
        <v>-1</v>
      </c>
      <c r="I455" s="70" t="s">
        <v>4232</v>
      </c>
      <c r="J455" s="26" t="s">
        <v>4233</v>
      </c>
      <c r="K455" s="26" t="s">
        <v>3791</v>
      </c>
      <c r="L455" s="26" t="s">
        <v>5732</v>
      </c>
      <c r="M455" s="76"/>
      <c r="N455" s="76"/>
      <c r="O455" s="76"/>
      <c r="P455" s="76"/>
      <c r="Q455" s="76"/>
      <c r="R455" s="76"/>
      <c r="Z455" s="70"/>
      <c r="AA455" s="70"/>
      <c r="AB455" s="70"/>
      <c r="AC455" s="70"/>
    </row>
    <row r="456" spans="1:31" s="26" customFormat="1" x14ac:dyDescent="0.3">
      <c r="A456" s="25" t="s">
        <v>4234</v>
      </c>
      <c r="B456" s="25"/>
      <c r="C456" s="26" t="s">
        <v>3005</v>
      </c>
      <c r="D456" s="70"/>
      <c r="G456" s="70" t="s">
        <v>444</v>
      </c>
      <c r="H456" s="26">
        <v>3</v>
      </c>
      <c r="I456" s="70" t="s">
        <v>4235</v>
      </c>
      <c r="J456" s="26" t="s">
        <v>4236</v>
      </c>
      <c r="K456" s="26" t="s">
        <v>4237</v>
      </c>
      <c r="L456" s="26" t="s">
        <v>9713</v>
      </c>
      <c r="M456" s="76"/>
      <c r="N456" s="76"/>
      <c r="O456" s="76"/>
      <c r="P456" s="76"/>
      <c r="Q456" s="76"/>
      <c r="R456" s="76"/>
      <c r="Z456" s="70"/>
      <c r="AA456" s="70"/>
      <c r="AB456" s="70"/>
      <c r="AC456" s="70"/>
    </row>
    <row r="457" spans="1:31" s="26" customFormat="1" x14ac:dyDescent="0.3">
      <c r="A457" s="25" t="s">
        <v>4238</v>
      </c>
      <c r="B457" s="25"/>
      <c r="C457" s="26" t="s">
        <v>3005</v>
      </c>
      <c r="D457" s="70"/>
      <c r="G457" s="70" t="s">
        <v>444</v>
      </c>
      <c r="H457" s="26">
        <v>4</v>
      </c>
      <c r="I457" s="70" t="s">
        <v>4239</v>
      </c>
      <c r="J457" s="26" t="s">
        <v>4240</v>
      </c>
      <c r="K457" s="26" t="s">
        <v>4241</v>
      </c>
      <c r="L457" s="26" t="s">
        <v>10156</v>
      </c>
      <c r="M457" s="76"/>
      <c r="N457" s="76"/>
      <c r="O457" s="76"/>
      <c r="P457" s="76"/>
      <c r="Q457" s="76"/>
      <c r="R457" s="76"/>
      <c r="Z457" s="70"/>
      <c r="AA457" s="70"/>
      <c r="AB457" s="70"/>
      <c r="AC457" s="70"/>
    </row>
    <row r="458" spans="1:31" s="26" customFormat="1" x14ac:dyDescent="0.3">
      <c r="A458" s="25" t="s">
        <v>4242</v>
      </c>
      <c r="B458" s="25"/>
      <c r="C458" s="26" t="s">
        <v>3005</v>
      </c>
      <c r="D458" s="70"/>
      <c r="G458" s="70" t="s">
        <v>444</v>
      </c>
      <c r="H458" s="26">
        <v>3</v>
      </c>
      <c r="I458" s="70" t="s">
        <v>4243</v>
      </c>
      <c r="J458" s="26" t="s">
        <v>4244</v>
      </c>
      <c r="K458" s="26" t="s">
        <v>4245</v>
      </c>
      <c r="L458" s="26" t="s">
        <v>10157</v>
      </c>
      <c r="M458" s="76"/>
      <c r="N458" s="76"/>
      <c r="O458" s="76"/>
      <c r="P458" s="76"/>
      <c r="Q458" s="76"/>
      <c r="R458" s="76"/>
      <c r="Z458" s="70"/>
      <c r="AA458" s="70"/>
      <c r="AB458" s="70"/>
      <c r="AC458" s="70"/>
    </row>
    <row r="459" spans="1:31" s="26" customFormat="1" x14ac:dyDescent="0.3">
      <c r="A459" s="25" t="s">
        <v>4246</v>
      </c>
      <c r="B459" s="25"/>
      <c r="C459" s="26" t="s">
        <v>3005</v>
      </c>
      <c r="D459" s="70"/>
      <c r="G459" s="70" t="s">
        <v>444</v>
      </c>
      <c r="H459" s="26">
        <v>3</v>
      </c>
      <c r="I459" s="70" t="s">
        <v>4247</v>
      </c>
      <c r="J459" s="26" t="s">
        <v>4248</v>
      </c>
      <c r="K459" s="26" t="s">
        <v>4249</v>
      </c>
      <c r="L459" s="26" t="s">
        <v>9831</v>
      </c>
      <c r="M459" s="76"/>
      <c r="N459" s="76"/>
      <c r="O459" s="76"/>
      <c r="P459" s="76"/>
      <c r="Q459" s="76"/>
      <c r="R459" s="76"/>
      <c r="Z459" s="70"/>
      <c r="AA459" s="70"/>
      <c r="AB459" s="70"/>
      <c r="AC459" s="70"/>
    </row>
    <row r="460" spans="1:31" s="24" customFormat="1" x14ac:dyDescent="0.3">
      <c r="A460" s="23">
        <v>136</v>
      </c>
      <c r="B460" s="23">
        <v>132</v>
      </c>
      <c r="C460" s="24" t="s">
        <v>2165</v>
      </c>
      <c r="D460" s="69" t="s">
        <v>442</v>
      </c>
      <c r="E460" s="24" t="s">
        <v>441</v>
      </c>
      <c r="F460" s="24" t="s">
        <v>445</v>
      </c>
      <c r="G460" s="69" t="s">
        <v>446</v>
      </c>
      <c r="H460" s="24">
        <v>2</v>
      </c>
      <c r="I460" s="69"/>
      <c r="J460" s="24" t="s">
        <v>3158</v>
      </c>
      <c r="K460" s="24" t="s">
        <v>68</v>
      </c>
      <c r="M460" s="75" t="s">
        <v>65</v>
      </c>
      <c r="N460" s="75" t="s">
        <v>2015</v>
      </c>
      <c r="O460" s="75"/>
      <c r="P460" s="75"/>
      <c r="Q460" s="75"/>
      <c r="R460" s="75"/>
      <c r="Z460" s="69"/>
      <c r="AA460" s="69"/>
      <c r="AB460" s="69"/>
      <c r="AC460" s="69" t="s">
        <v>11373</v>
      </c>
    </row>
    <row r="461" spans="1:31" s="26" customFormat="1" x14ac:dyDescent="0.3">
      <c r="A461" s="25" t="s">
        <v>4250</v>
      </c>
      <c r="B461" s="25"/>
      <c r="C461" s="26" t="s">
        <v>3005</v>
      </c>
      <c r="D461" s="70"/>
      <c r="G461" s="70" t="s">
        <v>446</v>
      </c>
      <c r="H461" s="26">
        <v>1</v>
      </c>
      <c r="I461" s="70" t="s">
        <v>4251</v>
      </c>
      <c r="J461" s="26" t="s">
        <v>4252</v>
      </c>
      <c r="K461" s="26" t="s">
        <v>4253</v>
      </c>
      <c r="L461" s="26" t="s">
        <v>10158</v>
      </c>
      <c r="M461" s="76"/>
      <c r="N461" s="76"/>
      <c r="O461" s="76"/>
      <c r="P461" s="76"/>
      <c r="Q461" s="76"/>
      <c r="R461" s="76"/>
      <c r="Z461" s="70"/>
      <c r="AA461" s="70"/>
      <c r="AB461" s="70"/>
      <c r="AC461" s="70"/>
    </row>
    <row r="462" spans="1:31" s="26" customFormat="1" x14ac:dyDescent="0.3">
      <c r="A462" s="25" t="s">
        <v>4254</v>
      </c>
      <c r="B462" s="25"/>
      <c r="C462" s="26" t="s">
        <v>3005</v>
      </c>
      <c r="D462" s="70"/>
      <c r="G462" s="70" t="s">
        <v>446</v>
      </c>
      <c r="H462" s="26">
        <v>1</v>
      </c>
      <c r="I462" s="70" t="s">
        <v>4255</v>
      </c>
      <c r="J462" s="26" t="s">
        <v>3158</v>
      </c>
      <c r="K462" s="26" t="s">
        <v>4256</v>
      </c>
      <c r="L462" s="26" t="s">
        <v>10159</v>
      </c>
      <c r="M462" s="76"/>
      <c r="N462" s="76"/>
      <c r="O462" s="76"/>
      <c r="P462" s="76"/>
      <c r="Q462" s="76"/>
      <c r="R462" s="76"/>
      <c r="Z462" s="70"/>
      <c r="AA462" s="70"/>
      <c r="AB462" s="70"/>
      <c r="AC462" s="70"/>
    </row>
    <row r="463" spans="1:31" s="24" customFormat="1" x14ac:dyDescent="0.3">
      <c r="A463" s="23">
        <v>137</v>
      </c>
      <c r="B463" s="23">
        <v>133</v>
      </c>
      <c r="C463" s="24" t="s">
        <v>2165</v>
      </c>
      <c r="D463" s="69" t="s">
        <v>442</v>
      </c>
      <c r="E463" s="24" t="s">
        <v>441</v>
      </c>
      <c r="F463" s="24" t="s">
        <v>447</v>
      </c>
      <c r="G463" s="69" t="s">
        <v>448</v>
      </c>
      <c r="H463" s="24">
        <v>3</v>
      </c>
      <c r="I463" s="69"/>
      <c r="J463" s="24" t="s">
        <v>3092</v>
      </c>
      <c r="K463" s="24" t="s">
        <v>43</v>
      </c>
      <c r="M463" s="75" t="s">
        <v>15</v>
      </c>
      <c r="N463" s="75"/>
      <c r="O463" s="75"/>
      <c r="P463" s="75"/>
      <c r="Q463" s="75"/>
      <c r="R463" s="75"/>
      <c r="Z463" s="69"/>
      <c r="AA463" s="69"/>
      <c r="AB463" s="69"/>
      <c r="AC463" s="69"/>
    </row>
    <row r="464" spans="1:31" s="26" customFormat="1" x14ac:dyDescent="0.3">
      <c r="A464" s="25" t="s">
        <v>4257</v>
      </c>
      <c r="B464" s="25"/>
      <c r="C464" s="26" t="s">
        <v>3005</v>
      </c>
      <c r="D464" s="70"/>
      <c r="G464" s="70" t="s">
        <v>448</v>
      </c>
      <c r="H464" s="26">
        <v>-1</v>
      </c>
      <c r="I464" s="70" t="s">
        <v>4258</v>
      </c>
      <c r="J464" s="26" t="s">
        <v>4259</v>
      </c>
      <c r="K464" s="26" t="s">
        <v>4260</v>
      </c>
      <c r="L464" s="26" t="s">
        <v>10160</v>
      </c>
      <c r="M464" s="76"/>
      <c r="N464" s="76"/>
      <c r="O464" s="76"/>
      <c r="P464" s="76"/>
      <c r="Q464" s="76"/>
      <c r="R464" s="76"/>
      <c r="Z464" s="70"/>
      <c r="AA464" s="70"/>
      <c r="AB464" s="70"/>
      <c r="AC464" s="70"/>
    </row>
    <row r="465" spans="1:31" s="26" customFormat="1" x14ac:dyDescent="0.3">
      <c r="A465" s="25" t="s">
        <v>4261</v>
      </c>
      <c r="B465" s="25"/>
      <c r="C465" s="26" t="s">
        <v>3005</v>
      </c>
      <c r="D465" s="70"/>
      <c r="G465" s="70" t="s">
        <v>448</v>
      </c>
      <c r="H465" s="26">
        <v>-1</v>
      </c>
      <c r="I465" s="70" t="s">
        <v>4262</v>
      </c>
      <c r="J465" s="26" t="s">
        <v>4263</v>
      </c>
      <c r="K465" s="26" t="s">
        <v>4264</v>
      </c>
      <c r="L465" s="26" t="s">
        <v>10161</v>
      </c>
      <c r="M465" s="76"/>
      <c r="N465" s="76"/>
      <c r="O465" s="76"/>
      <c r="P465" s="76"/>
      <c r="Q465" s="76"/>
      <c r="R465" s="76"/>
      <c r="Z465" s="70"/>
      <c r="AA465" s="70"/>
      <c r="AB465" s="70"/>
      <c r="AC465" s="70"/>
    </row>
    <row r="466" spans="1:31" s="26" customFormat="1" x14ac:dyDescent="0.3">
      <c r="A466" s="25" t="s">
        <v>4265</v>
      </c>
      <c r="B466" s="25"/>
      <c r="C466" s="26" t="s">
        <v>3005</v>
      </c>
      <c r="D466" s="70"/>
      <c r="G466" s="70" t="s">
        <v>448</v>
      </c>
      <c r="H466" s="26">
        <v>-1</v>
      </c>
      <c r="I466" s="70" t="s">
        <v>4266</v>
      </c>
      <c r="J466" s="26" t="s">
        <v>4267</v>
      </c>
      <c r="K466" s="26" t="s">
        <v>4268</v>
      </c>
      <c r="L466" s="26" t="s">
        <v>2998</v>
      </c>
      <c r="M466" s="76"/>
      <c r="N466" s="76"/>
      <c r="O466" s="76"/>
      <c r="P466" s="76"/>
      <c r="Q466" s="76"/>
      <c r="R466" s="76"/>
      <c r="Z466" s="70"/>
      <c r="AA466" s="70"/>
      <c r="AB466" s="70"/>
      <c r="AC466" s="70"/>
    </row>
    <row r="467" spans="1:31" s="26" customFormat="1" x14ac:dyDescent="0.3">
      <c r="A467" s="25" t="s">
        <v>4269</v>
      </c>
      <c r="B467" s="25"/>
      <c r="C467" s="26" t="s">
        <v>3005</v>
      </c>
      <c r="D467" s="70"/>
      <c r="G467" s="70" t="s">
        <v>448</v>
      </c>
      <c r="H467" s="26">
        <v>-1</v>
      </c>
      <c r="I467" s="70" t="s">
        <v>4270</v>
      </c>
      <c r="J467" s="26" t="s">
        <v>4271</v>
      </c>
      <c r="K467" s="26" t="s">
        <v>3736</v>
      </c>
      <c r="L467" s="26" t="s">
        <v>3736</v>
      </c>
      <c r="M467" s="76"/>
      <c r="N467" s="76"/>
      <c r="O467" s="76"/>
      <c r="P467" s="76"/>
      <c r="Q467" s="76"/>
      <c r="R467" s="76"/>
      <c r="Z467" s="70"/>
      <c r="AA467" s="70"/>
      <c r="AB467" s="70"/>
      <c r="AC467" s="70"/>
    </row>
    <row r="468" spans="1:31" s="26" customFormat="1" x14ac:dyDescent="0.3">
      <c r="A468" s="25" t="s">
        <v>4272</v>
      </c>
      <c r="B468" s="25"/>
      <c r="C468" s="26" t="s">
        <v>3005</v>
      </c>
      <c r="D468" s="70"/>
      <c r="G468" s="70" t="s">
        <v>448</v>
      </c>
      <c r="H468" s="26">
        <v>-1</v>
      </c>
      <c r="I468" s="70" t="s">
        <v>4273</v>
      </c>
      <c r="J468" s="26" t="s">
        <v>4274</v>
      </c>
      <c r="K468" s="26" t="s">
        <v>4275</v>
      </c>
      <c r="L468" s="26" t="s">
        <v>10162</v>
      </c>
      <c r="M468" s="76"/>
      <c r="N468" s="76"/>
      <c r="O468" s="76"/>
      <c r="P468" s="76"/>
      <c r="Q468" s="76"/>
      <c r="R468" s="76"/>
      <c r="Z468" s="70"/>
      <c r="AA468" s="70"/>
      <c r="AB468" s="70"/>
      <c r="AC468" s="70"/>
    </row>
    <row r="469" spans="1:31" s="26" customFormat="1" x14ac:dyDescent="0.3">
      <c r="A469" s="25" t="s">
        <v>4276</v>
      </c>
      <c r="B469" s="25"/>
      <c r="C469" s="26" t="s">
        <v>3005</v>
      </c>
      <c r="D469" s="70"/>
      <c r="G469" s="70" t="s">
        <v>448</v>
      </c>
      <c r="H469" s="26">
        <v>-1</v>
      </c>
      <c r="I469" s="70" t="s">
        <v>4277</v>
      </c>
      <c r="J469" s="26" t="s">
        <v>4278</v>
      </c>
      <c r="K469" s="26" t="s">
        <v>3757</v>
      </c>
      <c r="L469" s="26" t="s">
        <v>3757</v>
      </c>
      <c r="M469" s="76"/>
      <c r="N469" s="76"/>
      <c r="O469" s="76"/>
      <c r="P469" s="76"/>
      <c r="Q469" s="76"/>
      <c r="R469" s="76"/>
      <c r="Z469" s="70"/>
      <c r="AA469" s="70"/>
      <c r="AB469" s="70"/>
      <c r="AC469" s="70"/>
    </row>
    <row r="470" spans="1:31" s="26" customFormat="1" x14ac:dyDescent="0.3">
      <c r="A470" s="25" t="s">
        <v>4279</v>
      </c>
      <c r="B470" s="25"/>
      <c r="C470" s="26" t="s">
        <v>3005</v>
      </c>
      <c r="D470" s="70"/>
      <c r="G470" s="70" t="s">
        <v>448</v>
      </c>
      <c r="H470" s="26">
        <v>-1</v>
      </c>
      <c r="I470" s="70" t="s">
        <v>4280</v>
      </c>
      <c r="J470" s="26" t="s">
        <v>4281</v>
      </c>
      <c r="K470" s="26" t="s">
        <v>4282</v>
      </c>
      <c r="L470" s="26" t="s">
        <v>10163</v>
      </c>
      <c r="M470" s="76"/>
      <c r="N470" s="76"/>
      <c r="O470" s="76"/>
      <c r="P470" s="76"/>
      <c r="Q470" s="76"/>
      <c r="R470" s="76"/>
      <c r="Z470" s="70"/>
      <c r="AA470" s="70"/>
      <c r="AB470" s="70"/>
      <c r="AC470" s="70"/>
    </row>
    <row r="471" spans="1:31" s="26" customFormat="1" x14ac:dyDescent="0.3">
      <c r="A471" s="25" t="s">
        <v>4283</v>
      </c>
      <c r="B471" s="25"/>
      <c r="C471" s="26" t="s">
        <v>3005</v>
      </c>
      <c r="D471" s="70"/>
      <c r="G471" s="70" t="s">
        <v>448</v>
      </c>
      <c r="H471" s="26">
        <v>-1</v>
      </c>
      <c r="I471" s="70" t="s">
        <v>4284</v>
      </c>
      <c r="J471" s="26" t="s">
        <v>4285</v>
      </c>
      <c r="K471" s="26" t="s">
        <v>4286</v>
      </c>
      <c r="L471" s="26" t="s">
        <v>10164</v>
      </c>
      <c r="M471" s="76"/>
      <c r="N471" s="76"/>
      <c r="O471" s="76"/>
      <c r="P471" s="76"/>
      <c r="Q471" s="76"/>
      <c r="R471" s="76"/>
      <c r="Z471" s="70"/>
      <c r="AA471" s="70"/>
      <c r="AB471" s="70"/>
      <c r="AC471" s="70"/>
    </row>
    <row r="472" spans="1:31" s="26" customFormat="1" x14ac:dyDescent="0.3">
      <c r="A472" s="25" t="s">
        <v>4287</v>
      </c>
      <c r="B472" s="25"/>
      <c r="C472" s="26" t="s">
        <v>3005</v>
      </c>
      <c r="D472" s="70"/>
      <c r="G472" s="70" t="s">
        <v>448</v>
      </c>
      <c r="H472" s="26">
        <v>-1</v>
      </c>
      <c r="I472" s="70" t="s">
        <v>4288</v>
      </c>
      <c r="J472" s="26" t="s">
        <v>4289</v>
      </c>
      <c r="K472" s="26" t="s">
        <v>4290</v>
      </c>
      <c r="L472" s="26" t="s">
        <v>10165</v>
      </c>
      <c r="M472" s="76"/>
      <c r="N472" s="76"/>
      <c r="O472" s="76"/>
      <c r="P472" s="76"/>
      <c r="Q472" s="76"/>
      <c r="R472" s="76"/>
      <c r="Z472" s="70"/>
      <c r="AA472" s="70"/>
      <c r="AB472" s="70"/>
      <c r="AC472" s="70"/>
    </row>
    <row r="473" spans="1:31" s="26" customFormat="1" x14ac:dyDescent="0.3">
      <c r="A473" s="25" t="s">
        <v>4291</v>
      </c>
      <c r="B473" s="25"/>
      <c r="C473" s="26" t="s">
        <v>3005</v>
      </c>
      <c r="D473" s="70"/>
      <c r="G473" s="70" t="s">
        <v>448</v>
      </c>
      <c r="H473" s="26">
        <v>-1</v>
      </c>
      <c r="I473" s="70" t="s">
        <v>4292</v>
      </c>
      <c r="J473" s="26" t="s">
        <v>4293</v>
      </c>
      <c r="K473" s="26" t="s">
        <v>4294</v>
      </c>
      <c r="L473" s="26" t="s">
        <v>10166</v>
      </c>
      <c r="M473" s="76"/>
      <c r="N473" s="76"/>
      <c r="O473" s="76"/>
      <c r="P473" s="76"/>
      <c r="Q473" s="76"/>
      <c r="R473" s="76"/>
      <c r="T473" s="26" t="s">
        <v>2200</v>
      </c>
      <c r="Z473" s="70"/>
      <c r="AA473" s="70"/>
      <c r="AB473" s="70"/>
      <c r="AC473" s="70"/>
      <c r="AE473" s="26" t="s">
        <v>4295</v>
      </c>
    </row>
    <row r="474" spans="1:31" s="26" customFormat="1" x14ac:dyDescent="0.3">
      <c r="A474" s="25" t="s">
        <v>4296</v>
      </c>
      <c r="B474" s="25"/>
      <c r="C474" s="26" t="s">
        <v>3005</v>
      </c>
      <c r="D474" s="70"/>
      <c r="G474" s="70" t="s">
        <v>448</v>
      </c>
      <c r="H474" s="26">
        <v>-1</v>
      </c>
      <c r="I474" s="70" t="s">
        <v>4297</v>
      </c>
      <c r="J474" s="26" t="s">
        <v>3092</v>
      </c>
      <c r="K474" s="26" t="s">
        <v>4298</v>
      </c>
      <c r="L474" s="26" t="s">
        <v>10167</v>
      </c>
      <c r="M474" s="76"/>
      <c r="N474" s="76"/>
      <c r="O474" s="76"/>
      <c r="P474" s="76"/>
      <c r="Q474" s="76"/>
      <c r="R474" s="76"/>
      <c r="Z474" s="70"/>
      <c r="AA474" s="70"/>
      <c r="AB474" s="70"/>
      <c r="AC474" s="70"/>
    </row>
    <row r="475" spans="1:31" s="26" customFormat="1" x14ac:dyDescent="0.3">
      <c r="A475" s="25" t="s">
        <v>4299</v>
      </c>
      <c r="B475" s="25"/>
      <c r="C475" s="26" t="s">
        <v>3005</v>
      </c>
      <c r="D475" s="70"/>
      <c r="G475" s="70" t="s">
        <v>448</v>
      </c>
      <c r="H475" s="26">
        <v>-1</v>
      </c>
      <c r="I475" s="70" t="s">
        <v>4300</v>
      </c>
      <c r="J475" s="26" t="s">
        <v>4301</v>
      </c>
      <c r="K475" s="26" t="s">
        <v>4302</v>
      </c>
      <c r="L475" s="26" t="s">
        <v>3453</v>
      </c>
      <c r="M475" s="76"/>
      <c r="N475" s="76"/>
      <c r="O475" s="76"/>
      <c r="P475" s="76"/>
      <c r="Q475" s="76"/>
      <c r="R475" s="76"/>
      <c r="Z475" s="70"/>
      <c r="AA475" s="70"/>
      <c r="AB475" s="70"/>
      <c r="AC475" s="70"/>
    </row>
    <row r="476" spans="1:31" s="26" customFormat="1" x14ac:dyDescent="0.3">
      <c r="A476" s="25" t="s">
        <v>4303</v>
      </c>
      <c r="B476" s="25"/>
      <c r="C476" s="26" t="s">
        <v>3005</v>
      </c>
      <c r="D476" s="70"/>
      <c r="G476" s="70" t="s">
        <v>448</v>
      </c>
      <c r="H476" s="26">
        <v>-1</v>
      </c>
      <c r="I476" s="70" t="s">
        <v>4304</v>
      </c>
      <c r="J476" s="26" t="s">
        <v>4305</v>
      </c>
      <c r="K476" s="26" t="s">
        <v>4306</v>
      </c>
      <c r="L476" s="26" t="s">
        <v>4306</v>
      </c>
      <c r="M476" s="76"/>
      <c r="N476" s="76"/>
      <c r="O476" s="76"/>
      <c r="P476" s="76"/>
      <c r="Q476" s="76"/>
      <c r="R476" s="76"/>
      <c r="Z476" s="70"/>
      <c r="AA476" s="70"/>
      <c r="AB476" s="70"/>
      <c r="AC476" s="70"/>
    </row>
    <row r="477" spans="1:31" s="26" customFormat="1" x14ac:dyDescent="0.3">
      <c r="A477" s="25" t="s">
        <v>4307</v>
      </c>
      <c r="B477" s="25"/>
      <c r="C477" s="26" t="s">
        <v>3005</v>
      </c>
      <c r="D477" s="70"/>
      <c r="G477" s="70" t="s">
        <v>448</v>
      </c>
      <c r="H477" s="26">
        <v>3</v>
      </c>
      <c r="I477" s="70" t="s">
        <v>4308</v>
      </c>
      <c r="J477" s="26" t="s">
        <v>4309</v>
      </c>
      <c r="K477" s="26" t="s">
        <v>4310</v>
      </c>
      <c r="L477" s="26" t="s">
        <v>10168</v>
      </c>
      <c r="M477" s="76"/>
      <c r="N477" s="76"/>
      <c r="O477" s="76"/>
      <c r="P477" s="76"/>
      <c r="Q477" s="76"/>
      <c r="R477" s="76"/>
      <c r="Z477" s="70"/>
      <c r="AA477" s="70"/>
      <c r="AB477" s="70"/>
      <c r="AC477" s="70"/>
    </row>
    <row r="478" spans="1:31" s="26" customFormat="1" x14ac:dyDescent="0.3">
      <c r="A478" s="25" t="s">
        <v>4311</v>
      </c>
      <c r="B478" s="25"/>
      <c r="C478" s="26" t="s">
        <v>3005</v>
      </c>
      <c r="D478" s="70"/>
      <c r="G478" s="70" t="s">
        <v>448</v>
      </c>
      <c r="H478" s="26">
        <v>6</v>
      </c>
      <c r="I478" s="70" t="s">
        <v>4312</v>
      </c>
      <c r="J478" s="26" t="s">
        <v>4313</v>
      </c>
      <c r="K478" s="26" t="s">
        <v>4314</v>
      </c>
      <c r="L478" s="26" t="s">
        <v>10169</v>
      </c>
      <c r="M478" s="76"/>
      <c r="N478" s="76"/>
      <c r="O478" s="76"/>
      <c r="P478" s="76"/>
      <c r="Q478" s="76"/>
      <c r="R478" s="76"/>
      <c r="Z478" s="70"/>
      <c r="AA478" s="70"/>
      <c r="AB478" s="70"/>
      <c r="AC478" s="70"/>
    </row>
    <row r="479" spans="1:31" s="26" customFormat="1" x14ac:dyDescent="0.3">
      <c r="A479" s="25" t="s">
        <v>4315</v>
      </c>
      <c r="B479" s="25"/>
      <c r="C479" s="26" t="s">
        <v>3005</v>
      </c>
      <c r="D479" s="70"/>
      <c r="G479" s="70" t="s">
        <v>448</v>
      </c>
      <c r="H479" s="26">
        <v>6</v>
      </c>
      <c r="I479" s="70" t="s">
        <v>4316</v>
      </c>
      <c r="J479" s="26" t="s">
        <v>3137</v>
      </c>
      <c r="K479" s="26" t="s">
        <v>4317</v>
      </c>
      <c r="L479" s="26" t="s">
        <v>10170</v>
      </c>
      <c r="M479" s="76"/>
      <c r="N479" s="76"/>
      <c r="O479" s="76"/>
      <c r="P479" s="76"/>
      <c r="Q479" s="76"/>
      <c r="R479" s="76"/>
      <c r="Z479" s="70"/>
      <c r="AA479" s="70"/>
      <c r="AB479" s="70"/>
      <c r="AC479" s="70"/>
    </row>
    <row r="480" spans="1:31" s="24" customFormat="1" x14ac:dyDescent="0.3">
      <c r="A480" s="23">
        <v>138</v>
      </c>
      <c r="B480" s="23">
        <v>134</v>
      </c>
      <c r="C480" s="24" t="s">
        <v>2165</v>
      </c>
      <c r="D480" s="69" t="s">
        <v>442</v>
      </c>
      <c r="E480" s="24" t="s">
        <v>441</v>
      </c>
      <c r="F480" s="24" t="s">
        <v>449</v>
      </c>
      <c r="G480" s="69" t="s">
        <v>450</v>
      </c>
      <c r="I480" s="69"/>
      <c r="J480" s="24" t="s">
        <v>4318</v>
      </c>
      <c r="K480" s="24" t="s">
        <v>68</v>
      </c>
      <c r="L480" s="24" t="s">
        <v>9713</v>
      </c>
      <c r="M480" s="75" t="s">
        <v>65</v>
      </c>
      <c r="N480" s="75" t="s">
        <v>2017</v>
      </c>
      <c r="O480" s="75" t="s">
        <v>406</v>
      </c>
      <c r="P480" s="75" t="s">
        <v>406</v>
      </c>
      <c r="Q480" s="75" t="s">
        <v>67</v>
      </c>
      <c r="R480" s="75" t="s">
        <v>2166</v>
      </c>
      <c r="W480" s="24" t="s">
        <v>2329</v>
      </c>
      <c r="Y480" s="24" t="s">
        <v>2329</v>
      </c>
      <c r="Z480" s="69"/>
      <c r="AA480" s="69"/>
      <c r="AB480" s="69"/>
      <c r="AC480" s="69"/>
    </row>
    <row r="481" spans="1:31" s="24" customFormat="1" x14ac:dyDescent="0.3">
      <c r="A481" s="23">
        <v>139</v>
      </c>
      <c r="B481" s="23">
        <v>135</v>
      </c>
      <c r="C481" s="24" t="s">
        <v>2165</v>
      </c>
      <c r="D481" s="69" t="s">
        <v>452</v>
      </c>
      <c r="E481" s="24" t="s">
        <v>451</v>
      </c>
      <c r="F481" s="24" t="s">
        <v>453</v>
      </c>
      <c r="G481" s="69" t="s">
        <v>454</v>
      </c>
      <c r="I481" s="69"/>
      <c r="J481" s="24" t="s">
        <v>3219</v>
      </c>
      <c r="K481" s="24" t="s">
        <v>420</v>
      </c>
      <c r="L481" s="24" t="s">
        <v>9714</v>
      </c>
      <c r="M481" s="75" t="s">
        <v>15</v>
      </c>
      <c r="N481" s="75"/>
      <c r="O481" s="75" t="s">
        <v>58</v>
      </c>
      <c r="P481" s="75" t="s">
        <v>58</v>
      </c>
      <c r="Q481" s="75" t="s">
        <v>67</v>
      </c>
      <c r="R481" s="75" t="s">
        <v>2166</v>
      </c>
      <c r="T481" s="24" t="s">
        <v>2330</v>
      </c>
      <c r="V481" s="24" t="s">
        <v>2331</v>
      </c>
      <c r="W481" s="24" t="s">
        <v>2331</v>
      </c>
      <c r="Y481" s="24" t="s">
        <v>2331</v>
      </c>
      <c r="Z481" s="69"/>
      <c r="AA481" s="69"/>
      <c r="AB481" s="69"/>
      <c r="AC481" s="69"/>
      <c r="AD481" s="24" t="s">
        <v>455</v>
      </c>
      <c r="AE481" s="24" t="s">
        <v>2332</v>
      </c>
    </row>
    <row r="482" spans="1:31" s="24" customFormat="1" x14ac:dyDescent="0.3">
      <c r="A482" s="23">
        <v>140</v>
      </c>
      <c r="B482" s="23">
        <v>136</v>
      </c>
      <c r="C482" s="24" t="s">
        <v>2165</v>
      </c>
      <c r="D482" s="69" t="s">
        <v>457</v>
      </c>
      <c r="E482" s="24" t="s">
        <v>456</v>
      </c>
      <c r="F482" s="24" t="s">
        <v>458</v>
      </c>
      <c r="G482" s="69" t="s">
        <v>459</v>
      </c>
      <c r="I482" s="69"/>
      <c r="J482" s="24" t="s">
        <v>3110</v>
      </c>
      <c r="K482" s="24" t="s">
        <v>460</v>
      </c>
      <c r="M482" s="75" t="s">
        <v>19</v>
      </c>
      <c r="N482" s="75"/>
      <c r="O482" s="75" t="s">
        <v>58</v>
      </c>
      <c r="P482" s="75" t="s">
        <v>58</v>
      </c>
      <c r="Q482" s="75"/>
      <c r="R482" s="75" t="s">
        <v>2166</v>
      </c>
      <c r="U482" s="24" t="s">
        <v>2333</v>
      </c>
      <c r="Z482" s="69"/>
      <c r="AA482" s="69"/>
      <c r="AB482" s="69"/>
      <c r="AC482" s="69"/>
      <c r="AD482" s="24" t="s">
        <v>123</v>
      </c>
    </row>
    <row r="483" spans="1:31" s="26" customFormat="1" x14ac:dyDescent="0.3">
      <c r="A483" s="25" t="s">
        <v>4319</v>
      </c>
      <c r="B483" s="25"/>
      <c r="C483" s="26" t="s">
        <v>3005</v>
      </c>
      <c r="D483" s="70"/>
      <c r="G483" s="70" t="s">
        <v>459</v>
      </c>
      <c r="H483" s="26">
        <v>-1</v>
      </c>
      <c r="I483" s="70" t="s">
        <v>4320</v>
      </c>
      <c r="J483" s="26" t="s">
        <v>3110</v>
      </c>
      <c r="K483" s="26" t="s">
        <v>4321</v>
      </c>
      <c r="L483" s="26" t="s">
        <v>10171</v>
      </c>
      <c r="M483" s="76"/>
      <c r="N483" s="76"/>
      <c r="O483" s="76"/>
      <c r="P483" s="76"/>
      <c r="Q483" s="76"/>
      <c r="R483" s="76"/>
      <c r="U483" s="26" t="s">
        <v>4322</v>
      </c>
      <c r="Z483" s="70"/>
      <c r="AA483" s="70"/>
      <c r="AB483" s="70"/>
      <c r="AC483" s="70"/>
    </row>
    <row r="484" spans="1:31" s="26" customFormat="1" x14ac:dyDescent="0.3">
      <c r="A484" s="25" t="s">
        <v>4323</v>
      </c>
      <c r="B484" s="25"/>
      <c r="C484" s="26" t="s">
        <v>3005</v>
      </c>
      <c r="D484" s="70"/>
      <c r="G484" s="70" t="s">
        <v>459</v>
      </c>
      <c r="H484" s="26">
        <v>-1</v>
      </c>
      <c r="I484" s="70" t="s">
        <v>4324</v>
      </c>
      <c r="J484" s="26" t="s">
        <v>4325</v>
      </c>
      <c r="K484" s="26" t="s">
        <v>4326</v>
      </c>
      <c r="L484" s="26" t="s">
        <v>10172</v>
      </c>
      <c r="M484" s="76"/>
      <c r="N484" s="76"/>
      <c r="O484" s="76"/>
      <c r="P484" s="76"/>
      <c r="Q484" s="76"/>
      <c r="R484" s="76"/>
      <c r="U484" s="26" t="s">
        <v>4327</v>
      </c>
      <c r="Z484" s="70"/>
      <c r="AA484" s="70"/>
      <c r="AB484" s="70"/>
      <c r="AC484" s="70"/>
    </row>
    <row r="485" spans="1:31" s="26" customFormat="1" x14ac:dyDescent="0.3">
      <c r="A485" s="25" t="s">
        <v>4328</v>
      </c>
      <c r="B485" s="25"/>
      <c r="C485" s="26" t="s">
        <v>3005</v>
      </c>
      <c r="D485" s="70"/>
      <c r="G485" s="70" t="s">
        <v>459</v>
      </c>
      <c r="H485" s="26">
        <v>-1</v>
      </c>
      <c r="I485" s="70" t="s">
        <v>4329</v>
      </c>
      <c r="J485" s="26" t="s">
        <v>4330</v>
      </c>
      <c r="K485" s="26" t="s">
        <v>4331</v>
      </c>
      <c r="M485" s="76"/>
      <c r="N485" s="76"/>
      <c r="O485" s="76"/>
      <c r="P485" s="76"/>
      <c r="Q485" s="76"/>
      <c r="R485" s="76"/>
      <c r="U485" s="26" t="s">
        <v>4332</v>
      </c>
      <c r="Z485" s="70"/>
      <c r="AA485" s="70"/>
      <c r="AB485" s="70"/>
      <c r="AC485" s="70"/>
    </row>
    <row r="486" spans="1:31" s="26" customFormat="1" x14ac:dyDescent="0.3">
      <c r="A486" s="25" t="s">
        <v>4333</v>
      </c>
      <c r="B486" s="25"/>
      <c r="C486" s="26" t="s">
        <v>3005</v>
      </c>
      <c r="D486" s="70"/>
      <c r="G486" s="70" t="s">
        <v>459</v>
      </c>
      <c r="H486" s="26">
        <v>-1</v>
      </c>
      <c r="I486" s="70" t="s">
        <v>4334</v>
      </c>
      <c r="J486" s="26" t="s">
        <v>4335</v>
      </c>
      <c r="K486" s="26" t="s">
        <v>4336</v>
      </c>
      <c r="M486" s="76"/>
      <c r="N486" s="76"/>
      <c r="O486" s="76"/>
      <c r="P486" s="76"/>
      <c r="Q486" s="76"/>
      <c r="R486" s="76"/>
      <c r="U486" s="26" t="s">
        <v>4337</v>
      </c>
      <c r="Z486" s="70"/>
      <c r="AA486" s="70"/>
      <c r="AB486" s="70"/>
      <c r="AC486" s="70"/>
    </row>
    <row r="487" spans="1:31" s="24" customFormat="1" x14ac:dyDescent="0.3">
      <c r="A487" s="23">
        <v>141</v>
      </c>
      <c r="B487" s="23">
        <v>137</v>
      </c>
      <c r="C487" s="24" t="s">
        <v>2165</v>
      </c>
      <c r="D487" s="69" t="s">
        <v>462</v>
      </c>
      <c r="E487" s="24" t="s">
        <v>461</v>
      </c>
      <c r="F487" s="24" t="s">
        <v>463</v>
      </c>
      <c r="G487" s="69" t="s">
        <v>464</v>
      </c>
      <c r="I487" s="69"/>
      <c r="J487" s="24" t="s">
        <v>3016</v>
      </c>
      <c r="K487" s="24" t="s">
        <v>170</v>
      </c>
      <c r="L487" s="24" t="s">
        <v>9715</v>
      </c>
      <c r="M487" s="75" t="s">
        <v>317</v>
      </c>
      <c r="N487" s="75"/>
      <c r="O487" s="75"/>
      <c r="P487" s="75"/>
      <c r="Q487" s="75"/>
      <c r="R487" s="75"/>
      <c r="Z487" s="69"/>
      <c r="AA487" s="69"/>
      <c r="AB487" s="69"/>
      <c r="AC487" s="69"/>
      <c r="AD487" s="24" t="s">
        <v>123</v>
      </c>
    </row>
    <row r="488" spans="1:31" s="24" customFormat="1" x14ac:dyDescent="0.3">
      <c r="A488" s="23">
        <v>142</v>
      </c>
      <c r="B488" s="23">
        <v>138</v>
      </c>
      <c r="C488" s="24" t="s">
        <v>2165</v>
      </c>
      <c r="D488" s="69" t="s">
        <v>462</v>
      </c>
      <c r="E488" s="24" t="s">
        <v>461</v>
      </c>
      <c r="F488" s="24" t="s">
        <v>465</v>
      </c>
      <c r="G488" s="69" t="s">
        <v>466</v>
      </c>
      <c r="I488" s="69"/>
      <c r="J488" s="24" t="s">
        <v>4338</v>
      </c>
      <c r="K488" s="24" t="s">
        <v>233</v>
      </c>
      <c r="L488" s="24" t="s">
        <v>9716</v>
      </c>
      <c r="M488" s="75" t="s">
        <v>236</v>
      </c>
      <c r="N488" s="75"/>
      <c r="O488" s="75"/>
      <c r="P488" s="75"/>
      <c r="Q488" s="75"/>
      <c r="R488" s="75" t="s">
        <v>2166</v>
      </c>
      <c r="T488" s="24" t="s">
        <v>2174</v>
      </c>
      <c r="V488" s="24" t="s">
        <v>463</v>
      </c>
      <c r="Z488" s="69"/>
      <c r="AA488" s="69"/>
      <c r="AB488" s="69"/>
      <c r="AC488" s="69"/>
      <c r="AD488" s="24" t="s">
        <v>11320</v>
      </c>
      <c r="AE488" s="24" t="s">
        <v>2334</v>
      </c>
    </row>
    <row r="489" spans="1:31" s="24" customFormat="1" x14ac:dyDescent="0.3">
      <c r="A489" s="23">
        <v>143</v>
      </c>
      <c r="B489" s="23">
        <v>139</v>
      </c>
      <c r="C489" s="24" t="s">
        <v>2165</v>
      </c>
      <c r="D489" s="69" t="s">
        <v>462</v>
      </c>
      <c r="E489" s="24" t="s">
        <v>461</v>
      </c>
      <c r="F489" s="24" t="s">
        <v>467</v>
      </c>
      <c r="G489" s="69" t="s">
        <v>468</v>
      </c>
      <c r="I489" s="69"/>
      <c r="J489" s="24" t="s">
        <v>3110</v>
      </c>
      <c r="K489" s="24" t="s">
        <v>469</v>
      </c>
      <c r="L489" s="24" t="s">
        <v>9717</v>
      </c>
      <c r="M489" s="75" t="s">
        <v>19</v>
      </c>
      <c r="N489" s="75"/>
      <c r="O489" s="75"/>
      <c r="P489" s="75"/>
      <c r="Q489" s="75"/>
      <c r="R489" s="75" t="s">
        <v>2166</v>
      </c>
      <c r="Z489" s="69"/>
      <c r="AA489" s="69"/>
      <c r="AB489" s="69"/>
      <c r="AC489" s="69"/>
    </row>
    <row r="490" spans="1:31" s="24" customFormat="1" x14ac:dyDescent="0.3">
      <c r="A490" s="23">
        <v>144</v>
      </c>
      <c r="B490" s="23">
        <v>140</v>
      </c>
      <c r="C490" s="24" t="s">
        <v>2165</v>
      </c>
      <c r="D490" s="69" t="s">
        <v>471</v>
      </c>
      <c r="E490" s="24" t="s">
        <v>470</v>
      </c>
      <c r="F490" s="24" t="s">
        <v>472</v>
      </c>
      <c r="G490" s="69" t="s">
        <v>473</v>
      </c>
      <c r="I490" s="69"/>
      <c r="J490" s="24" t="s">
        <v>3016</v>
      </c>
      <c r="K490" s="24" t="s">
        <v>92</v>
      </c>
      <c r="L490" s="24" t="s">
        <v>9718</v>
      </c>
      <c r="M490" s="75" t="s">
        <v>19</v>
      </c>
      <c r="N490" s="75"/>
      <c r="O490" s="75" t="s">
        <v>58</v>
      </c>
      <c r="P490" s="75" t="s">
        <v>58</v>
      </c>
      <c r="Q490" s="75"/>
      <c r="R490" s="75" t="s">
        <v>2166</v>
      </c>
      <c r="U490" s="24" t="s">
        <v>2320</v>
      </c>
      <c r="V490" s="24" t="s">
        <v>2171</v>
      </c>
      <c r="Z490" s="69"/>
      <c r="AA490" s="69"/>
      <c r="AB490" s="69"/>
      <c r="AC490" s="69"/>
      <c r="AD490" s="24" t="s">
        <v>11321</v>
      </c>
    </row>
    <row r="491" spans="1:31" s="24" customFormat="1" x14ac:dyDescent="0.3">
      <c r="A491" s="23">
        <v>145</v>
      </c>
      <c r="B491" s="23">
        <v>141</v>
      </c>
      <c r="C491" s="24" t="s">
        <v>2165</v>
      </c>
      <c r="D491" s="69" t="s">
        <v>471</v>
      </c>
      <c r="E491" s="24" t="s">
        <v>470</v>
      </c>
      <c r="F491" s="24" t="s">
        <v>474</v>
      </c>
      <c r="G491" s="69" t="s">
        <v>475</v>
      </c>
      <c r="I491" s="69"/>
      <c r="J491" s="24" t="s">
        <v>3708</v>
      </c>
      <c r="K491" s="24" t="s">
        <v>476</v>
      </c>
      <c r="L491" s="24" t="s">
        <v>9719</v>
      </c>
      <c r="M491" s="75" t="s">
        <v>19</v>
      </c>
      <c r="N491" s="75"/>
      <c r="O491" s="75"/>
      <c r="P491" s="75"/>
      <c r="Q491" s="75"/>
      <c r="R491" s="75" t="s">
        <v>2166</v>
      </c>
      <c r="U491" s="24" t="s">
        <v>2293</v>
      </c>
      <c r="W491" s="24" t="s">
        <v>2335</v>
      </c>
      <c r="Z491" s="69"/>
      <c r="AA491" s="69"/>
      <c r="AB491" s="69"/>
      <c r="AC491" s="69"/>
    </row>
    <row r="492" spans="1:31" s="24" customFormat="1" x14ac:dyDescent="0.3">
      <c r="A492" s="23">
        <v>146</v>
      </c>
      <c r="B492" s="23">
        <v>142</v>
      </c>
      <c r="C492" s="24" t="s">
        <v>2165</v>
      </c>
      <c r="D492" s="69" t="s">
        <v>471</v>
      </c>
      <c r="E492" s="24" t="s">
        <v>470</v>
      </c>
      <c r="F492" s="24" t="s">
        <v>477</v>
      </c>
      <c r="G492" s="69" t="s">
        <v>478</v>
      </c>
      <c r="I492" s="69"/>
      <c r="J492" s="24" t="s">
        <v>3092</v>
      </c>
      <c r="K492" s="24" t="s">
        <v>479</v>
      </c>
      <c r="L492" s="24" t="s">
        <v>9720</v>
      </c>
      <c r="M492" s="75" t="s">
        <v>50</v>
      </c>
      <c r="N492" s="75"/>
      <c r="O492" s="75"/>
      <c r="P492" s="75"/>
      <c r="Q492" s="75"/>
      <c r="R492" s="75"/>
      <c r="U492" s="24" t="s">
        <v>2336</v>
      </c>
      <c r="V492" s="24" t="s">
        <v>2337</v>
      </c>
      <c r="W492" s="24" t="s">
        <v>2338</v>
      </c>
      <c r="Z492" s="69"/>
      <c r="AA492" s="69"/>
      <c r="AB492" s="69"/>
      <c r="AC492" s="69"/>
    </row>
    <row r="493" spans="1:31" s="24" customFormat="1" x14ac:dyDescent="0.3">
      <c r="A493" s="23">
        <v>147</v>
      </c>
      <c r="B493" s="23">
        <v>143</v>
      </c>
      <c r="C493" s="24" t="s">
        <v>2165</v>
      </c>
      <c r="D493" s="69" t="s">
        <v>471</v>
      </c>
      <c r="E493" s="24" t="s">
        <v>470</v>
      </c>
      <c r="F493" s="24" t="s">
        <v>480</v>
      </c>
      <c r="G493" s="69" t="s">
        <v>481</v>
      </c>
      <c r="I493" s="69"/>
      <c r="J493" s="24" t="s">
        <v>3016</v>
      </c>
      <c r="K493" s="24" t="s">
        <v>482</v>
      </c>
      <c r="L493" s="24" t="s">
        <v>9721</v>
      </c>
      <c r="M493" s="75" t="s">
        <v>50</v>
      </c>
      <c r="N493" s="75"/>
      <c r="O493" s="75"/>
      <c r="P493" s="75"/>
      <c r="Q493" s="75"/>
      <c r="R493" s="75"/>
      <c r="U493" s="24" t="s">
        <v>2339</v>
      </c>
      <c r="W493" s="24" t="s">
        <v>2340</v>
      </c>
      <c r="Z493" s="69"/>
      <c r="AA493" s="69"/>
      <c r="AB493" s="69"/>
      <c r="AC493" s="69"/>
    </row>
    <row r="494" spans="1:31" s="26" customFormat="1" x14ac:dyDescent="0.3">
      <c r="A494" s="25" t="s">
        <v>4339</v>
      </c>
      <c r="B494" s="25"/>
      <c r="C494" s="26" t="s">
        <v>3005</v>
      </c>
      <c r="D494" s="70"/>
      <c r="G494" s="70" t="s">
        <v>481</v>
      </c>
      <c r="H494" s="26">
        <v>-1</v>
      </c>
      <c r="I494" s="70" t="s">
        <v>4340</v>
      </c>
      <c r="J494" s="26" t="s">
        <v>3016</v>
      </c>
      <c r="K494" s="26" t="s">
        <v>4341</v>
      </c>
      <c r="M494" s="76"/>
      <c r="N494" s="76"/>
      <c r="O494" s="76"/>
      <c r="P494" s="76"/>
      <c r="Q494" s="76"/>
      <c r="R494" s="76"/>
      <c r="U494" s="26" t="s">
        <v>4342</v>
      </c>
      <c r="Z494" s="70"/>
      <c r="AA494" s="70"/>
      <c r="AB494" s="70"/>
      <c r="AC494" s="70"/>
    </row>
    <row r="495" spans="1:31" s="26" customFormat="1" x14ac:dyDescent="0.3">
      <c r="A495" s="25" t="s">
        <v>4343</v>
      </c>
      <c r="B495" s="25"/>
      <c r="C495" s="26" t="s">
        <v>3005</v>
      </c>
      <c r="D495" s="70"/>
      <c r="G495" s="70" t="s">
        <v>481</v>
      </c>
      <c r="H495" s="26">
        <v>-1</v>
      </c>
      <c r="I495" s="70" t="s">
        <v>4344</v>
      </c>
      <c r="J495" s="26" t="s">
        <v>4345</v>
      </c>
      <c r="K495" s="26" t="s">
        <v>4346</v>
      </c>
      <c r="M495" s="76"/>
      <c r="N495" s="76"/>
      <c r="O495" s="76"/>
      <c r="P495" s="76"/>
      <c r="Q495" s="76"/>
      <c r="R495" s="76"/>
      <c r="Z495" s="70"/>
      <c r="AA495" s="70"/>
      <c r="AB495" s="70"/>
      <c r="AC495" s="70"/>
    </row>
    <row r="496" spans="1:31" s="26" customFormat="1" x14ac:dyDescent="0.3">
      <c r="A496" s="25" t="s">
        <v>4347</v>
      </c>
      <c r="B496" s="25"/>
      <c r="C496" s="26" t="s">
        <v>3005</v>
      </c>
      <c r="D496" s="70"/>
      <c r="G496" s="70" t="s">
        <v>481</v>
      </c>
      <c r="H496" s="26">
        <v>-1</v>
      </c>
      <c r="I496" s="70" t="s">
        <v>4348</v>
      </c>
      <c r="J496" s="26" t="s">
        <v>4349</v>
      </c>
      <c r="K496" s="26" t="s">
        <v>4350</v>
      </c>
      <c r="M496" s="76"/>
      <c r="N496" s="76"/>
      <c r="O496" s="76"/>
      <c r="P496" s="76"/>
      <c r="Q496" s="76"/>
      <c r="R496" s="76"/>
      <c r="U496" s="26" t="s">
        <v>4351</v>
      </c>
      <c r="Z496" s="70"/>
      <c r="AA496" s="70"/>
      <c r="AB496" s="70"/>
      <c r="AC496" s="70"/>
    </row>
    <row r="497" spans="1:31" s="24" customFormat="1" x14ac:dyDescent="0.3">
      <c r="A497" s="23">
        <v>148</v>
      </c>
      <c r="B497" s="23">
        <v>144</v>
      </c>
      <c r="C497" s="24" t="s">
        <v>2165</v>
      </c>
      <c r="D497" s="69" t="s">
        <v>471</v>
      </c>
      <c r="E497" s="24" t="s">
        <v>470</v>
      </c>
      <c r="F497" s="24" t="s">
        <v>483</v>
      </c>
      <c r="G497" s="69" t="s">
        <v>484</v>
      </c>
      <c r="I497" s="69"/>
      <c r="J497" s="24" t="s">
        <v>3110</v>
      </c>
      <c r="K497" s="24" t="s">
        <v>485</v>
      </c>
      <c r="M497" s="75" t="s">
        <v>19</v>
      </c>
      <c r="N497" s="75"/>
      <c r="O497" s="75"/>
      <c r="P497" s="75"/>
      <c r="Q497" s="75"/>
      <c r="R497" s="75" t="s">
        <v>2166</v>
      </c>
      <c r="U497" s="24" t="s">
        <v>2341</v>
      </c>
      <c r="V497" s="24" t="s">
        <v>2342</v>
      </c>
      <c r="Z497" s="69"/>
      <c r="AA497" s="69"/>
      <c r="AB497" s="69"/>
      <c r="AC497" s="69"/>
    </row>
    <row r="498" spans="1:31" s="26" customFormat="1" x14ac:dyDescent="0.3">
      <c r="A498" s="25" t="s">
        <v>4352</v>
      </c>
      <c r="B498" s="25"/>
      <c r="C498" s="26" t="s">
        <v>3005</v>
      </c>
      <c r="D498" s="70"/>
      <c r="G498" s="70" t="s">
        <v>484</v>
      </c>
      <c r="H498" s="26">
        <v>-1</v>
      </c>
      <c r="I498" s="70" t="s">
        <v>4353</v>
      </c>
      <c r="J498" s="26" t="s">
        <v>4354</v>
      </c>
      <c r="K498" s="26" t="s">
        <v>4355</v>
      </c>
      <c r="M498" s="76"/>
      <c r="N498" s="76"/>
      <c r="O498" s="76"/>
      <c r="P498" s="76"/>
      <c r="Q498" s="76"/>
      <c r="R498" s="76"/>
      <c r="U498" s="26" t="s">
        <v>4356</v>
      </c>
      <c r="Z498" s="70"/>
      <c r="AA498" s="70"/>
      <c r="AB498" s="70"/>
      <c r="AC498" s="70"/>
    </row>
    <row r="499" spans="1:31" s="26" customFormat="1" x14ac:dyDescent="0.3">
      <c r="A499" s="25" t="s">
        <v>4357</v>
      </c>
      <c r="B499" s="25"/>
      <c r="C499" s="26" t="s">
        <v>3005</v>
      </c>
      <c r="D499" s="70"/>
      <c r="G499" s="70" t="s">
        <v>484</v>
      </c>
      <c r="H499" s="26">
        <v>-1</v>
      </c>
      <c r="I499" s="70" t="s">
        <v>4358</v>
      </c>
      <c r="J499" s="26" t="s">
        <v>3110</v>
      </c>
      <c r="K499" s="26" t="s">
        <v>4359</v>
      </c>
      <c r="L499" s="26" t="s">
        <v>10173</v>
      </c>
      <c r="M499" s="76"/>
      <c r="N499" s="76"/>
      <c r="O499" s="76"/>
      <c r="P499" s="76"/>
      <c r="Q499" s="76"/>
      <c r="R499" s="76"/>
      <c r="U499" s="26" t="s">
        <v>4360</v>
      </c>
      <c r="Z499" s="70"/>
      <c r="AA499" s="70"/>
      <c r="AB499" s="70"/>
      <c r="AC499" s="70"/>
    </row>
    <row r="500" spans="1:31" s="26" customFormat="1" x14ac:dyDescent="0.3">
      <c r="A500" s="25" t="s">
        <v>4361</v>
      </c>
      <c r="B500" s="25"/>
      <c r="C500" s="26" t="s">
        <v>3005</v>
      </c>
      <c r="D500" s="70"/>
      <c r="G500" s="70" t="s">
        <v>484</v>
      </c>
      <c r="H500" s="26">
        <v>-1</v>
      </c>
      <c r="I500" s="70" t="s">
        <v>4362</v>
      </c>
      <c r="J500" s="26" t="s">
        <v>4363</v>
      </c>
      <c r="K500" s="26" t="s">
        <v>3089</v>
      </c>
      <c r="L500" s="26" t="s">
        <v>10174</v>
      </c>
      <c r="M500" s="76"/>
      <c r="N500" s="76"/>
      <c r="O500" s="76"/>
      <c r="P500" s="76"/>
      <c r="Q500" s="76"/>
      <c r="R500" s="76"/>
      <c r="T500" s="26" t="s">
        <v>2200</v>
      </c>
      <c r="U500" s="26" t="s">
        <v>4364</v>
      </c>
      <c r="Z500" s="70"/>
      <c r="AA500" s="70"/>
      <c r="AB500" s="70"/>
      <c r="AC500" s="70"/>
      <c r="AE500" s="26" t="s">
        <v>4365</v>
      </c>
    </row>
    <row r="501" spans="1:31" s="24" customFormat="1" x14ac:dyDescent="0.3">
      <c r="A501" s="23">
        <v>149</v>
      </c>
      <c r="B501" s="23">
        <v>145</v>
      </c>
      <c r="C501" s="24" t="s">
        <v>2165</v>
      </c>
      <c r="D501" s="69" t="s">
        <v>471</v>
      </c>
      <c r="E501" s="24" t="s">
        <v>470</v>
      </c>
      <c r="F501" s="24" t="s">
        <v>486</v>
      </c>
      <c r="G501" s="69" t="s">
        <v>487</v>
      </c>
      <c r="H501" s="24">
        <v>1</v>
      </c>
      <c r="I501" s="69"/>
      <c r="J501" s="24" t="s">
        <v>4366</v>
      </c>
      <c r="K501" s="24" t="s">
        <v>488</v>
      </c>
      <c r="M501" s="75" t="s">
        <v>236</v>
      </c>
      <c r="N501" s="75"/>
      <c r="O501" s="75"/>
      <c r="P501" s="75"/>
      <c r="Q501" s="75"/>
      <c r="R501" s="75"/>
      <c r="U501" s="24" t="s">
        <v>2206</v>
      </c>
      <c r="V501" s="24" t="s">
        <v>2343</v>
      </c>
      <c r="Z501" s="69"/>
      <c r="AA501" s="69"/>
      <c r="AB501" s="69"/>
      <c r="AC501" s="69"/>
    </row>
    <row r="502" spans="1:31" s="26" customFormat="1" x14ac:dyDescent="0.3">
      <c r="A502" s="25" t="s">
        <v>4367</v>
      </c>
      <c r="B502" s="25"/>
      <c r="C502" s="26" t="s">
        <v>3005</v>
      </c>
      <c r="D502" s="70"/>
      <c r="G502" s="70" t="s">
        <v>487</v>
      </c>
      <c r="H502" s="26">
        <v>-1</v>
      </c>
      <c r="I502" s="70" t="s">
        <v>4368</v>
      </c>
      <c r="J502" s="26" t="s">
        <v>3298</v>
      </c>
      <c r="K502" s="26" t="s">
        <v>4369</v>
      </c>
      <c r="M502" s="76"/>
      <c r="N502" s="76"/>
      <c r="O502" s="76"/>
      <c r="P502" s="76"/>
      <c r="Q502" s="76"/>
      <c r="R502" s="76"/>
      <c r="U502" s="26" t="s">
        <v>4370</v>
      </c>
      <c r="Z502" s="70"/>
      <c r="AA502" s="70"/>
      <c r="AB502" s="70"/>
      <c r="AC502" s="70"/>
    </row>
    <row r="503" spans="1:31" s="26" customFormat="1" x14ac:dyDescent="0.3">
      <c r="A503" s="25" t="s">
        <v>4371</v>
      </c>
      <c r="B503" s="25"/>
      <c r="C503" s="26" t="s">
        <v>3005</v>
      </c>
      <c r="D503" s="70"/>
      <c r="G503" s="70" t="s">
        <v>487</v>
      </c>
      <c r="H503" s="26">
        <v>-1</v>
      </c>
      <c r="I503" s="70" t="s">
        <v>3710</v>
      </c>
      <c r="J503" s="26" t="s">
        <v>4372</v>
      </c>
      <c r="K503" s="26" t="s">
        <v>4373</v>
      </c>
      <c r="L503" s="26" t="s">
        <v>10175</v>
      </c>
      <c r="M503" s="76"/>
      <c r="N503" s="76"/>
      <c r="O503" s="76"/>
      <c r="P503" s="76"/>
      <c r="Q503" s="76"/>
      <c r="R503" s="76"/>
      <c r="Z503" s="70"/>
      <c r="AA503" s="70"/>
      <c r="AB503" s="70"/>
      <c r="AC503" s="70"/>
    </row>
    <row r="504" spans="1:31" s="26" customFormat="1" x14ac:dyDescent="0.3">
      <c r="A504" s="25" t="s">
        <v>4374</v>
      </c>
      <c r="B504" s="25"/>
      <c r="C504" s="26" t="s">
        <v>3005</v>
      </c>
      <c r="D504" s="70"/>
      <c r="G504" s="70" t="s">
        <v>487</v>
      </c>
      <c r="H504" s="26">
        <v>2</v>
      </c>
      <c r="I504" s="70" t="s">
        <v>4375</v>
      </c>
      <c r="J504" s="26" t="s">
        <v>4366</v>
      </c>
      <c r="K504" s="26" t="s">
        <v>4376</v>
      </c>
      <c r="L504" s="26" t="s">
        <v>10176</v>
      </c>
      <c r="M504" s="76"/>
      <c r="N504" s="76"/>
      <c r="O504" s="76"/>
      <c r="P504" s="76"/>
      <c r="Q504" s="76"/>
      <c r="R504" s="76"/>
      <c r="U504" s="26" t="s">
        <v>4377</v>
      </c>
      <c r="Z504" s="70"/>
      <c r="AA504" s="70"/>
      <c r="AB504" s="70"/>
      <c r="AC504" s="70"/>
    </row>
    <row r="505" spans="1:31" s="24" customFormat="1" x14ac:dyDescent="0.3">
      <c r="A505" s="23">
        <v>150</v>
      </c>
      <c r="B505" s="23">
        <v>146</v>
      </c>
      <c r="C505" s="24" t="s">
        <v>2165</v>
      </c>
      <c r="D505" s="69" t="s">
        <v>471</v>
      </c>
      <c r="E505" s="24" t="s">
        <v>470</v>
      </c>
      <c r="F505" s="24" t="s">
        <v>489</v>
      </c>
      <c r="G505" s="69" t="s">
        <v>490</v>
      </c>
      <c r="I505" s="69"/>
      <c r="J505" s="24" t="s">
        <v>3110</v>
      </c>
      <c r="K505" s="24" t="s">
        <v>170</v>
      </c>
      <c r="M505" s="75" t="s">
        <v>50</v>
      </c>
      <c r="N505" s="75"/>
      <c r="O505" s="75"/>
      <c r="P505" s="75"/>
      <c r="Q505" s="75"/>
      <c r="R505" s="75"/>
      <c r="T505" s="24" t="s">
        <v>2179</v>
      </c>
      <c r="Z505" s="69"/>
      <c r="AA505" s="69"/>
      <c r="AB505" s="69"/>
      <c r="AC505" s="69"/>
      <c r="AE505" s="24" t="s">
        <v>2344</v>
      </c>
    </row>
    <row r="506" spans="1:31" s="26" customFormat="1" x14ac:dyDescent="0.3">
      <c r="A506" s="25" t="s">
        <v>4378</v>
      </c>
      <c r="B506" s="25"/>
      <c r="C506" s="26" t="s">
        <v>3005</v>
      </c>
      <c r="D506" s="70"/>
      <c r="G506" s="70" t="s">
        <v>490</v>
      </c>
      <c r="H506" s="26">
        <v>-1</v>
      </c>
      <c r="I506" s="70" t="s">
        <v>4379</v>
      </c>
      <c r="J506" s="26" t="s">
        <v>3110</v>
      </c>
      <c r="K506" s="26" t="s">
        <v>4380</v>
      </c>
      <c r="M506" s="76"/>
      <c r="N506" s="76"/>
      <c r="O506" s="76"/>
      <c r="P506" s="76"/>
      <c r="Q506" s="76"/>
      <c r="R506" s="76"/>
      <c r="U506" s="26" t="s">
        <v>3338</v>
      </c>
      <c r="Z506" s="70"/>
      <c r="AA506" s="70"/>
      <c r="AB506" s="70"/>
      <c r="AC506" s="70"/>
    </row>
    <row r="507" spans="1:31" s="26" customFormat="1" x14ac:dyDescent="0.3">
      <c r="A507" s="25" t="s">
        <v>4381</v>
      </c>
      <c r="B507" s="25"/>
      <c r="C507" s="26" t="s">
        <v>3005</v>
      </c>
      <c r="D507" s="70"/>
      <c r="G507" s="70" t="s">
        <v>490</v>
      </c>
      <c r="H507" s="26">
        <v>-1</v>
      </c>
      <c r="I507" s="70" t="s">
        <v>4382</v>
      </c>
      <c r="J507" s="26" t="s">
        <v>4383</v>
      </c>
      <c r="K507" s="26" t="s">
        <v>2185</v>
      </c>
      <c r="M507" s="76"/>
      <c r="N507" s="76"/>
      <c r="O507" s="76"/>
      <c r="P507" s="76"/>
      <c r="Q507" s="76"/>
      <c r="R507" s="76"/>
      <c r="T507" s="26" t="s">
        <v>3538</v>
      </c>
      <c r="U507" s="26" t="s">
        <v>4384</v>
      </c>
      <c r="Z507" s="70"/>
      <c r="AA507" s="70"/>
      <c r="AB507" s="70"/>
      <c r="AC507" s="70"/>
      <c r="AE507" s="26" t="s">
        <v>4385</v>
      </c>
    </row>
    <row r="508" spans="1:31" s="26" customFormat="1" x14ac:dyDescent="0.3">
      <c r="A508" s="25" t="s">
        <v>4386</v>
      </c>
      <c r="B508" s="25"/>
      <c r="C508" s="26" t="s">
        <v>3005</v>
      </c>
      <c r="D508" s="70"/>
      <c r="G508" s="70" t="s">
        <v>490</v>
      </c>
      <c r="H508" s="26">
        <v>-1</v>
      </c>
      <c r="I508" s="70" t="s">
        <v>4387</v>
      </c>
      <c r="J508" s="26" t="s">
        <v>4388</v>
      </c>
      <c r="K508" s="26" t="s">
        <v>4389</v>
      </c>
      <c r="M508" s="76"/>
      <c r="N508" s="76"/>
      <c r="O508" s="76"/>
      <c r="P508" s="76"/>
      <c r="Q508" s="76"/>
      <c r="R508" s="76"/>
      <c r="T508" s="26" t="s">
        <v>2179</v>
      </c>
      <c r="U508" s="26" t="s">
        <v>2823</v>
      </c>
      <c r="Z508" s="70"/>
      <c r="AA508" s="70"/>
      <c r="AB508" s="70"/>
      <c r="AC508" s="70"/>
      <c r="AE508" s="26" t="s">
        <v>4390</v>
      </c>
    </row>
    <row r="509" spans="1:31" s="26" customFormat="1" x14ac:dyDescent="0.3">
      <c r="A509" s="25" t="s">
        <v>4391</v>
      </c>
      <c r="B509" s="25"/>
      <c r="C509" s="26" t="s">
        <v>3005</v>
      </c>
      <c r="D509" s="70"/>
      <c r="G509" s="70" t="s">
        <v>490</v>
      </c>
      <c r="H509" s="26">
        <v>-1</v>
      </c>
      <c r="I509" s="70" t="s">
        <v>4392</v>
      </c>
      <c r="J509" s="26" t="s">
        <v>4393</v>
      </c>
      <c r="K509" s="26" t="s">
        <v>3888</v>
      </c>
      <c r="M509" s="76"/>
      <c r="N509" s="76"/>
      <c r="O509" s="76"/>
      <c r="P509" s="76"/>
      <c r="Q509" s="76"/>
      <c r="R509" s="76"/>
      <c r="Z509" s="70"/>
      <c r="AA509" s="70"/>
      <c r="AB509" s="70"/>
      <c r="AC509" s="70"/>
    </row>
    <row r="510" spans="1:31" s="24" customFormat="1" x14ac:dyDescent="0.3">
      <c r="A510" s="23">
        <v>151</v>
      </c>
      <c r="B510" s="23">
        <v>147</v>
      </c>
      <c r="C510" s="24" t="s">
        <v>2165</v>
      </c>
      <c r="D510" s="69" t="s">
        <v>471</v>
      </c>
      <c r="E510" s="24" t="s">
        <v>470</v>
      </c>
      <c r="F510" s="24" t="s">
        <v>491</v>
      </c>
      <c r="G510" s="69" t="s">
        <v>492</v>
      </c>
      <c r="I510" s="69"/>
      <c r="J510" s="24" t="s">
        <v>4394</v>
      </c>
      <c r="K510" s="24" t="s">
        <v>493</v>
      </c>
      <c r="L510" s="24" t="s">
        <v>9722</v>
      </c>
      <c r="M510" s="75" t="s">
        <v>15</v>
      </c>
      <c r="N510" s="75"/>
      <c r="O510" s="75" t="s">
        <v>58</v>
      </c>
      <c r="P510" s="75" t="s">
        <v>58</v>
      </c>
      <c r="Q510" s="75" t="s">
        <v>66</v>
      </c>
      <c r="R510" s="75"/>
      <c r="Y510" s="24" t="s">
        <v>2345</v>
      </c>
      <c r="Z510" s="69"/>
      <c r="AA510" s="69"/>
      <c r="AB510" s="69"/>
      <c r="AC510" s="69"/>
    </row>
    <row r="511" spans="1:31" s="24" customFormat="1" x14ac:dyDescent="0.3">
      <c r="A511" s="23">
        <v>152</v>
      </c>
      <c r="B511" s="23">
        <v>148</v>
      </c>
      <c r="C511" s="24" t="s">
        <v>2165</v>
      </c>
      <c r="D511" s="69" t="s">
        <v>471</v>
      </c>
      <c r="E511" s="24" t="s">
        <v>470</v>
      </c>
      <c r="F511" s="24" t="s">
        <v>494</v>
      </c>
      <c r="G511" s="69" t="s">
        <v>495</v>
      </c>
      <c r="I511" s="69"/>
      <c r="J511" s="24" t="s">
        <v>4395</v>
      </c>
      <c r="K511" s="24" t="s">
        <v>360</v>
      </c>
      <c r="M511" s="75" t="s">
        <v>50</v>
      </c>
      <c r="N511" s="75"/>
      <c r="O511" s="75"/>
      <c r="P511" s="75"/>
      <c r="Q511" s="75"/>
      <c r="R511" s="75"/>
      <c r="U511" s="24" t="s">
        <v>2346</v>
      </c>
      <c r="V511" s="24" t="s">
        <v>2347</v>
      </c>
      <c r="W511" s="24" t="s">
        <v>2347</v>
      </c>
      <c r="Y511" s="24" t="s">
        <v>2348</v>
      </c>
      <c r="Z511" s="69"/>
      <c r="AA511" s="69"/>
      <c r="AB511" s="69"/>
      <c r="AC511" s="69"/>
    </row>
    <row r="512" spans="1:31" s="26" customFormat="1" x14ac:dyDescent="0.3">
      <c r="A512" s="25" t="s">
        <v>4396</v>
      </c>
      <c r="B512" s="25"/>
      <c r="C512" s="26" t="s">
        <v>3005</v>
      </c>
      <c r="D512" s="70"/>
      <c r="G512" s="70" t="s">
        <v>495</v>
      </c>
      <c r="H512" s="26">
        <v>-1</v>
      </c>
      <c r="I512" s="70" t="s">
        <v>4397</v>
      </c>
      <c r="J512" s="26" t="s">
        <v>4398</v>
      </c>
      <c r="K512" s="26" t="s">
        <v>4399</v>
      </c>
      <c r="L512" s="26" t="s">
        <v>10177</v>
      </c>
      <c r="M512" s="76"/>
      <c r="N512" s="76"/>
      <c r="O512" s="76"/>
      <c r="P512" s="76"/>
      <c r="Q512" s="76"/>
      <c r="R512" s="76"/>
      <c r="U512" s="26" t="s">
        <v>4400</v>
      </c>
      <c r="Z512" s="70"/>
      <c r="AA512" s="70"/>
      <c r="AB512" s="70"/>
      <c r="AC512" s="70"/>
    </row>
    <row r="513" spans="1:31" s="26" customFormat="1" x14ac:dyDescent="0.3">
      <c r="A513" s="25" t="s">
        <v>4401</v>
      </c>
      <c r="B513" s="25"/>
      <c r="C513" s="26" t="s">
        <v>3005</v>
      </c>
      <c r="D513" s="70"/>
      <c r="G513" s="70" t="s">
        <v>495</v>
      </c>
      <c r="H513" s="26">
        <v>-1</v>
      </c>
      <c r="I513" s="70" t="s">
        <v>4402</v>
      </c>
      <c r="J513" s="26" t="s">
        <v>3540</v>
      </c>
      <c r="K513" s="26" t="s">
        <v>4403</v>
      </c>
      <c r="L513" s="26" t="s">
        <v>10178</v>
      </c>
      <c r="M513" s="76"/>
      <c r="N513" s="76"/>
      <c r="O513" s="76"/>
      <c r="P513" s="76"/>
      <c r="Q513" s="76"/>
      <c r="R513" s="76"/>
      <c r="U513" s="26" t="s">
        <v>4404</v>
      </c>
      <c r="Z513" s="70"/>
      <c r="AA513" s="70"/>
      <c r="AB513" s="70"/>
      <c r="AC513" s="70"/>
    </row>
    <row r="514" spans="1:31" s="26" customFormat="1" x14ac:dyDescent="0.3">
      <c r="A514" s="25" t="s">
        <v>4405</v>
      </c>
      <c r="B514" s="25"/>
      <c r="C514" s="26" t="s">
        <v>3005</v>
      </c>
      <c r="D514" s="70"/>
      <c r="G514" s="70" t="s">
        <v>495</v>
      </c>
      <c r="H514" s="26">
        <v>-1</v>
      </c>
      <c r="I514" s="70" t="s">
        <v>4406</v>
      </c>
      <c r="J514" s="26" t="s">
        <v>4407</v>
      </c>
      <c r="K514" s="26" t="s">
        <v>4408</v>
      </c>
      <c r="L514" s="26" t="s">
        <v>10179</v>
      </c>
      <c r="M514" s="76"/>
      <c r="N514" s="76"/>
      <c r="O514" s="76"/>
      <c r="P514" s="76"/>
      <c r="Q514" s="76"/>
      <c r="R514" s="76"/>
      <c r="U514" s="26" t="s">
        <v>4409</v>
      </c>
      <c r="Z514" s="70"/>
      <c r="AA514" s="70"/>
      <c r="AB514" s="70"/>
      <c r="AC514" s="70"/>
    </row>
    <row r="515" spans="1:31" s="26" customFormat="1" x14ac:dyDescent="0.3">
      <c r="A515" s="25" t="s">
        <v>4410</v>
      </c>
      <c r="B515" s="25"/>
      <c r="C515" s="26" t="s">
        <v>3005</v>
      </c>
      <c r="D515" s="70"/>
      <c r="G515" s="70" t="s">
        <v>495</v>
      </c>
      <c r="H515" s="26">
        <v>-1</v>
      </c>
      <c r="I515" s="70" t="s">
        <v>4411</v>
      </c>
      <c r="J515" s="26" t="s">
        <v>4395</v>
      </c>
      <c r="K515" s="26" t="s">
        <v>4412</v>
      </c>
      <c r="L515" s="26" t="s">
        <v>10180</v>
      </c>
      <c r="M515" s="76"/>
      <c r="N515" s="76"/>
      <c r="O515" s="76"/>
      <c r="P515" s="76"/>
      <c r="Q515" s="76"/>
      <c r="R515" s="76"/>
      <c r="U515" s="26" t="s">
        <v>4413</v>
      </c>
      <c r="Z515" s="70"/>
      <c r="AA515" s="70"/>
      <c r="AB515" s="70"/>
      <c r="AC515" s="70"/>
    </row>
    <row r="516" spans="1:31" s="26" customFormat="1" x14ac:dyDescent="0.3">
      <c r="A516" s="25" t="s">
        <v>4414</v>
      </c>
      <c r="B516" s="25"/>
      <c r="C516" s="26" t="s">
        <v>3005</v>
      </c>
      <c r="D516" s="70"/>
      <c r="G516" s="70" t="s">
        <v>495</v>
      </c>
      <c r="H516" s="26">
        <v>-1</v>
      </c>
      <c r="I516" s="70" t="s">
        <v>4415</v>
      </c>
      <c r="J516" s="26" t="s">
        <v>4416</v>
      </c>
      <c r="K516" s="26" t="s">
        <v>3054</v>
      </c>
      <c r="L516" s="26" t="s">
        <v>10181</v>
      </c>
      <c r="M516" s="76"/>
      <c r="N516" s="76"/>
      <c r="O516" s="76"/>
      <c r="P516" s="76"/>
      <c r="Q516" s="76"/>
      <c r="R516" s="76"/>
      <c r="U516" s="26" t="s">
        <v>4417</v>
      </c>
      <c r="Z516" s="70"/>
      <c r="AA516" s="70"/>
      <c r="AB516" s="70"/>
      <c r="AC516" s="70"/>
    </row>
    <row r="517" spans="1:31" s="24" customFormat="1" x14ac:dyDescent="0.3">
      <c r="A517" s="23">
        <v>153</v>
      </c>
      <c r="B517" s="23">
        <v>149</v>
      </c>
      <c r="C517" s="24" t="s">
        <v>2165</v>
      </c>
      <c r="D517" s="69" t="s">
        <v>471</v>
      </c>
      <c r="E517" s="24" t="s">
        <v>470</v>
      </c>
      <c r="F517" s="24" t="s">
        <v>496</v>
      </c>
      <c r="G517" s="69" t="s">
        <v>497</v>
      </c>
      <c r="I517" s="69"/>
      <c r="J517" s="24" t="s">
        <v>4418</v>
      </c>
      <c r="K517" s="24" t="s">
        <v>498</v>
      </c>
      <c r="M517" s="75" t="s">
        <v>50</v>
      </c>
      <c r="N517" s="75"/>
      <c r="O517" s="75"/>
      <c r="P517" s="75"/>
      <c r="Q517" s="75"/>
      <c r="R517" s="75"/>
      <c r="U517" s="24" t="s">
        <v>2346</v>
      </c>
      <c r="V517" s="24" t="s">
        <v>2349</v>
      </c>
      <c r="W517" s="24" t="s">
        <v>2349</v>
      </c>
      <c r="Y517" s="24" t="s">
        <v>2350</v>
      </c>
      <c r="Z517" s="69"/>
      <c r="AA517" s="69"/>
      <c r="AB517" s="69"/>
      <c r="AC517" s="69"/>
      <c r="AD517" s="24" t="s">
        <v>123</v>
      </c>
    </row>
    <row r="518" spans="1:31" s="26" customFormat="1" x14ac:dyDescent="0.3">
      <c r="A518" s="25" t="s">
        <v>4419</v>
      </c>
      <c r="B518" s="25"/>
      <c r="C518" s="26" t="s">
        <v>3005</v>
      </c>
      <c r="D518" s="70"/>
      <c r="G518" s="70" t="s">
        <v>497</v>
      </c>
      <c r="H518" s="26">
        <v>-1</v>
      </c>
      <c r="I518" s="70" t="s">
        <v>4420</v>
      </c>
      <c r="J518" s="26" t="s">
        <v>3540</v>
      </c>
      <c r="K518" s="26" t="s">
        <v>4421</v>
      </c>
      <c r="L518" s="26" t="s">
        <v>10182</v>
      </c>
      <c r="M518" s="76"/>
      <c r="N518" s="76"/>
      <c r="O518" s="76"/>
      <c r="P518" s="76"/>
      <c r="Q518" s="76"/>
      <c r="R518" s="76"/>
      <c r="U518" s="26" t="s">
        <v>4422</v>
      </c>
      <c r="Z518" s="70"/>
      <c r="AA518" s="70"/>
      <c r="AB518" s="70"/>
      <c r="AC518" s="70"/>
    </row>
    <row r="519" spans="1:31" s="26" customFormat="1" x14ac:dyDescent="0.3">
      <c r="A519" s="25" t="s">
        <v>4423</v>
      </c>
      <c r="B519" s="25"/>
      <c r="C519" s="26" t="s">
        <v>3005</v>
      </c>
      <c r="D519" s="70"/>
      <c r="G519" s="70" t="s">
        <v>497</v>
      </c>
      <c r="H519" s="26">
        <v>-1</v>
      </c>
      <c r="I519" s="70" t="s">
        <v>4424</v>
      </c>
      <c r="J519" s="26" t="s">
        <v>4425</v>
      </c>
      <c r="K519" s="26" t="s">
        <v>4426</v>
      </c>
      <c r="L519" s="26" t="s">
        <v>10183</v>
      </c>
      <c r="M519" s="76"/>
      <c r="N519" s="76"/>
      <c r="O519" s="76"/>
      <c r="P519" s="76"/>
      <c r="Q519" s="76"/>
      <c r="R519" s="76"/>
      <c r="U519" s="26" t="s">
        <v>4427</v>
      </c>
      <c r="Z519" s="70"/>
      <c r="AA519" s="70"/>
      <c r="AB519" s="70"/>
      <c r="AC519" s="70"/>
    </row>
    <row r="520" spans="1:31" s="26" customFormat="1" x14ac:dyDescent="0.3">
      <c r="A520" s="25" t="s">
        <v>4428</v>
      </c>
      <c r="B520" s="25"/>
      <c r="C520" s="26" t="s">
        <v>3005</v>
      </c>
      <c r="D520" s="70"/>
      <c r="G520" s="70" t="s">
        <v>497</v>
      </c>
      <c r="H520" s="26">
        <v>-1</v>
      </c>
      <c r="I520" s="70" t="s">
        <v>4429</v>
      </c>
      <c r="J520" s="26" t="s">
        <v>4418</v>
      </c>
      <c r="K520" s="26" t="s">
        <v>4430</v>
      </c>
      <c r="L520" s="26" t="s">
        <v>10184</v>
      </c>
      <c r="M520" s="76"/>
      <c r="N520" s="76"/>
      <c r="O520" s="76"/>
      <c r="P520" s="76"/>
      <c r="Q520" s="76"/>
      <c r="R520" s="76"/>
      <c r="U520" s="26" t="s">
        <v>4431</v>
      </c>
      <c r="Z520" s="70"/>
      <c r="AA520" s="70"/>
      <c r="AB520" s="70"/>
      <c r="AC520" s="70"/>
    </row>
    <row r="521" spans="1:31" s="24" customFormat="1" x14ac:dyDescent="0.3">
      <c r="A521" s="23">
        <v>154</v>
      </c>
      <c r="B521" s="23">
        <v>150</v>
      </c>
      <c r="C521" s="24" t="s">
        <v>2165</v>
      </c>
      <c r="D521" s="69" t="s">
        <v>471</v>
      </c>
      <c r="E521" s="24" t="s">
        <v>470</v>
      </c>
      <c r="F521" s="24" t="s">
        <v>499</v>
      </c>
      <c r="G521" s="69" t="s">
        <v>500</v>
      </c>
      <c r="I521" s="69"/>
      <c r="J521" s="24" t="s">
        <v>4432</v>
      </c>
      <c r="K521" s="24" t="s">
        <v>501</v>
      </c>
      <c r="L521" s="24" t="s">
        <v>9723</v>
      </c>
      <c r="M521" s="75" t="s">
        <v>19</v>
      </c>
      <c r="N521" s="75"/>
      <c r="O521" s="75"/>
      <c r="P521" s="75"/>
      <c r="Q521" s="75"/>
      <c r="R521" s="75" t="s">
        <v>2166</v>
      </c>
      <c r="U521" s="24" t="s">
        <v>2351</v>
      </c>
      <c r="Z521" s="69"/>
      <c r="AA521" s="69"/>
      <c r="AB521" s="69"/>
      <c r="AC521" s="69"/>
    </row>
    <row r="522" spans="1:31" s="24" customFormat="1" x14ac:dyDescent="0.3">
      <c r="A522" s="23">
        <v>155</v>
      </c>
      <c r="B522" s="23">
        <v>151</v>
      </c>
      <c r="C522" s="24" t="s">
        <v>2165</v>
      </c>
      <c r="D522" s="69" t="s">
        <v>503</v>
      </c>
      <c r="E522" s="24" t="s">
        <v>502</v>
      </c>
      <c r="F522" s="24" t="s">
        <v>504</v>
      </c>
      <c r="G522" s="69" t="s">
        <v>505</v>
      </c>
      <c r="I522" s="69"/>
      <c r="J522" s="24" t="s">
        <v>3016</v>
      </c>
      <c r="K522" s="24" t="s">
        <v>189</v>
      </c>
      <c r="L522" s="24" t="s">
        <v>9724</v>
      </c>
      <c r="M522" s="75" t="s">
        <v>15</v>
      </c>
      <c r="N522" s="75"/>
      <c r="O522" s="75"/>
      <c r="P522" s="75"/>
      <c r="Q522" s="75"/>
      <c r="R522" s="75"/>
      <c r="Z522" s="69"/>
      <c r="AA522" s="69"/>
      <c r="AB522" s="69"/>
      <c r="AC522" s="69"/>
    </row>
    <row r="523" spans="1:31" s="24" customFormat="1" ht="43.2" x14ac:dyDescent="0.3">
      <c r="A523" s="23">
        <v>156</v>
      </c>
      <c r="B523" s="23">
        <v>152</v>
      </c>
      <c r="C523" s="24" t="s">
        <v>2165</v>
      </c>
      <c r="D523" s="69" t="s">
        <v>507</v>
      </c>
      <c r="E523" s="24" t="s">
        <v>506</v>
      </c>
      <c r="F523" s="24" t="s">
        <v>508</v>
      </c>
      <c r="G523" s="69" t="s">
        <v>509</v>
      </c>
      <c r="I523" s="69"/>
      <c r="J523" s="24" t="s">
        <v>4225</v>
      </c>
      <c r="K523" s="24" t="s">
        <v>510</v>
      </c>
      <c r="M523" s="75" t="s">
        <v>15</v>
      </c>
      <c r="N523" s="75"/>
      <c r="O523" s="75"/>
      <c r="P523" s="75"/>
      <c r="Q523" s="75"/>
      <c r="R523" s="75" t="s">
        <v>2166</v>
      </c>
      <c r="T523" s="24" t="s">
        <v>2200</v>
      </c>
      <c r="Z523" s="69"/>
      <c r="AA523" s="69"/>
      <c r="AB523" s="69"/>
      <c r="AC523" s="69"/>
      <c r="AD523" s="81" t="s">
        <v>11322</v>
      </c>
      <c r="AE523" s="24" t="s">
        <v>2352</v>
      </c>
    </row>
    <row r="524" spans="1:31" s="24" customFormat="1" x14ac:dyDescent="0.3">
      <c r="A524" s="23">
        <v>157</v>
      </c>
      <c r="B524" s="23">
        <v>153</v>
      </c>
      <c r="C524" s="24" t="s">
        <v>2165</v>
      </c>
      <c r="D524" s="69" t="s">
        <v>507</v>
      </c>
      <c r="E524" s="24" t="s">
        <v>506</v>
      </c>
      <c r="F524" s="24" t="s">
        <v>511</v>
      </c>
      <c r="G524" s="69" t="s">
        <v>512</v>
      </c>
      <c r="I524" s="69"/>
      <c r="J524" s="24" t="s">
        <v>3158</v>
      </c>
      <c r="K524" s="24" t="s">
        <v>43</v>
      </c>
      <c r="L524" s="24" t="s">
        <v>9725</v>
      </c>
      <c r="M524" s="75" t="s">
        <v>15</v>
      </c>
      <c r="N524" s="75"/>
      <c r="O524" s="75"/>
      <c r="P524" s="75"/>
      <c r="Q524" s="75"/>
      <c r="R524" s="75"/>
      <c r="Z524" s="69"/>
      <c r="AA524" s="69"/>
      <c r="AB524" s="69"/>
      <c r="AC524" s="69"/>
    </row>
    <row r="525" spans="1:31" s="24" customFormat="1" x14ac:dyDescent="0.3">
      <c r="A525" s="23">
        <v>158</v>
      </c>
      <c r="B525" s="23">
        <v>154</v>
      </c>
      <c r="C525" s="24" t="s">
        <v>2165</v>
      </c>
      <c r="D525" s="69" t="s">
        <v>514</v>
      </c>
      <c r="E525" s="24" t="s">
        <v>513</v>
      </c>
      <c r="F525" s="24" t="s">
        <v>515</v>
      </c>
      <c r="G525" s="69" t="s">
        <v>516</v>
      </c>
      <c r="I525" s="69"/>
      <c r="J525" s="24" t="s">
        <v>3092</v>
      </c>
      <c r="K525" s="24" t="s">
        <v>517</v>
      </c>
      <c r="L525" s="24" t="s">
        <v>9726</v>
      </c>
      <c r="M525" s="75" t="s">
        <v>19</v>
      </c>
      <c r="N525" s="75"/>
      <c r="O525" s="75" t="s">
        <v>66</v>
      </c>
      <c r="P525" s="75" t="s">
        <v>66</v>
      </c>
      <c r="Q525" s="75" t="s">
        <v>66</v>
      </c>
      <c r="R525" s="75" t="s">
        <v>2166</v>
      </c>
      <c r="U525" s="24" t="s">
        <v>2353</v>
      </c>
      <c r="Z525" s="69"/>
      <c r="AA525" s="69"/>
      <c r="AB525" s="69"/>
      <c r="AC525" s="69"/>
    </row>
    <row r="526" spans="1:31" s="24" customFormat="1" x14ac:dyDescent="0.3">
      <c r="A526" s="23">
        <v>159</v>
      </c>
      <c r="B526" s="23">
        <v>155</v>
      </c>
      <c r="C526" s="24" t="s">
        <v>2165</v>
      </c>
      <c r="D526" s="69" t="s">
        <v>514</v>
      </c>
      <c r="E526" s="24" t="s">
        <v>513</v>
      </c>
      <c r="F526" s="24" t="s">
        <v>518</v>
      </c>
      <c r="G526" s="69" t="s">
        <v>519</v>
      </c>
      <c r="I526" s="69"/>
      <c r="J526" s="24" t="s">
        <v>3016</v>
      </c>
      <c r="K526" s="24" t="s">
        <v>482</v>
      </c>
      <c r="M526" s="75" t="s">
        <v>50</v>
      </c>
      <c r="N526" s="75"/>
      <c r="O526" s="75"/>
      <c r="P526" s="75"/>
      <c r="Q526" s="75"/>
      <c r="R526" s="75"/>
      <c r="U526" s="24" t="s">
        <v>2354</v>
      </c>
      <c r="Z526" s="69"/>
      <c r="AA526" s="69"/>
      <c r="AB526" s="69"/>
      <c r="AC526" s="69"/>
    </row>
    <row r="527" spans="1:31" s="26" customFormat="1" x14ac:dyDescent="0.3">
      <c r="A527" s="25" t="s">
        <v>4433</v>
      </c>
      <c r="B527" s="25"/>
      <c r="C527" s="26" t="s">
        <v>3005</v>
      </c>
      <c r="D527" s="70"/>
      <c r="G527" s="70" t="s">
        <v>519</v>
      </c>
      <c r="H527" s="26">
        <v>-1</v>
      </c>
      <c r="I527" s="70" t="s">
        <v>4434</v>
      </c>
      <c r="J527" s="26" t="s">
        <v>3117</v>
      </c>
      <c r="K527" s="26" t="s">
        <v>4435</v>
      </c>
      <c r="M527" s="76"/>
      <c r="N527" s="76"/>
      <c r="O527" s="76"/>
      <c r="P527" s="76"/>
      <c r="Q527" s="76"/>
      <c r="R527" s="76"/>
      <c r="U527" s="26" t="s">
        <v>4436</v>
      </c>
      <c r="Z527" s="70"/>
      <c r="AA527" s="70"/>
      <c r="AB527" s="70"/>
      <c r="AC527" s="70"/>
    </row>
    <row r="528" spans="1:31" s="26" customFormat="1" x14ac:dyDescent="0.3">
      <c r="A528" s="25" t="s">
        <v>4437</v>
      </c>
      <c r="B528" s="25"/>
      <c r="C528" s="26" t="s">
        <v>3005</v>
      </c>
      <c r="D528" s="70"/>
      <c r="G528" s="70" t="s">
        <v>519</v>
      </c>
      <c r="H528" s="26">
        <v>-1</v>
      </c>
      <c r="I528" s="70" t="s">
        <v>4438</v>
      </c>
      <c r="J528" s="26" t="s">
        <v>3016</v>
      </c>
      <c r="K528" s="26" t="s">
        <v>4439</v>
      </c>
      <c r="M528" s="76"/>
      <c r="N528" s="76"/>
      <c r="O528" s="76"/>
      <c r="P528" s="76"/>
      <c r="Q528" s="76"/>
      <c r="R528" s="76"/>
      <c r="U528" s="26" t="s">
        <v>4440</v>
      </c>
      <c r="Z528" s="70"/>
      <c r="AA528" s="70"/>
      <c r="AB528" s="70"/>
      <c r="AC528" s="70"/>
    </row>
    <row r="529" spans="1:31" s="26" customFormat="1" x14ac:dyDescent="0.3">
      <c r="A529" s="25" t="s">
        <v>4441</v>
      </c>
      <c r="B529" s="25"/>
      <c r="C529" s="26" t="s">
        <v>3005</v>
      </c>
      <c r="D529" s="70"/>
      <c r="G529" s="70" t="s">
        <v>519</v>
      </c>
      <c r="H529" s="26">
        <v>-1</v>
      </c>
      <c r="I529" s="70" t="s">
        <v>4442</v>
      </c>
      <c r="J529" s="26" t="s">
        <v>4443</v>
      </c>
      <c r="K529" s="26" t="s">
        <v>4444</v>
      </c>
      <c r="M529" s="76"/>
      <c r="N529" s="76"/>
      <c r="O529" s="76"/>
      <c r="P529" s="76"/>
      <c r="Q529" s="76"/>
      <c r="R529" s="76"/>
      <c r="U529" s="26" t="s">
        <v>4445</v>
      </c>
      <c r="Z529" s="70"/>
      <c r="AA529" s="70"/>
      <c r="AB529" s="70"/>
      <c r="AC529" s="70"/>
    </row>
    <row r="530" spans="1:31" s="26" customFormat="1" x14ac:dyDescent="0.3">
      <c r="A530" s="25" t="s">
        <v>4446</v>
      </c>
      <c r="B530" s="25"/>
      <c r="C530" s="26" t="s">
        <v>3005</v>
      </c>
      <c r="D530" s="70"/>
      <c r="G530" s="70" t="s">
        <v>519</v>
      </c>
      <c r="H530" s="26">
        <v>-1</v>
      </c>
      <c r="I530" s="70" t="s">
        <v>4447</v>
      </c>
      <c r="J530" s="26" t="s">
        <v>4448</v>
      </c>
      <c r="K530" s="26" t="s">
        <v>4449</v>
      </c>
      <c r="M530" s="76"/>
      <c r="N530" s="76"/>
      <c r="O530" s="76"/>
      <c r="P530" s="76"/>
      <c r="Q530" s="76"/>
      <c r="R530" s="76"/>
      <c r="U530" s="26" t="s">
        <v>4450</v>
      </c>
      <c r="Z530" s="70"/>
      <c r="AA530" s="70"/>
      <c r="AB530" s="70"/>
      <c r="AC530" s="70"/>
    </row>
    <row r="531" spans="1:31" s="26" customFormat="1" x14ac:dyDescent="0.3">
      <c r="A531" s="25" t="s">
        <v>4451</v>
      </c>
      <c r="B531" s="25"/>
      <c r="C531" s="26" t="s">
        <v>3005</v>
      </c>
      <c r="D531" s="70"/>
      <c r="G531" s="70" t="s">
        <v>519</v>
      </c>
      <c r="H531" s="26">
        <v>-1</v>
      </c>
      <c r="I531" s="70" t="s">
        <v>4452</v>
      </c>
      <c r="J531" s="26" t="s">
        <v>3158</v>
      </c>
      <c r="K531" s="26" t="s">
        <v>3054</v>
      </c>
      <c r="M531" s="76"/>
      <c r="N531" s="76"/>
      <c r="O531" s="76"/>
      <c r="P531" s="76"/>
      <c r="Q531" s="76"/>
      <c r="R531" s="76"/>
      <c r="U531" s="26" t="s">
        <v>4453</v>
      </c>
      <c r="Z531" s="70"/>
      <c r="AA531" s="70"/>
      <c r="AB531" s="70"/>
      <c r="AC531" s="70"/>
    </row>
    <row r="532" spans="1:31" s="26" customFormat="1" x14ac:dyDescent="0.3">
      <c r="A532" s="25" t="s">
        <v>4454</v>
      </c>
      <c r="B532" s="25"/>
      <c r="C532" s="26" t="s">
        <v>3005</v>
      </c>
      <c r="D532" s="70"/>
      <c r="G532" s="70" t="s">
        <v>519</v>
      </c>
      <c r="H532" s="26">
        <v>-1</v>
      </c>
      <c r="I532" s="70" t="s">
        <v>4455</v>
      </c>
      <c r="J532" s="26" t="s">
        <v>4456</v>
      </c>
      <c r="K532" s="26" t="s">
        <v>4457</v>
      </c>
      <c r="M532" s="76"/>
      <c r="N532" s="76"/>
      <c r="O532" s="76"/>
      <c r="P532" s="76"/>
      <c r="Q532" s="76"/>
      <c r="R532" s="76"/>
      <c r="U532" s="26" t="s">
        <v>4458</v>
      </c>
      <c r="Z532" s="70"/>
      <c r="AA532" s="70"/>
      <c r="AB532" s="70"/>
      <c r="AC532" s="70"/>
    </row>
    <row r="533" spans="1:31" s="26" customFormat="1" x14ac:dyDescent="0.3">
      <c r="A533" s="25" t="s">
        <v>4459</v>
      </c>
      <c r="B533" s="25"/>
      <c r="C533" s="26" t="s">
        <v>3005</v>
      </c>
      <c r="D533" s="70"/>
      <c r="G533" s="70" t="s">
        <v>519</v>
      </c>
      <c r="H533" s="26">
        <v>-1</v>
      </c>
      <c r="I533" s="70" t="s">
        <v>4460</v>
      </c>
      <c r="J533" s="26" t="s">
        <v>4461</v>
      </c>
      <c r="K533" s="26" t="s">
        <v>4462</v>
      </c>
      <c r="M533" s="76"/>
      <c r="N533" s="76"/>
      <c r="O533" s="76"/>
      <c r="P533" s="76"/>
      <c r="Q533" s="76"/>
      <c r="R533" s="76"/>
      <c r="T533" s="26" t="s">
        <v>2254</v>
      </c>
      <c r="U533" s="26" t="s">
        <v>4463</v>
      </c>
      <c r="Z533" s="70"/>
      <c r="AA533" s="70"/>
      <c r="AB533" s="70"/>
      <c r="AC533" s="70"/>
      <c r="AE533" s="26" t="s">
        <v>4464</v>
      </c>
    </row>
    <row r="534" spans="1:31" s="24" customFormat="1" x14ac:dyDescent="0.3">
      <c r="A534" s="23">
        <v>160</v>
      </c>
      <c r="B534" s="23">
        <v>156</v>
      </c>
      <c r="C534" s="24" t="s">
        <v>2165</v>
      </c>
      <c r="D534" s="69" t="s">
        <v>514</v>
      </c>
      <c r="E534" s="24" t="s">
        <v>513</v>
      </c>
      <c r="F534" s="24" t="s">
        <v>520</v>
      </c>
      <c r="G534" s="69" t="s">
        <v>521</v>
      </c>
      <c r="I534" s="69"/>
      <c r="J534" s="24" t="s">
        <v>4465</v>
      </c>
      <c r="K534" s="24" t="s">
        <v>522</v>
      </c>
      <c r="L534" s="24" t="s">
        <v>9727</v>
      </c>
      <c r="M534" s="75" t="s">
        <v>50</v>
      </c>
      <c r="N534" s="75"/>
      <c r="O534" s="75"/>
      <c r="P534" s="75"/>
      <c r="Q534" s="75"/>
      <c r="R534" s="75" t="s">
        <v>2166</v>
      </c>
      <c r="U534" s="24" t="s">
        <v>2186</v>
      </c>
      <c r="Z534" s="69"/>
      <c r="AA534" s="69"/>
      <c r="AB534" s="69"/>
      <c r="AC534" s="69"/>
    </row>
    <row r="535" spans="1:31" s="24" customFormat="1" x14ac:dyDescent="0.3">
      <c r="A535" s="23">
        <v>161</v>
      </c>
      <c r="B535" s="23">
        <v>157</v>
      </c>
      <c r="C535" s="24" t="s">
        <v>2165</v>
      </c>
      <c r="D535" s="69" t="s">
        <v>514</v>
      </c>
      <c r="E535" s="24" t="s">
        <v>513</v>
      </c>
      <c r="F535" s="24" t="s">
        <v>523</v>
      </c>
      <c r="G535" s="69" t="s">
        <v>524</v>
      </c>
      <c r="I535" s="69"/>
      <c r="J535" s="24" t="s">
        <v>3174</v>
      </c>
      <c r="K535" s="24" t="s">
        <v>525</v>
      </c>
      <c r="L535" s="24" t="s">
        <v>9728</v>
      </c>
      <c r="M535" s="75" t="s">
        <v>50</v>
      </c>
      <c r="N535" s="75"/>
      <c r="O535" s="75" t="s">
        <v>67</v>
      </c>
      <c r="P535" s="75" t="s">
        <v>67</v>
      </c>
      <c r="Q535" s="75" t="s">
        <v>67</v>
      </c>
      <c r="R535" s="75"/>
      <c r="T535" s="24" t="s">
        <v>2174</v>
      </c>
      <c r="U535" s="24" t="s">
        <v>2186</v>
      </c>
      <c r="Z535" s="69"/>
      <c r="AA535" s="69"/>
      <c r="AB535" s="69"/>
      <c r="AC535" s="69"/>
      <c r="AE535" s="24" t="s">
        <v>2355</v>
      </c>
    </row>
    <row r="536" spans="1:31" s="24" customFormat="1" x14ac:dyDescent="0.3">
      <c r="A536" s="23">
        <v>162</v>
      </c>
      <c r="B536" s="23">
        <v>158</v>
      </c>
      <c r="C536" s="24" t="s">
        <v>2165</v>
      </c>
      <c r="D536" s="69" t="s">
        <v>514</v>
      </c>
      <c r="E536" s="24" t="s">
        <v>513</v>
      </c>
      <c r="F536" s="24" t="s">
        <v>526</v>
      </c>
      <c r="G536" s="69" t="s">
        <v>527</v>
      </c>
      <c r="I536" s="69"/>
      <c r="J536" s="24" t="s">
        <v>3016</v>
      </c>
      <c r="K536" s="24" t="s">
        <v>528</v>
      </c>
      <c r="M536" s="75" t="s">
        <v>50</v>
      </c>
      <c r="N536" s="75"/>
      <c r="O536" s="75" t="s">
        <v>58</v>
      </c>
      <c r="P536" s="75" t="s">
        <v>58</v>
      </c>
      <c r="Q536" s="75" t="s">
        <v>130</v>
      </c>
      <c r="R536" s="75"/>
      <c r="U536" s="24" t="s">
        <v>2356</v>
      </c>
      <c r="Z536" s="69"/>
      <c r="AA536" s="69"/>
      <c r="AB536" s="69"/>
      <c r="AC536" s="69"/>
    </row>
    <row r="537" spans="1:31" s="26" customFormat="1" x14ac:dyDescent="0.3">
      <c r="A537" s="25" t="s">
        <v>4466</v>
      </c>
      <c r="B537" s="25"/>
      <c r="C537" s="26" t="s">
        <v>3005</v>
      </c>
      <c r="D537" s="70"/>
      <c r="G537" s="70" t="s">
        <v>527</v>
      </c>
      <c r="H537" s="26">
        <v>-1</v>
      </c>
      <c r="I537" s="70" t="s">
        <v>4467</v>
      </c>
      <c r="J537" s="26" t="s">
        <v>3016</v>
      </c>
      <c r="K537" s="26" t="s">
        <v>4468</v>
      </c>
      <c r="L537" s="26" t="s">
        <v>10185</v>
      </c>
      <c r="M537" s="76"/>
      <c r="N537" s="76"/>
      <c r="O537" s="76"/>
      <c r="P537" s="76"/>
      <c r="Q537" s="76"/>
      <c r="R537" s="76"/>
      <c r="U537" s="26" t="s">
        <v>4469</v>
      </c>
      <c r="Z537" s="70"/>
      <c r="AA537" s="70"/>
      <c r="AB537" s="70"/>
      <c r="AC537" s="70"/>
    </row>
    <row r="538" spans="1:31" s="26" customFormat="1" x14ac:dyDescent="0.3">
      <c r="A538" s="25" t="s">
        <v>4470</v>
      </c>
      <c r="B538" s="25"/>
      <c r="C538" s="26" t="s">
        <v>3005</v>
      </c>
      <c r="D538" s="70"/>
      <c r="G538" s="70" t="s">
        <v>527</v>
      </c>
      <c r="H538" s="26">
        <v>-1</v>
      </c>
      <c r="I538" s="70" t="s">
        <v>3681</v>
      </c>
      <c r="J538" s="26" t="s">
        <v>3117</v>
      </c>
      <c r="K538" s="26" t="s">
        <v>4471</v>
      </c>
      <c r="L538" s="26" t="s">
        <v>10186</v>
      </c>
      <c r="M538" s="76"/>
      <c r="N538" s="76"/>
      <c r="O538" s="76"/>
      <c r="P538" s="76"/>
      <c r="Q538" s="76"/>
      <c r="R538" s="76"/>
      <c r="U538" s="26" t="s">
        <v>4472</v>
      </c>
      <c r="Z538" s="70"/>
      <c r="AA538" s="70"/>
      <c r="AB538" s="70"/>
      <c r="AC538" s="70"/>
    </row>
    <row r="539" spans="1:31" s="26" customFormat="1" x14ac:dyDescent="0.3">
      <c r="A539" s="25" t="s">
        <v>4473</v>
      </c>
      <c r="B539" s="25"/>
      <c r="C539" s="26" t="s">
        <v>3005</v>
      </c>
      <c r="D539" s="70"/>
      <c r="G539" s="70" t="s">
        <v>527</v>
      </c>
      <c r="H539" s="26">
        <v>-1</v>
      </c>
      <c r="I539" s="70" t="s">
        <v>3170</v>
      </c>
      <c r="J539" s="26" t="s">
        <v>4233</v>
      </c>
      <c r="K539" s="26" t="s">
        <v>4444</v>
      </c>
      <c r="M539" s="76"/>
      <c r="N539" s="76"/>
      <c r="O539" s="76"/>
      <c r="P539" s="76"/>
      <c r="Q539" s="76"/>
      <c r="R539" s="76"/>
      <c r="U539" s="26" t="s">
        <v>4474</v>
      </c>
      <c r="Z539" s="70"/>
      <c r="AA539" s="70"/>
      <c r="AB539" s="70"/>
      <c r="AC539" s="70"/>
    </row>
    <row r="540" spans="1:31" s="24" customFormat="1" x14ac:dyDescent="0.3">
      <c r="A540" s="23">
        <v>163</v>
      </c>
      <c r="B540" s="23">
        <v>159</v>
      </c>
      <c r="C540" s="24" t="s">
        <v>2165</v>
      </c>
      <c r="D540" s="69" t="s">
        <v>514</v>
      </c>
      <c r="E540" s="24" t="s">
        <v>513</v>
      </c>
      <c r="F540" s="24" t="s">
        <v>529</v>
      </c>
      <c r="G540" s="69" t="s">
        <v>530</v>
      </c>
      <c r="I540" s="69"/>
      <c r="J540" s="24" t="s">
        <v>3016</v>
      </c>
      <c r="K540" s="24" t="s">
        <v>531</v>
      </c>
      <c r="M540" s="75" t="s">
        <v>50</v>
      </c>
      <c r="N540" s="75"/>
      <c r="O540" s="75" t="s">
        <v>58</v>
      </c>
      <c r="P540" s="75" t="s">
        <v>58</v>
      </c>
      <c r="Q540" s="75"/>
      <c r="R540" s="75"/>
      <c r="U540" s="24" t="s">
        <v>2346</v>
      </c>
      <c r="Z540" s="69"/>
      <c r="AA540" s="69"/>
      <c r="AB540" s="69"/>
      <c r="AC540" s="69"/>
      <c r="AD540" s="24" t="s">
        <v>123</v>
      </c>
    </row>
    <row r="541" spans="1:31" s="26" customFormat="1" x14ac:dyDescent="0.3">
      <c r="A541" s="25" t="s">
        <v>4475</v>
      </c>
      <c r="B541" s="25"/>
      <c r="C541" s="26" t="s">
        <v>3005</v>
      </c>
      <c r="D541" s="70"/>
      <c r="G541" s="70" t="s">
        <v>530</v>
      </c>
      <c r="H541" s="26">
        <v>-1</v>
      </c>
      <c r="I541" s="70" t="s">
        <v>4476</v>
      </c>
      <c r="J541" s="26" t="s">
        <v>3016</v>
      </c>
      <c r="K541" s="26" t="s">
        <v>4477</v>
      </c>
      <c r="M541" s="76"/>
      <c r="N541" s="76"/>
      <c r="O541" s="76"/>
      <c r="P541" s="76"/>
      <c r="Q541" s="76"/>
      <c r="R541" s="76"/>
      <c r="U541" s="26" t="s">
        <v>4478</v>
      </c>
      <c r="Z541" s="70"/>
      <c r="AA541" s="70"/>
      <c r="AB541" s="70"/>
      <c r="AC541" s="70"/>
    </row>
    <row r="542" spans="1:31" s="26" customFormat="1" x14ac:dyDescent="0.3">
      <c r="A542" s="25" t="s">
        <v>4479</v>
      </c>
      <c r="B542" s="25"/>
      <c r="C542" s="26" t="s">
        <v>3005</v>
      </c>
      <c r="D542" s="70"/>
      <c r="G542" s="70" t="s">
        <v>530</v>
      </c>
      <c r="H542" s="26">
        <v>-1</v>
      </c>
      <c r="I542" s="70" t="s">
        <v>4480</v>
      </c>
      <c r="J542" s="26" t="s">
        <v>4345</v>
      </c>
      <c r="K542" s="26" t="s">
        <v>4481</v>
      </c>
      <c r="M542" s="76"/>
      <c r="N542" s="76"/>
      <c r="O542" s="76"/>
      <c r="P542" s="76"/>
      <c r="Q542" s="76"/>
      <c r="R542" s="76"/>
      <c r="U542" s="26" t="s">
        <v>4482</v>
      </c>
      <c r="Z542" s="70"/>
      <c r="AA542" s="70"/>
      <c r="AB542" s="70"/>
      <c r="AC542" s="70"/>
    </row>
    <row r="543" spans="1:31" s="26" customFormat="1" x14ac:dyDescent="0.3">
      <c r="A543" s="25" t="s">
        <v>4483</v>
      </c>
      <c r="B543" s="25"/>
      <c r="C543" s="26" t="s">
        <v>3005</v>
      </c>
      <c r="D543" s="70"/>
      <c r="G543" s="70" t="s">
        <v>530</v>
      </c>
      <c r="H543" s="26">
        <v>-1</v>
      </c>
      <c r="I543" s="70" t="s">
        <v>4484</v>
      </c>
      <c r="J543" s="26" t="s">
        <v>4485</v>
      </c>
      <c r="K543" s="26" t="s">
        <v>3054</v>
      </c>
      <c r="L543" s="26" t="s">
        <v>10187</v>
      </c>
      <c r="M543" s="76"/>
      <c r="N543" s="76"/>
      <c r="O543" s="76"/>
      <c r="P543" s="76"/>
      <c r="Q543" s="76"/>
      <c r="R543" s="76"/>
      <c r="U543" s="26" t="s">
        <v>4486</v>
      </c>
      <c r="Z543" s="70"/>
      <c r="AA543" s="70"/>
      <c r="AB543" s="70"/>
      <c r="AC543" s="70"/>
    </row>
    <row r="544" spans="1:31" s="26" customFormat="1" x14ac:dyDescent="0.3">
      <c r="A544" s="25" t="s">
        <v>4487</v>
      </c>
      <c r="B544" s="25"/>
      <c r="C544" s="26" t="s">
        <v>3005</v>
      </c>
      <c r="D544" s="70"/>
      <c r="G544" s="70" t="s">
        <v>530</v>
      </c>
      <c r="H544" s="26">
        <v>-1</v>
      </c>
      <c r="I544" s="70" t="s">
        <v>4488</v>
      </c>
      <c r="J544" s="26" t="s">
        <v>4489</v>
      </c>
      <c r="K544" s="26" t="s">
        <v>4490</v>
      </c>
      <c r="L544" s="26" t="s">
        <v>10188</v>
      </c>
      <c r="M544" s="76"/>
      <c r="N544" s="76"/>
      <c r="O544" s="76"/>
      <c r="P544" s="76"/>
      <c r="Q544" s="76"/>
      <c r="R544" s="76"/>
      <c r="T544" s="26" t="s">
        <v>2200</v>
      </c>
      <c r="U544" s="26" t="s">
        <v>4491</v>
      </c>
      <c r="Z544" s="70"/>
      <c r="AA544" s="70"/>
      <c r="AB544" s="70"/>
      <c r="AC544" s="70"/>
      <c r="AE544" s="26" t="s">
        <v>4492</v>
      </c>
    </row>
    <row r="545" spans="1:31" s="24" customFormat="1" x14ac:dyDescent="0.3">
      <c r="A545" s="23">
        <v>164</v>
      </c>
      <c r="B545" s="23">
        <v>160</v>
      </c>
      <c r="C545" s="24" t="s">
        <v>2165</v>
      </c>
      <c r="D545" s="69" t="s">
        <v>514</v>
      </c>
      <c r="E545" s="24" t="s">
        <v>513</v>
      </c>
      <c r="F545" s="24" t="s">
        <v>532</v>
      </c>
      <c r="G545" s="69" t="s">
        <v>533</v>
      </c>
      <c r="I545" s="69"/>
      <c r="J545" s="24" t="s">
        <v>3016</v>
      </c>
      <c r="K545" s="24" t="s">
        <v>92</v>
      </c>
      <c r="M545" s="75" t="s">
        <v>50</v>
      </c>
      <c r="N545" s="75"/>
      <c r="O545" s="75" t="s">
        <v>58</v>
      </c>
      <c r="P545" s="75" t="s">
        <v>58</v>
      </c>
      <c r="Q545" s="75" t="s">
        <v>66</v>
      </c>
      <c r="R545" s="75"/>
      <c r="U545" s="24" t="s">
        <v>2346</v>
      </c>
      <c r="Z545" s="69"/>
      <c r="AA545" s="69"/>
      <c r="AB545" s="69"/>
      <c r="AC545" s="69"/>
    </row>
    <row r="546" spans="1:31" s="26" customFormat="1" x14ac:dyDescent="0.3">
      <c r="A546" s="25" t="s">
        <v>4493</v>
      </c>
      <c r="B546" s="25"/>
      <c r="C546" s="26" t="s">
        <v>3005</v>
      </c>
      <c r="D546" s="70"/>
      <c r="G546" s="70" t="s">
        <v>533</v>
      </c>
      <c r="H546" s="26">
        <v>-1</v>
      </c>
      <c r="I546" s="70" t="s">
        <v>4494</v>
      </c>
      <c r="J546" s="26" t="s">
        <v>3117</v>
      </c>
      <c r="K546" s="26" t="s">
        <v>4495</v>
      </c>
      <c r="M546" s="76"/>
      <c r="N546" s="76"/>
      <c r="O546" s="76"/>
      <c r="P546" s="76"/>
      <c r="Q546" s="76"/>
      <c r="R546" s="76"/>
      <c r="U546" s="26" t="s">
        <v>4496</v>
      </c>
      <c r="Z546" s="70"/>
      <c r="AA546" s="70"/>
      <c r="AB546" s="70"/>
      <c r="AC546" s="70"/>
    </row>
    <row r="547" spans="1:31" s="26" customFormat="1" x14ac:dyDescent="0.3">
      <c r="A547" s="25" t="s">
        <v>4497</v>
      </c>
      <c r="B547" s="25"/>
      <c r="C547" s="26" t="s">
        <v>3005</v>
      </c>
      <c r="D547" s="70"/>
      <c r="G547" s="70" t="s">
        <v>533</v>
      </c>
      <c r="H547" s="26">
        <v>-1</v>
      </c>
      <c r="I547" s="70" t="s">
        <v>4498</v>
      </c>
      <c r="J547" s="26" t="s">
        <v>3016</v>
      </c>
      <c r="K547" s="26" t="s">
        <v>4499</v>
      </c>
      <c r="M547" s="76"/>
      <c r="N547" s="76"/>
      <c r="O547" s="76"/>
      <c r="P547" s="76"/>
      <c r="Q547" s="76"/>
      <c r="R547" s="76"/>
      <c r="U547" s="26" t="s">
        <v>4500</v>
      </c>
      <c r="Z547" s="70"/>
      <c r="AA547" s="70"/>
      <c r="AB547" s="70"/>
      <c r="AC547" s="70"/>
    </row>
    <row r="548" spans="1:31" s="26" customFormat="1" x14ac:dyDescent="0.3">
      <c r="A548" s="25" t="s">
        <v>4501</v>
      </c>
      <c r="B548" s="25"/>
      <c r="C548" s="26" t="s">
        <v>3005</v>
      </c>
      <c r="D548" s="70"/>
      <c r="G548" s="70" t="s">
        <v>533</v>
      </c>
      <c r="H548" s="26">
        <v>-1</v>
      </c>
      <c r="I548" s="70" t="s">
        <v>4502</v>
      </c>
      <c r="J548" s="26" t="s">
        <v>3608</v>
      </c>
      <c r="K548" s="26" t="s">
        <v>4144</v>
      </c>
      <c r="M548" s="76"/>
      <c r="N548" s="76"/>
      <c r="O548" s="76"/>
      <c r="P548" s="76"/>
      <c r="Q548" s="76"/>
      <c r="R548" s="76"/>
      <c r="U548" s="26" t="s">
        <v>4503</v>
      </c>
      <c r="Z548" s="70"/>
      <c r="AA548" s="70"/>
      <c r="AB548" s="70"/>
      <c r="AC548" s="70"/>
    </row>
    <row r="549" spans="1:31" s="24" customFormat="1" x14ac:dyDescent="0.3">
      <c r="A549" s="23">
        <v>165</v>
      </c>
      <c r="B549" s="23">
        <v>161</v>
      </c>
      <c r="C549" s="24" t="s">
        <v>2165</v>
      </c>
      <c r="D549" s="69" t="s">
        <v>514</v>
      </c>
      <c r="E549" s="24" t="s">
        <v>513</v>
      </c>
      <c r="F549" s="24" t="s">
        <v>534</v>
      </c>
      <c r="G549" s="69" t="s">
        <v>535</v>
      </c>
      <c r="I549" s="69"/>
      <c r="J549" s="24" t="s">
        <v>3016</v>
      </c>
      <c r="K549" s="24" t="s">
        <v>482</v>
      </c>
      <c r="M549" s="75" t="s">
        <v>50</v>
      </c>
      <c r="N549" s="75"/>
      <c r="O549" s="75"/>
      <c r="P549" s="75"/>
      <c r="Q549" s="75"/>
      <c r="R549" s="75"/>
      <c r="U549" s="24" t="s">
        <v>2357</v>
      </c>
      <c r="Z549" s="69"/>
      <c r="AA549" s="69"/>
      <c r="AB549" s="69"/>
      <c r="AC549" s="69"/>
    </row>
    <row r="550" spans="1:31" s="26" customFormat="1" x14ac:dyDescent="0.3">
      <c r="A550" s="25" t="s">
        <v>4504</v>
      </c>
      <c r="B550" s="25"/>
      <c r="C550" s="26" t="s">
        <v>3005</v>
      </c>
      <c r="D550" s="70"/>
      <c r="G550" s="70" t="s">
        <v>535</v>
      </c>
      <c r="H550" s="26">
        <v>-1</v>
      </c>
      <c r="I550" s="70" t="s">
        <v>4505</v>
      </c>
      <c r="J550" s="26" t="s">
        <v>3016</v>
      </c>
      <c r="K550" s="26" t="s">
        <v>4506</v>
      </c>
      <c r="L550" s="26" t="s">
        <v>10189</v>
      </c>
      <c r="M550" s="76"/>
      <c r="N550" s="76"/>
      <c r="O550" s="76"/>
      <c r="P550" s="76"/>
      <c r="Q550" s="76"/>
      <c r="R550" s="76"/>
      <c r="U550" s="26" t="s">
        <v>4507</v>
      </c>
      <c r="Z550" s="70"/>
      <c r="AA550" s="70"/>
      <c r="AB550" s="70"/>
      <c r="AC550" s="70"/>
    </row>
    <row r="551" spans="1:31" s="26" customFormat="1" x14ac:dyDescent="0.3">
      <c r="A551" s="25" t="s">
        <v>4508</v>
      </c>
      <c r="B551" s="25"/>
      <c r="C551" s="26" t="s">
        <v>3005</v>
      </c>
      <c r="D551" s="70"/>
      <c r="G551" s="70" t="s">
        <v>535</v>
      </c>
      <c r="H551" s="26">
        <v>-1</v>
      </c>
      <c r="I551" s="70" t="s">
        <v>4509</v>
      </c>
      <c r="J551" s="26" t="s">
        <v>3174</v>
      </c>
      <c r="K551" s="26" t="s">
        <v>4510</v>
      </c>
      <c r="L551" s="26" t="s">
        <v>10190</v>
      </c>
      <c r="M551" s="76"/>
      <c r="N551" s="76"/>
      <c r="O551" s="76"/>
      <c r="P551" s="76"/>
      <c r="Q551" s="76"/>
      <c r="R551" s="76"/>
      <c r="U551" s="26" t="s">
        <v>4511</v>
      </c>
      <c r="Z551" s="70"/>
      <c r="AA551" s="70"/>
      <c r="AB551" s="70"/>
      <c r="AC551" s="70"/>
    </row>
    <row r="552" spans="1:31" s="24" customFormat="1" x14ac:dyDescent="0.3">
      <c r="A552" s="23">
        <v>166</v>
      </c>
      <c r="B552" s="23">
        <v>162</v>
      </c>
      <c r="C552" s="24" t="s">
        <v>2165</v>
      </c>
      <c r="D552" s="69" t="s">
        <v>514</v>
      </c>
      <c r="E552" s="24" t="s">
        <v>513</v>
      </c>
      <c r="F552" s="24" t="s">
        <v>536</v>
      </c>
      <c r="G552" s="69" t="s">
        <v>537</v>
      </c>
      <c r="I552" s="69"/>
      <c r="J552" s="24" t="s">
        <v>3447</v>
      </c>
      <c r="K552" s="24" t="s">
        <v>538</v>
      </c>
      <c r="L552" s="24" t="s">
        <v>9729</v>
      </c>
      <c r="M552" s="75" t="s">
        <v>50</v>
      </c>
      <c r="N552" s="75"/>
      <c r="O552" s="75" t="s">
        <v>67</v>
      </c>
      <c r="P552" s="75" t="s">
        <v>67</v>
      </c>
      <c r="Q552" s="75" t="s">
        <v>67</v>
      </c>
      <c r="R552" s="75"/>
      <c r="U552" s="24" t="s">
        <v>2336</v>
      </c>
      <c r="Z552" s="69"/>
      <c r="AA552" s="69"/>
      <c r="AB552" s="69"/>
      <c r="AC552" s="69"/>
    </row>
    <row r="553" spans="1:31" s="24" customFormat="1" x14ac:dyDescent="0.3">
      <c r="A553" s="23">
        <v>167</v>
      </c>
      <c r="B553" s="23">
        <v>163</v>
      </c>
      <c r="C553" s="24" t="s">
        <v>2165</v>
      </c>
      <c r="D553" s="69" t="s">
        <v>514</v>
      </c>
      <c r="E553" s="24" t="s">
        <v>513</v>
      </c>
      <c r="F553" s="24" t="s">
        <v>539</v>
      </c>
      <c r="G553" s="69" t="s">
        <v>540</v>
      </c>
      <c r="I553" s="69"/>
      <c r="J553" s="24" t="s">
        <v>3016</v>
      </c>
      <c r="K553" s="24" t="s">
        <v>482</v>
      </c>
      <c r="M553" s="75" t="s">
        <v>50</v>
      </c>
      <c r="N553" s="75"/>
      <c r="O553" s="75" t="s">
        <v>58</v>
      </c>
      <c r="P553" s="75" t="s">
        <v>58</v>
      </c>
      <c r="Q553" s="75"/>
      <c r="R553" s="75"/>
      <c r="U553" s="24" t="s">
        <v>2358</v>
      </c>
      <c r="Z553" s="69"/>
      <c r="AA553" s="69"/>
      <c r="AB553" s="69"/>
      <c r="AC553" s="69"/>
    </row>
    <row r="554" spans="1:31" s="26" customFormat="1" x14ac:dyDescent="0.3">
      <c r="A554" s="25" t="s">
        <v>4512</v>
      </c>
      <c r="B554" s="25"/>
      <c r="C554" s="26" t="s">
        <v>3005</v>
      </c>
      <c r="D554" s="70"/>
      <c r="G554" s="70" t="s">
        <v>540</v>
      </c>
      <c r="H554" s="26">
        <v>-1</v>
      </c>
      <c r="I554" s="70" t="s">
        <v>4513</v>
      </c>
      <c r="J554" s="26" t="s">
        <v>3016</v>
      </c>
      <c r="K554" s="26" t="s">
        <v>4449</v>
      </c>
      <c r="L554" s="26" t="s">
        <v>10191</v>
      </c>
      <c r="M554" s="76"/>
      <c r="N554" s="76"/>
      <c r="O554" s="76"/>
      <c r="P554" s="76"/>
      <c r="Q554" s="76"/>
      <c r="R554" s="76"/>
      <c r="U554" s="26" t="s">
        <v>4514</v>
      </c>
      <c r="Z554" s="70"/>
      <c r="AA554" s="70"/>
      <c r="AB554" s="70"/>
      <c r="AC554" s="70"/>
    </row>
    <row r="555" spans="1:31" s="26" customFormat="1" x14ac:dyDescent="0.3">
      <c r="A555" s="25" t="s">
        <v>4515</v>
      </c>
      <c r="B555" s="25"/>
      <c r="C555" s="26" t="s">
        <v>3005</v>
      </c>
      <c r="D555" s="70"/>
      <c r="G555" s="70" t="s">
        <v>540</v>
      </c>
      <c r="H555" s="26">
        <v>-1</v>
      </c>
      <c r="I555" s="70" t="s">
        <v>4516</v>
      </c>
      <c r="J555" s="26" t="s">
        <v>4517</v>
      </c>
      <c r="K555" s="26" t="s">
        <v>4518</v>
      </c>
      <c r="L555" s="26" t="s">
        <v>10192</v>
      </c>
      <c r="M555" s="76"/>
      <c r="N555" s="76"/>
      <c r="O555" s="76"/>
      <c r="P555" s="76"/>
      <c r="Q555" s="76"/>
      <c r="R555" s="76"/>
      <c r="U555" s="26" t="s">
        <v>4519</v>
      </c>
      <c r="Z555" s="70"/>
      <c r="AA555" s="70"/>
      <c r="AB555" s="70"/>
      <c r="AC555" s="70"/>
    </row>
    <row r="556" spans="1:31" s="26" customFormat="1" x14ac:dyDescent="0.3">
      <c r="A556" s="25" t="s">
        <v>4520</v>
      </c>
      <c r="B556" s="25"/>
      <c r="C556" s="26" t="s">
        <v>3005</v>
      </c>
      <c r="D556" s="70"/>
      <c r="G556" s="70" t="s">
        <v>540</v>
      </c>
      <c r="H556" s="26">
        <v>-1</v>
      </c>
      <c r="I556" s="70" t="s">
        <v>4521</v>
      </c>
      <c r="J556" s="26" t="s">
        <v>4522</v>
      </c>
      <c r="K556" s="26" t="s">
        <v>4523</v>
      </c>
      <c r="L556" s="26" t="s">
        <v>10193</v>
      </c>
      <c r="M556" s="76"/>
      <c r="N556" s="76"/>
      <c r="O556" s="76"/>
      <c r="P556" s="76"/>
      <c r="Q556" s="76"/>
      <c r="R556" s="76"/>
      <c r="U556" s="26" t="s">
        <v>4524</v>
      </c>
      <c r="Z556" s="70"/>
      <c r="AA556" s="70"/>
      <c r="AB556" s="70"/>
      <c r="AC556" s="70"/>
    </row>
    <row r="557" spans="1:31" s="26" customFormat="1" x14ac:dyDescent="0.3">
      <c r="A557" s="25" t="s">
        <v>4525</v>
      </c>
      <c r="B557" s="25"/>
      <c r="C557" s="26" t="s">
        <v>3005</v>
      </c>
      <c r="D557" s="70"/>
      <c r="G557" s="70" t="s">
        <v>540</v>
      </c>
      <c r="H557" s="26">
        <v>-1</v>
      </c>
      <c r="I557" s="70" t="s">
        <v>4526</v>
      </c>
      <c r="J557" s="26" t="s">
        <v>4527</v>
      </c>
      <c r="K557" s="26" t="s">
        <v>4528</v>
      </c>
      <c r="L557" s="26" t="s">
        <v>10194</v>
      </c>
      <c r="M557" s="76"/>
      <c r="N557" s="76"/>
      <c r="O557" s="76"/>
      <c r="P557" s="76"/>
      <c r="Q557" s="76"/>
      <c r="R557" s="76"/>
      <c r="U557" s="26" t="s">
        <v>4529</v>
      </c>
      <c r="Z557" s="70"/>
      <c r="AA557" s="70"/>
      <c r="AB557" s="70"/>
      <c r="AC557" s="70"/>
    </row>
    <row r="558" spans="1:31" s="26" customFormat="1" x14ac:dyDescent="0.3">
      <c r="A558" s="25" t="s">
        <v>4530</v>
      </c>
      <c r="B558" s="25"/>
      <c r="C558" s="26" t="s">
        <v>3005</v>
      </c>
      <c r="D558" s="70"/>
      <c r="G558" s="70" t="s">
        <v>540</v>
      </c>
      <c r="H558" s="26">
        <v>-1</v>
      </c>
      <c r="I558" s="70" t="s">
        <v>4531</v>
      </c>
      <c r="J558" s="26" t="s">
        <v>4532</v>
      </c>
      <c r="K558" s="26" t="s">
        <v>4350</v>
      </c>
      <c r="L558" s="26" t="s">
        <v>10195</v>
      </c>
      <c r="M558" s="76"/>
      <c r="N558" s="76"/>
      <c r="O558" s="76"/>
      <c r="P558" s="76"/>
      <c r="Q558" s="76"/>
      <c r="R558" s="76"/>
      <c r="U558" s="26" t="s">
        <v>4533</v>
      </c>
      <c r="Z558" s="70"/>
      <c r="AA558" s="70"/>
      <c r="AB558" s="70"/>
      <c r="AC558" s="70"/>
    </row>
    <row r="559" spans="1:31" s="26" customFormat="1" x14ac:dyDescent="0.3">
      <c r="A559" s="25" t="s">
        <v>4534</v>
      </c>
      <c r="B559" s="25"/>
      <c r="C559" s="26" t="s">
        <v>3005</v>
      </c>
      <c r="D559" s="70"/>
      <c r="G559" s="70" t="s">
        <v>540</v>
      </c>
      <c r="H559" s="26">
        <v>-1</v>
      </c>
      <c r="I559" s="70" t="s">
        <v>4494</v>
      </c>
      <c r="J559" s="26" t="s">
        <v>4535</v>
      </c>
      <c r="K559" s="26" t="s">
        <v>4536</v>
      </c>
      <c r="L559" s="26" t="s">
        <v>10196</v>
      </c>
      <c r="M559" s="76"/>
      <c r="N559" s="76"/>
      <c r="O559" s="76"/>
      <c r="P559" s="76"/>
      <c r="Q559" s="76"/>
      <c r="R559" s="76"/>
      <c r="U559" s="26" t="s">
        <v>4537</v>
      </c>
      <c r="Z559" s="70"/>
      <c r="AA559" s="70"/>
      <c r="AB559" s="70"/>
      <c r="AC559" s="70"/>
    </row>
    <row r="560" spans="1:31" s="24" customFormat="1" x14ac:dyDescent="0.3">
      <c r="A560" s="23">
        <v>168</v>
      </c>
      <c r="B560" s="23">
        <v>164</v>
      </c>
      <c r="C560" s="24" t="s">
        <v>2165</v>
      </c>
      <c r="D560" s="69" t="s">
        <v>514</v>
      </c>
      <c r="E560" s="24" t="s">
        <v>513</v>
      </c>
      <c r="F560" s="24" t="s">
        <v>541</v>
      </c>
      <c r="G560" s="69" t="s">
        <v>542</v>
      </c>
      <c r="I560" s="69"/>
      <c r="J560" s="24" t="s">
        <v>3016</v>
      </c>
      <c r="K560" s="24" t="s">
        <v>543</v>
      </c>
      <c r="L560" s="24" t="s">
        <v>9730</v>
      </c>
      <c r="M560" s="75" t="s">
        <v>50</v>
      </c>
      <c r="N560" s="75"/>
      <c r="O560" s="75"/>
      <c r="P560" s="75"/>
      <c r="Q560" s="75"/>
      <c r="R560" s="75"/>
      <c r="T560" s="24" t="s">
        <v>2323</v>
      </c>
      <c r="U560" s="24" t="s">
        <v>2359</v>
      </c>
      <c r="Z560" s="69"/>
      <c r="AA560" s="69"/>
      <c r="AB560" s="69"/>
      <c r="AC560" s="69"/>
      <c r="AE560" s="24" t="s">
        <v>2360</v>
      </c>
    </row>
    <row r="561" spans="1:31" s="24" customFormat="1" x14ac:dyDescent="0.3">
      <c r="A561" s="23">
        <v>169</v>
      </c>
      <c r="B561" s="23">
        <v>165</v>
      </c>
      <c r="C561" s="24" t="s">
        <v>2165</v>
      </c>
      <c r="D561" s="69" t="s">
        <v>514</v>
      </c>
      <c r="E561" s="24" t="s">
        <v>513</v>
      </c>
      <c r="F561" s="24" t="s">
        <v>544</v>
      </c>
      <c r="G561" s="69" t="s">
        <v>545</v>
      </c>
      <c r="I561" s="69"/>
      <c r="J561" s="24" t="s">
        <v>4538</v>
      </c>
      <c r="K561" s="24" t="s">
        <v>23</v>
      </c>
      <c r="M561" s="75" t="s">
        <v>50</v>
      </c>
      <c r="N561" s="75"/>
      <c r="O561" s="75"/>
      <c r="P561" s="75"/>
      <c r="Q561" s="75"/>
      <c r="R561" s="75"/>
      <c r="T561" s="24" t="s">
        <v>2323</v>
      </c>
      <c r="U561" s="24" t="s">
        <v>2361</v>
      </c>
      <c r="Z561" s="69"/>
      <c r="AA561" s="69"/>
      <c r="AB561" s="69"/>
      <c r="AC561" s="69"/>
      <c r="AE561" s="24" t="s">
        <v>2362</v>
      </c>
    </row>
    <row r="562" spans="1:31" s="26" customFormat="1" x14ac:dyDescent="0.3">
      <c r="A562" s="25" t="s">
        <v>4539</v>
      </c>
      <c r="B562" s="25"/>
      <c r="C562" s="26" t="s">
        <v>3005</v>
      </c>
      <c r="D562" s="70"/>
      <c r="G562" s="70" t="s">
        <v>545</v>
      </c>
      <c r="H562" s="26">
        <v>-1</v>
      </c>
      <c r="I562" s="70" t="s">
        <v>4540</v>
      </c>
      <c r="J562" s="26" t="s">
        <v>4538</v>
      </c>
      <c r="K562" s="26" t="s">
        <v>4541</v>
      </c>
      <c r="L562" s="26" t="s">
        <v>10197</v>
      </c>
      <c r="M562" s="76"/>
      <c r="N562" s="76"/>
      <c r="O562" s="76"/>
      <c r="P562" s="76"/>
      <c r="Q562" s="76"/>
      <c r="R562" s="76"/>
      <c r="U562" s="26" t="s">
        <v>4542</v>
      </c>
      <c r="Z562" s="70"/>
      <c r="AA562" s="70"/>
      <c r="AB562" s="70"/>
      <c r="AC562" s="70"/>
    </row>
    <row r="563" spans="1:31" s="26" customFormat="1" x14ac:dyDescent="0.3">
      <c r="A563" s="25" t="s">
        <v>4543</v>
      </c>
      <c r="B563" s="25"/>
      <c r="C563" s="26" t="s">
        <v>3005</v>
      </c>
      <c r="D563" s="70"/>
      <c r="G563" s="70" t="s">
        <v>545</v>
      </c>
      <c r="H563" s="26">
        <v>2</v>
      </c>
      <c r="I563" s="70" t="s">
        <v>4544</v>
      </c>
      <c r="J563" s="26" t="s">
        <v>4545</v>
      </c>
      <c r="K563" s="26" t="s">
        <v>3054</v>
      </c>
      <c r="L563" s="26" t="s">
        <v>10198</v>
      </c>
      <c r="M563" s="76"/>
      <c r="N563" s="76"/>
      <c r="O563" s="76"/>
      <c r="P563" s="76"/>
      <c r="Q563" s="76"/>
      <c r="R563" s="76"/>
      <c r="U563" s="26" t="s">
        <v>4546</v>
      </c>
      <c r="Z563" s="70"/>
      <c r="AA563" s="70"/>
      <c r="AB563" s="70"/>
      <c r="AC563" s="70"/>
    </row>
    <row r="564" spans="1:31" s="24" customFormat="1" x14ac:dyDescent="0.3">
      <c r="A564" s="23">
        <v>170</v>
      </c>
      <c r="B564" s="23">
        <v>166</v>
      </c>
      <c r="C564" s="24" t="s">
        <v>2165</v>
      </c>
      <c r="D564" s="69" t="s">
        <v>514</v>
      </c>
      <c r="E564" s="24" t="s">
        <v>513</v>
      </c>
      <c r="F564" s="24" t="s">
        <v>546</v>
      </c>
      <c r="G564" s="69" t="s">
        <v>547</v>
      </c>
      <c r="I564" s="69"/>
      <c r="J564" s="24" t="s">
        <v>3447</v>
      </c>
      <c r="K564" s="24" t="s">
        <v>548</v>
      </c>
      <c r="L564" s="24" t="s">
        <v>9731</v>
      </c>
      <c r="M564" s="75" t="s">
        <v>50</v>
      </c>
      <c r="N564" s="75"/>
      <c r="O564" s="75"/>
      <c r="P564" s="75"/>
      <c r="Q564" s="75"/>
      <c r="R564" s="75"/>
      <c r="U564" s="24" t="s">
        <v>2186</v>
      </c>
      <c r="Z564" s="69"/>
      <c r="AA564" s="69"/>
      <c r="AB564" s="69"/>
      <c r="AC564" s="69"/>
    </row>
    <row r="565" spans="1:31" s="24" customFormat="1" x14ac:dyDescent="0.3">
      <c r="A565" s="23">
        <v>171</v>
      </c>
      <c r="B565" s="23">
        <v>167</v>
      </c>
      <c r="C565" s="24" t="s">
        <v>2165</v>
      </c>
      <c r="D565" s="69" t="s">
        <v>514</v>
      </c>
      <c r="E565" s="24" t="s">
        <v>513</v>
      </c>
      <c r="F565" s="24" t="s">
        <v>549</v>
      </c>
      <c r="G565" s="69" t="s">
        <v>550</v>
      </c>
      <c r="I565" s="69"/>
      <c r="J565" s="24" t="s">
        <v>4538</v>
      </c>
      <c r="K565" s="24" t="s">
        <v>551</v>
      </c>
      <c r="L565" s="24" t="s">
        <v>9732</v>
      </c>
      <c r="M565" s="75" t="s">
        <v>50</v>
      </c>
      <c r="N565" s="75"/>
      <c r="O565" s="75" t="s">
        <v>58</v>
      </c>
      <c r="P565" s="75" t="s">
        <v>58</v>
      </c>
      <c r="Q565" s="75"/>
      <c r="R565" s="75"/>
      <c r="U565" s="24" t="s">
        <v>2361</v>
      </c>
      <c r="Z565" s="69"/>
      <c r="AA565" s="69"/>
      <c r="AB565" s="69"/>
      <c r="AC565" s="69"/>
    </row>
    <row r="566" spans="1:31" s="24" customFormat="1" x14ac:dyDescent="0.3">
      <c r="A566" s="23">
        <v>172</v>
      </c>
      <c r="B566" s="23">
        <v>168</v>
      </c>
      <c r="C566" s="24" t="s">
        <v>2165</v>
      </c>
      <c r="D566" s="69" t="s">
        <v>514</v>
      </c>
      <c r="E566" s="24" t="s">
        <v>513</v>
      </c>
      <c r="F566" s="24" t="s">
        <v>552</v>
      </c>
      <c r="G566" s="69" t="s">
        <v>553</v>
      </c>
      <c r="I566" s="69"/>
      <c r="J566" s="24" t="s">
        <v>4547</v>
      </c>
      <c r="K566" s="24" t="s">
        <v>554</v>
      </c>
      <c r="L566" s="24" t="s">
        <v>9733</v>
      </c>
      <c r="M566" s="75" t="s">
        <v>19</v>
      </c>
      <c r="N566" s="75"/>
      <c r="O566" s="75"/>
      <c r="P566" s="75"/>
      <c r="Q566" s="75"/>
      <c r="R566" s="75" t="s">
        <v>2166</v>
      </c>
      <c r="U566" s="24" t="s">
        <v>2363</v>
      </c>
      <c r="Z566" s="69"/>
      <c r="AA566" s="69"/>
      <c r="AB566" s="69"/>
      <c r="AC566" s="69"/>
    </row>
    <row r="567" spans="1:31" s="24" customFormat="1" x14ac:dyDescent="0.3">
      <c r="A567" s="23">
        <v>173</v>
      </c>
      <c r="B567" s="23">
        <v>169</v>
      </c>
      <c r="C567" s="24" t="s">
        <v>2165</v>
      </c>
      <c r="D567" s="69" t="s">
        <v>514</v>
      </c>
      <c r="E567" s="24" t="s">
        <v>513</v>
      </c>
      <c r="F567" s="24" t="s">
        <v>555</v>
      </c>
      <c r="G567" s="69" t="s">
        <v>556</v>
      </c>
      <c r="I567" s="69"/>
      <c r="J567" s="24" t="s">
        <v>4548</v>
      </c>
      <c r="K567" s="24" t="s">
        <v>557</v>
      </c>
      <c r="L567" s="24" t="s">
        <v>9734</v>
      </c>
      <c r="M567" s="75" t="s">
        <v>50</v>
      </c>
      <c r="N567" s="75"/>
      <c r="O567" s="75"/>
      <c r="P567" s="75"/>
      <c r="Q567" s="75"/>
      <c r="R567" s="75"/>
      <c r="U567" s="24" t="s">
        <v>2336</v>
      </c>
      <c r="Z567" s="69"/>
      <c r="AA567" s="69"/>
      <c r="AB567" s="69"/>
      <c r="AC567" s="69"/>
    </row>
    <row r="568" spans="1:31" s="24" customFormat="1" x14ac:dyDescent="0.3">
      <c r="A568" s="23">
        <v>174</v>
      </c>
      <c r="B568" s="23">
        <v>170</v>
      </c>
      <c r="C568" s="24" t="s">
        <v>2165</v>
      </c>
      <c r="D568" s="69" t="s">
        <v>514</v>
      </c>
      <c r="E568" s="24" t="s">
        <v>513</v>
      </c>
      <c r="F568" s="24" t="s">
        <v>558</v>
      </c>
      <c r="G568" s="69" t="s">
        <v>559</v>
      </c>
      <c r="I568" s="69"/>
      <c r="J568" s="24" t="s">
        <v>4136</v>
      </c>
      <c r="K568" s="24" t="s">
        <v>560</v>
      </c>
      <c r="L568" s="24" t="s">
        <v>9735</v>
      </c>
      <c r="M568" s="75" t="s">
        <v>50</v>
      </c>
      <c r="N568" s="75"/>
      <c r="O568" s="75" t="s">
        <v>58</v>
      </c>
      <c r="P568" s="75" t="s">
        <v>58</v>
      </c>
      <c r="Q568" s="75"/>
      <c r="R568" s="75"/>
      <c r="U568" s="24" t="s">
        <v>2336</v>
      </c>
      <c r="V568" s="24" t="s">
        <v>2364</v>
      </c>
      <c r="Z568" s="69"/>
      <c r="AA568" s="69"/>
      <c r="AB568" s="69"/>
      <c r="AC568" s="69"/>
    </row>
    <row r="569" spans="1:31" s="24" customFormat="1" x14ac:dyDescent="0.3">
      <c r="A569" s="23">
        <v>175</v>
      </c>
      <c r="B569" s="23">
        <v>171</v>
      </c>
      <c r="C569" s="24" t="s">
        <v>2165</v>
      </c>
      <c r="D569" s="69" t="s">
        <v>514</v>
      </c>
      <c r="E569" s="24" t="s">
        <v>513</v>
      </c>
      <c r="F569" s="24" t="s">
        <v>561</v>
      </c>
      <c r="G569" s="69" t="s">
        <v>562</v>
      </c>
      <c r="I569" s="69"/>
      <c r="J569" s="24" t="s">
        <v>3091</v>
      </c>
      <c r="K569" s="24" t="s">
        <v>482</v>
      </c>
      <c r="L569" s="24" t="s">
        <v>9736</v>
      </c>
      <c r="M569" s="75" t="s">
        <v>50</v>
      </c>
      <c r="N569" s="75"/>
      <c r="O569" s="75"/>
      <c r="P569" s="75"/>
      <c r="Q569" s="75"/>
      <c r="R569" s="75"/>
      <c r="U569" s="24" t="s">
        <v>2357</v>
      </c>
      <c r="Z569" s="69"/>
      <c r="AA569" s="69"/>
      <c r="AB569" s="69"/>
      <c r="AC569" s="69"/>
    </row>
    <row r="570" spans="1:31" s="26" customFormat="1" x14ac:dyDescent="0.3">
      <c r="A570" s="25" t="s">
        <v>4549</v>
      </c>
      <c r="B570" s="25"/>
      <c r="C570" s="26" t="s">
        <v>3005</v>
      </c>
      <c r="D570" s="70"/>
      <c r="G570" s="70" t="s">
        <v>562</v>
      </c>
      <c r="H570" s="26">
        <v>-1</v>
      </c>
      <c r="I570" s="70" t="s">
        <v>3526</v>
      </c>
      <c r="J570" s="26" t="s">
        <v>3091</v>
      </c>
      <c r="K570" s="26" t="s">
        <v>4550</v>
      </c>
      <c r="M570" s="76"/>
      <c r="N570" s="76"/>
      <c r="O570" s="76"/>
      <c r="P570" s="76"/>
      <c r="Q570" s="76"/>
      <c r="R570" s="76"/>
      <c r="U570" s="26" t="s">
        <v>4551</v>
      </c>
      <c r="Z570" s="70"/>
      <c r="AA570" s="70"/>
      <c r="AB570" s="70"/>
      <c r="AC570" s="70"/>
    </row>
    <row r="571" spans="1:31" s="26" customFormat="1" x14ac:dyDescent="0.3">
      <c r="A571" s="25" t="s">
        <v>4552</v>
      </c>
      <c r="B571" s="25"/>
      <c r="C571" s="26" t="s">
        <v>3005</v>
      </c>
      <c r="D571" s="70"/>
      <c r="G571" s="70" t="s">
        <v>562</v>
      </c>
      <c r="H571" s="26">
        <v>-1</v>
      </c>
      <c r="I571" s="70" t="s">
        <v>4553</v>
      </c>
      <c r="J571" s="26" t="s">
        <v>3092</v>
      </c>
      <c r="K571" s="26" t="s">
        <v>4554</v>
      </c>
      <c r="M571" s="76"/>
      <c r="N571" s="76"/>
      <c r="O571" s="76"/>
      <c r="P571" s="76"/>
      <c r="Q571" s="76"/>
      <c r="R571" s="76"/>
      <c r="U571" s="26" t="s">
        <v>4555</v>
      </c>
      <c r="Z571" s="70"/>
      <c r="AA571" s="70"/>
      <c r="AB571" s="70"/>
      <c r="AC571" s="70"/>
    </row>
    <row r="572" spans="1:31" s="24" customFormat="1" x14ac:dyDescent="0.3">
      <c r="A572" s="23">
        <v>176</v>
      </c>
      <c r="B572" s="23">
        <v>172</v>
      </c>
      <c r="C572" s="24" t="s">
        <v>2165</v>
      </c>
      <c r="D572" s="69" t="s">
        <v>514</v>
      </c>
      <c r="E572" s="24" t="s">
        <v>513</v>
      </c>
      <c r="F572" s="24" t="s">
        <v>563</v>
      </c>
      <c r="G572" s="69" t="s">
        <v>564</v>
      </c>
      <c r="I572" s="69"/>
      <c r="J572" s="24" t="s">
        <v>3016</v>
      </c>
      <c r="K572" s="24" t="s">
        <v>482</v>
      </c>
      <c r="M572" s="75" t="s">
        <v>19</v>
      </c>
      <c r="N572" s="75"/>
      <c r="O572" s="75"/>
      <c r="P572" s="75"/>
      <c r="Q572" s="75"/>
      <c r="R572" s="75" t="s">
        <v>2166</v>
      </c>
      <c r="U572" s="24" t="s">
        <v>2365</v>
      </c>
      <c r="Z572" s="69"/>
      <c r="AA572" s="69"/>
      <c r="AB572" s="69"/>
      <c r="AC572" s="69"/>
    </row>
    <row r="573" spans="1:31" s="26" customFormat="1" x14ac:dyDescent="0.3">
      <c r="A573" s="25" t="s">
        <v>4556</v>
      </c>
      <c r="B573" s="25"/>
      <c r="C573" s="26" t="s">
        <v>3005</v>
      </c>
      <c r="D573" s="70"/>
      <c r="G573" s="70" t="s">
        <v>564</v>
      </c>
      <c r="H573" s="26">
        <v>-1</v>
      </c>
      <c r="I573" s="70" t="s">
        <v>4557</v>
      </c>
      <c r="J573" s="26" t="s">
        <v>4558</v>
      </c>
      <c r="K573" s="26" t="s">
        <v>4559</v>
      </c>
      <c r="M573" s="76"/>
      <c r="N573" s="76"/>
      <c r="O573" s="76"/>
      <c r="P573" s="76"/>
      <c r="Q573" s="76"/>
      <c r="R573" s="76"/>
      <c r="U573" s="26" t="s">
        <v>3650</v>
      </c>
      <c r="Z573" s="70"/>
      <c r="AA573" s="70"/>
      <c r="AB573" s="70"/>
      <c r="AC573" s="70"/>
    </row>
    <row r="574" spans="1:31" s="26" customFormat="1" x14ac:dyDescent="0.3">
      <c r="A574" s="25" t="s">
        <v>4560</v>
      </c>
      <c r="B574" s="25"/>
      <c r="C574" s="26" t="s">
        <v>3005</v>
      </c>
      <c r="D574" s="70"/>
      <c r="G574" s="70" t="s">
        <v>564</v>
      </c>
      <c r="H574" s="26">
        <v>-1</v>
      </c>
      <c r="I574" s="70" t="s">
        <v>4561</v>
      </c>
      <c r="J574" s="26" t="s">
        <v>4562</v>
      </c>
      <c r="K574" s="26" t="s">
        <v>4563</v>
      </c>
      <c r="M574" s="76"/>
      <c r="N574" s="76"/>
      <c r="O574" s="76"/>
      <c r="P574" s="76"/>
      <c r="Q574" s="76"/>
      <c r="R574" s="76"/>
      <c r="U574" s="26" t="s">
        <v>4564</v>
      </c>
      <c r="Z574" s="70"/>
      <c r="AA574" s="70"/>
      <c r="AB574" s="70"/>
      <c r="AC574" s="70"/>
    </row>
    <row r="575" spans="1:31" s="26" customFormat="1" x14ac:dyDescent="0.3">
      <c r="A575" s="25" t="s">
        <v>4565</v>
      </c>
      <c r="B575" s="25"/>
      <c r="C575" s="26" t="s">
        <v>3005</v>
      </c>
      <c r="D575" s="70"/>
      <c r="G575" s="70" t="s">
        <v>564</v>
      </c>
      <c r="H575" s="26">
        <v>-1</v>
      </c>
      <c r="I575" s="70" t="s">
        <v>4566</v>
      </c>
      <c r="J575" s="26" t="s">
        <v>3016</v>
      </c>
      <c r="K575" s="26" t="s">
        <v>4567</v>
      </c>
      <c r="M575" s="76"/>
      <c r="N575" s="76"/>
      <c r="O575" s="76"/>
      <c r="P575" s="76"/>
      <c r="Q575" s="76"/>
      <c r="R575" s="76"/>
      <c r="U575" s="26" t="s">
        <v>4568</v>
      </c>
      <c r="Z575" s="70"/>
      <c r="AA575" s="70"/>
      <c r="AB575" s="70"/>
      <c r="AC575" s="70"/>
    </row>
    <row r="576" spans="1:31" s="26" customFormat="1" x14ac:dyDescent="0.3">
      <c r="A576" s="25" t="s">
        <v>4569</v>
      </c>
      <c r="B576" s="25"/>
      <c r="C576" s="26" t="s">
        <v>3005</v>
      </c>
      <c r="D576" s="70"/>
      <c r="G576" s="70" t="s">
        <v>564</v>
      </c>
      <c r="H576" s="26">
        <v>-1</v>
      </c>
      <c r="I576" s="70" t="s">
        <v>4570</v>
      </c>
      <c r="J576" s="26" t="s">
        <v>4571</v>
      </c>
      <c r="K576" s="26" t="s">
        <v>4572</v>
      </c>
      <c r="M576" s="76"/>
      <c r="N576" s="76"/>
      <c r="O576" s="76"/>
      <c r="P576" s="76"/>
      <c r="Q576" s="76"/>
      <c r="R576" s="76"/>
      <c r="U576" s="26" t="s">
        <v>4573</v>
      </c>
      <c r="Z576" s="70"/>
      <c r="AA576" s="70"/>
      <c r="AB576" s="70"/>
      <c r="AC576" s="70"/>
    </row>
    <row r="577" spans="1:30" s="26" customFormat="1" x14ac:dyDescent="0.3">
      <c r="A577" s="25" t="s">
        <v>4574</v>
      </c>
      <c r="B577" s="25"/>
      <c r="C577" s="26" t="s">
        <v>3005</v>
      </c>
      <c r="D577" s="70"/>
      <c r="G577" s="70" t="s">
        <v>564</v>
      </c>
      <c r="H577" s="26">
        <v>-1</v>
      </c>
      <c r="I577" s="70" t="s">
        <v>4575</v>
      </c>
      <c r="J577" s="26" t="s">
        <v>4576</v>
      </c>
      <c r="K577" s="26" t="s">
        <v>4577</v>
      </c>
      <c r="L577" s="26" t="s">
        <v>10199</v>
      </c>
      <c r="M577" s="76"/>
      <c r="N577" s="76"/>
      <c r="O577" s="76"/>
      <c r="P577" s="76"/>
      <c r="Q577" s="76"/>
      <c r="R577" s="76"/>
      <c r="U577" s="26" t="s">
        <v>4578</v>
      </c>
      <c r="Z577" s="70"/>
      <c r="AA577" s="70"/>
      <c r="AB577" s="70"/>
      <c r="AC577" s="70"/>
    </row>
    <row r="578" spans="1:30" s="26" customFormat="1" x14ac:dyDescent="0.3">
      <c r="A578" s="25" t="s">
        <v>4579</v>
      </c>
      <c r="B578" s="25"/>
      <c r="C578" s="26" t="s">
        <v>3005</v>
      </c>
      <c r="D578" s="70"/>
      <c r="G578" s="70" t="s">
        <v>564</v>
      </c>
      <c r="H578" s="26">
        <v>-1</v>
      </c>
      <c r="I578" s="70" t="s">
        <v>4580</v>
      </c>
      <c r="J578" s="26" t="s">
        <v>4581</v>
      </c>
      <c r="K578" s="26" t="s">
        <v>4582</v>
      </c>
      <c r="L578" s="26" t="s">
        <v>10200</v>
      </c>
      <c r="M578" s="76"/>
      <c r="N578" s="76"/>
      <c r="O578" s="76"/>
      <c r="P578" s="76"/>
      <c r="Q578" s="76"/>
      <c r="R578" s="76"/>
      <c r="U578" s="26" t="s">
        <v>4583</v>
      </c>
      <c r="Z578" s="70"/>
      <c r="AA578" s="70"/>
      <c r="AB578" s="70"/>
      <c r="AC578" s="70"/>
    </row>
    <row r="579" spans="1:30" s="26" customFormat="1" x14ac:dyDescent="0.3">
      <c r="A579" s="25" t="s">
        <v>4584</v>
      </c>
      <c r="B579" s="25"/>
      <c r="C579" s="26" t="s">
        <v>3005</v>
      </c>
      <c r="D579" s="70"/>
      <c r="G579" s="70" t="s">
        <v>564</v>
      </c>
      <c r="H579" s="26">
        <v>-1</v>
      </c>
      <c r="I579" s="70" t="s">
        <v>4585</v>
      </c>
      <c r="J579" s="26" t="s">
        <v>4586</v>
      </c>
      <c r="K579" s="26" t="s">
        <v>4587</v>
      </c>
      <c r="L579" s="26" t="s">
        <v>10201</v>
      </c>
      <c r="M579" s="76"/>
      <c r="N579" s="76"/>
      <c r="O579" s="76"/>
      <c r="P579" s="76"/>
      <c r="Q579" s="76"/>
      <c r="R579" s="76"/>
      <c r="U579" s="26" t="s">
        <v>4583</v>
      </c>
      <c r="Z579" s="70"/>
      <c r="AA579" s="70"/>
      <c r="AB579" s="70"/>
      <c r="AC579" s="70"/>
    </row>
    <row r="580" spans="1:30" s="26" customFormat="1" x14ac:dyDescent="0.3">
      <c r="A580" s="25" t="s">
        <v>4588</v>
      </c>
      <c r="B580" s="25"/>
      <c r="C580" s="26" t="s">
        <v>3005</v>
      </c>
      <c r="D580" s="70"/>
      <c r="G580" s="70" t="s">
        <v>564</v>
      </c>
      <c r="H580" s="26">
        <v>-1</v>
      </c>
      <c r="I580" s="70" t="s">
        <v>4589</v>
      </c>
      <c r="J580" s="26" t="s">
        <v>4590</v>
      </c>
      <c r="K580" s="26" t="s">
        <v>4591</v>
      </c>
      <c r="L580" s="26" t="s">
        <v>10202</v>
      </c>
      <c r="M580" s="76"/>
      <c r="N580" s="76"/>
      <c r="O580" s="76"/>
      <c r="P580" s="76"/>
      <c r="Q580" s="76"/>
      <c r="R580" s="76"/>
      <c r="U580" s="26" t="s">
        <v>3045</v>
      </c>
      <c r="Z580" s="70"/>
      <c r="AA580" s="70"/>
      <c r="AB580" s="70"/>
      <c r="AC580" s="70"/>
    </row>
    <row r="581" spans="1:30" s="26" customFormat="1" x14ac:dyDescent="0.3">
      <c r="A581" s="25" t="s">
        <v>4592</v>
      </c>
      <c r="B581" s="25"/>
      <c r="C581" s="26" t="s">
        <v>3005</v>
      </c>
      <c r="D581" s="70"/>
      <c r="G581" s="70" t="s">
        <v>564</v>
      </c>
      <c r="H581" s="26">
        <v>-1</v>
      </c>
      <c r="I581" s="70" t="s">
        <v>4593</v>
      </c>
      <c r="J581" s="26" t="s">
        <v>4594</v>
      </c>
      <c r="K581" s="26" t="s">
        <v>4595</v>
      </c>
      <c r="L581" s="26" t="s">
        <v>10203</v>
      </c>
      <c r="M581" s="76"/>
      <c r="N581" s="76"/>
      <c r="O581" s="76"/>
      <c r="P581" s="76"/>
      <c r="Q581" s="76"/>
      <c r="R581" s="76"/>
      <c r="U581" s="26" t="s">
        <v>4596</v>
      </c>
      <c r="Z581" s="70"/>
      <c r="AA581" s="70"/>
      <c r="AB581" s="70"/>
      <c r="AC581" s="70"/>
    </row>
    <row r="582" spans="1:30" s="26" customFormat="1" x14ac:dyDescent="0.3">
      <c r="A582" s="25" t="s">
        <v>4597</v>
      </c>
      <c r="B582" s="25"/>
      <c r="C582" s="26" t="s">
        <v>3005</v>
      </c>
      <c r="D582" s="70"/>
      <c r="G582" s="70" t="s">
        <v>564</v>
      </c>
      <c r="H582" s="26">
        <v>-1</v>
      </c>
      <c r="I582" s="70" t="s">
        <v>4598</v>
      </c>
      <c r="J582" s="26" t="s">
        <v>4590</v>
      </c>
      <c r="K582" s="26" t="s">
        <v>4599</v>
      </c>
      <c r="M582" s="76"/>
      <c r="N582" s="76"/>
      <c r="O582" s="76"/>
      <c r="P582" s="76"/>
      <c r="Q582" s="76"/>
      <c r="R582" s="76"/>
      <c r="U582" s="26" t="s">
        <v>4600</v>
      </c>
      <c r="Z582" s="70"/>
      <c r="AA582" s="70"/>
      <c r="AB582" s="70"/>
      <c r="AC582" s="70"/>
    </row>
    <row r="583" spans="1:30" s="24" customFormat="1" x14ac:dyDescent="0.3">
      <c r="A583" s="23">
        <v>177</v>
      </c>
      <c r="B583" s="23">
        <v>173</v>
      </c>
      <c r="C583" s="24" t="s">
        <v>2165</v>
      </c>
      <c r="D583" s="69" t="s">
        <v>514</v>
      </c>
      <c r="E583" s="24" t="s">
        <v>513</v>
      </c>
      <c r="F583" s="24" t="s">
        <v>565</v>
      </c>
      <c r="G583" s="69" t="s">
        <v>566</v>
      </c>
      <c r="I583" s="69"/>
      <c r="J583" s="24" t="s">
        <v>4547</v>
      </c>
      <c r="K583" s="24" t="s">
        <v>554</v>
      </c>
      <c r="L583" s="24" t="s">
        <v>9737</v>
      </c>
      <c r="M583" s="75" t="s">
        <v>19</v>
      </c>
      <c r="N583" s="75"/>
      <c r="O583" s="75"/>
      <c r="P583" s="75"/>
      <c r="Q583" s="75"/>
      <c r="R583" s="75" t="s">
        <v>2166</v>
      </c>
      <c r="U583" s="24" t="s">
        <v>2366</v>
      </c>
      <c r="Z583" s="69"/>
      <c r="AA583" s="69"/>
      <c r="AB583" s="69"/>
      <c r="AC583" s="69"/>
    </row>
    <row r="584" spans="1:30" s="24" customFormat="1" x14ac:dyDescent="0.3">
      <c r="A584" s="23">
        <v>178</v>
      </c>
      <c r="B584" s="23">
        <v>174</v>
      </c>
      <c r="C584" s="24" t="s">
        <v>2165</v>
      </c>
      <c r="D584" s="69" t="s">
        <v>514</v>
      </c>
      <c r="E584" s="24" t="s">
        <v>513</v>
      </c>
      <c r="F584" s="24" t="s">
        <v>567</v>
      </c>
      <c r="G584" s="69" t="s">
        <v>568</v>
      </c>
      <c r="I584" s="69"/>
      <c r="J584" s="24" t="s">
        <v>4173</v>
      </c>
      <c r="K584" s="24" t="s">
        <v>569</v>
      </c>
      <c r="L584" s="24" t="s">
        <v>9738</v>
      </c>
      <c r="M584" s="75" t="s">
        <v>19</v>
      </c>
      <c r="N584" s="75"/>
      <c r="O584" s="75"/>
      <c r="P584" s="75"/>
      <c r="Q584" s="75"/>
      <c r="R584" s="75" t="s">
        <v>2166</v>
      </c>
      <c r="U584" s="24" t="s">
        <v>2367</v>
      </c>
      <c r="V584" s="24" t="s">
        <v>2171</v>
      </c>
      <c r="Z584" s="69"/>
      <c r="AA584" s="69"/>
      <c r="AB584" s="69"/>
      <c r="AC584" s="69"/>
      <c r="AD584" s="24" t="s">
        <v>570</v>
      </c>
    </row>
    <row r="585" spans="1:30" s="24" customFormat="1" x14ac:dyDescent="0.3">
      <c r="A585" s="23">
        <v>179</v>
      </c>
      <c r="B585" s="23">
        <v>175</v>
      </c>
      <c r="C585" s="24" t="s">
        <v>2165</v>
      </c>
      <c r="D585" s="69" t="s">
        <v>514</v>
      </c>
      <c r="E585" s="24" t="s">
        <v>513</v>
      </c>
      <c r="F585" s="24" t="s">
        <v>571</v>
      </c>
      <c r="G585" s="69" t="s">
        <v>572</v>
      </c>
      <c r="I585" s="69"/>
      <c r="J585" s="24" t="s">
        <v>4601</v>
      </c>
      <c r="K585" s="24" t="s">
        <v>573</v>
      </c>
      <c r="L585" s="24" t="s">
        <v>9739</v>
      </c>
      <c r="M585" s="75" t="s">
        <v>50</v>
      </c>
      <c r="N585" s="75"/>
      <c r="O585" s="75" t="s">
        <v>58</v>
      </c>
      <c r="P585" s="75" t="s">
        <v>58</v>
      </c>
      <c r="Q585" s="75" t="s">
        <v>66</v>
      </c>
      <c r="R585" s="75"/>
      <c r="U585" s="24" t="s">
        <v>2336</v>
      </c>
      <c r="Z585" s="69"/>
      <c r="AA585" s="69"/>
      <c r="AB585" s="69"/>
      <c r="AC585" s="69"/>
    </row>
    <row r="586" spans="1:30" s="24" customFormat="1" x14ac:dyDescent="0.3">
      <c r="A586" s="23">
        <v>180</v>
      </c>
      <c r="B586" s="23">
        <v>176</v>
      </c>
      <c r="C586" s="24" t="s">
        <v>2165</v>
      </c>
      <c r="D586" s="69" t="s">
        <v>514</v>
      </c>
      <c r="E586" s="24" t="s">
        <v>513</v>
      </c>
      <c r="F586" s="24" t="s">
        <v>574</v>
      </c>
      <c r="G586" s="69" t="s">
        <v>575</v>
      </c>
      <c r="I586" s="69"/>
      <c r="J586" s="24" t="s">
        <v>4602</v>
      </c>
      <c r="K586" s="24" t="s">
        <v>576</v>
      </c>
      <c r="L586" s="24" t="s">
        <v>9740</v>
      </c>
      <c r="M586" s="75" t="s">
        <v>19</v>
      </c>
      <c r="N586" s="75"/>
      <c r="O586" s="75"/>
      <c r="P586" s="75"/>
      <c r="Q586" s="75"/>
      <c r="R586" s="75" t="s">
        <v>2166</v>
      </c>
      <c r="U586" s="24" t="s">
        <v>2368</v>
      </c>
      <c r="V586" s="24" t="s">
        <v>2171</v>
      </c>
      <c r="Z586" s="69"/>
      <c r="AA586" s="69"/>
      <c r="AB586" s="69"/>
      <c r="AC586" s="69"/>
      <c r="AD586" s="24" t="s">
        <v>11323</v>
      </c>
    </row>
    <row r="587" spans="1:30" s="24" customFormat="1" x14ac:dyDescent="0.3">
      <c r="A587" s="23">
        <v>181</v>
      </c>
      <c r="B587" s="23">
        <v>177</v>
      </c>
      <c r="C587" s="24" t="s">
        <v>2165</v>
      </c>
      <c r="D587" s="69" t="s">
        <v>514</v>
      </c>
      <c r="E587" s="24" t="s">
        <v>513</v>
      </c>
      <c r="F587" s="24" t="s">
        <v>577</v>
      </c>
      <c r="G587" s="69" t="s">
        <v>578</v>
      </c>
      <c r="I587" s="69"/>
      <c r="J587" s="24" t="s">
        <v>4603</v>
      </c>
      <c r="K587" s="24" t="s">
        <v>68</v>
      </c>
      <c r="L587" s="24" t="s">
        <v>9741</v>
      </c>
      <c r="M587" s="75" t="s">
        <v>65</v>
      </c>
      <c r="N587" s="75" t="s">
        <v>2015</v>
      </c>
      <c r="O587" s="75"/>
      <c r="P587" s="75"/>
      <c r="Q587" s="75"/>
      <c r="R587" s="75"/>
      <c r="Z587" s="69"/>
      <c r="AA587" s="69"/>
      <c r="AB587" s="69"/>
      <c r="AC587" s="69"/>
      <c r="AD587" s="24" t="s">
        <v>11324</v>
      </c>
    </row>
    <row r="588" spans="1:30" s="24" customFormat="1" x14ac:dyDescent="0.3">
      <c r="A588" s="23">
        <v>182</v>
      </c>
      <c r="B588" s="23">
        <v>178</v>
      </c>
      <c r="C588" s="24" t="s">
        <v>2165</v>
      </c>
      <c r="D588" s="69" t="s">
        <v>514</v>
      </c>
      <c r="E588" s="24" t="s">
        <v>513</v>
      </c>
      <c r="F588" s="24" t="s">
        <v>579</v>
      </c>
      <c r="G588" s="69" t="s">
        <v>580</v>
      </c>
      <c r="I588" s="69"/>
      <c r="J588" s="24" t="s">
        <v>4604</v>
      </c>
      <c r="K588" s="24" t="s">
        <v>581</v>
      </c>
      <c r="L588" s="24" t="s">
        <v>9742</v>
      </c>
      <c r="M588" s="75" t="s">
        <v>19</v>
      </c>
      <c r="N588" s="75"/>
      <c r="O588" s="75"/>
      <c r="P588" s="75"/>
      <c r="Q588" s="75"/>
      <c r="R588" s="75" t="s">
        <v>2166</v>
      </c>
      <c r="U588" s="24" t="s">
        <v>2369</v>
      </c>
      <c r="Z588" s="69"/>
      <c r="AA588" s="69"/>
      <c r="AB588" s="69"/>
      <c r="AC588" s="69"/>
    </row>
    <row r="589" spans="1:30" s="24" customFormat="1" x14ac:dyDescent="0.3">
      <c r="A589" s="23">
        <v>183</v>
      </c>
      <c r="B589" s="23">
        <v>179</v>
      </c>
      <c r="C589" s="24" t="s">
        <v>2165</v>
      </c>
      <c r="D589" s="69" t="s">
        <v>514</v>
      </c>
      <c r="E589" s="24" t="s">
        <v>513</v>
      </c>
      <c r="F589" s="24" t="s">
        <v>582</v>
      </c>
      <c r="G589" s="69" t="s">
        <v>583</v>
      </c>
      <c r="I589" s="69"/>
      <c r="J589" s="24" t="s">
        <v>3949</v>
      </c>
      <c r="K589" s="24" t="s">
        <v>584</v>
      </c>
      <c r="L589" s="24" t="s">
        <v>9743</v>
      </c>
      <c r="M589" s="75" t="s">
        <v>19</v>
      </c>
      <c r="N589" s="75"/>
      <c r="O589" s="75"/>
      <c r="P589" s="75"/>
      <c r="Q589" s="75"/>
      <c r="R589" s="75" t="s">
        <v>2166</v>
      </c>
      <c r="U589" s="24" t="s">
        <v>2370</v>
      </c>
      <c r="V589" s="24" t="s">
        <v>2171</v>
      </c>
      <c r="Z589" s="69"/>
      <c r="AA589" s="69"/>
      <c r="AB589" s="69"/>
      <c r="AC589" s="69"/>
      <c r="AD589" s="24" t="s">
        <v>11325</v>
      </c>
    </row>
    <row r="590" spans="1:30" s="24" customFormat="1" x14ac:dyDescent="0.3">
      <c r="A590" s="23">
        <v>184</v>
      </c>
      <c r="B590" s="23">
        <v>180</v>
      </c>
      <c r="C590" s="24" t="s">
        <v>2165</v>
      </c>
      <c r="D590" s="69" t="s">
        <v>514</v>
      </c>
      <c r="E590" s="24" t="s">
        <v>513</v>
      </c>
      <c r="F590" s="24" t="s">
        <v>585</v>
      </c>
      <c r="G590" s="69" t="s">
        <v>586</v>
      </c>
      <c r="I590" s="69"/>
      <c r="J590" s="24" t="s">
        <v>4605</v>
      </c>
      <c r="K590" s="24" t="s">
        <v>587</v>
      </c>
      <c r="L590" s="24" t="s">
        <v>9744</v>
      </c>
      <c r="M590" s="75" t="s">
        <v>50</v>
      </c>
      <c r="N590" s="75"/>
      <c r="O590" s="75"/>
      <c r="P590" s="75"/>
      <c r="Q590" s="75"/>
      <c r="R590" s="75" t="s">
        <v>2166</v>
      </c>
      <c r="U590" s="24" t="s">
        <v>2293</v>
      </c>
      <c r="V590" s="24" t="s">
        <v>2371</v>
      </c>
      <c r="Y590" s="24" t="s">
        <v>2371</v>
      </c>
      <c r="Z590" s="69"/>
      <c r="AA590" s="69"/>
      <c r="AB590" s="69"/>
      <c r="AC590" s="69"/>
    </row>
    <row r="591" spans="1:30" s="24" customFormat="1" x14ac:dyDescent="0.3">
      <c r="A591" s="23">
        <v>185</v>
      </c>
      <c r="B591" s="23">
        <v>181</v>
      </c>
      <c r="C591" s="24" t="s">
        <v>2165</v>
      </c>
      <c r="D591" s="69" t="s">
        <v>514</v>
      </c>
      <c r="E591" s="24" t="s">
        <v>513</v>
      </c>
      <c r="F591" s="24" t="s">
        <v>588</v>
      </c>
      <c r="G591" s="69" t="s">
        <v>589</v>
      </c>
      <c r="I591" s="69"/>
      <c r="J591" s="24" t="s">
        <v>4606</v>
      </c>
      <c r="K591" s="24" t="s">
        <v>590</v>
      </c>
      <c r="L591" s="24" t="s">
        <v>9745</v>
      </c>
      <c r="M591" s="75" t="s">
        <v>50</v>
      </c>
      <c r="N591" s="75"/>
      <c r="O591" s="75"/>
      <c r="P591" s="75"/>
      <c r="Q591" s="75"/>
      <c r="R591" s="75" t="s">
        <v>2166</v>
      </c>
      <c r="U591" s="24" t="s">
        <v>2336</v>
      </c>
      <c r="Z591" s="69"/>
      <c r="AA591" s="69"/>
      <c r="AB591" s="69"/>
      <c r="AC591" s="69"/>
    </row>
    <row r="592" spans="1:30" s="24" customFormat="1" x14ac:dyDescent="0.3">
      <c r="A592" s="23">
        <v>186</v>
      </c>
      <c r="B592" s="23">
        <v>182</v>
      </c>
      <c r="C592" s="24" t="s">
        <v>2165</v>
      </c>
      <c r="D592" s="69" t="s">
        <v>514</v>
      </c>
      <c r="E592" s="24" t="s">
        <v>513</v>
      </c>
      <c r="F592" s="24" t="s">
        <v>591</v>
      </c>
      <c r="G592" s="69" t="s">
        <v>592</v>
      </c>
      <c r="I592" s="69"/>
      <c r="J592" s="24" t="s">
        <v>3016</v>
      </c>
      <c r="K592" s="24" t="s">
        <v>92</v>
      </c>
      <c r="M592" s="75" t="s">
        <v>50</v>
      </c>
      <c r="N592" s="75"/>
      <c r="O592" s="75"/>
      <c r="P592" s="75"/>
      <c r="Q592" s="75"/>
      <c r="R592" s="75"/>
      <c r="U592" s="24" t="s">
        <v>2372</v>
      </c>
      <c r="Z592" s="69"/>
      <c r="AA592" s="69"/>
      <c r="AB592" s="69"/>
      <c r="AC592" s="69"/>
    </row>
    <row r="593" spans="1:31" s="26" customFormat="1" x14ac:dyDescent="0.3">
      <c r="A593" s="25" t="s">
        <v>4607</v>
      </c>
      <c r="B593" s="25"/>
      <c r="C593" s="26" t="s">
        <v>3005</v>
      </c>
      <c r="D593" s="70"/>
      <c r="G593" s="70" t="s">
        <v>592</v>
      </c>
      <c r="H593" s="26">
        <v>-1</v>
      </c>
      <c r="I593" s="70" t="s">
        <v>4608</v>
      </c>
      <c r="J593" s="26" t="s">
        <v>4180</v>
      </c>
      <c r="K593" s="26" t="s">
        <v>4609</v>
      </c>
      <c r="L593" s="26" t="s">
        <v>10204</v>
      </c>
      <c r="M593" s="76"/>
      <c r="N593" s="76"/>
      <c r="O593" s="76"/>
      <c r="P593" s="76"/>
      <c r="Q593" s="76"/>
      <c r="R593" s="76"/>
      <c r="U593" s="26" t="s">
        <v>4610</v>
      </c>
      <c r="Z593" s="70"/>
      <c r="AA593" s="70"/>
      <c r="AB593" s="70"/>
      <c r="AC593" s="70"/>
    </row>
    <row r="594" spans="1:31" s="26" customFormat="1" x14ac:dyDescent="0.3">
      <c r="A594" s="25" t="s">
        <v>4611</v>
      </c>
      <c r="B594" s="25"/>
      <c r="C594" s="26" t="s">
        <v>3005</v>
      </c>
      <c r="D594" s="70"/>
      <c r="G594" s="70" t="s">
        <v>592</v>
      </c>
      <c r="H594" s="26">
        <v>-1</v>
      </c>
      <c r="I594" s="70" t="s">
        <v>4612</v>
      </c>
      <c r="J594" s="26" t="s">
        <v>3016</v>
      </c>
      <c r="K594" s="26" t="s">
        <v>4613</v>
      </c>
      <c r="L594" s="26" t="s">
        <v>10205</v>
      </c>
      <c r="M594" s="76"/>
      <c r="N594" s="76"/>
      <c r="O594" s="76"/>
      <c r="P594" s="76"/>
      <c r="Q594" s="76"/>
      <c r="R594" s="76"/>
      <c r="U594" s="26" t="s">
        <v>4614</v>
      </c>
      <c r="Z594" s="70"/>
      <c r="AA594" s="70"/>
      <c r="AB594" s="70"/>
      <c r="AC594" s="70"/>
    </row>
    <row r="595" spans="1:31" s="24" customFormat="1" x14ac:dyDescent="0.3">
      <c r="A595" s="23">
        <v>187</v>
      </c>
      <c r="B595" s="23">
        <v>183</v>
      </c>
      <c r="C595" s="24" t="s">
        <v>2165</v>
      </c>
      <c r="D595" s="69" t="s">
        <v>514</v>
      </c>
      <c r="E595" s="24" t="s">
        <v>513</v>
      </c>
      <c r="F595" s="24" t="s">
        <v>593</v>
      </c>
      <c r="G595" s="69" t="s">
        <v>594</v>
      </c>
      <c r="I595" s="69"/>
      <c r="J595" s="24" t="s">
        <v>4615</v>
      </c>
      <c r="K595" s="24" t="s">
        <v>595</v>
      </c>
      <c r="L595" s="24" t="s">
        <v>9746</v>
      </c>
      <c r="M595" s="75" t="s">
        <v>50</v>
      </c>
      <c r="N595" s="75"/>
      <c r="O595" s="75"/>
      <c r="P595" s="75"/>
      <c r="Q595" s="75"/>
      <c r="R595" s="75"/>
      <c r="U595" s="24" t="s">
        <v>2361</v>
      </c>
      <c r="Z595" s="69"/>
      <c r="AA595" s="69"/>
      <c r="AB595" s="69"/>
      <c r="AC595" s="69"/>
    </row>
    <row r="596" spans="1:31" s="24" customFormat="1" x14ac:dyDescent="0.3">
      <c r="A596" s="23">
        <v>188</v>
      </c>
      <c r="B596" s="23">
        <v>184</v>
      </c>
      <c r="C596" s="24" t="s">
        <v>2165</v>
      </c>
      <c r="D596" s="69" t="s">
        <v>514</v>
      </c>
      <c r="E596" s="24" t="s">
        <v>513</v>
      </c>
      <c r="F596" s="24" t="s">
        <v>596</v>
      </c>
      <c r="G596" s="69" t="s">
        <v>597</v>
      </c>
      <c r="I596" s="69"/>
      <c r="J596" s="24" t="s">
        <v>3016</v>
      </c>
      <c r="K596" s="24" t="s">
        <v>598</v>
      </c>
      <c r="L596" s="24" t="s">
        <v>9747</v>
      </c>
      <c r="M596" s="75" t="s">
        <v>50</v>
      </c>
      <c r="N596" s="75"/>
      <c r="O596" s="75"/>
      <c r="P596" s="75"/>
      <c r="Q596" s="75"/>
      <c r="R596" s="75"/>
      <c r="U596" s="24" t="s">
        <v>2373</v>
      </c>
      <c r="Z596" s="69"/>
      <c r="AA596" s="69"/>
      <c r="AB596" s="69"/>
      <c r="AC596" s="69"/>
    </row>
    <row r="597" spans="1:31" s="24" customFormat="1" x14ac:dyDescent="0.3">
      <c r="A597" s="23">
        <v>189</v>
      </c>
      <c r="B597" s="23">
        <v>185</v>
      </c>
      <c r="C597" s="24" t="s">
        <v>2165</v>
      </c>
      <c r="D597" s="69" t="s">
        <v>514</v>
      </c>
      <c r="E597" s="24" t="s">
        <v>513</v>
      </c>
      <c r="F597" s="24" t="s">
        <v>599</v>
      </c>
      <c r="G597" s="69" t="s">
        <v>600</v>
      </c>
      <c r="I597" s="69"/>
      <c r="J597" s="24" t="s">
        <v>3016</v>
      </c>
      <c r="K597" s="24" t="s">
        <v>598</v>
      </c>
      <c r="L597" s="24" t="s">
        <v>9747</v>
      </c>
      <c r="M597" s="75" t="s">
        <v>19</v>
      </c>
      <c r="N597" s="75"/>
      <c r="O597" s="75"/>
      <c r="P597" s="75"/>
      <c r="Q597" s="75"/>
      <c r="R597" s="75" t="s">
        <v>2166</v>
      </c>
      <c r="U597" s="24" t="s">
        <v>2374</v>
      </c>
      <c r="Z597" s="69"/>
      <c r="AA597" s="69"/>
      <c r="AB597" s="69"/>
      <c r="AC597" s="69" t="s">
        <v>11374</v>
      </c>
    </row>
    <row r="598" spans="1:31" s="24" customFormat="1" x14ac:dyDescent="0.3">
      <c r="A598" s="23">
        <v>190</v>
      </c>
      <c r="B598" s="23">
        <v>186</v>
      </c>
      <c r="C598" s="24" t="s">
        <v>2165</v>
      </c>
      <c r="D598" s="69" t="s">
        <v>514</v>
      </c>
      <c r="E598" s="24" t="s">
        <v>513</v>
      </c>
      <c r="F598" s="24" t="s">
        <v>601</v>
      </c>
      <c r="G598" s="69" t="s">
        <v>602</v>
      </c>
      <c r="I598" s="69"/>
      <c r="J598" s="24" t="s">
        <v>3016</v>
      </c>
      <c r="K598" s="24" t="s">
        <v>92</v>
      </c>
      <c r="L598" s="24" t="s">
        <v>9748</v>
      </c>
      <c r="M598" s="75" t="s">
        <v>50</v>
      </c>
      <c r="N598" s="75"/>
      <c r="O598" s="75"/>
      <c r="P598" s="75"/>
      <c r="Q598" s="75"/>
      <c r="R598" s="75"/>
      <c r="U598" s="24" t="s">
        <v>2361</v>
      </c>
      <c r="Z598" s="69"/>
      <c r="AA598" s="69"/>
      <c r="AB598" s="69"/>
      <c r="AC598" s="69"/>
    </row>
    <row r="599" spans="1:31" s="24" customFormat="1" x14ac:dyDescent="0.3">
      <c r="A599" s="23">
        <v>191</v>
      </c>
      <c r="B599" s="23">
        <v>187</v>
      </c>
      <c r="C599" s="24" t="s">
        <v>2165</v>
      </c>
      <c r="D599" s="69" t="s">
        <v>514</v>
      </c>
      <c r="E599" s="24" t="s">
        <v>513</v>
      </c>
      <c r="F599" s="24" t="s">
        <v>603</v>
      </c>
      <c r="G599" s="69" t="s">
        <v>604</v>
      </c>
      <c r="I599" s="69"/>
      <c r="J599" s="24" t="s">
        <v>3110</v>
      </c>
      <c r="K599" s="24" t="s">
        <v>605</v>
      </c>
      <c r="L599" s="24" t="s">
        <v>9749</v>
      </c>
      <c r="M599" s="75" t="s">
        <v>50</v>
      </c>
      <c r="N599" s="75"/>
      <c r="O599" s="75"/>
      <c r="P599" s="75"/>
      <c r="Q599" s="75"/>
      <c r="R599" s="75"/>
      <c r="U599" s="24" t="s">
        <v>2375</v>
      </c>
      <c r="Z599" s="69"/>
      <c r="AA599" s="69"/>
      <c r="AB599" s="69"/>
      <c r="AC599" s="69"/>
    </row>
    <row r="600" spans="1:31" s="24" customFormat="1" x14ac:dyDescent="0.3">
      <c r="A600" s="23">
        <v>192</v>
      </c>
      <c r="B600" s="23">
        <v>188</v>
      </c>
      <c r="C600" s="24" t="s">
        <v>2165</v>
      </c>
      <c r="D600" s="69" t="s">
        <v>514</v>
      </c>
      <c r="E600" s="24" t="s">
        <v>513</v>
      </c>
      <c r="F600" s="24" t="s">
        <v>606</v>
      </c>
      <c r="G600" s="69" t="s">
        <v>607</v>
      </c>
      <c r="I600" s="69"/>
      <c r="J600" s="24" t="s">
        <v>4576</v>
      </c>
      <c r="K600" s="24" t="s">
        <v>522</v>
      </c>
      <c r="L600" s="24" t="s">
        <v>9750</v>
      </c>
      <c r="M600" s="75" t="s">
        <v>50</v>
      </c>
      <c r="N600" s="75"/>
      <c r="O600" s="75" t="s">
        <v>58</v>
      </c>
      <c r="P600" s="75" t="s">
        <v>58</v>
      </c>
      <c r="Q600" s="75"/>
      <c r="R600" s="75"/>
      <c r="T600" s="24" t="s">
        <v>2376</v>
      </c>
      <c r="U600" s="24" t="s">
        <v>2377</v>
      </c>
      <c r="W600" s="24" t="s">
        <v>2378</v>
      </c>
      <c r="Z600" s="69"/>
      <c r="AA600" s="69"/>
      <c r="AB600" s="69"/>
      <c r="AC600" s="69"/>
      <c r="AD600" s="24" t="s">
        <v>123</v>
      </c>
      <c r="AE600" s="24" t="s">
        <v>2379</v>
      </c>
    </row>
    <row r="601" spans="1:31" s="24" customFormat="1" x14ac:dyDescent="0.3">
      <c r="A601" s="23">
        <v>193</v>
      </c>
      <c r="B601" s="23">
        <v>189</v>
      </c>
      <c r="C601" s="24" t="s">
        <v>2165</v>
      </c>
      <c r="D601" s="69" t="s">
        <v>514</v>
      </c>
      <c r="E601" s="24" t="s">
        <v>513</v>
      </c>
      <c r="F601" s="24" t="s">
        <v>608</v>
      </c>
      <c r="G601" s="69" t="s">
        <v>609</v>
      </c>
      <c r="I601" s="69"/>
      <c r="J601" s="24" t="s">
        <v>3016</v>
      </c>
      <c r="K601" s="24" t="s">
        <v>610</v>
      </c>
      <c r="M601" s="75" t="s">
        <v>50</v>
      </c>
      <c r="N601" s="75"/>
      <c r="O601" s="75"/>
      <c r="P601" s="75"/>
      <c r="Q601" s="75"/>
      <c r="R601" s="75"/>
      <c r="U601" s="24" t="s">
        <v>2375</v>
      </c>
      <c r="Z601" s="69"/>
      <c r="AA601" s="69"/>
      <c r="AB601" s="69"/>
      <c r="AC601" s="69"/>
    </row>
    <row r="602" spans="1:31" s="26" customFormat="1" x14ac:dyDescent="0.3">
      <c r="A602" s="25" t="s">
        <v>4616</v>
      </c>
      <c r="B602" s="25"/>
      <c r="C602" s="26" t="s">
        <v>3005</v>
      </c>
      <c r="D602" s="70"/>
      <c r="G602" s="70" t="s">
        <v>609</v>
      </c>
      <c r="H602" s="26">
        <v>-1</v>
      </c>
      <c r="I602" s="70" t="s">
        <v>4617</v>
      </c>
      <c r="J602" s="26" t="s">
        <v>4618</v>
      </c>
      <c r="K602" s="26" t="s">
        <v>4619</v>
      </c>
      <c r="L602" s="26" t="s">
        <v>10206</v>
      </c>
      <c r="M602" s="76"/>
      <c r="N602" s="76"/>
      <c r="O602" s="76"/>
      <c r="P602" s="76"/>
      <c r="Q602" s="76"/>
      <c r="R602" s="76"/>
      <c r="U602" s="26" t="s">
        <v>4620</v>
      </c>
      <c r="Z602" s="70"/>
      <c r="AA602" s="70"/>
      <c r="AB602" s="70"/>
      <c r="AC602" s="70"/>
    </row>
    <row r="603" spans="1:31" s="26" customFormat="1" x14ac:dyDescent="0.3">
      <c r="A603" s="25" t="s">
        <v>4621</v>
      </c>
      <c r="B603" s="25"/>
      <c r="C603" s="26" t="s">
        <v>3005</v>
      </c>
      <c r="D603" s="70"/>
      <c r="G603" s="70" t="s">
        <v>609</v>
      </c>
      <c r="H603" s="26">
        <v>-1</v>
      </c>
      <c r="I603" s="70" t="s">
        <v>4622</v>
      </c>
      <c r="J603" s="26" t="s">
        <v>3016</v>
      </c>
      <c r="K603" s="26" t="s">
        <v>4623</v>
      </c>
      <c r="L603" s="26" t="s">
        <v>10207</v>
      </c>
      <c r="M603" s="76"/>
      <c r="N603" s="76"/>
      <c r="O603" s="76"/>
      <c r="P603" s="76"/>
      <c r="Q603" s="76"/>
      <c r="R603" s="76"/>
      <c r="U603" s="26" t="s">
        <v>4624</v>
      </c>
      <c r="Z603" s="70"/>
      <c r="AA603" s="70"/>
      <c r="AB603" s="70"/>
      <c r="AC603" s="70"/>
    </row>
    <row r="604" spans="1:31" s="26" customFormat="1" x14ac:dyDescent="0.3">
      <c r="A604" s="25" t="s">
        <v>4625</v>
      </c>
      <c r="B604" s="25"/>
      <c r="C604" s="26" t="s">
        <v>3005</v>
      </c>
      <c r="D604" s="70"/>
      <c r="G604" s="70" t="s">
        <v>609</v>
      </c>
      <c r="H604" s="26">
        <v>-1</v>
      </c>
      <c r="I604" s="70" t="s">
        <v>4626</v>
      </c>
      <c r="J604" s="26" t="s">
        <v>4627</v>
      </c>
      <c r="K604" s="26" t="s">
        <v>4628</v>
      </c>
      <c r="L604" s="26" t="s">
        <v>10208</v>
      </c>
      <c r="M604" s="76"/>
      <c r="N604" s="76"/>
      <c r="O604" s="76"/>
      <c r="P604" s="76"/>
      <c r="Q604" s="76"/>
      <c r="R604" s="76"/>
      <c r="U604" s="26" t="s">
        <v>4629</v>
      </c>
      <c r="Z604" s="70"/>
      <c r="AA604" s="70"/>
      <c r="AB604" s="70"/>
      <c r="AC604" s="70"/>
    </row>
    <row r="605" spans="1:31" s="26" customFormat="1" x14ac:dyDescent="0.3">
      <c r="A605" s="25" t="s">
        <v>4630</v>
      </c>
      <c r="B605" s="25"/>
      <c r="C605" s="26" t="s">
        <v>3005</v>
      </c>
      <c r="D605" s="70"/>
      <c r="G605" s="70" t="s">
        <v>609</v>
      </c>
      <c r="H605" s="26">
        <v>-1</v>
      </c>
      <c r="I605" s="70" t="s">
        <v>4631</v>
      </c>
      <c r="J605" s="26" t="s">
        <v>4632</v>
      </c>
      <c r="K605" s="26" t="s">
        <v>4633</v>
      </c>
      <c r="L605" s="26" t="s">
        <v>10209</v>
      </c>
      <c r="M605" s="76"/>
      <c r="N605" s="76"/>
      <c r="O605" s="76"/>
      <c r="P605" s="76"/>
      <c r="Q605" s="76"/>
      <c r="R605" s="76"/>
      <c r="U605" s="26" t="s">
        <v>4634</v>
      </c>
      <c r="Z605" s="70"/>
      <c r="AA605" s="70"/>
      <c r="AB605" s="70"/>
      <c r="AC605" s="70"/>
    </row>
    <row r="606" spans="1:31" s="26" customFormat="1" x14ac:dyDescent="0.3">
      <c r="A606" s="25" t="s">
        <v>4635</v>
      </c>
      <c r="B606" s="25"/>
      <c r="C606" s="26" t="s">
        <v>3005</v>
      </c>
      <c r="D606" s="70"/>
      <c r="G606" s="70" t="s">
        <v>609</v>
      </c>
      <c r="H606" s="26">
        <v>-1</v>
      </c>
      <c r="I606" s="70" t="s">
        <v>4636</v>
      </c>
      <c r="J606" s="26" t="s">
        <v>4637</v>
      </c>
      <c r="K606" s="26" t="s">
        <v>4638</v>
      </c>
      <c r="L606" s="26" t="s">
        <v>10210</v>
      </c>
      <c r="M606" s="76"/>
      <c r="N606" s="76"/>
      <c r="O606" s="76"/>
      <c r="P606" s="76"/>
      <c r="Q606" s="76"/>
      <c r="R606" s="76"/>
      <c r="U606" s="26" t="s">
        <v>3951</v>
      </c>
      <c r="Z606" s="70"/>
      <c r="AA606" s="70"/>
      <c r="AB606" s="70"/>
      <c r="AC606" s="70"/>
    </row>
    <row r="607" spans="1:31" s="26" customFormat="1" x14ac:dyDescent="0.3">
      <c r="A607" s="25" t="s">
        <v>4639</v>
      </c>
      <c r="B607" s="25"/>
      <c r="C607" s="26" t="s">
        <v>3005</v>
      </c>
      <c r="D607" s="70"/>
      <c r="G607" s="70" t="s">
        <v>609</v>
      </c>
      <c r="H607" s="26">
        <v>-1</v>
      </c>
      <c r="I607" s="70" t="s">
        <v>4640</v>
      </c>
      <c r="J607" s="26" t="s">
        <v>4641</v>
      </c>
      <c r="K607" s="26" t="s">
        <v>4642</v>
      </c>
      <c r="L607" s="26" t="s">
        <v>10211</v>
      </c>
      <c r="M607" s="76"/>
      <c r="N607" s="76"/>
      <c r="O607" s="76"/>
      <c r="P607" s="76"/>
      <c r="Q607" s="76"/>
      <c r="R607" s="76"/>
      <c r="U607" s="26" t="s">
        <v>4643</v>
      </c>
      <c r="Z607" s="70"/>
      <c r="AA607" s="70"/>
      <c r="AB607" s="70"/>
      <c r="AC607" s="70"/>
    </row>
    <row r="608" spans="1:31" s="24" customFormat="1" x14ac:dyDescent="0.3">
      <c r="A608" s="23">
        <v>194</v>
      </c>
      <c r="B608" s="23">
        <v>190</v>
      </c>
      <c r="C608" s="24" t="s">
        <v>2165</v>
      </c>
      <c r="D608" s="69" t="s">
        <v>514</v>
      </c>
      <c r="E608" s="24" t="s">
        <v>513</v>
      </c>
      <c r="F608" s="24" t="s">
        <v>611</v>
      </c>
      <c r="G608" s="69" t="s">
        <v>612</v>
      </c>
      <c r="I608" s="69"/>
      <c r="J608" s="24" t="s">
        <v>4644</v>
      </c>
      <c r="K608" s="24" t="s">
        <v>613</v>
      </c>
      <c r="L608" s="24" t="s">
        <v>9751</v>
      </c>
      <c r="M608" s="75" t="s">
        <v>50</v>
      </c>
      <c r="N608" s="75"/>
      <c r="O608" s="75"/>
      <c r="P608" s="75"/>
      <c r="Q608" s="75"/>
      <c r="R608" s="75"/>
      <c r="U608" s="24" t="s">
        <v>2346</v>
      </c>
      <c r="Z608" s="69"/>
      <c r="AA608" s="69"/>
      <c r="AB608" s="69"/>
      <c r="AC608" s="69"/>
    </row>
    <row r="609" spans="1:29" s="24" customFormat="1" x14ac:dyDescent="0.3">
      <c r="A609" s="23">
        <v>195</v>
      </c>
      <c r="B609" s="23">
        <v>191</v>
      </c>
      <c r="C609" s="24" t="s">
        <v>2165</v>
      </c>
      <c r="D609" s="69" t="s">
        <v>514</v>
      </c>
      <c r="E609" s="24" t="s">
        <v>513</v>
      </c>
      <c r="F609" s="24" t="s">
        <v>614</v>
      </c>
      <c r="G609" s="69" t="s">
        <v>615</v>
      </c>
      <c r="I609" s="69"/>
      <c r="J609" s="24" t="s">
        <v>3110</v>
      </c>
      <c r="K609" s="24" t="s">
        <v>605</v>
      </c>
      <c r="L609" s="24" t="s">
        <v>9752</v>
      </c>
      <c r="M609" s="75" t="s">
        <v>50</v>
      </c>
      <c r="N609" s="75"/>
      <c r="O609" s="75"/>
      <c r="P609" s="75"/>
      <c r="Q609" s="75"/>
      <c r="R609" s="75"/>
      <c r="U609" s="24" t="s">
        <v>2346</v>
      </c>
      <c r="Z609" s="69"/>
      <c r="AA609" s="69"/>
      <c r="AB609" s="69"/>
      <c r="AC609" s="69"/>
    </row>
    <row r="610" spans="1:29" s="24" customFormat="1" x14ac:dyDescent="0.3">
      <c r="A610" s="23">
        <v>196</v>
      </c>
      <c r="B610" s="23">
        <v>192</v>
      </c>
      <c r="C610" s="24" t="s">
        <v>2165</v>
      </c>
      <c r="D610" s="69" t="s">
        <v>514</v>
      </c>
      <c r="E610" s="24" t="s">
        <v>513</v>
      </c>
      <c r="F610" s="24" t="s">
        <v>616</v>
      </c>
      <c r="G610" s="69" t="s">
        <v>617</v>
      </c>
      <c r="I610" s="69"/>
      <c r="J610" s="24" t="s">
        <v>3091</v>
      </c>
      <c r="K610" s="24" t="s">
        <v>581</v>
      </c>
      <c r="L610" s="24" t="s">
        <v>9753</v>
      </c>
      <c r="M610" s="75" t="s">
        <v>19</v>
      </c>
      <c r="N610" s="75"/>
      <c r="O610" s="75"/>
      <c r="P610" s="75"/>
      <c r="Q610" s="75" t="s">
        <v>67</v>
      </c>
      <c r="R610" s="75" t="s">
        <v>2166</v>
      </c>
      <c r="U610" s="24" t="s">
        <v>2375</v>
      </c>
      <c r="Z610" s="69"/>
      <c r="AA610" s="69"/>
      <c r="AB610" s="69"/>
      <c r="AC610" s="69"/>
    </row>
    <row r="611" spans="1:29" s="24" customFormat="1" x14ac:dyDescent="0.3">
      <c r="A611" s="23">
        <v>197</v>
      </c>
      <c r="B611" s="23">
        <v>193</v>
      </c>
      <c r="C611" s="24" t="s">
        <v>2165</v>
      </c>
      <c r="D611" s="69" t="s">
        <v>514</v>
      </c>
      <c r="E611" s="24" t="s">
        <v>513</v>
      </c>
      <c r="F611" s="24" t="s">
        <v>618</v>
      </c>
      <c r="G611" s="69" t="s">
        <v>619</v>
      </c>
      <c r="I611" s="69"/>
      <c r="J611" s="24" t="s">
        <v>4645</v>
      </c>
      <c r="K611" s="24" t="s">
        <v>620</v>
      </c>
      <c r="L611" s="24" t="s">
        <v>9754</v>
      </c>
      <c r="M611" s="75" t="s">
        <v>50</v>
      </c>
      <c r="N611" s="75"/>
      <c r="O611" s="75"/>
      <c r="P611" s="75"/>
      <c r="Q611" s="75"/>
      <c r="R611" s="75"/>
      <c r="U611" s="24" t="s">
        <v>2380</v>
      </c>
      <c r="Z611" s="69"/>
      <c r="AA611" s="69"/>
      <c r="AB611" s="69"/>
      <c r="AC611" s="69"/>
    </row>
    <row r="612" spans="1:29" s="24" customFormat="1" x14ac:dyDescent="0.3">
      <c r="A612" s="23">
        <v>198</v>
      </c>
      <c r="B612" s="23">
        <v>194</v>
      </c>
      <c r="C612" s="24" t="s">
        <v>2165</v>
      </c>
      <c r="D612" s="69" t="s">
        <v>514</v>
      </c>
      <c r="E612" s="24" t="s">
        <v>513</v>
      </c>
      <c r="F612" s="24" t="s">
        <v>621</v>
      </c>
      <c r="G612" s="69" t="s">
        <v>622</v>
      </c>
      <c r="I612" s="69"/>
      <c r="J612" s="24" t="s">
        <v>4646</v>
      </c>
      <c r="K612" s="24" t="s">
        <v>47</v>
      </c>
      <c r="L612" s="24" t="s">
        <v>9755</v>
      </c>
      <c r="M612" s="75" t="s">
        <v>19</v>
      </c>
      <c r="N612" s="75"/>
      <c r="O612" s="75" t="s">
        <v>67</v>
      </c>
      <c r="P612" s="75" t="s">
        <v>67</v>
      </c>
      <c r="Q612" s="75" t="s">
        <v>67</v>
      </c>
      <c r="R612" s="75" t="s">
        <v>2166</v>
      </c>
      <c r="U612" s="24" t="s">
        <v>2293</v>
      </c>
      <c r="Y612" s="24" t="s">
        <v>2381</v>
      </c>
      <c r="Z612" s="69"/>
      <c r="AA612" s="69"/>
      <c r="AB612" s="69"/>
      <c r="AC612" s="69"/>
    </row>
    <row r="613" spans="1:29" s="24" customFormat="1" x14ac:dyDescent="0.3">
      <c r="A613" s="23">
        <v>199</v>
      </c>
      <c r="B613" s="23">
        <v>195</v>
      </c>
      <c r="C613" s="24" t="s">
        <v>2165</v>
      </c>
      <c r="D613" s="69" t="s">
        <v>624</v>
      </c>
      <c r="E613" s="24" t="s">
        <v>623</v>
      </c>
      <c r="F613" s="24" t="s">
        <v>625</v>
      </c>
      <c r="G613" s="69" t="s">
        <v>626</v>
      </c>
      <c r="I613" s="69"/>
      <c r="J613" s="24" t="s">
        <v>4647</v>
      </c>
      <c r="K613" s="24" t="s">
        <v>627</v>
      </c>
      <c r="L613" s="24" t="s">
        <v>9756</v>
      </c>
      <c r="M613" s="75" t="s">
        <v>236</v>
      </c>
      <c r="N613" s="75"/>
      <c r="O613" s="75"/>
      <c r="P613" s="75"/>
      <c r="Q613" s="75"/>
      <c r="R613" s="75"/>
      <c r="U613" s="24" t="s">
        <v>2186</v>
      </c>
      <c r="Z613" s="69"/>
      <c r="AA613" s="69"/>
      <c r="AB613" s="69"/>
      <c r="AC613" s="69"/>
    </row>
    <row r="614" spans="1:29" s="24" customFormat="1" x14ac:dyDescent="0.3">
      <c r="A614" s="23">
        <v>200</v>
      </c>
      <c r="B614" s="23">
        <v>196</v>
      </c>
      <c r="C614" s="24" t="s">
        <v>2165</v>
      </c>
      <c r="D614" s="69" t="s">
        <v>629</v>
      </c>
      <c r="E614" s="24" t="s">
        <v>628</v>
      </c>
      <c r="F614" s="24" t="s">
        <v>630</v>
      </c>
      <c r="G614" s="69" t="s">
        <v>631</v>
      </c>
      <c r="I614" s="69"/>
      <c r="J614" s="24" t="s">
        <v>3016</v>
      </c>
      <c r="K614" s="24" t="s">
        <v>181</v>
      </c>
      <c r="M614" s="75" t="s">
        <v>15</v>
      </c>
      <c r="N614" s="75"/>
      <c r="O614" s="75"/>
      <c r="P614" s="75"/>
      <c r="Q614" s="75" t="s">
        <v>66</v>
      </c>
      <c r="R614" s="75"/>
      <c r="Z614" s="69"/>
      <c r="AA614" s="69"/>
      <c r="AB614" s="69"/>
      <c r="AC614" s="69"/>
    </row>
    <row r="615" spans="1:29" s="26" customFormat="1" x14ac:dyDescent="0.3">
      <c r="A615" s="25" t="s">
        <v>4648</v>
      </c>
      <c r="B615" s="25"/>
      <c r="C615" s="26" t="s">
        <v>3005</v>
      </c>
      <c r="D615" s="70"/>
      <c r="G615" s="70" t="s">
        <v>631</v>
      </c>
      <c r="H615" s="26">
        <v>-1</v>
      </c>
      <c r="I615" s="70" t="s">
        <v>4649</v>
      </c>
      <c r="J615" s="26" t="s">
        <v>3158</v>
      </c>
      <c r="K615" s="26" t="s">
        <v>4650</v>
      </c>
      <c r="L615" s="26" t="s">
        <v>10212</v>
      </c>
      <c r="M615" s="76"/>
      <c r="N615" s="76"/>
      <c r="O615" s="76"/>
      <c r="P615" s="76"/>
      <c r="Q615" s="76"/>
      <c r="R615" s="76"/>
      <c r="Z615" s="70"/>
      <c r="AA615" s="70"/>
      <c r="AB615" s="70"/>
      <c r="AC615" s="70"/>
    </row>
    <row r="616" spans="1:29" s="26" customFormat="1" x14ac:dyDescent="0.3">
      <c r="A616" s="25" t="s">
        <v>4651</v>
      </c>
      <c r="B616" s="25"/>
      <c r="C616" s="26" t="s">
        <v>3005</v>
      </c>
      <c r="D616" s="70"/>
      <c r="G616" s="70" t="s">
        <v>631</v>
      </c>
      <c r="H616" s="26">
        <v>-1</v>
      </c>
      <c r="I616" s="70" t="s">
        <v>4652</v>
      </c>
      <c r="J616" s="26" t="s">
        <v>4653</v>
      </c>
      <c r="K616" s="26" t="s">
        <v>4654</v>
      </c>
      <c r="L616" s="26" t="s">
        <v>10213</v>
      </c>
      <c r="M616" s="76"/>
      <c r="N616" s="76"/>
      <c r="O616" s="76"/>
      <c r="P616" s="76"/>
      <c r="Q616" s="76"/>
      <c r="R616" s="76"/>
      <c r="Z616" s="70"/>
      <c r="AA616" s="70"/>
      <c r="AB616" s="70"/>
      <c r="AC616" s="70"/>
    </row>
    <row r="617" spans="1:29" s="26" customFormat="1" x14ac:dyDescent="0.3">
      <c r="A617" s="25" t="s">
        <v>4655</v>
      </c>
      <c r="B617" s="25"/>
      <c r="C617" s="26" t="s">
        <v>3005</v>
      </c>
      <c r="D617" s="70"/>
      <c r="G617" s="70" t="s">
        <v>631</v>
      </c>
      <c r="H617" s="26">
        <v>-1</v>
      </c>
      <c r="I617" s="70" t="s">
        <v>3582</v>
      </c>
      <c r="J617" s="26" t="s">
        <v>4656</v>
      </c>
      <c r="K617" s="26" t="s">
        <v>4657</v>
      </c>
      <c r="L617" s="26" t="s">
        <v>10214</v>
      </c>
      <c r="M617" s="76"/>
      <c r="N617" s="76"/>
      <c r="O617" s="76"/>
      <c r="P617" s="76"/>
      <c r="Q617" s="76"/>
      <c r="R617" s="76"/>
      <c r="Z617" s="70"/>
      <c r="AA617" s="70"/>
      <c r="AB617" s="70"/>
      <c r="AC617" s="70"/>
    </row>
    <row r="618" spans="1:29" s="26" customFormat="1" x14ac:dyDescent="0.3">
      <c r="A618" s="25" t="s">
        <v>4658</v>
      </c>
      <c r="B618" s="25"/>
      <c r="C618" s="26" t="s">
        <v>3005</v>
      </c>
      <c r="D618" s="70"/>
      <c r="G618" s="70" t="s">
        <v>631</v>
      </c>
      <c r="H618" s="26">
        <v>-1</v>
      </c>
      <c r="I618" s="70" t="s">
        <v>4659</v>
      </c>
      <c r="J618" s="26" t="s">
        <v>3016</v>
      </c>
      <c r="K618" s="26" t="s">
        <v>4660</v>
      </c>
      <c r="L618" s="26" t="s">
        <v>10215</v>
      </c>
      <c r="M618" s="76"/>
      <c r="N618" s="76"/>
      <c r="O618" s="76"/>
      <c r="P618" s="76"/>
      <c r="Q618" s="76"/>
      <c r="R618" s="76"/>
      <c r="Z618" s="70"/>
      <c r="AA618" s="70"/>
      <c r="AB618" s="70"/>
      <c r="AC618" s="70"/>
    </row>
    <row r="619" spans="1:29" s="24" customFormat="1" x14ac:dyDescent="0.3">
      <c r="A619" s="23">
        <v>201</v>
      </c>
      <c r="B619" s="23">
        <v>197</v>
      </c>
      <c r="C619" s="24" t="s">
        <v>2165</v>
      </c>
      <c r="D619" s="69" t="s">
        <v>629</v>
      </c>
      <c r="E619" s="24" t="s">
        <v>628</v>
      </c>
      <c r="F619" s="24" t="s">
        <v>632</v>
      </c>
      <c r="G619" s="69" t="s">
        <v>633</v>
      </c>
      <c r="H619" s="24">
        <v>1</v>
      </c>
      <c r="I619" s="69"/>
      <c r="J619" s="24" t="s">
        <v>4661</v>
      </c>
      <c r="K619" s="24" t="s">
        <v>634</v>
      </c>
      <c r="M619" s="75" t="s">
        <v>15</v>
      </c>
      <c r="N619" s="75"/>
      <c r="O619" s="75"/>
      <c r="P619" s="75"/>
      <c r="Q619" s="75" t="s">
        <v>67</v>
      </c>
      <c r="R619" s="75"/>
      <c r="Z619" s="69"/>
      <c r="AA619" s="69"/>
      <c r="AB619" s="69"/>
      <c r="AC619" s="69"/>
    </row>
    <row r="620" spans="1:29" s="26" customFormat="1" x14ac:dyDescent="0.3">
      <c r="A620" s="25" t="s">
        <v>4662</v>
      </c>
      <c r="B620" s="25"/>
      <c r="C620" s="26" t="s">
        <v>3005</v>
      </c>
      <c r="D620" s="70"/>
      <c r="G620" s="70" t="s">
        <v>633</v>
      </c>
      <c r="H620" s="26">
        <v>1</v>
      </c>
      <c r="I620" s="70" t="s">
        <v>4663</v>
      </c>
      <c r="J620" s="26" t="s">
        <v>4664</v>
      </c>
      <c r="K620" s="26" t="s">
        <v>4665</v>
      </c>
      <c r="L620" s="26" t="s">
        <v>10216</v>
      </c>
      <c r="M620" s="76"/>
      <c r="N620" s="76"/>
      <c r="O620" s="76"/>
      <c r="P620" s="76"/>
      <c r="Q620" s="76"/>
      <c r="R620" s="76"/>
      <c r="Z620" s="70"/>
      <c r="AA620" s="70"/>
      <c r="AB620" s="70"/>
      <c r="AC620" s="70"/>
    </row>
    <row r="621" spans="1:29" s="26" customFormat="1" x14ac:dyDescent="0.3">
      <c r="A621" s="25" t="s">
        <v>4666</v>
      </c>
      <c r="B621" s="25"/>
      <c r="C621" s="26" t="s">
        <v>3005</v>
      </c>
      <c r="D621" s="70"/>
      <c r="G621" s="70" t="s">
        <v>633</v>
      </c>
      <c r="H621" s="26">
        <v>-1</v>
      </c>
      <c r="I621" s="70" t="s">
        <v>4667</v>
      </c>
      <c r="J621" s="26" t="s">
        <v>4661</v>
      </c>
      <c r="K621" s="26" t="s">
        <v>4668</v>
      </c>
      <c r="L621" s="26" t="s">
        <v>10217</v>
      </c>
      <c r="M621" s="76"/>
      <c r="N621" s="76"/>
      <c r="O621" s="76"/>
      <c r="P621" s="76"/>
      <c r="Q621" s="76"/>
      <c r="R621" s="76"/>
      <c r="Z621" s="70"/>
      <c r="AA621" s="70"/>
      <c r="AB621" s="70"/>
      <c r="AC621" s="70"/>
    </row>
    <row r="622" spans="1:29" s="26" customFormat="1" x14ac:dyDescent="0.3">
      <c r="A622" s="25" t="s">
        <v>4669</v>
      </c>
      <c r="B622" s="25"/>
      <c r="C622" s="26" t="s">
        <v>3005</v>
      </c>
      <c r="D622" s="70"/>
      <c r="G622" s="70" t="s">
        <v>633</v>
      </c>
      <c r="H622" s="26">
        <v>-1</v>
      </c>
      <c r="I622" s="70" t="s">
        <v>4670</v>
      </c>
      <c r="J622" s="26" t="s">
        <v>4671</v>
      </c>
      <c r="K622" s="26" t="s">
        <v>4672</v>
      </c>
      <c r="L622" s="26" t="s">
        <v>10218</v>
      </c>
      <c r="M622" s="76"/>
      <c r="N622" s="76"/>
      <c r="O622" s="76"/>
      <c r="P622" s="76"/>
      <c r="Q622" s="76"/>
      <c r="R622" s="76"/>
      <c r="Z622" s="70"/>
      <c r="AA622" s="70"/>
      <c r="AB622" s="70"/>
      <c r="AC622" s="70"/>
    </row>
    <row r="623" spans="1:29" s="26" customFormat="1" x14ac:dyDescent="0.3">
      <c r="A623" s="25" t="s">
        <v>4673</v>
      </c>
      <c r="B623" s="25"/>
      <c r="C623" s="26" t="s">
        <v>3005</v>
      </c>
      <c r="D623" s="70"/>
      <c r="G623" s="70" t="s">
        <v>633</v>
      </c>
      <c r="H623" s="26">
        <v>-1</v>
      </c>
      <c r="I623" s="70" t="s">
        <v>4674</v>
      </c>
      <c r="J623" s="26" t="s">
        <v>4675</v>
      </c>
      <c r="K623" s="26" t="s">
        <v>4676</v>
      </c>
      <c r="M623" s="76"/>
      <c r="N623" s="76"/>
      <c r="O623" s="76"/>
      <c r="P623" s="76"/>
      <c r="Q623" s="76"/>
      <c r="R623" s="76"/>
      <c r="Z623" s="70"/>
      <c r="AA623" s="70"/>
      <c r="AB623" s="70"/>
      <c r="AC623" s="70"/>
    </row>
    <row r="624" spans="1:29" s="26" customFormat="1" x14ac:dyDescent="0.3">
      <c r="A624" s="25" t="s">
        <v>4677</v>
      </c>
      <c r="B624" s="25"/>
      <c r="C624" s="26" t="s">
        <v>3005</v>
      </c>
      <c r="D624" s="70"/>
      <c r="G624" s="70" t="s">
        <v>633</v>
      </c>
      <c r="H624" s="26">
        <v>-1</v>
      </c>
      <c r="I624" s="70" t="s">
        <v>4678</v>
      </c>
      <c r="J624" s="26" t="s">
        <v>4679</v>
      </c>
      <c r="K624" s="26" t="s">
        <v>4680</v>
      </c>
      <c r="L624" s="26" t="s">
        <v>10219</v>
      </c>
      <c r="M624" s="76"/>
      <c r="N624" s="76"/>
      <c r="O624" s="76"/>
      <c r="P624" s="76"/>
      <c r="Q624" s="76"/>
      <c r="R624" s="76"/>
      <c r="Z624" s="70"/>
      <c r="AA624" s="70"/>
      <c r="AB624" s="70"/>
      <c r="AC624" s="70"/>
    </row>
    <row r="625" spans="1:31" s="26" customFormat="1" x14ac:dyDescent="0.3">
      <c r="A625" s="25" t="s">
        <v>4681</v>
      </c>
      <c r="B625" s="25"/>
      <c r="C625" s="26" t="s">
        <v>3005</v>
      </c>
      <c r="D625" s="70"/>
      <c r="G625" s="70" t="s">
        <v>633</v>
      </c>
      <c r="H625" s="26">
        <v>-1</v>
      </c>
      <c r="I625" s="70" t="s">
        <v>4682</v>
      </c>
      <c r="J625" s="26" t="s">
        <v>4102</v>
      </c>
      <c r="K625" s="26" t="s">
        <v>4683</v>
      </c>
      <c r="M625" s="76"/>
      <c r="N625" s="76"/>
      <c r="O625" s="76"/>
      <c r="P625" s="76"/>
      <c r="Q625" s="76"/>
      <c r="R625" s="76"/>
      <c r="Z625" s="70"/>
      <c r="AA625" s="70"/>
      <c r="AB625" s="70"/>
      <c r="AC625" s="70"/>
    </row>
    <row r="626" spans="1:31" s="26" customFormat="1" x14ac:dyDescent="0.3">
      <c r="A626" s="25" t="s">
        <v>4684</v>
      </c>
      <c r="B626" s="25"/>
      <c r="C626" s="26" t="s">
        <v>3005</v>
      </c>
      <c r="D626" s="70"/>
      <c r="G626" s="70" t="s">
        <v>633</v>
      </c>
      <c r="H626" s="26">
        <v>-1</v>
      </c>
      <c r="I626" s="70" t="s">
        <v>4685</v>
      </c>
      <c r="J626" s="26" t="s">
        <v>4102</v>
      </c>
      <c r="K626" s="26" t="s">
        <v>4686</v>
      </c>
      <c r="L626" s="26" t="s">
        <v>10220</v>
      </c>
      <c r="M626" s="76"/>
      <c r="N626" s="76"/>
      <c r="O626" s="76"/>
      <c r="P626" s="76"/>
      <c r="Q626" s="76"/>
      <c r="R626" s="76"/>
      <c r="Z626" s="70"/>
      <c r="AA626" s="70"/>
      <c r="AB626" s="70"/>
      <c r="AC626" s="70"/>
    </row>
    <row r="627" spans="1:31" s="24" customFormat="1" x14ac:dyDescent="0.3">
      <c r="A627" s="23">
        <v>202</v>
      </c>
      <c r="B627" s="23">
        <v>198</v>
      </c>
      <c r="C627" s="24" t="s">
        <v>2165</v>
      </c>
      <c r="D627" s="69" t="s">
        <v>629</v>
      </c>
      <c r="E627" s="24" t="s">
        <v>628</v>
      </c>
      <c r="F627" s="24" t="s">
        <v>635</v>
      </c>
      <c r="G627" s="69" t="s">
        <v>636</v>
      </c>
      <c r="I627" s="69"/>
      <c r="J627" s="24" t="s">
        <v>4687</v>
      </c>
      <c r="K627" s="24" t="s">
        <v>181</v>
      </c>
      <c r="M627" s="75" t="s">
        <v>19</v>
      </c>
      <c r="N627" s="75"/>
      <c r="O627" s="75"/>
      <c r="P627" s="75"/>
      <c r="Q627" s="75"/>
      <c r="R627" s="75" t="s">
        <v>2166</v>
      </c>
      <c r="T627" s="24" t="s">
        <v>2382</v>
      </c>
      <c r="V627" s="24" t="s">
        <v>2171</v>
      </c>
      <c r="Y627" s="24" t="s">
        <v>2383</v>
      </c>
      <c r="Z627" s="69"/>
      <c r="AA627" s="69"/>
      <c r="AB627" s="69"/>
      <c r="AC627" s="69"/>
      <c r="AD627" s="24" t="s">
        <v>11326</v>
      </c>
      <c r="AE627" s="24" t="s">
        <v>2384</v>
      </c>
    </row>
    <row r="628" spans="1:31" s="26" customFormat="1" x14ac:dyDescent="0.3">
      <c r="A628" s="25" t="s">
        <v>4688</v>
      </c>
      <c r="B628" s="25"/>
      <c r="C628" s="26" t="s">
        <v>3005</v>
      </c>
      <c r="D628" s="70"/>
      <c r="G628" s="70" t="s">
        <v>636</v>
      </c>
      <c r="H628" s="26">
        <v>-1</v>
      </c>
      <c r="I628" s="70" t="s">
        <v>3526</v>
      </c>
      <c r="J628" s="26" t="s">
        <v>4687</v>
      </c>
      <c r="K628" s="26" t="s">
        <v>4689</v>
      </c>
      <c r="M628" s="76"/>
      <c r="N628" s="76"/>
      <c r="O628" s="76"/>
      <c r="P628" s="76"/>
      <c r="Q628" s="76"/>
      <c r="R628" s="76"/>
      <c r="Z628" s="70"/>
      <c r="AA628" s="70"/>
      <c r="AB628" s="70"/>
      <c r="AC628" s="70"/>
    </row>
    <row r="629" spans="1:31" s="26" customFormat="1" x14ac:dyDescent="0.3">
      <c r="A629" s="25" t="s">
        <v>4690</v>
      </c>
      <c r="B629" s="25"/>
      <c r="C629" s="26" t="s">
        <v>3005</v>
      </c>
      <c r="D629" s="70"/>
      <c r="G629" s="70" t="s">
        <v>636</v>
      </c>
      <c r="H629" s="26">
        <v>-1</v>
      </c>
      <c r="I629" s="70" t="s">
        <v>4691</v>
      </c>
      <c r="J629" s="26" t="s">
        <v>3092</v>
      </c>
      <c r="K629" s="26" t="s">
        <v>4692</v>
      </c>
      <c r="L629" s="26" t="s">
        <v>10221</v>
      </c>
      <c r="M629" s="76"/>
      <c r="N629" s="76"/>
      <c r="O629" s="76"/>
      <c r="P629" s="76"/>
      <c r="Q629" s="76"/>
      <c r="R629" s="76"/>
      <c r="Z629" s="70"/>
      <c r="AA629" s="70"/>
      <c r="AB629" s="70"/>
      <c r="AC629" s="70"/>
    </row>
    <row r="630" spans="1:31" s="26" customFormat="1" x14ac:dyDescent="0.3">
      <c r="A630" s="25" t="s">
        <v>4693</v>
      </c>
      <c r="B630" s="25"/>
      <c r="C630" s="26" t="s">
        <v>3005</v>
      </c>
      <c r="D630" s="70"/>
      <c r="G630" s="70" t="s">
        <v>636</v>
      </c>
      <c r="H630" s="26">
        <v>-1</v>
      </c>
      <c r="I630" s="70" t="s">
        <v>4694</v>
      </c>
      <c r="J630" s="26" t="s">
        <v>4695</v>
      </c>
      <c r="K630" s="26" t="s">
        <v>4696</v>
      </c>
      <c r="M630" s="76"/>
      <c r="N630" s="76"/>
      <c r="O630" s="76"/>
      <c r="P630" s="76"/>
      <c r="Q630" s="76"/>
      <c r="R630" s="76"/>
      <c r="Z630" s="70"/>
      <c r="AA630" s="70"/>
      <c r="AB630" s="70"/>
      <c r="AC630" s="70"/>
    </row>
    <row r="631" spans="1:31" s="26" customFormat="1" x14ac:dyDescent="0.3">
      <c r="A631" s="25" t="s">
        <v>4697</v>
      </c>
      <c r="B631" s="25"/>
      <c r="C631" s="26" t="s">
        <v>3005</v>
      </c>
      <c r="D631" s="70"/>
      <c r="G631" s="70" t="s">
        <v>636</v>
      </c>
      <c r="H631" s="26">
        <v>-1</v>
      </c>
      <c r="I631" s="70" t="s">
        <v>4698</v>
      </c>
      <c r="J631" s="26" t="s">
        <v>4699</v>
      </c>
      <c r="K631" s="26" t="s">
        <v>4700</v>
      </c>
      <c r="L631" s="26" t="s">
        <v>10222</v>
      </c>
      <c r="M631" s="76"/>
      <c r="N631" s="76"/>
      <c r="O631" s="76"/>
      <c r="P631" s="76"/>
      <c r="Q631" s="76"/>
      <c r="R631" s="76"/>
      <c r="Z631" s="70"/>
      <c r="AA631" s="70"/>
      <c r="AB631" s="70"/>
      <c r="AC631" s="70"/>
    </row>
    <row r="632" spans="1:31" s="24" customFormat="1" x14ac:dyDescent="0.3">
      <c r="A632" s="23">
        <v>203</v>
      </c>
      <c r="B632" s="23">
        <v>199</v>
      </c>
      <c r="C632" s="24" t="s">
        <v>2165</v>
      </c>
      <c r="D632" s="69" t="s">
        <v>629</v>
      </c>
      <c r="E632" s="24" t="s">
        <v>628</v>
      </c>
      <c r="F632" s="24" t="s">
        <v>637</v>
      </c>
      <c r="G632" s="69" t="s">
        <v>638</v>
      </c>
      <c r="I632" s="69"/>
      <c r="J632" s="24" t="s">
        <v>3174</v>
      </c>
      <c r="K632" s="24" t="s">
        <v>92</v>
      </c>
      <c r="L632" s="24" t="s">
        <v>9757</v>
      </c>
      <c r="M632" s="75" t="s">
        <v>50</v>
      </c>
      <c r="N632" s="75"/>
      <c r="O632" s="75"/>
      <c r="P632" s="75"/>
      <c r="Q632" s="75"/>
      <c r="R632" s="75"/>
      <c r="T632" s="24" t="s">
        <v>2174</v>
      </c>
      <c r="U632" s="24" t="s">
        <v>2356</v>
      </c>
      <c r="Z632" s="69"/>
      <c r="AA632" s="69"/>
      <c r="AB632" s="69" t="s">
        <v>2385</v>
      </c>
      <c r="AC632" s="69"/>
      <c r="AE632" s="24" t="s">
        <v>2386</v>
      </c>
    </row>
    <row r="633" spans="1:31" s="24" customFormat="1" x14ac:dyDescent="0.3">
      <c r="A633" s="23">
        <v>204</v>
      </c>
      <c r="B633" s="23">
        <v>200</v>
      </c>
      <c r="C633" s="24" t="s">
        <v>2165</v>
      </c>
      <c r="D633" s="69" t="s">
        <v>629</v>
      </c>
      <c r="E633" s="24" t="s">
        <v>628</v>
      </c>
      <c r="F633" s="24" t="s">
        <v>639</v>
      </c>
      <c r="G633" s="69" t="s">
        <v>640</v>
      </c>
      <c r="I633" s="69"/>
      <c r="J633" s="24" t="s">
        <v>4335</v>
      </c>
      <c r="K633" s="24" t="s">
        <v>641</v>
      </c>
      <c r="L633" s="24" t="s">
        <v>9758</v>
      </c>
      <c r="M633" s="75" t="s">
        <v>19</v>
      </c>
      <c r="N633" s="75"/>
      <c r="O633" s="75" t="s">
        <v>66</v>
      </c>
      <c r="P633" s="75" t="s">
        <v>66</v>
      </c>
      <c r="Q633" s="75"/>
      <c r="R633" s="75" t="s">
        <v>2166</v>
      </c>
      <c r="T633" s="24" t="s">
        <v>2330</v>
      </c>
      <c r="U633" s="24" t="s">
        <v>2387</v>
      </c>
      <c r="V633" s="24" t="s">
        <v>2171</v>
      </c>
      <c r="Z633" s="69" t="s">
        <v>2388</v>
      </c>
      <c r="AA633" s="69"/>
      <c r="AB633" s="69" t="s">
        <v>2388</v>
      </c>
      <c r="AC633" s="69"/>
      <c r="AD633" s="24" t="s">
        <v>642</v>
      </c>
      <c r="AE633" s="24" t="s">
        <v>2389</v>
      </c>
    </row>
    <row r="634" spans="1:31" s="24" customFormat="1" x14ac:dyDescent="0.3">
      <c r="A634" s="23">
        <v>205</v>
      </c>
      <c r="B634" s="23">
        <v>201</v>
      </c>
      <c r="C634" s="24" t="s">
        <v>2165</v>
      </c>
      <c r="D634" s="69" t="s">
        <v>629</v>
      </c>
      <c r="E634" s="24" t="s">
        <v>628</v>
      </c>
      <c r="F634" s="24" t="s">
        <v>643</v>
      </c>
      <c r="G634" s="69" t="s">
        <v>644</v>
      </c>
      <c r="I634" s="69"/>
      <c r="J634" s="24" t="s">
        <v>3016</v>
      </c>
      <c r="K634" s="24" t="s">
        <v>645</v>
      </c>
      <c r="M634" s="75" t="s">
        <v>19</v>
      </c>
      <c r="N634" s="75"/>
      <c r="O634" s="75"/>
      <c r="P634" s="75"/>
      <c r="Q634" s="75"/>
      <c r="R634" s="75" t="s">
        <v>2166</v>
      </c>
      <c r="V634" s="24" t="s">
        <v>2171</v>
      </c>
      <c r="Z634" s="69"/>
      <c r="AA634" s="69"/>
      <c r="AB634" s="69" t="s">
        <v>2390</v>
      </c>
      <c r="AC634" s="69"/>
      <c r="AD634" s="24" t="s">
        <v>646</v>
      </c>
    </row>
    <row r="635" spans="1:31" s="26" customFormat="1" x14ac:dyDescent="0.3">
      <c r="A635" s="25" t="s">
        <v>4701</v>
      </c>
      <c r="B635" s="25"/>
      <c r="C635" s="26" t="s">
        <v>3005</v>
      </c>
      <c r="D635" s="70"/>
      <c r="G635" s="70" t="s">
        <v>644</v>
      </c>
      <c r="H635" s="26">
        <v>-1</v>
      </c>
      <c r="I635" s="70" t="s">
        <v>4702</v>
      </c>
      <c r="J635" s="26" t="s">
        <v>4703</v>
      </c>
      <c r="K635" s="26" t="s">
        <v>4704</v>
      </c>
      <c r="L635" s="26" t="s">
        <v>10223</v>
      </c>
      <c r="M635" s="76"/>
      <c r="N635" s="76"/>
      <c r="O635" s="76"/>
      <c r="P635" s="76"/>
      <c r="Q635" s="76"/>
      <c r="R635" s="76"/>
      <c r="U635" s="26" t="s">
        <v>4705</v>
      </c>
      <c r="Z635" s="70"/>
      <c r="AA635" s="70"/>
      <c r="AB635" s="70"/>
      <c r="AC635" s="70"/>
    </row>
    <row r="636" spans="1:31" s="26" customFormat="1" x14ac:dyDescent="0.3">
      <c r="A636" s="25" t="s">
        <v>4706</v>
      </c>
      <c r="B636" s="25"/>
      <c r="C636" s="26" t="s">
        <v>3005</v>
      </c>
      <c r="D636" s="70"/>
      <c r="G636" s="70" t="s">
        <v>644</v>
      </c>
      <c r="H636" s="26">
        <v>-1</v>
      </c>
      <c r="I636" s="70" t="s">
        <v>4707</v>
      </c>
      <c r="J636" s="26" t="s">
        <v>3016</v>
      </c>
      <c r="K636" s="26" t="s">
        <v>4708</v>
      </c>
      <c r="L636" s="26" t="s">
        <v>10224</v>
      </c>
      <c r="M636" s="76"/>
      <c r="N636" s="76"/>
      <c r="O636" s="76"/>
      <c r="P636" s="76"/>
      <c r="Q636" s="76"/>
      <c r="R636" s="76"/>
      <c r="U636" s="26" t="s">
        <v>4709</v>
      </c>
      <c r="Z636" s="70"/>
      <c r="AA636" s="70"/>
      <c r="AB636" s="70"/>
      <c r="AC636" s="70"/>
    </row>
    <row r="637" spans="1:31" s="24" customFormat="1" x14ac:dyDescent="0.3">
      <c r="A637" s="23">
        <v>206</v>
      </c>
      <c r="B637" s="23">
        <v>202</v>
      </c>
      <c r="C637" s="24" t="s">
        <v>2165</v>
      </c>
      <c r="D637" s="69" t="s">
        <v>629</v>
      </c>
      <c r="E637" s="24" t="s">
        <v>628</v>
      </c>
      <c r="F637" s="24" t="s">
        <v>647</v>
      </c>
      <c r="G637" s="69" t="s">
        <v>648</v>
      </c>
      <c r="I637" s="69"/>
      <c r="J637" s="24" t="s">
        <v>4710</v>
      </c>
      <c r="K637" s="24" t="s">
        <v>649</v>
      </c>
      <c r="L637" s="24" t="s">
        <v>9759</v>
      </c>
      <c r="M637" s="75" t="s">
        <v>19</v>
      </c>
      <c r="N637" s="75"/>
      <c r="O637" s="75"/>
      <c r="P637" s="75"/>
      <c r="Q637" s="75"/>
      <c r="R637" s="75" t="s">
        <v>2166</v>
      </c>
      <c r="U637" s="24" t="s">
        <v>2391</v>
      </c>
      <c r="V637" s="24" t="s">
        <v>2171</v>
      </c>
      <c r="Y637" s="24" t="s">
        <v>2392</v>
      </c>
      <c r="Z637" s="69"/>
      <c r="AA637" s="69"/>
      <c r="AB637" s="69" t="s">
        <v>2393</v>
      </c>
      <c r="AC637" s="69"/>
      <c r="AD637" s="24" t="s">
        <v>650</v>
      </c>
    </row>
    <row r="638" spans="1:31" s="24" customFormat="1" x14ac:dyDescent="0.3">
      <c r="A638" s="23">
        <v>207</v>
      </c>
      <c r="B638" s="23">
        <v>203</v>
      </c>
      <c r="C638" s="24" t="s">
        <v>2165</v>
      </c>
      <c r="D638" s="69" t="s">
        <v>629</v>
      </c>
      <c r="E638" s="24" t="s">
        <v>628</v>
      </c>
      <c r="F638" s="24" t="s">
        <v>651</v>
      </c>
      <c r="G638" s="69" t="s">
        <v>652</v>
      </c>
      <c r="I638" s="69"/>
      <c r="J638" s="24" t="s">
        <v>4711</v>
      </c>
      <c r="K638" s="24" t="s">
        <v>653</v>
      </c>
      <c r="L638" s="24" t="s">
        <v>9760</v>
      </c>
      <c r="M638" s="75" t="s">
        <v>19</v>
      </c>
      <c r="N638" s="75"/>
      <c r="O638" s="75"/>
      <c r="P638" s="75"/>
      <c r="Q638" s="75"/>
      <c r="R638" s="75" t="s">
        <v>2166</v>
      </c>
      <c r="Z638" s="69"/>
      <c r="AA638" s="69"/>
      <c r="AB638" s="69"/>
      <c r="AC638" s="69"/>
    </row>
    <row r="639" spans="1:31" s="24" customFormat="1" x14ac:dyDescent="0.3">
      <c r="A639" s="23">
        <v>208</v>
      </c>
      <c r="B639" s="23">
        <v>204</v>
      </c>
      <c r="C639" s="24" t="s">
        <v>2165</v>
      </c>
      <c r="D639" s="69" t="s">
        <v>629</v>
      </c>
      <c r="E639" s="24" t="s">
        <v>628</v>
      </c>
      <c r="F639" s="24" t="s">
        <v>654</v>
      </c>
      <c r="G639" s="69" t="s">
        <v>655</v>
      </c>
      <c r="I639" s="69"/>
      <c r="J639" s="24" t="s">
        <v>3110</v>
      </c>
      <c r="K639" s="24" t="s">
        <v>656</v>
      </c>
      <c r="M639" s="75" t="s">
        <v>19</v>
      </c>
      <c r="N639" s="75"/>
      <c r="O639" s="75"/>
      <c r="P639" s="75"/>
      <c r="Q639" s="75"/>
      <c r="R639" s="75" t="s">
        <v>2166</v>
      </c>
      <c r="U639" s="24" t="s">
        <v>2354</v>
      </c>
      <c r="V639" s="24" t="s">
        <v>2171</v>
      </c>
      <c r="Z639" s="69"/>
      <c r="AA639" s="69"/>
      <c r="AB639" s="69"/>
      <c r="AC639" s="69"/>
      <c r="AD639" s="24" t="s">
        <v>657</v>
      </c>
    </row>
    <row r="640" spans="1:31" s="26" customFormat="1" x14ac:dyDescent="0.3">
      <c r="A640" s="25" t="s">
        <v>4712</v>
      </c>
      <c r="B640" s="25"/>
      <c r="C640" s="26" t="s">
        <v>3005</v>
      </c>
      <c r="D640" s="70"/>
      <c r="G640" s="70" t="s">
        <v>655</v>
      </c>
      <c r="H640" s="26">
        <v>-1</v>
      </c>
      <c r="I640" s="70" t="s">
        <v>4713</v>
      </c>
      <c r="J640" s="26" t="s">
        <v>3110</v>
      </c>
      <c r="K640" s="26" t="s">
        <v>4714</v>
      </c>
      <c r="M640" s="76"/>
      <c r="N640" s="76"/>
      <c r="O640" s="76"/>
      <c r="P640" s="76"/>
      <c r="Q640" s="76"/>
      <c r="R640" s="76"/>
      <c r="U640" s="26" t="s">
        <v>4715</v>
      </c>
      <c r="Z640" s="70"/>
      <c r="AA640" s="70"/>
      <c r="AB640" s="70"/>
      <c r="AC640" s="70"/>
    </row>
    <row r="641" spans="1:31" s="26" customFormat="1" x14ac:dyDescent="0.3">
      <c r="A641" s="25" t="s">
        <v>4716</v>
      </c>
      <c r="B641" s="25"/>
      <c r="C641" s="26" t="s">
        <v>3005</v>
      </c>
      <c r="D641" s="70"/>
      <c r="G641" s="70" t="s">
        <v>655</v>
      </c>
      <c r="H641" s="26">
        <v>-1</v>
      </c>
      <c r="I641" s="70" t="s">
        <v>4717</v>
      </c>
      <c r="J641" s="26" t="s">
        <v>4718</v>
      </c>
      <c r="K641" s="26" t="s">
        <v>4719</v>
      </c>
      <c r="M641" s="76"/>
      <c r="N641" s="76"/>
      <c r="O641" s="76"/>
      <c r="P641" s="76"/>
      <c r="Q641" s="76"/>
      <c r="R641" s="76"/>
      <c r="U641" s="26" t="s">
        <v>4720</v>
      </c>
      <c r="Z641" s="70"/>
      <c r="AA641" s="70"/>
      <c r="AB641" s="70"/>
      <c r="AC641" s="70"/>
    </row>
    <row r="642" spans="1:31" s="26" customFormat="1" x14ac:dyDescent="0.3">
      <c r="A642" s="25" t="s">
        <v>4721</v>
      </c>
      <c r="B642" s="25"/>
      <c r="C642" s="26" t="s">
        <v>3005</v>
      </c>
      <c r="D642" s="70"/>
      <c r="G642" s="70" t="s">
        <v>655</v>
      </c>
      <c r="H642" s="26">
        <v>-1</v>
      </c>
      <c r="I642" s="70" t="s">
        <v>4722</v>
      </c>
      <c r="J642" s="26" t="s">
        <v>4723</v>
      </c>
      <c r="K642" s="26" t="s">
        <v>3054</v>
      </c>
      <c r="M642" s="76"/>
      <c r="N642" s="76"/>
      <c r="O642" s="76"/>
      <c r="P642" s="76"/>
      <c r="Q642" s="76"/>
      <c r="R642" s="76"/>
      <c r="U642" s="26" t="s">
        <v>2195</v>
      </c>
      <c r="Z642" s="70"/>
      <c r="AA642" s="70"/>
      <c r="AB642" s="70"/>
      <c r="AC642" s="70"/>
    </row>
    <row r="643" spans="1:31" s="26" customFormat="1" x14ac:dyDescent="0.3">
      <c r="A643" s="25" t="s">
        <v>4724</v>
      </c>
      <c r="B643" s="25"/>
      <c r="C643" s="26" t="s">
        <v>3005</v>
      </c>
      <c r="D643" s="70"/>
      <c r="G643" s="70" t="s">
        <v>655</v>
      </c>
      <c r="H643" s="26">
        <v>-1</v>
      </c>
      <c r="I643" s="70" t="s">
        <v>4725</v>
      </c>
      <c r="J643" s="26" t="s">
        <v>4726</v>
      </c>
      <c r="K643" s="26" t="s">
        <v>4727</v>
      </c>
      <c r="M643" s="76"/>
      <c r="N643" s="76"/>
      <c r="O643" s="76"/>
      <c r="P643" s="76"/>
      <c r="Q643" s="76"/>
      <c r="R643" s="76"/>
      <c r="T643" s="26" t="s">
        <v>4728</v>
      </c>
      <c r="U643" s="26" t="s">
        <v>4729</v>
      </c>
      <c r="Z643" s="70"/>
      <c r="AA643" s="70"/>
      <c r="AB643" s="70"/>
      <c r="AC643" s="70"/>
      <c r="AE643" s="26" t="s">
        <v>4730</v>
      </c>
    </row>
    <row r="644" spans="1:31" s="24" customFormat="1" x14ac:dyDescent="0.3">
      <c r="A644" s="23">
        <v>209</v>
      </c>
      <c r="B644" s="23">
        <v>205</v>
      </c>
      <c r="C644" s="24" t="s">
        <v>2165</v>
      </c>
      <c r="D644" s="69" t="s">
        <v>629</v>
      </c>
      <c r="E644" s="24" t="s">
        <v>628</v>
      </c>
      <c r="F644" s="24" t="s">
        <v>658</v>
      </c>
      <c r="G644" s="69" t="s">
        <v>659</v>
      </c>
      <c r="I644" s="69"/>
      <c r="J644" s="24" t="s">
        <v>4731</v>
      </c>
      <c r="K644" s="24" t="s">
        <v>660</v>
      </c>
      <c r="M644" s="75" t="s">
        <v>19</v>
      </c>
      <c r="N644" s="75"/>
      <c r="O644" s="75"/>
      <c r="P644" s="75"/>
      <c r="Q644" s="75"/>
      <c r="R644" s="75" t="s">
        <v>2166</v>
      </c>
      <c r="T644" s="24" t="s">
        <v>2330</v>
      </c>
      <c r="V644" s="24" t="s">
        <v>2394</v>
      </c>
      <c r="W644" s="24" t="s">
        <v>2394</v>
      </c>
      <c r="Z644" s="69" t="s">
        <v>2395</v>
      </c>
      <c r="AA644" s="69"/>
      <c r="AB644" s="69"/>
      <c r="AC644" s="69"/>
      <c r="AE644" s="24" t="s">
        <v>2396</v>
      </c>
    </row>
    <row r="645" spans="1:31" s="26" customFormat="1" x14ac:dyDescent="0.3">
      <c r="A645" s="25" t="s">
        <v>4732</v>
      </c>
      <c r="B645" s="25"/>
      <c r="C645" s="26" t="s">
        <v>3005</v>
      </c>
      <c r="D645" s="70"/>
      <c r="G645" s="70" t="s">
        <v>659</v>
      </c>
      <c r="H645" s="26">
        <v>-1</v>
      </c>
      <c r="I645" s="70" t="s">
        <v>4733</v>
      </c>
      <c r="J645" s="26" t="s">
        <v>4734</v>
      </c>
      <c r="K645" s="26" t="s">
        <v>4735</v>
      </c>
      <c r="M645" s="76"/>
      <c r="N645" s="76"/>
      <c r="O645" s="76"/>
      <c r="P645" s="76"/>
      <c r="Q645" s="76"/>
      <c r="R645" s="76"/>
      <c r="U645" s="26" t="s">
        <v>4736</v>
      </c>
      <c r="Z645" s="70"/>
      <c r="AA645" s="70"/>
      <c r="AB645" s="70"/>
      <c r="AC645" s="70"/>
    </row>
    <row r="646" spans="1:31" s="26" customFormat="1" x14ac:dyDescent="0.3">
      <c r="A646" s="25" t="s">
        <v>4737</v>
      </c>
      <c r="B646" s="25"/>
      <c r="C646" s="26" t="s">
        <v>3005</v>
      </c>
      <c r="D646" s="70"/>
      <c r="G646" s="70" t="s">
        <v>659</v>
      </c>
      <c r="H646" s="26">
        <v>-1</v>
      </c>
      <c r="I646" s="70" t="s">
        <v>4738</v>
      </c>
      <c r="J646" s="26" t="s">
        <v>4731</v>
      </c>
      <c r="K646" s="26" t="s">
        <v>3054</v>
      </c>
      <c r="M646" s="76"/>
      <c r="N646" s="76"/>
      <c r="O646" s="76"/>
      <c r="P646" s="76"/>
      <c r="Q646" s="76"/>
      <c r="R646" s="76"/>
      <c r="U646" s="26" t="s">
        <v>4739</v>
      </c>
      <c r="Z646" s="70"/>
      <c r="AA646" s="70"/>
      <c r="AB646" s="70"/>
      <c r="AC646" s="70"/>
    </row>
    <row r="647" spans="1:31" s="24" customFormat="1" x14ac:dyDescent="0.3">
      <c r="A647" s="23">
        <v>210</v>
      </c>
      <c r="B647" s="23">
        <v>206</v>
      </c>
      <c r="C647" s="24" t="s">
        <v>2165</v>
      </c>
      <c r="D647" s="69" t="s">
        <v>629</v>
      </c>
      <c r="E647" s="24" t="s">
        <v>628</v>
      </c>
      <c r="F647" s="24" t="s">
        <v>661</v>
      </c>
      <c r="G647" s="69" t="s">
        <v>662</v>
      </c>
      <c r="I647" s="69"/>
      <c r="J647" s="24" t="s">
        <v>4740</v>
      </c>
      <c r="K647" s="24" t="s">
        <v>663</v>
      </c>
      <c r="L647" s="24" t="s">
        <v>9761</v>
      </c>
      <c r="M647" s="75" t="s">
        <v>19</v>
      </c>
      <c r="N647" s="75"/>
      <c r="O647" s="75"/>
      <c r="P647" s="75"/>
      <c r="Q647" s="75"/>
      <c r="R647" s="75" t="s">
        <v>2166</v>
      </c>
      <c r="Z647" s="69"/>
      <c r="AA647" s="69"/>
      <c r="AB647" s="69"/>
      <c r="AC647" s="69"/>
    </row>
    <row r="648" spans="1:31" s="24" customFormat="1" x14ac:dyDescent="0.3">
      <c r="A648" s="23">
        <v>211</v>
      </c>
      <c r="B648" s="23">
        <v>207</v>
      </c>
      <c r="C648" s="24" t="s">
        <v>2165</v>
      </c>
      <c r="D648" s="69" t="s">
        <v>629</v>
      </c>
      <c r="E648" s="24" t="s">
        <v>628</v>
      </c>
      <c r="F648" s="24" t="s">
        <v>664</v>
      </c>
      <c r="G648" s="69" t="s">
        <v>665</v>
      </c>
      <c r="I648" s="69"/>
      <c r="J648" s="24" t="s">
        <v>3110</v>
      </c>
      <c r="K648" s="24" t="s">
        <v>666</v>
      </c>
      <c r="M648" s="75" t="s">
        <v>19</v>
      </c>
      <c r="N648" s="75"/>
      <c r="O648" s="75"/>
      <c r="P648" s="75"/>
      <c r="Q648" s="75"/>
      <c r="R648" s="75" t="s">
        <v>2166</v>
      </c>
      <c r="T648" s="24" t="s">
        <v>2330</v>
      </c>
      <c r="U648" s="24" t="s">
        <v>2397</v>
      </c>
      <c r="V648" s="24" t="s">
        <v>2171</v>
      </c>
      <c r="Z648" s="69"/>
      <c r="AA648" s="69"/>
      <c r="AB648" s="69"/>
      <c r="AC648" s="69"/>
      <c r="AD648" s="24" t="s">
        <v>667</v>
      </c>
      <c r="AE648" s="24" t="s">
        <v>2398</v>
      </c>
    </row>
    <row r="649" spans="1:31" s="26" customFormat="1" x14ac:dyDescent="0.3">
      <c r="A649" s="25" t="s">
        <v>4741</v>
      </c>
      <c r="B649" s="25"/>
      <c r="C649" s="26" t="s">
        <v>3005</v>
      </c>
      <c r="D649" s="70"/>
      <c r="G649" s="70" t="s">
        <v>665</v>
      </c>
      <c r="H649" s="26">
        <v>-1</v>
      </c>
      <c r="I649" s="70" t="s">
        <v>4742</v>
      </c>
      <c r="J649" s="26" t="s">
        <v>4743</v>
      </c>
      <c r="K649" s="26" t="s">
        <v>4744</v>
      </c>
      <c r="M649" s="76"/>
      <c r="N649" s="76"/>
      <c r="O649" s="76"/>
      <c r="P649" s="76"/>
      <c r="Q649" s="76"/>
      <c r="R649" s="76"/>
      <c r="U649" s="26" t="s">
        <v>4745</v>
      </c>
      <c r="Z649" s="70"/>
      <c r="AA649" s="70"/>
      <c r="AB649" s="70"/>
      <c r="AC649" s="70"/>
    </row>
    <row r="650" spans="1:31" s="26" customFormat="1" x14ac:dyDescent="0.3">
      <c r="A650" s="25" t="s">
        <v>4746</v>
      </c>
      <c r="B650" s="25"/>
      <c r="C650" s="26" t="s">
        <v>3005</v>
      </c>
      <c r="D650" s="70"/>
      <c r="G650" s="70" t="s">
        <v>665</v>
      </c>
      <c r="H650" s="26">
        <v>-1</v>
      </c>
      <c r="I650" s="70" t="s">
        <v>3966</v>
      </c>
      <c r="J650" s="26" t="s">
        <v>4747</v>
      </c>
      <c r="K650" s="26" t="s">
        <v>4748</v>
      </c>
      <c r="M650" s="76"/>
      <c r="N650" s="76"/>
      <c r="O650" s="76"/>
      <c r="P650" s="76"/>
      <c r="Q650" s="76"/>
      <c r="R650" s="76"/>
      <c r="U650" s="26" t="s">
        <v>4749</v>
      </c>
      <c r="Z650" s="70"/>
      <c r="AA650" s="70"/>
      <c r="AB650" s="70"/>
      <c r="AC650" s="70"/>
    </row>
    <row r="651" spans="1:31" s="26" customFormat="1" x14ac:dyDescent="0.3">
      <c r="A651" s="25" t="s">
        <v>4750</v>
      </c>
      <c r="B651" s="25"/>
      <c r="C651" s="26" t="s">
        <v>3005</v>
      </c>
      <c r="D651" s="70"/>
      <c r="G651" s="70" t="s">
        <v>665</v>
      </c>
      <c r="H651" s="26">
        <v>-1</v>
      </c>
      <c r="I651" s="70" t="s">
        <v>4751</v>
      </c>
      <c r="J651" s="26" t="s">
        <v>3110</v>
      </c>
      <c r="K651" s="26" t="s">
        <v>4752</v>
      </c>
      <c r="M651" s="76"/>
      <c r="N651" s="76"/>
      <c r="O651" s="76"/>
      <c r="P651" s="76"/>
      <c r="Q651" s="76"/>
      <c r="R651" s="76"/>
      <c r="U651" s="26" t="s">
        <v>4753</v>
      </c>
      <c r="Z651" s="70"/>
      <c r="AA651" s="70"/>
      <c r="AB651" s="70"/>
      <c r="AC651" s="70"/>
    </row>
    <row r="652" spans="1:31" s="26" customFormat="1" x14ac:dyDescent="0.3">
      <c r="A652" s="25" t="s">
        <v>4754</v>
      </c>
      <c r="B652" s="25"/>
      <c r="C652" s="26" t="s">
        <v>3005</v>
      </c>
      <c r="D652" s="70"/>
      <c r="G652" s="70" t="s">
        <v>665</v>
      </c>
      <c r="H652" s="26">
        <v>-1</v>
      </c>
      <c r="I652" s="70" t="s">
        <v>4755</v>
      </c>
      <c r="J652" s="26" t="s">
        <v>4756</v>
      </c>
      <c r="K652" s="26" t="s">
        <v>4757</v>
      </c>
      <c r="M652" s="76"/>
      <c r="N652" s="76"/>
      <c r="O652" s="76"/>
      <c r="P652" s="76"/>
      <c r="Q652" s="76"/>
      <c r="R652" s="76"/>
      <c r="U652" s="26" t="s">
        <v>4758</v>
      </c>
      <c r="Z652" s="70"/>
      <c r="AA652" s="70"/>
      <c r="AB652" s="70"/>
      <c r="AC652" s="70"/>
    </row>
    <row r="653" spans="1:31" s="26" customFormat="1" x14ac:dyDescent="0.3">
      <c r="A653" s="25" t="s">
        <v>4759</v>
      </c>
      <c r="B653" s="25"/>
      <c r="C653" s="26" t="s">
        <v>3005</v>
      </c>
      <c r="D653" s="70"/>
      <c r="G653" s="70" t="s">
        <v>665</v>
      </c>
      <c r="H653" s="26">
        <v>-1</v>
      </c>
      <c r="I653" s="70" t="s">
        <v>4760</v>
      </c>
      <c r="J653" s="26" t="s">
        <v>4761</v>
      </c>
      <c r="K653" s="26" t="s">
        <v>4762</v>
      </c>
      <c r="M653" s="76"/>
      <c r="N653" s="76"/>
      <c r="O653" s="76"/>
      <c r="P653" s="76"/>
      <c r="Q653" s="76"/>
      <c r="R653" s="76"/>
      <c r="U653" s="26" t="s">
        <v>4763</v>
      </c>
      <c r="Z653" s="70"/>
      <c r="AA653" s="70"/>
      <c r="AB653" s="70"/>
      <c r="AC653" s="70"/>
    </row>
    <row r="654" spans="1:31" s="24" customFormat="1" x14ac:dyDescent="0.3">
      <c r="A654" s="23">
        <v>212</v>
      </c>
      <c r="B654" s="23">
        <v>208</v>
      </c>
      <c r="C654" s="24" t="s">
        <v>2165</v>
      </c>
      <c r="D654" s="69" t="s">
        <v>629</v>
      </c>
      <c r="E654" s="24" t="s">
        <v>628</v>
      </c>
      <c r="F654" s="24" t="s">
        <v>668</v>
      </c>
      <c r="G654" s="69" t="s">
        <v>669</v>
      </c>
      <c r="H654" s="24">
        <v>1</v>
      </c>
      <c r="I654" s="69"/>
      <c r="J654" s="24" t="s">
        <v>3092</v>
      </c>
      <c r="K654" s="24" t="s">
        <v>201</v>
      </c>
      <c r="M654" s="75" t="s">
        <v>50</v>
      </c>
      <c r="N654" s="75"/>
      <c r="O654" s="75"/>
      <c r="P654" s="75"/>
      <c r="Q654" s="75"/>
      <c r="R654" s="75"/>
      <c r="Y654" s="24" t="s">
        <v>2399</v>
      </c>
      <c r="Z654" s="69"/>
      <c r="AA654" s="69"/>
      <c r="AB654" s="69"/>
      <c r="AC654" s="69"/>
      <c r="AD654" s="24" t="s">
        <v>123</v>
      </c>
    </row>
    <row r="655" spans="1:31" s="26" customFormat="1" x14ac:dyDescent="0.3">
      <c r="A655" s="25" t="s">
        <v>4764</v>
      </c>
      <c r="B655" s="25"/>
      <c r="C655" s="26" t="s">
        <v>3005</v>
      </c>
      <c r="D655" s="70"/>
      <c r="G655" s="70" t="s">
        <v>669</v>
      </c>
      <c r="H655" s="26">
        <v>-1</v>
      </c>
      <c r="I655" s="70" t="s">
        <v>4765</v>
      </c>
      <c r="J655" s="26" t="s">
        <v>3092</v>
      </c>
      <c r="K655" s="26" t="s">
        <v>4766</v>
      </c>
      <c r="L655" s="26" t="s">
        <v>10225</v>
      </c>
      <c r="M655" s="76"/>
      <c r="N655" s="76"/>
      <c r="O655" s="76"/>
      <c r="P655" s="76"/>
      <c r="Q655" s="76"/>
      <c r="R655" s="76"/>
      <c r="U655" s="26" t="s">
        <v>4370</v>
      </c>
      <c r="Z655" s="70"/>
      <c r="AA655" s="70"/>
      <c r="AB655" s="70"/>
      <c r="AC655" s="70"/>
    </row>
    <row r="656" spans="1:31" s="26" customFormat="1" x14ac:dyDescent="0.3">
      <c r="A656" s="25" t="s">
        <v>4767</v>
      </c>
      <c r="B656" s="25"/>
      <c r="C656" s="26" t="s">
        <v>3005</v>
      </c>
      <c r="D656" s="70"/>
      <c r="G656" s="70" t="s">
        <v>669</v>
      </c>
      <c r="H656" s="26">
        <v>2</v>
      </c>
      <c r="I656" s="70" t="s">
        <v>3879</v>
      </c>
      <c r="J656" s="26" t="s">
        <v>3447</v>
      </c>
      <c r="K656" s="26" t="s">
        <v>4768</v>
      </c>
      <c r="L656" s="26" t="s">
        <v>10226</v>
      </c>
      <c r="M656" s="76"/>
      <c r="N656" s="76"/>
      <c r="O656" s="76"/>
      <c r="P656" s="76"/>
      <c r="Q656" s="76"/>
      <c r="R656" s="76"/>
      <c r="U656" s="26" t="s">
        <v>4417</v>
      </c>
      <c r="Z656" s="70"/>
      <c r="AA656" s="70"/>
      <c r="AB656" s="70"/>
      <c r="AC656" s="70"/>
    </row>
    <row r="657" spans="1:31" s="26" customFormat="1" x14ac:dyDescent="0.3">
      <c r="A657" s="25" t="s">
        <v>4769</v>
      </c>
      <c r="B657" s="25"/>
      <c r="C657" s="26" t="s">
        <v>3005</v>
      </c>
      <c r="D657" s="70"/>
      <c r="G657" s="70" t="s">
        <v>669</v>
      </c>
      <c r="H657" s="26">
        <v>-1</v>
      </c>
      <c r="I657" s="70" t="s">
        <v>4770</v>
      </c>
      <c r="J657" s="26" t="s">
        <v>4771</v>
      </c>
      <c r="K657" s="26" t="s">
        <v>4772</v>
      </c>
      <c r="M657" s="76"/>
      <c r="N657" s="76"/>
      <c r="O657" s="76"/>
      <c r="P657" s="76"/>
      <c r="Q657" s="76"/>
      <c r="R657" s="76"/>
      <c r="U657" s="26" t="s">
        <v>4773</v>
      </c>
      <c r="Z657" s="70"/>
      <c r="AA657" s="70"/>
      <c r="AB657" s="70"/>
      <c r="AC657" s="70"/>
    </row>
    <row r="658" spans="1:31" s="26" customFormat="1" x14ac:dyDescent="0.3">
      <c r="A658" s="25" t="s">
        <v>4774</v>
      </c>
      <c r="B658" s="25"/>
      <c r="C658" s="26" t="s">
        <v>3005</v>
      </c>
      <c r="D658" s="70"/>
      <c r="G658" s="70" t="s">
        <v>669</v>
      </c>
      <c r="H658" s="26">
        <v>-1</v>
      </c>
      <c r="I658" s="70" t="s">
        <v>4775</v>
      </c>
      <c r="J658" s="26" t="s">
        <v>4776</v>
      </c>
      <c r="K658" s="26" t="s">
        <v>4777</v>
      </c>
      <c r="L658" s="26" t="s">
        <v>10227</v>
      </c>
      <c r="M658" s="76"/>
      <c r="N658" s="76"/>
      <c r="O658" s="76"/>
      <c r="P658" s="76"/>
      <c r="Q658" s="76"/>
      <c r="R658" s="76"/>
      <c r="U658" s="26" t="s">
        <v>4778</v>
      </c>
      <c r="Z658" s="70"/>
      <c r="AA658" s="70"/>
      <c r="AB658" s="70"/>
      <c r="AC658" s="70"/>
    </row>
    <row r="659" spans="1:31" s="26" customFormat="1" x14ac:dyDescent="0.3">
      <c r="A659" s="25" t="s">
        <v>4779</v>
      </c>
      <c r="B659" s="25"/>
      <c r="C659" s="26" t="s">
        <v>3005</v>
      </c>
      <c r="D659" s="70"/>
      <c r="G659" s="70" t="s">
        <v>669</v>
      </c>
      <c r="H659" s="26">
        <v>-1</v>
      </c>
      <c r="I659" s="70" t="s">
        <v>4780</v>
      </c>
      <c r="J659" s="26" t="s">
        <v>4781</v>
      </c>
      <c r="K659" s="26" t="s">
        <v>4782</v>
      </c>
      <c r="L659" s="26" t="s">
        <v>10228</v>
      </c>
      <c r="M659" s="76"/>
      <c r="N659" s="76"/>
      <c r="O659" s="76"/>
      <c r="P659" s="76"/>
      <c r="Q659" s="76"/>
      <c r="R659" s="76"/>
      <c r="U659" s="26" t="s">
        <v>4783</v>
      </c>
      <c r="Z659" s="70"/>
      <c r="AA659" s="70"/>
      <c r="AB659" s="70"/>
      <c r="AC659" s="70"/>
    </row>
    <row r="660" spans="1:31" s="26" customFormat="1" x14ac:dyDescent="0.3">
      <c r="A660" s="25" t="s">
        <v>4784</v>
      </c>
      <c r="B660" s="25"/>
      <c r="C660" s="26" t="s">
        <v>3005</v>
      </c>
      <c r="D660" s="70"/>
      <c r="G660" s="70" t="s">
        <v>669</v>
      </c>
      <c r="H660" s="26">
        <v>-1</v>
      </c>
      <c r="I660" s="70" t="s">
        <v>4785</v>
      </c>
      <c r="J660" s="26" t="s">
        <v>3195</v>
      </c>
      <c r="K660" s="26" t="s">
        <v>4786</v>
      </c>
      <c r="L660" s="26" t="s">
        <v>10229</v>
      </c>
      <c r="M660" s="76"/>
      <c r="N660" s="76"/>
      <c r="O660" s="76"/>
      <c r="P660" s="76"/>
      <c r="Q660" s="76"/>
      <c r="R660" s="76"/>
      <c r="Z660" s="70"/>
      <c r="AA660" s="70"/>
      <c r="AB660" s="70"/>
      <c r="AC660" s="70"/>
    </row>
    <row r="661" spans="1:31" s="24" customFormat="1" x14ac:dyDescent="0.3">
      <c r="A661" s="23">
        <v>213</v>
      </c>
      <c r="B661" s="23">
        <v>209</v>
      </c>
      <c r="C661" s="24" t="s">
        <v>2165</v>
      </c>
      <c r="D661" s="69" t="s">
        <v>629</v>
      </c>
      <c r="E661" s="24" t="s">
        <v>628</v>
      </c>
      <c r="F661" s="24" t="s">
        <v>670</v>
      </c>
      <c r="G661" s="69" t="s">
        <v>671</v>
      </c>
      <c r="I661" s="69"/>
      <c r="J661" s="24" t="s">
        <v>4787</v>
      </c>
      <c r="K661" s="24" t="s">
        <v>672</v>
      </c>
      <c r="L661" s="24" t="s">
        <v>9762</v>
      </c>
      <c r="M661" s="75" t="s">
        <v>50</v>
      </c>
      <c r="N661" s="75"/>
      <c r="O661" s="75"/>
      <c r="P661" s="75"/>
      <c r="Q661" s="75"/>
      <c r="R661" s="75"/>
      <c r="Z661" s="69"/>
      <c r="AA661" s="69"/>
      <c r="AB661" s="69"/>
      <c r="AC661" s="69"/>
    </row>
    <row r="662" spans="1:31" s="24" customFormat="1" x14ac:dyDescent="0.3">
      <c r="A662" s="23">
        <v>214</v>
      </c>
      <c r="B662" s="23">
        <v>210</v>
      </c>
      <c r="C662" s="24" t="s">
        <v>2165</v>
      </c>
      <c r="D662" s="69" t="s">
        <v>629</v>
      </c>
      <c r="E662" s="24" t="s">
        <v>628</v>
      </c>
      <c r="F662" s="24" t="s">
        <v>673</v>
      </c>
      <c r="G662" s="69" t="s">
        <v>674</v>
      </c>
      <c r="I662" s="69"/>
      <c r="J662" s="24" t="s">
        <v>4788</v>
      </c>
      <c r="K662" s="24" t="s">
        <v>675</v>
      </c>
      <c r="M662" s="75" t="s">
        <v>15</v>
      </c>
      <c r="N662" s="75"/>
      <c r="O662" s="75"/>
      <c r="P662" s="75"/>
      <c r="Q662" s="75" t="s">
        <v>66</v>
      </c>
      <c r="R662" s="75"/>
      <c r="T662" s="24" t="s">
        <v>2174</v>
      </c>
      <c r="V662" s="24" t="s">
        <v>2400</v>
      </c>
      <c r="W662" s="24" t="s">
        <v>2400</v>
      </c>
      <c r="Z662" s="69"/>
      <c r="AA662" s="69"/>
      <c r="AB662" s="69"/>
      <c r="AC662" s="69" t="s">
        <v>11375</v>
      </c>
      <c r="AE662" s="24" t="s">
        <v>2401</v>
      </c>
    </row>
    <row r="663" spans="1:31" s="26" customFormat="1" x14ac:dyDescent="0.3">
      <c r="A663" s="25" t="s">
        <v>4789</v>
      </c>
      <c r="B663" s="25"/>
      <c r="C663" s="26" t="s">
        <v>3005</v>
      </c>
      <c r="D663" s="70"/>
      <c r="G663" s="70" t="s">
        <v>674</v>
      </c>
      <c r="H663" s="26">
        <v>-1</v>
      </c>
      <c r="I663" s="70" t="s">
        <v>4790</v>
      </c>
      <c r="J663" s="26" t="s">
        <v>4788</v>
      </c>
      <c r="K663" s="26" t="s">
        <v>4791</v>
      </c>
      <c r="L663" s="26" t="s">
        <v>10230</v>
      </c>
      <c r="M663" s="76"/>
      <c r="N663" s="76"/>
      <c r="O663" s="76"/>
      <c r="P663" s="76"/>
      <c r="Q663" s="76"/>
      <c r="R663" s="76"/>
      <c r="T663" s="26" t="s">
        <v>2200</v>
      </c>
      <c r="Z663" s="70"/>
      <c r="AA663" s="70"/>
      <c r="AB663" s="70"/>
      <c r="AC663" s="70"/>
      <c r="AE663" s="26" t="s">
        <v>4792</v>
      </c>
    </row>
    <row r="664" spans="1:31" s="26" customFormat="1" x14ac:dyDescent="0.3">
      <c r="A664" s="25" t="s">
        <v>4793</v>
      </c>
      <c r="B664" s="25"/>
      <c r="C664" s="26" t="s">
        <v>3005</v>
      </c>
      <c r="D664" s="70"/>
      <c r="G664" s="70" t="s">
        <v>674</v>
      </c>
      <c r="H664" s="26">
        <v>-1</v>
      </c>
      <c r="I664" s="70" t="s">
        <v>4794</v>
      </c>
      <c r="J664" s="26" t="s">
        <v>4795</v>
      </c>
      <c r="K664" s="26" t="s">
        <v>4796</v>
      </c>
      <c r="L664" s="26" t="s">
        <v>10231</v>
      </c>
      <c r="M664" s="76"/>
      <c r="N664" s="76"/>
      <c r="O664" s="76"/>
      <c r="P664" s="76"/>
      <c r="Q664" s="76"/>
      <c r="R664" s="76"/>
      <c r="U664" s="26" t="s">
        <v>4797</v>
      </c>
      <c r="Z664" s="70"/>
      <c r="AA664" s="70"/>
      <c r="AB664" s="70"/>
      <c r="AC664" s="70"/>
    </row>
    <row r="665" spans="1:31" s="26" customFormat="1" x14ac:dyDescent="0.3">
      <c r="A665" s="25" t="s">
        <v>4798</v>
      </c>
      <c r="B665" s="25"/>
      <c r="C665" s="26" t="s">
        <v>3005</v>
      </c>
      <c r="D665" s="70"/>
      <c r="G665" s="70" t="s">
        <v>674</v>
      </c>
      <c r="H665" s="26">
        <v>-1</v>
      </c>
      <c r="I665" s="70" t="s">
        <v>4799</v>
      </c>
      <c r="J665" s="26" t="s">
        <v>4800</v>
      </c>
      <c r="K665" s="26" t="s">
        <v>4801</v>
      </c>
      <c r="L665" s="26" t="s">
        <v>10232</v>
      </c>
      <c r="M665" s="76"/>
      <c r="N665" s="76"/>
      <c r="O665" s="76"/>
      <c r="P665" s="76"/>
      <c r="Q665" s="76"/>
      <c r="R665" s="76"/>
      <c r="Z665" s="70"/>
      <c r="AA665" s="70"/>
      <c r="AB665" s="70"/>
      <c r="AC665" s="70"/>
    </row>
    <row r="666" spans="1:31" s="26" customFormat="1" x14ac:dyDescent="0.3">
      <c r="A666" s="25" t="s">
        <v>4802</v>
      </c>
      <c r="B666" s="25"/>
      <c r="C666" s="26" t="s">
        <v>3005</v>
      </c>
      <c r="D666" s="70"/>
      <c r="G666" s="70" t="s">
        <v>674</v>
      </c>
      <c r="H666" s="26">
        <v>2</v>
      </c>
      <c r="I666" s="70" t="s">
        <v>4803</v>
      </c>
      <c r="J666" s="26" t="s">
        <v>4804</v>
      </c>
      <c r="K666" s="26" t="s">
        <v>4805</v>
      </c>
      <c r="L666" s="26" t="s">
        <v>10233</v>
      </c>
      <c r="M666" s="76"/>
      <c r="N666" s="76"/>
      <c r="O666" s="76"/>
      <c r="P666" s="76"/>
      <c r="Q666" s="76"/>
      <c r="R666" s="76"/>
      <c r="Z666" s="70"/>
      <c r="AA666" s="70"/>
      <c r="AB666" s="70"/>
      <c r="AC666" s="70"/>
    </row>
    <row r="667" spans="1:31" s="24" customFormat="1" x14ac:dyDescent="0.3">
      <c r="A667" s="23">
        <v>215</v>
      </c>
      <c r="B667" s="23">
        <v>211</v>
      </c>
      <c r="C667" s="24" t="s">
        <v>2165</v>
      </c>
      <c r="D667" s="69" t="s">
        <v>629</v>
      </c>
      <c r="E667" s="24" t="s">
        <v>628</v>
      </c>
      <c r="F667" s="24" t="s">
        <v>676</v>
      </c>
      <c r="G667" s="69" t="s">
        <v>677</v>
      </c>
      <c r="I667" s="69"/>
      <c r="J667" s="24" t="s">
        <v>3227</v>
      </c>
      <c r="K667" s="24" t="s">
        <v>678</v>
      </c>
      <c r="L667" s="24" t="s">
        <v>9763</v>
      </c>
      <c r="M667" s="75" t="s">
        <v>19</v>
      </c>
      <c r="N667" s="75"/>
      <c r="O667" s="75" t="s">
        <v>85</v>
      </c>
      <c r="P667" s="75" t="s">
        <v>85</v>
      </c>
      <c r="Q667" s="75" t="s">
        <v>85</v>
      </c>
      <c r="R667" s="75" t="s">
        <v>2166</v>
      </c>
      <c r="U667" s="24" t="s">
        <v>2402</v>
      </c>
      <c r="Z667" s="69"/>
      <c r="AA667" s="69"/>
      <c r="AB667" s="69"/>
      <c r="AC667" s="69" t="s">
        <v>11376</v>
      </c>
    </row>
    <row r="668" spans="1:31" s="24" customFormat="1" x14ac:dyDescent="0.3">
      <c r="A668" s="23">
        <v>216</v>
      </c>
      <c r="B668" s="23">
        <v>212</v>
      </c>
      <c r="C668" s="24" t="s">
        <v>2165</v>
      </c>
      <c r="D668" s="69" t="s">
        <v>629</v>
      </c>
      <c r="E668" s="24" t="s">
        <v>628</v>
      </c>
      <c r="F668" s="24" t="s">
        <v>679</v>
      </c>
      <c r="G668" s="69" t="s">
        <v>680</v>
      </c>
      <c r="I668" s="69"/>
      <c r="J668" s="24" t="s">
        <v>3091</v>
      </c>
      <c r="K668" s="24" t="s">
        <v>681</v>
      </c>
      <c r="M668" s="75" t="s">
        <v>236</v>
      </c>
      <c r="N668" s="75"/>
      <c r="O668" s="75"/>
      <c r="P668" s="75"/>
      <c r="Q668" s="75"/>
      <c r="R668" s="75"/>
      <c r="Z668" s="69"/>
      <c r="AA668" s="69"/>
      <c r="AB668" s="69"/>
      <c r="AC668" s="69" t="s">
        <v>11377</v>
      </c>
    </row>
    <row r="669" spans="1:31" s="26" customFormat="1" x14ac:dyDescent="0.3">
      <c r="A669" s="25" t="s">
        <v>4806</v>
      </c>
      <c r="B669" s="25"/>
      <c r="C669" s="26" t="s">
        <v>3005</v>
      </c>
      <c r="D669" s="70"/>
      <c r="G669" s="70" t="s">
        <v>680</v>
      </c>
      <c r="H669" s="26">
        <v>-1</v>
      </c>
      <c r="I669" s="70" t="s">
        <v>3063</v>
      </c>
      <c r="J669" s="26" t="s">
        <v>3091</v>
      </c>
      <c r="K669" s="26" t="s">
        <v>4807</v>
      </c>
      <c r="L669" s="26" t="s">
        <v>10234</v>
      </c>
      <c r="M669" s="76"/>
      <c r="N669" s="76"/>
      <c r="O669" s="76"/>
      <c r="P669" s="76"/>
      <c r="Q669" s="76"/>
      <c r="R669" s="76"/>
      <c r="U669" s="26" t="s">
        <v>4808</v>
      </c>
      <c r="Z669" s="70"/>
      <c r="AA669" s="70"/>
      <c r="AB669" s="70"/>
      <c r="AC669" s="70"/>
    </row>
    <row r="670" spans="1:31" s="26" customFormat="1" x14ac:dyDescent="0.3">
      <c r="A670" s="25" t="s">
        <v>4809</v>
      </c>
      <c r="B670" s="25"/>
      <c r="C670" s="26" t="s">
        <v>3005</v>
      </c>
      <c r="D670" s="70"/>
      <c r="G670" s="70" t="s">
        <v>680</v>
      </c>
      <c r="H670" s="26">
        <v>-1</v>
      </c>
      <c r="I670" s="70" t="s">
        <v>4810</v>
      </c>
      <c r="J670" s="26" t="s">
        <v>4811</v>
      </c>
      <c r="K670" s="26" t="s">
        <v>4812</v>
      </c>
      <c r="L670" s="26" t="s">
        <v>10235</v>
      </c>
      <c r="M670" s="76"/>
      <c r="N670" s="76"/>
      <c r="O670" s="76"/>
      <c r="P670" s="76"/>
      <c r="Q670" s="76"/>
      <c r="R670" s="76"/>
      <c r="Z670" s="70"/>
      <c r="AA670" s="70"/>
      <c r="AB670" s="70"/>
      <c r="AC670" s="70"/>
    </row>
    <row r="671" spans="1:31" s="26" customFormat="1" x14ac:dyDescent="0.3">
      <c r="A671" s="25" t="s">
        <v>4813</v>
      </c>
      <c r="B671" s="25"/>
      <c r="C671" s="26" t="s">
        <v>3005</v>
      </c>
      <c r="D671" s="70"/>
      <c r="G671" s="70" t="s">
        <v>680</v>
      </c>
      <c r="H671" s="26">
        <v>2</v>
      </c>
      <c r="I671" s="70" t="s">
        <v>3640</v>
      </c>
      <c r="J671" s="26" t="s">
        <v>3092</v>
      </c>
      <c r="K671" s="26" t="s">
        <v>4814</v>
      </c>
      <c r="L671" s="26" t="s">
        <v>10236</v>
      </c>
      <c r="M671" s="76"/>
      <c r="N671" s="76"/>
      <c r="O671" s="76"/>
      <c r="P671" s="76"/>
      <c r="Q671" s="76"/>
      <c r="R671" s="76"/>
      <c r="Z671" s="70"/>
      <c r="AA671" s="70"/>
      <c r="AB671" s="70"/>
      <c r="AC671" s="70"/>
    </row>
    <row r="672" spans="1:31" s="24" customFormat="1" x14ac:dyDescent="0.3">
      <c r="A672" s="23">
        <v>217</v>
      </c>
      <c r="B672" s="23">
        <v>213</v>
      </c>
      <c r="C672" s="24" t="s">
        <v>2165</v>
      </c>
      <c r="D672" s="69" t="s">
        <v>629</v>
      </c>
      <c r="E672" s="24" t="s">
        <v>628</v>
      </c>
      <c r="F672" s="24" t="s">
        <v>682</v>
      </c>
      <c r="G672" s="69" t="s">
        <v>683</v>
      </c>
      <c r="I672" s="69"/>
      <c r="J672" s="24" t="s">
        <v>4815</v>
      </c>
      <c r="K672" s="24" t="s">
        <v>684</v>
      </c>
      <c r="L672" s="24" t="s">
        <v>9764</v>
      </c>
      <c r="M672" s="75" t="s">
        <v>19</v>
      </c>
      <c r="N672" s="75"/>
      <c r="O672" s="75" t="s">
        <v>66</v>
      </c>
      <c r="P672" s="75" t="s">
        <v>66</v>
      </c>
      <c r="Q672" s="75"/>
      <c r="R672" s="75" t="s">
        <v>2166</v>
      </c>
      <c r="U672" s="24" t="s">
        <v>2403</v>
      </c>
      <c r="Z672" s="69"/>
      <c r="AA672" s="69"/>
      <c r="AB672" s="69"/>
      <c r="AC672" s="69" t="s">
        <v>11378</v>
      </c>
    </row>
    <row r="673" spans="1:31" s="24" customFormat="1" x14ac:dyDescent="0.3">
      <c r="A673" s="23">
        <v>218</v>
      </c>
      <c r="B673" s="23">
        <v>214</v>
      </c>
      <c r="C673" s="24" t="s">
        <v>2165</v>
      </c>
      <c r="D673" s="69" t="s">
        <v>629</v>
      </c>
      <c r="E673" s="24" t="s">
        <v>628</v>
      </c>
      <c r="F673" s="24" t="s">
        <v>685</v>
      </c>
      <c r="G673" s="69" t="s">
        <v>686</v>
      </c>
      <c r="I673" s="69"/>
      <c r="J673" s="24" t="s">
        <v>3158</v>
      </c>
      <c r="K673" s="24" t="s">
        <v>181</v>
      </c>
      <c r="M673" s="75" t="s">
        <v>15</v>
      </c>
      <c r="N673" s="75"/>
      <c r="O673" s="75"/>
      <c r="P673" s="75"/>
      <c r="Q673" s="75" t="s">
        <v>130</v>
      </c>
      <c r="R673" s="75"/>
      <c r="Z673" s="69"/>
      <c r="AA673" s="69"/>
      <c r="AB673" s="69"/>
      <c r="AC673" s="69" t="s">
        <v>11379</v>
      </c>
    </row>
    <row r="674" spans="1:31" s="26" customFormat="1" x14ac:dyDescent="0.3">
      <c r="A674" s="25" t="s">
        <v>4816</v>
      </c>
      <c r="B674" s="25"/>
      <c r="C674" s="26" t="s">
        <v>3005</v>
      </c>
      <c r="D674" s="70"/>
      <c r="G674" s="70" t="s">
        <v>686</v>
      </c>
      <c r="H674" s="26">
        <v>-1</v>
      </c>
      <c r="I674" s="70" t="s">
        <v>4817</v>
      </c>
      <c r="J674" s="26" t="s">
        <v>4818</v>
      </c>
      <c r="K674" s="26" t="s">
        <v>4819</v>
      </c>
      <c r="L674" s="26" t="s">
        <v>10237</v>
      </c>
      <c r="M674" s="76"/>
      <c r="N674" s="76"/>
      <c r="O674" s="76"/>
      <c r="P674" s="76"/>
      <c r="Q674" s="76"/>
      <c r="R674" s="76"/>
      <c r="Z674" s="70"/>
      <c r="AA674" s="70"/>
      <c r="AB674" s="70"/>
      <c r="AC674" s="70"/>
    </row>
    <row r="675" spans="1:31" s="26" customFormat="1" x14ac:dyDescent="0.3">
      <c r="A675" s="25" t="s">
        <v>4820</v>
      </c>
      <c r="B675" s="25"/>
      <c r="C675" s="26" t="s">
        <v>3005</v>
      </c>
      <c r="D675" s="70"/>
      <c r="G675" s="70" t="s">
        <v>686</v>
      </c>
      <c r="H675" s="26">
        <v>-1</v>
      </c>
      <c r="I675" s="70" t="s">
        <v>4821</v>
      </c>
      <c r="J675" s="26" t="s">
        <v>3358</v>
      </c>
      <c r="K675" s="26" t="s">
        <v>4822</v>
      </c>
      <c r="L675" s="26" t="s">
        <v>10238</v>
      </c>
      <c r="M675" s="76"/>
      <c r="N675" s="76"/>
      <c r="O675" s="76"/>
      <c r="P675" s="76"/>
      <c r="Q675" s="76"/>
      <c r="R675" s="76"/>
      <c r="Z675" s="70"/>
      <c r="AA675" s="70"/>
      <c r="AB675" s="70"/>
      <c r="AC675" s="70"/>
    </row>
    <row r="676" spans="1:31" s="26" customFormat="1" x14ac:dyDescent="0.3">
      <c r="A676" s="25" t="s">
        <v>4823</v>
      </c>
      <c r="B676" s="25"/>
      <c r="C676" s="26" t="s">
        <v>3005</v>
      </c>
      <c r="D676" s="70"/>
      <c r="G676" s="70" t="s">
        <v>686</v>
      </c>
      <c r="H676" s="26">
        <v>2</v>
      </c>
      <c r="I676" s="70" t="s">
        <v>4824</v>
      </c>
      <c r="J676" s="26" t="s">
        <v>3158</v>
      </c>
      <c r="K676" s="26" t="s">
        <v>4825</v>
      </c>
      <c r="L676" s="26" t="s">
        <v>10239</v>
      </c>
      <c r="M676" s="76"/>
      <c r="N676" s="76"/>
      <c r="O676" s="76"/>
      <c r="P676" s="76"/>
      <c r="Q676" s="76"/>
      <c r="R676" s="76"/>
      <c r="Z676" s="70"/>
      <c r="AA676" s="70"/>
      <c r="AB676" s="70"/>
      <c r="AC676" s="70"/>
    </row>
    <row r="677" spans="1:31" s="26" customFormat="1" x14ac:dyDescent="0.3">
      <c r="A677" s="25" t="s">
        <v>4826</v>
      </c>
      <c r="B677" s="25"/>
      <c r="C677" s="26" t="s">
        <v>3005</v>
      </c>
      <c r="D677" s="70"/>
      <c r="G677" s="70" t="s">
        <v>686</v>
      </c>
      <c r="H677" s="26">
        <v>-1</v>
      </c>
      <c r="I677" s="70" t="s">
        <v>4827</v>
      </c>
      <c r="J677" s="26" t="s">
        <v>4828</v>
      </c>
      <c r="K677" s="26" t="s">
        <v>4829</v>
      </c>
      <c r="L677" s="26" t="s">
        <v>10240</v>
      </c>
      <c r="M677" s="76"/>
      <c r="N677" s="76"/>
      <c r="O677" s="76"/>
      <c r="P677" s="76"/>
      <c r="Q677" s="76"/>
      <c r="R677" s="76"/>
      <c r="Z677" s="70"/>
      <c r="AA677" s="70"/>
      <c r="AB677" s="70"/>
      <c r="AC677" s="70"/>
    </row>
    <row r="678" spans="1:31" s="24" customFormat="1" x14ac:dyDescent="0.3">
      <c r="A678" s="23">
        <v>219</v>
      </c>
      <c r="B678" s="23">
        <v>215</v>
      </c>
      <c r="C678" s="24" t="s">
        <v>2165</v>
      </c>
      <c r="D678" s="69" t="s">
        <v>629</v>
      </c>
      <c r="E678" s="24" t="s">
        <v>628</v>
      </c>
      <c r="F678" s="24" t="s">
        <v>687</v>
      </c>
      <c r="G678" s="69" t="s">
        <v>688</v>
      </c>
      <c r="H678" s="24">
        <v>1</v>
      </c>
      <c r="I678" s="69"/>
      <c r="J678" s="24" t="s">
        <v>3174</v>
      </c>
      <c r="K678" s="24" t="s">
        <v>181</v>
      </c>
      <c r="M678" s="75" t="s">
        <v>236</v>
      </c>
      <c r="N678" s="75"/>
      <c r="O678" s="75"/>
      <c r="P678" s="75"/>
      <c r="Q678" s="75" t="s">
        <v>66</v>
      </c>
      <c r="R678" s="75"/>
      <c r="Z678" s="69"/>
      <c r="AA678" s="69"/>
      <c r="AB678" s="69"/>
      <c r="AC678" s="69" t="s">
        <v>11380</v>
      </c>
    </row>
    <row r="679" spans="1:31" s="26" customFormat="1" x14ac:dyDescent="0.3">
      <c r="A679" s="25" t="s">
        <v>4830</v>
      </c>
      <c r="B679" s="25"/>
      <c r="C679" s="26" t="s">
        <v>3005</v>
      </c>
      <c r="D679" s="70"/>
      <c r="G679" s="70" t="s">
        <v>688</v>
      </c>
      <c r="H679" s="26">
        <v>-1</v>
      </c>
      <c r="I679" s="70" t="s">
        <v>4831</v>
      </c>
      <c r="J679" s="26" t="s">
        <v>3174</v>
      </c>
      <c r="K679" s="26" t="s">
        <v>4832</v>
      </c>
      <c r="L679" s="26" t="s">
        <v>10241</v>
      </c>
      <c r="M679" s="76"/>
      <c r="N679" s="76"/>
      <c r="O679" s="76"/>
      <c r="P679" s="76"/>
      <c r="Q679" s="76"/>
      <c r="R679" s="76"/>
      <c r="Z679" s="70"/>
      <c r="AA679" s="70"/>
      <c r="AB679" s="70"/>
      <c r="AC679" s="70"/>
    </row>
    <row r="680" spans="1:31" s="26" customFormat="1" x14ac:dyDescent="0.3">
      <c r="A680" s="25" t="s">
        <v>4833</v>
      </c>
      <c r="B680" s="25"/>
      <c r="C680" s="26" t="s">
        <v>3005</v>
      </c>
      <c r="D680" s="70"/>
      <c r="G680" s="70" t="s">
        <v>688</v>
      </c>
      <c r="H680" s="26">
        <v>2</v>
      </c>
      <c r="I680" s="70" t="s">
        <v>4834</v>
      </c>
      <c r="J680" s="26" t="s">
        <v>4835</v>
      </c>
      <c r="K680" s="26" t="s">
        <v>4836</v>
      </c>
      <c r="L680" s="26" t="s">
        <v>10242</v>
      </c>
      <c r="M680" s="76"/>
      <c r="N680" s="76"/>
      <c r="O680" s="76"/>
      <c r="P680" s="76"/>
      <c r="Q680" s="76"/>
      <c r="R680" s="76"/>
      <c r="Z680" s="70"/>
      <c r="AA680" s="70"/>
      <c r="AB680" s="70"/>
      <c r="AC680" s="70"/>
    </row>
    <row r="681" spans="1:31" s="26" customFormat="1" x14ac:dyDescent="0.3">
      <c r="A681" s="25" t="s">
        <v>4837</v>
      </c>
      <c r="B681" s="25"/>
      <c r="C681" s="26" t="s">
        <v>3005</v>
      </c>
      <c r="D681" s="70"/>
      <c r="G681" s="70" t="s">
        <v>688</v>
      </c>
      <c r="H681" s="26">
        <v>-1</v>
      </c>
      <c r="I681" s="70" t="s">
        <v>4838</v>
      </c>
      <c r="J681" s="26" t="s">
        <v>4839</v>
      </c>
      <c r="K681" s="26" t="s">
        <v>4840</v>
      </c>
      <c r="L681" s="26" t="s">
        <v>10243</v>
      </c>
      <c r="M681" s="76"/>
      <c r="N681" s="76"/>
      <c r="O681" s="76"/>
      <c r="P681" s="76"/>
      <c r="Q681" s="76"/>
      <c r="R681" s="76"/>
      <c r="T681" s="26" t="s">
        <v>2200</v>
      </c>
      <c r="Z681" s="70"/>
      <c r="AA681" s="70"/>
      <c r="AB681" s="70"/>
      <c r="AC681" s="70"/>
      <c r="AE681" s="26" t="s">
        <v>4841</v>
      </c>
    </row>
    <row r="682" spans="1:31" s="26" customFormat="1" x14ac:dyDescent="0.3">
      <c r="A682" s="25" t="s">
        <v>4842</v>
      </c>
      <c r="B682" s="25"/>
      <c r="C682" s="26" t="s">
        <v>3005</v>
      </c>
      <c r="D682" s="70"/>
      <c r="G682" s="70" t="s">
        <v>688</v>
      </c>
      <c r="H682" s="26">
        <v>-1</v>
      </c>
      <c r="I682" s="70" t="s">
        <v>4843</v>
      </c>
      <c r="J682" s="26" t="s">
        <v>4844</v>
      </c>
      <c r="K682" s="26" t="s">
        <v>4845</v>
      </c>
      <c r="L682" s="26" t="s">
        <v>10244</v>
      </c>
      <c r="M682" s="76"/>
      <c r="N682" s="76"/>
      <c r="O682" s="76"/>
      <c r="P682" s="76"/>
      <c r="Q682" s="76"/>
      <c r="R682" s="76"/>
      <c r="Z682" s="70"/>
      <c r="AA682" s="70"/>
      <c r="AB682" s="70"/>
      <c r="AC682" s="70"/>
    </row>
    <row r="683" spans="1:31" s="26" customFormat="1" x14ac:dyDescent="0.3">
      <c r="A683" s="25" t="s">
        <v>4846</v>
      </c>
      <c r="B683" s="25"/>
      <c r="C683" s="26" t="s">
        <v>3005</v>
      </c>
      <c r="D683" s="70"/>
      <c r="G683" s="70" t="s">
        <v>688</v>
      </c>
      <c r="H683" s="26">
        <v>-1</v>
      </c>
      <c r="I683" s="70" t="s">
        <v>4847</v>
      </c>
      <c r="J683" s="26" t="s">
        <v>4848</v>
      </c>
      <c r="K683" s="26" t="s">
        <v>4849</v>
      </c>
      <c r="L683" s="26" t="s">
        <v>10245</v>
      </c>
      <c r="M683" s="76"/>
      <c r="N683" s="76"/>
      <c r="O683" s="76"/>
      <c r="P683" s="76"/>
      <c r="Q683" s="76"/>
      <c r="R683" s="76"/>
      <c r="Z683" s="70"/>
      <c r="AA683" s="70"/>
      <c r="AB683" s="70"/>
      <c r="AC683" s="70"/>
    </row>
    <row r="684" spans="1:31" s="26" customFormat="1" x14ac:dyDescent="0.3">
      <c r="A684" s="25" t="s">
        <v>4850</v>
      </c>
      <c r="B684" s="25"/>
      <c r="C684" s="26" t="s">
        <v>3005</v>
      </c>
      <c r="D684" s="70"/>
      <c r="G684" s="70" t="s">
        <v>688</v>
      </c>
      <c r="H684" s="26">
        <v>-1</v>
      </c>
      <c r="I684" s="70" t="s">
        <v>4851</v>
      </c>
      <c r="J684" s="26" t="s">
        <v>4852</v>
      </c>
      <c r="K684" s="26" t="s">
        <v>4853</v>
      </c>
      <c r="L684" s="26" t="s">
        <v>10246</v>
      </c>
      <c r="M684" s="76"/>
      <c r="N684" s="76"/>
      <c r="O684" s="76"/>
      <c r="P684" s="76"/>
      <c r="Q684" s="76"/>
      <c r="R684" s="76"/>
      <c r="Z684" s="70"/>
      <c r="AA684" s="70"/>
      <c r="AB684" s="70"/>
      <c r="AC684" s="70"/>
    </row>
    <row r="685" spans="1:31" s="24" customFormat="1" x14ac:dyDescent="0.3">
      <c r="A685" s="23">
        <v>220</v>
      </c>
      <c r="B685" s="23">
        <v>216</v>
      </c>
      <c r="C685" s="24" t="s">
        <v>2165</v>
      </c>
      <c r="D685" s="69" t="s">
        <v>629</v>
      </c>
      <c r="E685" s="24" t="s">
        <v>628</v>
      </c>
      <c r="F685" s="24" t="s">
        <v>689</v>
      </c>
      <c r="G685" s="69" t="s">
        <v>690</v>
      </c>
      <c r="I685" s="69"/>
      <c r="J685" s="24" t="s">
        <v>4854</v>
      </c>
      <c r="K685" s="24" t="s">
        <v>691</v>
      </c>
      <c r="M685" s="75" t="s">
        <v>317</v>
      </c>
      <c r="N685" s="75"/>
      <c r="O685" s="75"/>
      <c r="P685" s="75"/>
      <c r="Q685" s="75"/>
      <c r="R685" s="75" t="s">
        <v>2166</v>
      </c>
      <c r="Z685" s="69"/>
      <c r="AA685" s="69"/>
      <c r="AB685" s="69"/>
      <c r="AC685" s="69"/>
    </row>
    <row r="686" spans="1:31" s="26" customFormat="1" x14ac:dyDescent="0.3">
      <c r="A686" s="25" t="s">
        <v>4855</v>
      </c>
      <c r="B686" s="25"/>
      <c r="C686" s="26" t="s">
        <v>3005</v>
      </c>
      <c r="D686" s="70"/>
      <c r="G686" s="70" t="s">
        <v>690</v>
      </c>
      <c r="H686" s="26">
        <v>-1</v>
      </c>
      <c r="I686" s="70" t="s">
        <v>4856</v>
      </c>
      <c r="J686" s="26" t="s">
        <v>4854</v>
      </c>
      <c r="K686" s="26" t="s">
        <v>4857</v>
      </c>
      <c r="L686" s="26" t="s">
        <v>10247</v>
      </c>
      <c r="M686" s="76"/>
      <c r="N686" s="76"/>
      <c r="O686" s="76"/>
      <c r="P686" s="76"/>
      <c r="Q686" s="76"/>
      <c r="R686" s="76"/>
      <c r="Z686" s="70"/>
      <c r="AA686" s="70"/>
      <c r="AB686" s="70"/>
      <c r="AC686" s="70"/>
    </row>
    <row r="687" spans="1:31" s="26" customFormat="1" x14ac:dyDescent="0.3">
      <c r="A687" s="25" t="s">
        <v>4858</v>
      </c>
      <c r="B687" s="25"/>
      <c r="C687" s="26" t="s">
        <v>3005</v>
      </c>
      <c r="D687" s="70"/>
      <c r="G687" s="70" t="s">
        <v>690</v>
      </c>
      <c r="H687" s="26">
        <v>-1</v>
      </c>
      <c r="I687" s="70" t="s">
        <v>4859</v>
      </c>
      <c r="J687" s="26" t="s">
        <v>3195</v>
      </c>
      <c r="K687" s="26" t="s">
        <v>4860</v>
      </c>
      <c r="L687" s="26" t="s">
        <v>4860</v>
      </c>
      <c r="M687" s="76"/>
      <c r="N687" s="76"/>
      <c r="O687" s="76"/>
      <c r="P687" s="76"/>
      <c r="Q687" s="76"/>
      <c r="R687" s="76"/>
      <c r="Z687" s="70"/>
      <c r="AA687" s="70"/>
      <c r="AB687" s="70"/>
      <c r="AC687" s="70"/>
    </row>
    <row r="688" spans="1:31" s="26" customFormat="1" x14ac:dyDescent="0.3">
      <c r="A688" s="25" t="s">
        <v>4861</v>
      </c>
      <c r="B688" s="25"/>
      <c r="C688" s="26" t="s">
        <v>3005</v>
      </c>
      <c r="D688" s="70"/>
      <c r="G688" s="70" t="s">
        <v>690</v>
      </c>
      <c r="H688" s="26">
        <v>-1</v>
      </c>
      <c r="I688" s="70" t="s">
        <v>4862</v>
      </c>
      <c r="J688" s="26" t="s">
        <v>4111</v>
      </c>
      <c r="K688" s="26" t="s">
        <v>4863</v>
      </c>
      <c r="L688" s="26" t="s">
        <v>10248</v>
      </c>
      <c r="M688" s="76"/>
      <c r="N688" s="76"/>
      <c r="O688" s="76"/>
      <c r="P688" s="76"/>
      <c r="Q688" s="76"/>
      <c r="R688" s="76"/>
      <c r="Z688" s="70"/>
      <c r="AA688" s="70"/>
      <c r="AB688" s="70"/>
      <c r="AC688" s="70"/>
    </row>
    <row r="689" spans="1:31" s="26" customFormat="1" x14ac:dyDescent="0.3">
      <c r="A689" s="25" t="s">
        <v>4864</v>
      </c>
      <c r="B689" s="25"/>
      <c r="C689" s="26" t="s">
        <v>3005</v>
      </c>
      <c r="D689" s="70"/>
      <c r="G689" s="70" t="s">
        <v>690</v>
      </c>
      <c r="H689" s="26">
        <v>-1</v>
      </c>
      <c r="I689" s="70" t="s">
        <v>4865</v>
      </c>
      <c r="J689" s="26" t="s">
        <v>3195</v>
      </c>
      <c r="K689" s="26" t="s">
        <v>4866</v>
      </c>
      <c r="L689" s="26" t="s">
        <v>10249</v>
      </c>
      <c r="M689" s="76"/>
      <c r="N689" s="76"/>
      <c r="O689" s="76"/>
      <c r="P689" s="76"/>
      <c r="Q689" s="76"/>
      <c r="R689" s="76"/>
      <c r="Z689" s="70"/>
      <c r="AA689" s="70"/>
      <c r="AB689" s="70"/>
      <c r="AC689" s="70"/>
    </row>
    <row r="690" spans="1:31" s="26" customFormat="1" x14ac:dyDescent="0.3">
      <c r="A690" s="25" t="s">
        <v>4867</v>
      </c>
      <c r="B690" s="25"/>
      <c r="C690" s="26" t="s">
        <v>3005</v>
      </c>
      <c r="D690" s="70"/>
      <c r="G690" s="70" t="s">
        <v>690</v>
      </c>
      <c r="H690" s="26">
        <v>-1</v>
      </c>
      <c r="I690" s="70" t="s">
        <v>4868</v>
      </c>
      <c r="J690" s="26" t="s">
        <v>4205</v>
      </c>
      <c r="K690" s="26" t="s">
        <v>4869</v>
      </c>
      <c r="L690" s="26" t="s">
        <v>10250</v>
      </c>
      <c r="M690" s="76"/>
      <c r="N690" s="76"/>
      <c r="O690" s="76"/>
      <c r="P690" s="76"/>
      <c r="Q690" s="76"/>
      <c r="R690" s="76"/>
      <c r="Z690" s="70"/>
      <c r="AA690" s="70"/>
      <c r="AB690" s="70"/>
      <c r="AC690" s="70"/>
    </row>
    <row r="691" spans="1:31" s="24" customFormat="1" x14ac:dyDescent="0.3">
      <c r="A691" s="23">
        <v>221</v>
      </c>
      <c r="B691" s="23">
        <v>217</v>
      </c>
      <c r="C691" s="24" t="s">
        <v>2165</v>
      </c>
      <c r="D691" s="69" t="s">
        <v>629</v>
      </c>
      <c r="E691" s="24" t="s">
        <v>628</v>
      </c>
      <c r="F691" s="24" t="s">
        <v>692</v>
      </c>
      <c r="G691" s="69" t="s">
        <v>693</v>
      </c>
      <c r="I691" s="69"/>
      <c r="J691" s="24" t="s">
        <v>3508</v>
      </c>
      <c r="K691" s="24" t="s">
        <v>694</v>
      </c>
      <c r="M691" s="75" t="s">
        <v>15</v>
      </c>
      <c r="N691" s="75"/>
      <c r="O691" s="75"/>
      <c r="P691" s="75"/>
      <c r="Q691" s="75"/>
      <c r="R691" s="75"/>
      <c r="U691" s="24" t="s">
        <v>2404</v>
      </c>
      <c r="Z691" s="69"/>
      <c r="AA691" s="69"/>
      <c r="AB691" s="69"/>
      <c r="AC691" s="69"/>
      <c r="AD691" s="24" t="s">
        <v>123</v>
      </c>
    </row>
    <row r="692" spans="1:31" s="26" customFormat="1" x14ac:dyDescent="0.3">
      <c r="A692" s="25" t="s">
        <v>4870</v>
      </c>
      <c r="B692" s="25"/>
      <c r="C692" s="26" t="s">
        <v>3005</v>
      </c>
      <c r="D692" s="70"/>
      <c r="G692" s="70" t="s">
        <v>693</v>
      </c>
      <c r="H692" s="26">
        <v>-1</v>
      </c>
      <c r="I692" s="70" t="s">
        <v>4871</v>
      </c>
      <c r="J692" s="26" t="s">
        <v>4872</v>
      </c>
      <c r="K692" s="26" t="s">
        <v>4873</v>
      </c>
      <c r="L692" s="26" t="s">
        <v>10251</v>
      </c>
      <c r="M692" s="76"/>
      <c r="N692" s="76"/>
      <c r="O692" s="76"/>
      <c r="P692" s="76"/>
      <c r="Q692" s="76"/>
      <c r="R692" s="76"/>
      <c r="Z692" s="70"/>
      <c r="AA692" s="70"/>
      <c r="AB692" s="70"/>
      <c r="AC692" s="70"/>
    </row>
    <row r="693" spans="1:31" s="26" customFormat="1" x14ac:dyDescent="0.3">
      <c r="A693" s="25" t="s">
        <v>4874</v>
      </c>
      <c r="B693" s="25"/>
      <c r="C693" s="26" t="s">
        <v>3005</v>
      </c>
      <c r="D693" s="70"/>
      <c r="G693" s="70" t="s">
        <v>693</v>
      </c>
      <c r="H693" s="26">
        <v>2</v>
      </c>
      <c r="I693" s="70" t="s">
        <v>4875</v>
      </c>
      <c r="J693" s="26" t="s">
        <v>3508</v>
      </c>
      <c r="K693" s="26" t="s">
        <v>4876</v>
      </c>
      <c r="L693" s="26" t="s">
        <v>10252</v>
      </c>
      <c r="M693" s="76"/>
      <c r="N693" s="76"/>
      <c r="O693" s="76"/>
      <c r="P693" s="76"/>
      <c r="Q693" s="76"/>
      <c r="R693" s="76"/>
      <c r="Z693" s="70"/>
      <c r="AA693" s="70"/>
      <c r="AB693" s="70"/>
      <c r="AC693" s="70"/>
    </row>
    <row r="694" spans="1:31" s="24" customFormat="1" x14ac:dyDescent="0.3">
      <c r="A694" s="23">
        <v>222</v>
      </c>
      <c r="B694" s="23">
        <v>218</v>
      </c>
      <c r="C694" s="24" t="s">
        <v>2165</v>
      </c>
      <c r="D694" s="69" t="s">
        <v>629</v>
      </c>
      <c r="E694" s="24" t="s">
        <v>628</v>
      </c>
      <c r="F694" s="24" t="s">
        <v>695</v>
      </c>
      <c r="G694" s="69" t="s">
        <v>696</v>
      </c>
      <c r="I694" s="69"/>
      <c r="J694" s="24" t="s">
        <v>3110</v>
      </c>
      <c r="K694" s="24" t="s">
        <v>697</v>
      </c>
      <c r="M694" s="75" t="s">
        <v>15</v>
      </c>
      <c r="N694" s="75"/>
      <c r="O694" s="75"/>
      <c r="P694" s="75"/>
      <c r="Q694" s="75"/>
      <c r="R694" s="75"/>
      <c r="U694" s="24" t="s">
        <v>2405</v>
      </c>
      <c r="Z694" s="69"/>
      <c r="AA694" s="69"/>
      <c r="AB694" s="69"/>
      <c r="AC694" s="69"/>
      <c r="AD694" s="24" t="s">
        <v>123</v>
      </c>
    </row>
    <row r="695" spans="1:31" s="26" customFormat="1" x14ac:dyDescent="0.3">
      <c r="A695" s="25" t="s">
        <v>4877</v>
      </c>
      <c r="B695" s="25"/>
      <c r="C695" s="26" t="s">
        <v>3005</v>
      </c>
      <c r="D695" s="70"/>
      <c r="G695" s="70" t="s">
        <v>696</v>
      </c>
      <c r="H695" s="26">
        <v>-1</v>
      </c>
      <c r="I695" s="70" t="s">
        <v>4878</v>
      </c>
      <c r="J695" s="26" t="s">
        <v>3110</v>
      </c>
      <c r="K695" s="26" t="s">
        <v>4879</v>
      </c>
      <c r="L695" s="26" t="s">
        <v>10253</v>
      </c>
      <c r="M695" s="76"/>
      <c r="N695" s="76"/>
      <c r="O695" s="76"/>
      <c r="P695" s="76"/>
      <c r="Q695" s="76"/>
      <c r="R695" s="76"/>
      <c r="U695" s="26" t="s">
        <v>2408</v>
      </c>
      <c r="Z695" s="70"/>
      <c r="AA695" s="70"/>
      <c r="AB695" s="70"/>
      <c r="AC695" s="70"/>
    </row>
    <row r="696" spans="1:31" s="26" customFormat="1" x14ac:dyDescent="0.3">
      <c r="A696" s="25" t="s">
        <v>4880</v>
      </c>
      <c r="B696" s="25"/>
      <c r="C696" s="26" t="s">
        <v>3005</v>
      </c>
      <c r="D696" s="70"/>
      <c r="G696" s="70" t="s">
        <v>696</v>
      </c>
      <c r="H696" s="26">
        <v>-1</v>
      </c>
      <c r="I696" s="70" t="s">
        <v>4881</v>
      </c>
      <c r="J696" s="26" t="s">
        <v>4695</v>
      </c>
      <c r="K696" s="26" t="s">
        <v>4882</v>
      </c>
      <c r="L696" s="26" t="s">
        <v>10254</v>
      </c>
      <c r="M696" s="76"/>
      <c r="N696" s="76"/>
      <c r="O696" s="76"/>
      <c r="P696" s="76"/>
      <c r="Q696" s="76"/>
      <c r="R696" s="76"/>
      <c r="U696" s="26" t="s">
        <v>3291</v>
      </c>
      <c r="Z696" s="70"/>
      <c r="AA696" s="70"/>
      <c r="AB696" s="70"/>
      <c r="AC696" s="70"/>
    </row>
    <row r="697" spans="1:31" s="26" customFormat="1" x14ac:dyDescent="0.3">
      <c r="A697" s="25" t="s">
        <v>4883</v>
      </c>
      <c r="B697" s="25"/>
      <c r="C697" s="26" t="s">
        <v>3005</v>
      </c>
      <c r="D697" s="70"/>
      <c r="G697" s="70" t="s">
        <v>696</v>
      </c>
      <c r="H697" s="26">
        <v>-1</v>
      </c>
      <c r="I697" s="70" t="s">
        <v>4884</v>
      </c>
      <c r="J697" s="26" t="s">
        <v>4734</v>
      </c>
      <c r="K697" s="26" t="s">
        <v>4885</v>
      </c>
      <c r="M697" s="76"/>
      <c r="N697" s="76"/>
      <c r="O697" s="76"/>
      <c r="P697" s="76"/>
      <c r="Q697" s="76"/>
      <c r="R697" s="76"/>
      <c r="U697" s="26" t="s">
        <v>3311</v>
      </c>
      <c r="Z697" s="70"/>
      <c r="AA697" s="70"/>
      <c r="AB697" s="70"/>
      <c r="AC697" s="70"/>
    </row>
    <row r="698" spans="1:31" s="26" customFormat="1" x14ac:dyDescent="0.3">
      <c r="A698" s="25" t="s">
        <v>4886</v>
      </c>
      <c r="B698" s="25"/>
      <c r="C698" s="26" t="s">
        <v>3005</v>
      </c>
      <c r="D698" s="70"/>
      <c r="G698" s="70" t="s">
        <v>696</v>
      </c>
      <c r="H698" s="26">
        <v>-1</v>
      </c>
      <c r="I698" s="70" t="s">
        <v>4887</v>
      </c>
      <c r="J698" s="26" t="s">
        <v>4888</v>
      </c>
      <c r="K698" s="26" t="s">
        <v>4889</v>
      </c>
      <c r="M698" s="76"/>
      <c r="N698" s="76"/>
      <c r="O698" s="76"/>
      <c r="P698" s="76"/>
      <c r="Q698" s="76"/>
      <c r="R698" s="76"/>
      <c r="U698" s="26" t="s">
        <v>4890</v>
      </c>
      <c r="Z698" s="70"/>
      <c r="AA698" s="70"/>
      <c r="AB698" s="70"/>
      <c r="AC698" s="70"/>
    </row>
    <row r="699" spans="1:31" s="24" customFormat="1" x14ac:dyDescent="0.3">
      <c r="A699" s="23">
        <v>223</v>
      </c>
      <c r="B699" s="23">
        <v>219</v>
      </c>
      <c r="C699" s="24" t="s">
        <v>2165</v>
      </c>
      <c r="D699" s="69" t="s">
        <v>629</v>
      </c>
      <c r="E699" s="24" t="s">
        <v>628</v>
      </c>
      <c r="F699" s="24" t="s">
        <v>698</v>
      </c>
      <c r="G699" s="69" t="s">
        <v>699</v>
      </c>
      <c r="I699" s="69"/>
      <c r="J699" s="24" t="s">
        <v>3165</v>
      </c>
      <c r="K699" s="24" t="s">
        <v>681</v>
      </c>
      <c r="M699" s="75" t="s">
        <v>50</v>
      </c>
      <c r="N699" s="75"/>
      <c r="O699" s="75"/>
      <c r="P699" s="75"/>
      <c r="Q699" s="75"/>
      <c r="R699" s="75"/>
      <c r="U699" s="24" t="s">
        <v>2346</v>
      </c>
      <c r="Z699" s="69"/>
      <c r="AA699" s="69"/>
      <c r="AB699" s="69"/>
      <c r="AC699" s="69" t="s">
        <v>11381</v>
      </c>
    </row>
    <row r="700" spans="1:31" s="26" customFormat="1" x14ac:dyDescent="0.3">
      <c r="A700" s="25" t="s">
        <v>4891</v>
      </c>
      <c r="B700" s="25"/>
      <c r="C700" s="26" t="s">
        <v>3005</v>
      </c>
      <c r="D700" s="70"/>
      <c r="G700" s="70" t="s">
        <v>699</v>
      </c>
      <c r="H700" s="26">
        <v>2</v>
      </c>
      <c r="I700" s="70" t="s">
        <v>4892</v>
      </c>
      <c r="J700" s="26" t="s">
        <v>3165</v>
      </c>
      <c r="K700" s="26" t="s">
        <v>4893</v>
      </c>
      <c r="L700" s="26" t="s">
        <v>10255</v>
      </c>
      <c r="M700" s="76"/>
      <c r="N700" s="76"/>
      <c r="O700" s="76"/>
      <c r="P700" s="76"/>
      <c r="Q700" s="76"/>
      <c r="R700" s="76"/>
      <c r="T700" s="26" t="s">
        <v>2330</v>
      </c>
      <c r="U700" s="26" t="s">
        <v>4894</v>
      </c>
      <c r="Z700" s="70"/>
      <c r="AA700" s="70"/>
      <c r="AB700" s="70"/>
      <c r="AC700" s="70"/>
      <c r="AE700" s="26" t="s">
        <v>4895</v>
      </c>
    </row>
    <row r="701" spans="1:31" s="26" customFormat="1" x14ac:dyDescent="0.3">
      <c r="A701" s="25" t="s">
        <v>4896</v>
      </c>
      <c r="B701" s="25"/>
      <c r="C701" s="26" t="s">
        <v>3005</v>
      </c>
      <c r="D701" s="70"/>
      <c r="G701" s="70" t="s">
        <v>699</v>
      </c>
      <c r="H701" s="26">
        <v>-1</v>
      </c>
      <c r="I701" s="70" t="s">
        <v>4897</v>
      </c>
      <c r="J701" s="26" t="s">
        <v>4102</v>
      </c>
      <c r="K701" s="26" t="s">
        <v>4898</v>
      </c>
      <c r="L701" s="26" t="s">
        <v>10256</v>
      </c>
      <c r="M701" s="76"/>
      <c r="N701" s="76"/>
      <c r="O701" s="76"/>
      <c r="P701" s="76"/>
      <c r="Q701" s="76"/>
      <c r="R701" s="76"/>
      <c r="T701" s="26" t="s">
        <v>2330</v>
      </c>
      <c r="Z701" s="70"/>
      <c r="AA701" s="70"/>
      <c r="AB701" s="70"/>
      <c r="AC701" s="70"/>
      <c r="AE701" s="26" t="s">
        <v>4899</v>
      </c>
    </row>
    <row r="702" spans="1:31" s="26" customFormat="1" x14ac:dyDescent="0.3">
      <c r="A702" s="25" t="s">
        <v>4900</v>
      </c>
      <c r="B702" s="25"/>
      <c r="C702" s="26" t="s">
        <v>3005</v>
      </c>
      <c r="D702" s="70"/>
      <c r="G702" s="70" t="s">
        <v>699</v>
      </c>
      <c r="H702" s="26">
        <v>2</v>
      </c>
      <c r="I702" s="70" t="s">
        <v>3850</v>
      </c>
      <c r="J702" s="26" t="s">
        <v>3447</v>
      </c>
      <c r="K702" s="26" t="s">
        <v>4772</v>
      </c>
      <c r="L702" s="26" t="s">
        <v>10257</v>
      </c>
      <c r="M702" s="76"/>
      <c r="N702" s="76"/>
      <c r="O702" s="76"/>
      <c r="P702" s="76"/>
      <c r="Q702" s="76"/>
      <c r="R702" s="76"/>
      <c r="T702" s="26" t="s">
        <v>2330</v>
      </c>
      <c r="U702" s="26" t="s">
        <v>4901</v>
      </c>
      <c r="Z702" s="70"/>
      <c r="AA702" s="70"/>
      <c r="AB702" s="70"/>
      <c r="AC702" s="70"/>
      <c r="AE702" s="26" t="s">
        <v>4902</v>
      </c>
    </row>
    <row r="703" spans="1:31" s="24" customFormat="1" x14ac:dyDescent="0.3">
      <c r="A703" s="23">
        <v>224</v>
      </c>
      <c r="B703" s="23">
        <v>220</v>
      </c>
      <c r="C703" s="24" t="s">
        <v>2165</v>
      </c>
      <c r="D703" s="69" t="s">
        <v>629</v>
      </c>
      <c r="E703" s="24" t="s">
        <v>628</v>
      </c>
      <c r="F703" s="24" t="s">
        <v>700</v>
      </c>
      <c r="G703" s="69" t="s">
        <v>701</v>
      </c>
      <c r="I703" s="69"/>
      <c r="J703" s="24" t="s">
        <v>4313</v>
      </c>
      <c r="K703" s="24" t="s">
        <v>613</v>
      </c>
      <c r="L703" s="24" t="s">
        <v>9765</v>
      </c>
      <c r="M703" s="75" t="s">
        <v>50</v>
      </c>
      <c r="N703" s="75"/>
      <c r="O703" s="75"/>
      <c r="P703" s="75"/>
      <c r="Q703" s="75"/>
      <c r="R703" s="75"/>
      <c r="U703" s="24" t="s">
        <v>2346</v>
      </c>
      <c r="Z703" s="69"/>
      <c r="AA703" s="69"/>
      <c r="AB703" s="69"/>
      <c r="AC703" s="69"/>
      <c r="AD703" s="24" t="s">
        <v>123</v>
      </c>
    </row>
    <row r="704" spans="1:31" s="24" customFormat="1" x14ac:dyDescent="0.3">
      <c r="A704" s="23">
        <v>225</v>
      </c>
      <c r="B704" s="23">
        <v>221</v>
      </c>
      <c r="C704" s="24" t="s">
        <v>2165</v>
      </c>
      <c r="D704" s="69" t="s">
        <v>703</v>
      </c>
      <c r="E704" s="24" t="s">
        <v>702</v>
      </c>
      <c r="F704" s="24" t="s">
        <v>704</v>
      </c>
      <c r="G704" s="69" t="s">
        <v>705</v>
      </c>
      <c r="I704" s="69"/>
      <c r="J704" s="24" t="s">
        <v>4313</v>
      </c>
      <c r="K704" s="24" t="s">
        <v>482</v>
      </c>
      <c r="L704" s="24" t="s">
        <v>9766</v>
      </c>
      <c r="M704" s="75" t="s">
        <v>50</v>
      </c>
      <c r="N704" s="75"/>
      <c r="O704" s="75"/>
      <c r="P704" s="75"/>
      <c r="Q704" s="75"/>
      <c r="R704" s="75" t="s">
        <v>2166</v>
      </c>
      <c r="T704" s="24" t="s">
        <v>2174</v>
      </c>
      <c r="U704" s="24" t="s">
        <v>2406</v>
      </c>
      <c r="Z704" s="69"/>
      <c r="AA704" s="69"/>
      <c r="AB704" s="69"/>
      <c r="AC704" s="69"/>
      <c r="AE704" s="24" t="s">
        <v>2407</v>
      </c>
    </row>
    <row r="705" spans="1:31" s="24" customFormat="1" x14ac:dyDescent="0.3">
      <c r="A705" s="23">
        <v>226</v>
      </c>
      <c r="B705" s="23">
        <v>222</v>
      </c>
      <c r="C705" s="24" t="s">
        <v>2165</v>
      </c>
      <c r="D705" s="69" t="s">
        <v>703</v>
      </c>
      <c r="E705" s="24" t="s">
        <v>702</v>
      </c>
      <c r="F705" s="24" t="s">
        <v>706</v>
      </c>
      <c r="G705" s="69" t="s">
        <v>707</v>
      </c>
      <c r="I705" s="69"/>
      <c r="J705" s="24" t="s">
        <v>3016</v>
      </c>
      <c r="K705" s="24" t="s">
        <v>482</v>
      </c>
      <c r="L705" s="24" t="s">
        <v>9766</v>
      </c>
      <c r="M705" s="75" t="s">
        <v>19</v>
      </c>
      <c r="N705" s="75"/>
      <c r="O705" s="75"/>
      <c r="P705" s="75"/>
      <c r="Q705" s="75"/>
      <c r="R705" s="75" t="s">
        <v>2166</v>
      </c>
      <c r="T705" s="24" t="s">
        <v>2174</v>
      </c>
      <c r="U705" s="24" t="s">
        <v>2408</v>
      </c>
      <c r="V705" s="24" t="s">
        <v>2171</v>
      </c>
      <c r="Y705" s="24" t="s">
        <v>2409</v>
      </c>
      <c r="Z705" s="69"/>
      <c r="AA705" s="69"/>
      <c r="AB705" s="69"/>
      <c r="AC705" s="69"/>
      <c r="AD705" s="24" t="s">
        <v>708</v>
      </c>
      <c r="AE705" s="24" t="s">
        <v>2410</v>
      </c>
    </row>
    <row r="706" spans="1:31" s="24" customFormat="1" x14ac:dyDescent="0.3">
      <c r="A706" s="23">
        <v>227</v>
      </c>
      <c r="B706" s="23">
        <v>223</v>
      </c>
      <c r="C706" s="24" t="s">
        <v>2165</v>
      </c>
      <c r="D706" s="69" t="s">
        <v>703</v>
      </c>
      <c r="E706" s="24" t="s">
        <v>702</v>
      </c>
      <c r="F706" s="24" t="s">
        <v>709</v>
      </c>
      <c r="G706" s="69" t="s">
        <v>710</v>
      </c>
      <c r="I706" s="69"/>
      <c r="J706" s="24" t="s">
        <v>4903</v>
      </c>
      <c r="K706" s="24" t="s">
        <v>482</v>
      </c>
      <c r="M706" s="75" t="s">
        <v>19</v>
      </c>
      <c r="N706" s="75"/>
      <c r="O706" s="75"/>
      <c r="P706" s="75"/>
      <c r="Q706" s="75"/>
      <c r="R706" s="75" t="s">
        <v>2166</v>
      </c>
      <c r="U706" s="24" t="s">
        <v>2411</v>
      </c>
      <c r="V706" s="24" t="s">
        <v>2171</v>
      </c>
      <c r="Z706" s="69"/>
      <c r="AA706" s="69"/>
      <c r="AB706" s="69"/>
      <c r="AC706" s="69"/>
      <c r="AD706" s="24" t="s">
        <v>711</v>
      </c>
    </row>
    <row r="707" spans="1:31" s="26" customFormat="1" x14ac:dyDescent="0.3">
      <c r="A707" s="25" t="s">
        <v>4904</v>
      </c>
      <c r="B707" s="25"/>
      <c r="C707" s="26" t="s">
        <v>3005</v>
      </c>
      <c r="D707" s="70"/>
      <c r="G707" s="70" t="s">
        <v>710</v>
      </c>
      <c r="H707" s="26">
        <v>-1</v>
      </c>
      <c r="I707" s="70" t="s">
        <v>4905</v>
      </c>
      <c r="J707" s="26" t="s">
        <v>4903</v>
      </c>
      <c r="K707" s="26" t="s">
        <v>4906</v>
      </c>
      <c r="L707" s="26" t="s">
        <v>10258</v>
      </c>
      <c r="M707" s="76"/>
      <c r="N707" s="76"/>
      <c r="O707" s="76"/>
      <c r="P707" s="76"/>
      <c r="Q707" s="76"/>
      <c r="R707" s="76"/>
      <c r="Z707" s="70"/>
      <c r="AA707" s="70"/>
      <c r="AB707" s="70"/>
      <c r="AC707" s="70"/>
    </row>
    <row r="708" spans="1:31" s="26" customFormat="1" x14ac:dyDescent="0.3">
      <c r="A708" s="25" t="s">
        <v>4907</v>
      </c>
      <c r="B708" s="25"/>
      <c r="C708" s="26" t="s">
        <v>3005</v>
      </c>
      <c r="D708" s="70"/>
      <c r="G708" s="70" t="s">
        <v>710</v>
      </c>
      <c r="H708" s="26">
        <v>-1</v>
      </c>
      <c r="I708" s="70" t="s">
        <v>4284</v>
      </c>
      <c r="J708" s="26" t="s">
        <v>4908</v>
      </c>
      <c r="K708" s="26" t="s">
        <v>4909</v>
      </c>
      <c r="L708" s="26" t="s">
        <v>10259</v>
      </c>
      <c r="M708" s="76"/>
      <c r="N708" s="76"/>
      <c r="O708" s="76"/>
      <c r="P708" s="76"/>
      <c r="Q708" s="76"/>
      <c r="R708" s="76"/>
      <c r="Z708" s="70"/>
      <c r="AA708" s="70"/>
      <c r="AB708" s="70"/>
      <c r="AC708" s="70"/>
    </row>
    <row r="709" spans="1:31" s="24" customFormat="1" x14ac:dyDescent="0.3">
      <c r="A709" s="23">
        <v>228</v>
      </c>
      <c r="B709" s="23">
        <v>224</v>
      </c>
      <c r="C709" s="24" t="s">
        <v>2165</v>
      </c>
      <c r="D709" s="69" t="s">
        <v>713</v>
      </c>
      <c r="E709" s="24" t="s">
        <v>712</v>
      </c>
      <c r="F709" s="24" t="s">
        <v>714</v>
      </c>
      <c r="G709" s="69" t="s">
        <v>715</v>
      </c>
      <c r="I709" s="69"/>
      <c r="J709" s="24" t="s">
        <v>3298</v>
      </c>
      <c r="K709" s="24" t="s">
        <v>201</v>
      </c>
      <c r="M709" s="75" t="s">
        <v>107</v>
      </c>
      <c r="N709" s="75"/>
      <c r="O709" s="75"/>
      <c r="P709" s="75"/>
      <c r="Q709" s="75"/>
      <c r="R709" s="75"/>
      <c r="T709" s="24" t="s">
        <v>2174</v>
      </c>
      <c r="W709" s="24" t="s">
        <v>2412</v>
      </c>
      <c r="Z709" s="69"/>
      <c r="AA709" s="69"/>
      <c r="AB709" s="69"/>
      <c r="AC709" s="69"/>
      <c r="AD709" s="24" t="s">
        <v>716</v>
      </c>
      <c r="AE709" s="24" t="s">
        <v>2413</v>
      </c>
    </row>
    <row r="710" spans="1:31" s="26" customFormat="1" x14ac:dyDescent="0.3">
      <c r="A710" s="25" t="s">
        <v>4910</v>
      </c>
      <c r="B710" s="25"/>
      <c r="C710" s="26" t="s">
        <v>3005</v>
      </c>
      <c r="D710" s="70"/>
      <c r="G710" s="70" t="s">
        <v>715</v>
      </c>
      <c r="H710" s="26">
        <v>-1</v>
      </c>
      <c r="I710" s="70" t="s">
        <v>4911</v>
      </c>
      <c r="J710" s="26" t="s">
        <v>3298</v>
      </c>
      <c r="K710" s="26" t="s">
        <v>4912</v>
      </c>
      <c r="L710" s="26" t="s">
        <v>10260</v>
      </c>
      <c r="M710" s="76"/>
      <c r="N710" s="76"/>
      <c r="O710" s="76"/>
      <c r="P710" s="76"/>
      <c r="Q710" s="76"/>
      <c r="R710" s="76"/>
      <c r="Z710" s="70"/>
      <c r="AA710" s="70"/>
      <c r="AB710" s="70"/>
      <c r="AC710" s="70"/>
    </row>
    <row r="711" spans="1:31" s="26" customFormat="1" x14ac:dyDescent="0.3">
      <c r="A711" s="25" t="s">
        <v>4913</v>
      </c>
      <c r="B711" s="25"/>
      <c r="C711" s="26" t="s">
        <v>3005</v>
      </c>
      <c r="D711" s="70"/>
      <c r="G711" s="70" t="s">
        <v>715</v>
      </c>
      <c r="H711" s="26">
        <v>-1</v>
      </c>
      <c r="I711" s="70" t="s">
        <v>4914</v>
      </c>
      <c r="J711" s="26" t="s">
        <v>4915</v>
      </c>
      <c r="K711" s="26" t="s">
        <v>4916</v>
      </c>
      <c r="L711" s="26" t="s">
        <v>10261</v>
      </c>
      <c r="M711" s="76"/>
      <c r="N711" s="76"/>
      <c r="O711" s="76"/>
      <c r="P711" s="76"/>
      <c r="Q711" s="76"/>
      <c r="R711" s="76"/>
      <c r="Z711" s="70"/>
      <c r="AA711" s="70"/>
      <c r="AB711" s="70"/>
      <c r="AC711" s="70"/>
    </row>
    <row r="712" spans="1:31" s="26" customFormat="1" x14ac:dyDescent="0.3">
      <c r="A712" s="25" t="s">
        <v>4917</v>
      </c>
      <c r="B712" s="25"/>
      <c r="C712" s="26" t="s">
        <v>3005</v>
      </c>
      <c r="D712" s="70"/>
      <c r="G712" s="70" t="s">
        <v>715</v>
      </c>
      <c r="H712" s="26">
        <v>-1</v>
      </c>
      <c r="I712" s="70" t="s">
        <v>4918</v>
      </c>
      <c r="J712" s="26" t="s">
        <v>4919</v>
      </c>
      <c r="K712" s="26" t="s">
        <v>4920</v>
      </c>
      <c r="L712" s="26" t="s">
        <v>10262</v>
      </c>
      <c r="M712" s="76"/>
      <c r="N712" s="76"/>
      <c r="O712" s="76"/>
      <c r="P712" s="76"/>
      <c r="Q712" s="76"/>
      <c r="R712" s="76"/>
      <c r="Z712" s="70"/>
      <c r="AA712" s="70"/>
      <c r="AB712" s="70"/>
      <c r="AC712" s="70"/>
    </row>
    <row r="713" spans="1:31" s="26" customFormat="1" x14ac:dyDescent="0.3">
      <c r="A713" s="25" t="s">
        <v>4921</v>
      </c>
      <c r="B713" s="25"/>
      <c r="C713" s="26" t="s">
        <v>3005</v>
      </c>
      <c r="D713" s="70"/>
      <c r="G713" s="70" t="s">
        <v>715</v>
      </c>
      <c r="H713" s="26">
        <v>-1</v>
      </c>
      <c r="I713" s="70" t="s">
        <v>4922</v>
      </c>
      <c r="J713" s="26" t="s">
        <v>4923</v>
      </c>
      <c r="K713" s="26" t="s">
        <v>4924</v>
      </c>
      <c r="L713" s="26" t="s">
        <v>10263</v>
      </c>
      <c r="M713" s="76"/>
      <c r="N713" s="76"/>
      <c r="O713" s="76"/>
      <c r="P713" s="76"/>
      <c r="Q713" s="76"/>
      <c r="R713" s="76"/>
      <c r="Z713" s="70"/>
      <c r="AA713" s="70"/>
      <c r="AB713" s="70"/>
      <c r="AC713" s="70"/>
    </row>
    <row r="714" spans="1:31" s="26" customFormat="1" x14ac:dyDescent="0.3">
      <c r="A714" s="25" t="s">
        <v>4925</v>
      </c>
      <c r="B714" s="25"/>
      <c r="C714" s="26" t="s">
        <v>3005</v>
      </c>
      <c r="D714" s="70"/>
      <c r="G714" s="70" t="s">
        <v>715</v>
      </c>
      <c r="H714" s="26">
        <v>-1</v>
      </c>
      <c r="I714" s="70" t="s">
        <v>4926</v>
      </c>
      <c r="J714" s="26" t="s">
        <v>4927</v>
      </c>
      <c r="K714" s="26" t="s">
        <v>4928</v>
      </c>
      <c r="L714" s="26" t="s">
        <v>10264</v>
      </c>
      <c r="M714" s="76"/>
      <c r="N714" s="76"/>
      <c r="O714" s="76"/>
      <c r="P714" s="76"/>
      <c r="Q714" s="76"/>
      <c r="R714" s="76"/>
      <c r="Z714" s="70"/>
      <c r="AA714" s="70"/>
      <c r="AB714" s="70"/>
      <c r="AC714" s="70"/>
    </row>
    <row r="715" spans="1:31" s="26" customFormat="1" x14ac:dyDescent="0.3">
      <c r="A715" s="25" t="s">
        <v>4929</v>
      </c>
      <c r="B715" s="25"/>
      <c r="C715" s="26" t="s">
        <v>3005</v>
      </c>
      <c r="D715" s="70"/>
      <c r="G715" s="70" t="s">
        <v>715</v>
      </c>
      <c r="H715" s="26">
        <v>-1</v>
      </c>
      <c r="I715" s="70" t="s">
        <v>4930</v>
      </c>
      <c r="J715" s="26" t="s">
        <v>4931</v>
      </c>
      <c r="K715" s="26" t="s">
        <v>4932</v>
      </c>
      <c r="L715" s="26" t="s">
        <v>10265</v>
      </c>
      <c r="M715" s="76"/>
      <c r="N715" s="76"/>
      <c r="O715" s="76"/>
      <c r="P715" s="76"/>
      <c r="Q715" s="76"/>
      <c r="R715" s="76"/>
      <c r="Z715" s="70"/>
      <c r="AA715" s="70"/>
      <c r="AB715" s="70"/>
      <c r="AC715" s="70"/>
    </row>
    <row r="716" spans="1:31" s="26" customFormat="1" x14ac:dyDescent="0.3">
      <c r="A716" s="25" t="s">
        <v>4933</v>
      </c>
      <c r="B716" s="25"/>
      <c r="C716" s="26" t="s">
        <v>3005</v>
      </c>
      <c r="D716" s="70"/>
      <c r="G716" s="70" t="s">
        <v>715</v>
      </c>
      <c r="H716" s="26">
        <v>-1</v>
      </c>
      <c r="I716" s="70" t="s">
        <v>4934</v>
      </c>
      <c r="J716" s="26" t="s">
        <v>4935</v>
      </c>
      <c r="K716" s="26" t="s">
        <v>4936</v>
      </c>
      <c r="L716" s="26" t="s">
        <v>10266</v>
      </c>
      <c r="M716" s="76"/>
      <c r="N716" s="76"/>
      <c r="O716" s="76"/>
      <c r="P716" s="76"/>
      <c r="Q716" s="76"/>
      <c r="R716" s="76"/>
      <c r="Z716" s="70"/>
      <c r="AA716" s="70"/>
      <c r="AB716" s="70"/>
      <c r="AC716" s="70"/>
    </row>
    <row r="717" spans="1:31" s="26" customFormat="1" x14ac:dyDescent="0.3">
      <c r="A717" s="25" t="s">
        <v>4937</v>
      </c>
      <c r="B717" s="25"/>
      <c r="C717" s="26" t="s">
        <v>3005</v>
      </c>
      <c r="D717" s="70"/>
      <c r="G717" s="70" t="s">
        <v>715</v>
      </c>
      <c r="H717" s="26">
        <v>-1</v>
      </c>
      <c r="I717" s="70" t="s">
        <v>3229</v>
      </c>
      <c r="J717" s="26" t="s">
        <v>3749</v>
      </c>
      <c r="K717" s="26" t="s">
        <v>4938</v>
      </c>
      <c r="L717" s="26" t="s">
        <v>10267</v>
      </c>
      <c r="M717" s="76"/>
      <c r="N717" s="76"/>
      <c r="O717" s="76"/>
      <c r="P717" s="76"/>
      <c r="Q717" s="76"/>
      <c r="R717" s="76"/>
      <c r="Z717" s="70"/>
      <c r="AA717" s="70"/>
      <c r="AB717" s="70"/>
      <c r="AC717" s="70"/>
    </row>
    <row r="718" spans="1:31" s="26" customFormat="1" x14ac:dyDescent="0.3">
      <c r="A718" s="25" t="s">
        <v>4939</v>
      </c>
      <c r="B718" s="25"/>
      <c r="C718" s="26" t="s">
        <v>3005</v>
      </c>
      <c r="D718" s="70"/>
      <c r="G718" s="70" t="s">
        <v>715</v>
      </c>
      <c r="H718" s="26">
        <v>-1</v>
      </c>
      <c r="I718" s="70" t="s">
        <v>3546</v>
      </c>
      <c r="J718" s="26" t="s">
        <v>4940</v>
      </c>
      <c r="K718" s="26" t="s">
        <v>3888</v>
      </c>
      <c r="L718" s="26" t="s">
        <v>10268</v>
      </c>
      <c r="M718" s="76"/>
      <c r="N718" s="76"/>
      <c r="O718" s="76"/>
      <c r="P718" s="76"/>
      <c r="Q718" s="76"/>
      <c r="R718" s="76"/>
      <c r="Z718" s="70"/>
      <c r="AA718" s="70"/>
      <c r="AB718" s="70"/>
      <c r="AC718" s="70"/>
    </row>
    <row r="719" spans="1:31" s="24" customFormat="1" x14ac:dyDescent="0.3">
      <c r="A719" s="23">
        <v>229</v>
      </c>
      <c r="B719" s="23">
        <v>225</v>
      </c>
      <c r="C719" s="24" t="s">
        <v>2165</v>
      </c>
      <c r="D719" s="69" t="s">
        <v>713</v>
      </c>
      <c r="E719" s="24" t="s">
        <v>712</v>
      </c>
      <c r="F719" s="24" t="s">
        <v>717</v>
      </c>
      <c r="G719" s="69" t="s">
        <v>718</v>
      </c>
      <c r="H719" s="24">
        <v>2</v>
      </c>
      <c r="I719" s="69"/>
      <c r="J719" s="24" t="s">
        <v>4941</v>
      </c>
      <c r="K719" s="24" t="s">
        <v>719</v>
      </c>
      <c r="M719" s="75" t="s">
        <v>15</v>
      </c>
      <c r="N719" s="75"/>
      <c r="O719" s="75"/>
      <c r="P719" s="75"/>
      <c r="Q719" s="75"/>
      <c r="R719" s="75"/>
      <c r="Z719" s="69"/>
      <c r="AA719" s="69"/>
      <c r="AB719" s="69"/>
      <c r="AC719" s="69"/>
    </row>
    <row r="720" spans="1:31" s="26" customFormat="1" x14ac:dyDescent="0.3">
      <c r="A720" s="25" t="s">
        <v>4942</v>
      </c>
      <c r="B720" s="25"/>
      <c r="C720" s="26" t="s">
        <v>3005</v>
      </c>
      <c r="D720" s="70"/>
      <c r="G720" s="70" t="s">
        <v>718</v>
      </c>
      <c r="H720" s="26">
        <v>3</v>
      </c>
      <c r="I720" s="70" t="s">
        <v>4943</v>
      </c>
      <c r="J720" s="26" t="s">
        <v>4944</v>
      </c>
      <c r="K720" s="26" t="s">
        <v>4945</v>
      </c>
      <c r="L720" s="26" t="s">
        <v>10269</v>
      </c>
      <c r="M720" s="76"/>
      <c r="N720" s="76"/>
      <c r="O720" s="76"/>
      <c r="P720" s="76"/>
      <c r="Q720" s="76"/>
      <c r="R720" s="76"/>
      <c r="Z720" s="70"/>
      <c r="AA720" s="70"/>
      <c r="AB720" s="70"/>
      <c r="AC720" s="70"/>
    </row>
    <row r="721" spans="1:31" s="26" customFormat="1" x14ac:dyDescent="0.3">
      <c r="A721" s="25" t="s">
        <v>4946</v>
      </c>
      <c r="B721" s="25"/>
      <c r="C721" s="26" t="s">
        <v>3005</v>
      </c>
      <c r="D721" s="70"/>
      <c r="G721" s="70" t="s">
        <v>718</v>
      </c>
      <c r="H721" s="26">
        <v>1</v>
      </c>
      <c r="I721" s="70" t="s">
        <v>4947</v>
      </c>
      <c r="J721" s="26" t="s">
        <v>4948</v>
      </c>
      <c r="K721" s="26" t="s">
        <v>4949</v>
      </c>
      <c r="L721" s="26" t="s">
        <v>10270</v>
      </c>
      <c r="M721" s="76"/>
      <c r="N721" s="76"/>
      <c r="O721" s="76"/>
      <c r="P721" s="76"/>
      <c r="Q721" s="76"/>
      <c r="R721" s="76"/>
      <c r="Z721" s="70"/>
      <c r="AA721" s="70"/>
      <c r="AB721" s="70"/>
      <c r="AC721" s="70"/>
    </row>
    <row r="722" spans="1:31" s="26" customFormat="1" x14ac:dyDescent="0.3">
      <c r="A722" s="25" t="s">
        <v>4950</v>
      </c>
      <c r="B722" s="25"/>
      <c r="C722" s="26" t="s">
        <v>3005</v>
      </c>
      <c r="D722" s="70"/>
      <c r="G722" s="70" t="s">
        <v>718</v>
      </c>
      <c r="H722" s="26">
        <v>-1</v>
      </c>
      <c r="I722" s="70" t="s">
        <v>4951</v>
      </c>
      <c r="J722" s="26" t="s">
        <v>4952</v>
      </c>
      <c r="K722" s="26" t="s">
        <v>3453</v>
      </c>
      <c r="L722" s="26" t="s">
        <v>3453</v>
      </c>
      <c r="M722" s="76"/>
      <c r="N722" s="76"/>
      <c r="O722" s="76"/>
      <c r="P722" s="76"/>
      <c r="Q722" s="76"/>
      <c r="R722" s="76"/>
      <c r="Z722" s="70"/>
      <c r="AA722" s="70"/>
      <c r="AB722" s="70"/>
      <c r="AC722" s="70"/>
    </row>
    <row r="723" spans="1:31" s="26" customFormat="1" x14ac:dyDescent="0.3">
      <c r="A723" s="25" t="s">
        <v>4953</v>
      </c>
      <c r="B723" s="25"/>
      <c r="C723" s="26" t="s">
        <v>3005</v>
      </c>
      <c r="D723" s="70"/>
      <c r="G723" s="70" t="s">
        <v>718</v>
      </c>
      <c r="H723" s="26">
        <v>-1</v>
      </c>
      <c r="I723" s="70" t="s">
        <v>4954</v>
      </c>
      <c r="J723" s="26" t="s">
        <v>3485</v>
      </c>
      <c r="K723" s="26" t="s">
        <v>4955</v>
      </c>
      <c r="L723" s="26" t="s">
        <v>10271</v>
      </c>
      <c r="M723" s="76"/>
      <c r="N723" s="76"/>
      <c r="O723" s="76"/>
      <c r="P723" s="76"/>
      <c r="Q723" s="76"/>
      <c r="R723" s="76"/>
      <c r="Z723" s="70"/>
      <c r="AA723" s="70"/>
      <c r="AB723" s="70"/>
      <c r="AC723" s="70"/>
    </row>
    <row r="724" spans="1:31" s="26" customFormat="1" x14ac:dyDescent="0.3">
      <c r="A724" s="25" t="s">
        <v>4956</v>
      </c>
      <c r="B724" s="25"/>
      <c r="C724" s="26" t="s">
        <v>3005</v>
      </c>
      <c r="D724" s="70"/>
      <c r="G724" s="70" t="s">
        <v>718</v>
      </c>
      <c r="H724" s="26">
        <v>-1</v>
      </c>
      <c r="I724" s="70" t="s">
        <v>4957</v>
      </c>
      <c r="J724" s="26" t="s">
        <v>4958</v>
      </c>
      <c r="K724" s="26" t="s">
        <v>4959</v>
      </c>
      <c r="L724" s="26" t="s">
        <v>4959</v>
      </c>
      <c r="M724" s="76"/>
      <c r="N724" s="76"/>
      <c r="O724" s="76"/>
      <c r="P724" s="76"/>
      <c r="Q724" s="76"/>
      <c r="R724" s="76"/>
      <c r="Z724" s="70"/>
      <c r="AA724" s="70"/>
      <c r="AB724" s="70"/>
      <c r="AC724" s="70"/>
    </row>
    <row r="725" spans="1:31" s="26" customFormat="1" x14ac:dyDescent="0.3">
      <c r="A725" s="25" t="s">
        <v>4960</v>
      </c>
      <c r="B725" s="25"/>
      <c r="C725" s="26" t="s">
        <v>3005</v>
      </c>
      <c r="D725" s="70"/>
      <c r="G725" s="70" t="s">
        <v>718</v>
      </c>
      <c r="H725" s="26">
        <v>-1</v>
      </c>
      <c r="I725" s="70" t="s">
        <v>4961</v>
      </c>
      <c r="J725" s="26" t="s">
        <v>4962</v>
      </c>
      <c r="K725" s="26" t="s">
        <v>4963</v>
      </c>
      <c r="L725" s="26" t="s">
        <v>10272</v>
      </c>
      <c r="M725" s="76"/>
      <c r="N725" s="76"/>
      <c r="O725" s="76"/>
      <c r="P725" s="76"/>
      <c r="Q725" s="76"/>
      <c r="R725" s="76"/>
      <c r="Z725" s="70"/>
      <c r="AA725" s="70"/>
      <c r="AB725" s="70"/>
      <c r="AC725" s="70"/>
    </row>
    <row r="726" spans="1:31" s="26" customFormat="1" x14ac:dyDescent="0.3">
      <c r="A726" s="25" t="s">
        <v>4964</v>
      </c>
      <c r="B726" s="25"/>
      <c r="C726" s="26" t="s">
        <v>3005</v>
      </c>
      <c r="D726" s="70"/>
      <c r="G726" s="70" t="s">
        <v>718</v>
      </c>
      <c r="H726" s="26">
        <v>-1</v>
      </c>
      <c r="I726" s="70" t="s">
        <v>4965</v>
      </c>
      <c r="J726" s="26" t="s">
        <v>3307</v>
      </c>
      <c r="K726" s="26" t="s">
        <v>4966</v>
      </c>
      <c r="M726" s="76"/>
      <c r="N726" s="76"/>
      <c r="O726" s="76"/>
      <c r="P726" s="76"/>
      <c r="Q726" s="76"/>
      <c r="R726" s="76"/>
      <c r="Z726" s="70"/>
      <c r="AA726" s="70"/>
      <c r="AB726" s="70"/>
      <c r="AC726" s="70"/>
    </row>
    <row r="727" spans="1:31" s="26" customFormat="1" x14ac:dyDescent="0.3">
      <c r="A727" s="25" t="s">
        <v>4967</v>
      </c>
      <c r="B727" s="25"/>
      <c r="C727" s="26" t="s">
        <v>3005</v>
      </c>
      <c r="D727" s="70"/>
      <c r="G727" s="70" t="s">
        <v>718</v>
      </c>
      <c r="H727" s="26">
        <v>-1</v>
      </c>
      <c r="I727" s="70" t="s">
        <v>4968</v>
      </c>
      <c r="J727" s="26" t="s">
        <v>4941</v>
      </c>
      <c r="K727" s="26" t="s">
        <v>4969</v>
      </c>
      <c r="L727" s="26" t="s">
        <v>10273</v>
      </c>
      <c r="M727" s="76"/>
      <c r="N727" s="76"/>
      <c r="O727" s="76"/>
      <c r="P727" s="76"/>
      <c r="Q727" s="76"/>
      <c r="R727" s="76"/>
      <c r="Z727" s="70"/>
      <c r="AA727" s="70"/>
      <c r="AB727" s="70"/>
      <c r="AC727" s="70"/>
    </row>
    <row r="728" spans="1:31" s="26" customFormat="1" x14ac:dyDescent="0.3">
      <c r="A728" s="25" t="s">
        <v>4970</v>
      </c>
      <c r="B728" s="25"/>
      <c r="C728" s="26" t="s">
        <v>3005</v>
      </c>
      <c r="D728" s="70"/>
      <c r="G728" s="70" t="s">
        <v>718</v>
      </c>
      <c r="H728" s="26">
        <v>-1</v>
      </c>
      <c r="I728" s="70" t="s">
        <v>4971</v>
      </c>
      <c r="J728" s="26" t="s">
        <v>4972</v>
      </c>
      <c r="K728" s="26" t="s">
        <v>4973</v>
      </c>
      <c r="M728" s="76"/>
      <c r="N728" s="76"/>
      <c r="O728" s="76"/>
      <c r="P728" s="76"/>
      <c r="Q728" s="76"/>
      <c r="R728" s="76"/>
      <c r="T728" s="26" t="s">
        <v>2254</v>
      </c>
      <c r="Z728" s="70"/>
      <c r="AA728" s="70"/>
      <c r="AB728" s="70"/>
      <c r="AC728" s="70"/>
      <c r="AE728" s="26" t="s">
        <v>4974</v>
      </c>
    </row>
    <row r="729" spans="1:31" s="24" customFormat="1" x14ac:dyDescent="0.3">
      <c r="A729" s="23">
        <v>230</v>
      </c>
      <c r="B729" s="23">
        <v>232</v>
      </c>
      <c r="C729" s="24" t="s">
        <v>2165</v>
      </c>
      <c r="D729" s="69" t="s">
        <v>713</v>
      </c>
      <c r="E729" s="24" t="s">
        <v>712</v>
      </c>
      <c r="F729" s="24" t="s">
        <v>720</v>
      </c>
      <c r="G729" s="69" t="s">
        <v>721</v>
      </c>
      <c r="I729" s="69"/>
      <c r="J729" s="24" t="s">
        <v>3334</v>
      </c>
      <c r="K729" s="24" t="s">
        <v>722</v>
      </c>
      <c r="M729" s="75" t="s">
        <v>19</v>
      </c>
      <c r="N729" s="75"/>
      <c r="O729" s="75"/>
      <c r="P729" s="75"/>
      <c r="Q729" s="75"/>
      <c r="R729" s="75"/>
      <c r="V729" s="24" t="s">
        <v>2171</v>
      </c>
      <c r="W729" s="24" t="s">
        <v>2414</v>
      </c>
      <c r="Z729" s="69"/>
      <c r="AA729" s="69"/>
      <c r="AB729" s="69"/>
      <c r="AC729" s="69"/>
      <c r="AD729" s="24" t="s">
        <v>11327</v>
      </c>
    </row>
    <row r="730" spans="1:31" s="26" customFormat="1" x14ac:dyDescent="0.3">
      <c r="A730" s="25" t="s">
        <v>4975</v>
      </c>
      <c r="B730" s="25"/>
      <c r="C730" s="26" t="s">
        <v>3005</v>
      </c>
      <c r="D730" s="70"/>
      <c r="G730" s="70" t="s">
        <v>721</v>
      </c>
      <c r="H730" s="26">
        <v>-1</v>
      </c>
      <c r="I730" s="70" t="s">
        <v>4976</v>
      </c>
      <c r="J730" s="26" t="s">
        <v>4267</v>
      </c>
      <c r="K730" s="26" t="s">
        <v>4977</v>
      </c>
      <c r="L730" s="26" t="s">
        <v>10274</v>
      </c>
      <c r="M730" s="76"/>
      <c r="N730" s="76"/>
      <c r="O730" s="76"/>
      <c r="P730" s="76"/>
      <c r="Q730" s="76"/>
      <c r="R730" s="76"/>
      <c r="U730" s="26" t="s">
        <v>2892</v>
      </c>
      <c r="Z730" s="70"/>
      <c r="AA730" s="70"/>
      <c r="AB730" s="70"/>
      <c r="AC730" s="70"/>
    </row>
    <row r="731" spans="1:31" s="26" customFormat="1" x14ac:dyDescent="0.3">
      <c r="A731" s="25" t="s">
        <v>4978</v>
      </c>
      <c r="B731" s="25"/>
      <c r="C731" s="26" t="s">
        <v>3005</v>
      </c>
      <c r="D731" s="70"/>
      <c r="G731" s="70" t="s">
        <v>721</v>
      </c>
      <c r="H731" s="26">
        <v>-1</v>
      </c>
      <c r="I731" s="70" t="s">
        <v>3681</v>
      </c>
      <c r="J731" s="26" t="s">
        <v>3334</v>
      </c>
      <c r="K731" s="26" t="s">
        <v>4979</v>
      </c>
      <c r="L731" s="26" t="s">
        <v>10275</v>
      </c>
      <c r="M731" s="76"/>
      <c r="N731" s="76"/>
      <c r="O731" s="76"/>
      <c r="P731" s="76"/>
      <c r="Q731" s="76"/>
      <c r="R731" s="76"/>
      <c r="T731" s="26" t="s">
        <v>2200</v>
      </c>
      <c r="U731" s="26" t="s">
        <v>3979</v>
      </c>
      <c r="Z731" s="70"/>
      <c r="AA731" s="70"/>
      <c r="AB731" s="70"/>
      <c r="AC731" s="70"/>
      <c r="AE731" s="26" t="s">
        <v>4980</v>
      </c>
    </row>
    <row r="732" spans="1:31" s="26" customFormat="1" x14ac:dyDescent="0.3">
      <c r="A732" s="25" t="s">
        <v>4981</v>
      </c>
      <c r="B732" s="25"/>
      <c r="C732" s="26" t="s">
        <v>3005</v>
      </c>
      <c r="D732" s="70"/>
      <c r="G732" s="70" t="s">
        <v>721</v>
      </c>
      <c r="H732" s="26">
        <v>-1</v>
      </c>
      <c r="I732" s="70" t="s">
        <v>4982</v>
      </c>
      <c r="J732" s="26" t="s">
        <v>3999</v>
      </c>
      <c r="K732" s="26" t="s">
        <v>4000</v>
      </c>
      <c r="L732" s="26" t="s">
        <v>10106</v>
      </c>
      <c r="M732" s="76"/>
      <c r="N732" s="76"/>
      <c r="O732" s="76"/>
      <c r="P732" s="76"/>
      <c r="Q732" s="76"/>
      <c r="R732" s="76"/>
      <c r="Z732" s="70"/>
      <c r="AA732" s="70"/>
      <c r="AB732" s="70"/>
      <c r="AC732" s="70"/>
    </row>
    <row r="733" spans="1:31" s="26" customFormat="1" x14ac:dyDescent="0.3">
      <c r="A733" s="25" t="s">
        <v>4983</v>
      </c>
      <c r="B733" s="25"/>
      <c r="C733" s="26" t="s">
        <v>3005</v>
      </c>
      <c r="D733" s="70"/>
      <c r="G733" s="70" t="s">
        <v>721</v>
      </c>
      <c r="H733" s="26">
        <v>-1</v>
      </c>
      <c r="I733" s="70" t="s">
        <v>4984</v>
      </c>
      <c r="J733" s="26" t="s">
        <v>3485</v>
      </c>
      <c r="K733" s="26" t="s">
        <v>4985</v>
      </c>
      <c r="L733" s="26" t="s">
        <v>10067</v>
      </c>
      <c r="M733" s="76"/>
      <c r="N733" s="76"/>
      <c r="O733" s="76"/>
      <c r="P733" s="76"/>
      <c r="Q733" s="76"/>
      <c r="R733" s="76"/>
      <c r="Z733" s="70"/>
      <c r="AA733" s="70"/>
      <c r="AB733" s="70"/>
      <c r="AC733" s="70"/>
    </row>
    <row r="734" spans="1:31" s="26" customFormat="1" x14ac:dyDescent="0.3">
      <c r="A734" s="25" t="s">
        <v>4986</v>
      </c>
      <c r="B734" s="25"/>
      <c r="C734" s="26" t="s">
        <v>3005</v>
      </c>
      <c r="D734" s="70"/>
      <c r="G734" s="70" t="s">
        <v>721</v>
      </c>
      <c r="H734" s="26">
        <v>-1</v>
      </c>
      <c r="I734" s="70" t="s">
        <v>4987</v>
      </c>
      <c r="J734" s="26" t="s">
        <v>3919</v>
      </c>
      <c r="K734" s="26" t="s">
        <v>4988</v>
      </c>
      <c r="L734" s="26" t="s">
        <v>10276</v>
      </c>
      <c r="M734" s="76"/>
      <c r="N734" s="76"/>
      <c r="O734" s="76"/>
      <c r="P734" s="76"/>
      <c r="Q734" s="76"/>
      <c r="R734" s="76"/>
      <c r="Z734" s="70"/>
      <c r="AA734" s="70"/>
      <c r="AB734" s="70"/>
      <c r="AC734" s="70"/>
    </row>
    <row r="735" spans="1:31" s="24" customFormat="1" x14ac:dyDescent="0.3">
      <c r="A735" s="23">
        <v>231</v>
      </c>
      <c r="B735" s="23">
        <v>226</v>
      </c>
      <c r="C735" s="24" t="s">
        <v>2165</v>
      </c>
      <c r="D735" s="69" t="s">
        <v>713</v>
      </c>
      <c r="E735" s="24" t="s">
        <v>712</v>
      </c>
      <c r="F735" s="24" t="s">
        <v>723</v>
      </c>
      <c r="G735" s="69" t="s">
        <v>724</v>
      </c>
      <c r="H735" s="24">
        <v>1</v>
      </c>
      <c r="I735" s="69"/>
      <c r="J735" s="24" t="s">
        <v>4989</v>
      </c>
      <c r="K735" s="24" t="s">
        <v>725</v>
      </c>
      <c r="L735" s="24" t="s">
        <v>9767</v>
      </c>
      <c r="M735" s="75" t="s">
        <v>15</v>
      </c>
      <c r="N735" s="75"/>
      <c r="O735" s="75"/>
      <c r="P735" s="75" t="s">
        <v>66</v>
      </c>
      <c r="Q735" s="75" t="s">
        <v>67</v>
      </c>
      <c r="R735" s="75"/>
      <c r="V735" s="24" t="s">
        <v>2415</v>
      </c>
      <c r="W735" s="24" t="s">
        <v>2415</v>
      </c>
      <c r="Y735" s="24" t="s">
        <v>2416</v>
      </c>
      <c r="Z735" s="69"/>
      <c r="AA735" s="69"/>
      <c r="AB735" s="69" t="s">
        <v>2417</v>
      </c>
      <c r="AC735" s="69"/>
    </row>
    <row r="736" spans="1:31" s="26" customFormat="1" x14ac:dyDescent="0.3">
      <c r="A736" s="25" t="s">
        <v>4990</v>
      </c>
      <c r="B736" s="25"/>
      <c r="C736" s="26" t="s">
        <v>3005</v>
      </c>
      <c r="D736" s="70"/>
      <c r="G736" s="70" t="s">
        <v>724</v>
      </c>
      <c r="H736" s="26">
        <v>2</v>
      </c>
      <c r="I736" s="70" t="s">
        <v>4991</v>
      </c>
      <c r="J736" s="26" t="s">
        <v>4992</v>
      </c>
      <c r="K736" s="26" t="s">
        <v>4993</v>
      </c>
      <c r="M736" s="76"/>
      <c r="N736" s="76"/>
      <c r="O736" s="76"/>
      <c r="P736" s="76"/>
      <c r="Q736" s="76"/>
      <c r="R736" s="76"/>
      <c r="T736" s="26" t="s">
        <v>2254</v>
      </c>
      <c r="Y736" s="26" t="s">
        <v>2416</v>
      </c>
      <c r="Z736" s="70"/>
      <c r="AA736" s="70"/>
      <c r="AB736" s="70" t="s">
        <v>2417</v>
      </c>
      <c r="AC736" s="70"/>
      <c r="AE736" s="26" t="s">
        <v>4994</v>
      </c>
    </row>
    <row r="737" spans="1:31" s="26" customFormat="1" x14ac:dyDescent="0.3">
      <c r="A737" s="25" t="s">
        <v>4995</v>
      </c>
      <c r="B737" s="25"/>
      <c r="C737" s="26" t="s">
        <v>3005</v>
      </c>
      <c r="D737" s="70"/>
      <c r="G737" s="70" t="s">
        <v>724</v>
      </c>
      <c r="H737" s="26">
        <v>-1</v>
      </c>
      <c r="I737" s="70" t="s">
        <v>4996</v>
      </c>
      <c r="J737" s="26" t="s">
        <v>4989</v>
      </c>
      <c r="K737" s="26" t="s">
        <v>4997</v>
      </c>
      <c r="M737" s="76"/>
      <c r="N737" s="76"/>
      <c r="O737" s="76"/>
      <c r="P737" s="76"/>
      <c r="Q737" s="76"/>
      <c r="R737" s="76"/>
      <c r="Z737" s="70"/>
      <c r="AA737" s="70"/>
      <c r="AB737" s="70"/>
      <c r="AC737" s="70"/>
    </row>
    <row r="738" spans="1:31" s="24" customFormat="1" x14ac:dyDescent="0.3">
      <c r="A738" s="23">
        <v>232</v>
      </c>
      <c r="B738" s="23">
        <v>227</v>
      </c>
      <c r="C738" s="24" t="s">
        <v>2165</v>
      </c>
      <c r="D738" s="69" t="s">
        <v>713</v>
      </c>
      <c r="E738" s="24" t="s">
        <v>712</v>
      </c>
      <c r="F738" s="24" t="s">
        <v>726</v>
      </c>
      <c r="G738" s="69" t="s">
        <v>727</v>
      </c>
      <c r="H738" s="24">
        <v>1</v>
      </c>
      <c r="I738" s="69"/>
      <c r="J738" s="24" t="s">
        <v>4138</v>
      </c>
      <c r="K738" s="24" t="s">
        <v>43</v>
      </c>
      <c r="M738" s="75" t="s">
        <v>15</v>
      </c>
      <c r="N738" s="75"/>
      <c r="O738" s="75"/>
      <c r="P738" s="75"/>
      <c r="Q738" s="75"/>
      <c r="R738" s="75"/>
      <c r="V738" s="24" t="s">
        <v>2418</v>
      </c>
      <c r="W738" s="24" t="s">
        <v>2419</v>
      </c>
      <c r="Y738" s="24" t="s">
        <v>2420</v>
      </c>
      <c r="Z738" s="69"/>
      <c r="AA738" s="69"/>
      <c r="AB738" s="69"/>
      <c r="AC738" s="69"/>
    </row>
    <row r="739" spans="1:31" s="26" customFormat="1" x14ac:dyDescent="0.3">
      <c r="A739" s="25" t="s">
        <v>4998</v>
      </c>
      <c r="B739" s="25"/>
      <c r="C739" s="26" t="s">
        <v>3005</v>
      </c>
      <c r="D739" s="70"/>
      <c r="G739" s="70" t="s">
        <v>727</v>
      </c>
      <c r="H739" s="26">
        <v>2</v>
      </c>
      <c r="I739" s="70" t="s">
        <v>4999</v>
      </c>
      <c r="J739" s="26" t="s">
        <v>3829</v>
      </c>
      <c r="K739" s="26" t="s">
        <v>5000</v>
      </c>
      <c r="L739" s="26" t="s">
        <v>10277</v>
      </c>
      <c r="M739" s="76"/>
      <c r="N739" s="76"/>
      <c r="O739" s="76"/>
      <c r="P739" s="76"/>
      <c r="Q739" s="76"/>
      <c r="R739" s="76"/>
      <c r="Z739" s="70"/>
      <c r="AA739" s="70"/>
      <c r="AB739" s="70"/>
      <c r="AC739" s="70"/>
    </row>
    <row r="740" spans="1:31" s="26" customFormat="1" x14ac:dyDescent="0.3">
      <c r="A740" s="25" t="s">
        <v>5001</v>
      </c>
      <c r="B740" s="25"/>
      <c r="C740" s="26" t="s">
        <v>3005</v>
      </c>
      <c r="D740" s="70"/>
      <c r="G740" s="70" t="s">
        <v>727</v>
      </c>
      <c r="H740" s="26">
        <v>-1</v>
      </c>
      <c r="I740" s="70" t="s">
        <v>5002</v>
      </c>
      <c r="J740" s="26" t="s">
        <v>4138</v>
      </c>
      <c r="K740" s="26" t="s">
        <v>5003</v>
      </c>
      <c r="L740" s="26" t="s">
        <v>10278</v>
      </c>
      <c r="M740" s="76"/>
      <c r="N740" s="76"/>
      <c r="O740" s="76"/>
      <c r="P740" s="76"/>
      <c r="Q740" s="76"/>
      <c r="R740" s="76"/>
      <c r="Z740" s="70"/>
      <c r="AA740" s="70"/>
      <c r="AB740" s="70"/>
      <c r="AC740" s="70"/>
    </row>
    <row r="741" spans="1:31" s="24" customFormat="1" x14ac:dyDescent="0.3">
      <c r="A741" s="23">
        <v>233</v>
      </c>
      <c r="B741" s="23">
        <v>228</v>
      </c>
      <c r="C741" s="24" t="s">
        <v>2165</v>
      </c>
      <c r="D741" s="69" t="s">
        <v>713</v>
      </c>
      <c r="E741" s="24" t="s">
        <v>712</v>
      </c>
      <c r="F741" s="24" t="s">
        <v>728</v>
      </c>
      <c r="G741" s="69" t="s">
        <v>729</v>
      </c>
      <c r="H741" s="24">
        <v>1</v>
      </c>
      <c r="I741" s="69"/>
      <c r="J741" s="24" t="s">
        <v>3158</v>
      </c>
      <c r="K741" s="24" t="s">
        <v>43</v>
      </c>
      <c r="M741" s="75" t="s">
        <v>15</v>
      </c>
      <c r="N741" s="75"/>
      <c r="O741" s="75"/>
      <c r="P741" s="75"/>
      <c r="Q741" s="75"/>
      <c r="R741" s="75"/>
      <c r="Y741" s="24" t="s">
        <v>2421</v>
      </c>
      <c r="Z741" s="69" t="s">
        <v>2422</v>
      </c>
      <c r="AA741" s="69"/>
      <c r="AB741" s="69"/>
      <c r="AC741" s="69"/>
    </row>
    <row r="742" spans="1:31" s="26" customFormat="1" x14ac:dyDescent="0.3">
      <c r="A742" s="25" t="s">
        <v>5004</v>
      </c>
      <c r="B742" s="25"/>
      <c r="C742" s="26" t="s">
        <v>3005</v>
      </c>
      <c r="D742" s="70"/>
      <c r="G742" s="70" t="s">
        <v>729</v>
      </c>
      <c r="H742" s="26">
        <v>-1</v>
      </c>
      <c r="I742" s="70" t="s">
        <v>5005</v>
      </c>
      <c r="J742" s="26" t="s">
        <v>3092</v>
      </c>
      <c r="K742" s="26" t="s">
        <v>5006</v>
      </c>
      <c r="M742" s="76"/>
      <c r="N742" s="76"/>
      <c r="O742" s="76"/>
      <c r="P742" s="76"/>
      <c r="Q742" s="76"/>
      <c r="R742" s="76"/>
      <c r="Z742" s="70"/>
      <c r="AA742" s="70"/>
      <c r="AB742" s="70"/>
      <c r="AC742" s="70"/>
    </row>
    <row r="743" spans="1:31" s="26" customFormat="1" x14ac:dyDescent="0.3">
      <c r="A743" s="25" t="s">
        <v>5007</v>
      </c>
      <c r="B743" s="25"/>
      <c r="C743" s="26" t="s">
        <v>3005</v>
      </c>
      <c r="D743" s="70"/>
      <c r="G743" s="70" t="s">
        <v>729</v>
      </c>
      <c r="H743" s="26">
        <v>-1</v>
      </c>
      <c r="I743" s="70" t="s">
        <v>3713</v>
      </c>
      <c r="J743" s="26" t="s">
        <v>5008</v>
      </c>
      <c r="K743" s="26" t="s">
        <v>3736</v>
      </c>
      <c r="M743" s="76"/>
      <c r="N743" s="76"/>
      <c r="O743" s="76"/>
      <c r="P743" s="76"/>
      <c r="Q743" s="76"/>
      <c r="R743" s="76"/>
      <c r="T743" s="26" t="s">
        <v>2200</v>
      </c>
      <c r="Z743" s="70"/>
      <c r="AA743" s="70"/>
      <c r="AB743" s="70"/>
      <c r="AC743" s="70"/>
      <c r="AE743" s="26" t="s">
        <v>5009</v>
      </c>
    </row>
    <row r="744" spans="1:31" s="26" customFormat="1" x14ac:dyDescent="0.3">
      <c r="A744" s="25" t="s">
        <v>5010</v>
      </c>
      <c r="B744" s="25"/>
      <c r="C744" s="26" t="s">
        <v>3005</v>
      </c>
      <c r="D744" s="70"/>
      <c r="G744" s="70" t="s">
        <v>729</v>
      </c>
      <c r="H744" s="26">
        <v>2</v>
      </c>
      <c r="I744" s="70" t="s">
        <v>5011</v>
      </c>
      <c r="J744" s="26" t="s">
        <v>4989</v>
      </c>
      <c r="K744" s="26" t="s">
        <v>5012</v>
      </c>
      <c r="L744" s="26" t="s">
        <v>10279</v>
      </c>
      <c r="M744" s="76"/>
      <c r="N744" s="76"/>
      <c r="O744" s="76"/>
      <c r="P744" s="76"/>
      <c r="Q744" s="76"/>
      <c r="R744" s="76"/>
      <c r="Z744" s="70"/>
      <c r="AA744" s="70"/>
      <c r="AB744" s="70"/>
      <c r="AC744" s="70"/>
    </row>
    <row r="745" spans="1:31" s="26" customFormat="1" x14ac:dyDescent="0.3">
      <c r="A745" s="25" t="s">
        <v>5013</v>
      </c>
      <c r="B745" s="25"/>
      <c r="C745" s="26" t="s">
        <v>3005</v>
      </c>
      <c r="D745" s="70"/>
      <c r="G745" s="70" t="s">
        <v>729</v>
      </c>
      <c r="H745" s="26">
        <v>-1</v>
      </c>
      <c r="I745" s="70" t="s">
        <v>3176</v>
      </c>
      <c r="J745" s="26" t="s">
        <v>3158</v>
      </c>
      <c r="K745" s="26" t="s">
        <v>5014</v>
      </c>
      <c r="L745" s="26" t="s">
        <v>10280</v>
      </c>
      <c r="M745" s="76"/>
      <c r="N745" s="76"/>
      <c r="O745" s="76"/>
      <c r="P745" s="76"/>
      <c r="Q745" s="76"/>
      <c r="R745" s="76"/>
      <c r="Z745" s="70"/>
      <c r="AA745" s="70"/>
      <c r="AB745" s="70"/>
      <c r="AC745" s="70"/>
    </row>
    <row r="746" spans="1:31" s="26" customFormat="1" x14ac:dyDescent="0.3">
      <c r="A746" s="25" t="s">
        <v>5015</v>
      </c>
      <c r="B746" s="25"/>
      <c r="C746" s="26" t="s">
        <v>3005</v>
      </c>
      <c r="D746" s="70"/>
      <c r="G746" s="70" t="s">
        <v>729</v>
      </c>
      <c r="H746" s="26">
        <v>-1</v>
      </c>
      <c r="I746" s="70" t="s">
        <v>5016</v>
      </c>
      <c r="J746" s="26" t="s">
        <v>5017</v>
      </c>
      <c r="K746" s="26" t="s">
        <v>5018</v>
      </c>
      <c r="M746" s="76"/>
      <c r="N746" s="76"/>
      <c r="O746" s="76"/>
      <c r="P746" s="76"/>
      <c r="Q746" s="76"/>
      <c r="R746" s="76"/>
      <c r="Z746" s="70"/>
      <c r="AA746" s="70"/>
      <c r="AB746" s="70"/>
      <c r="AC746" s="70"/>
    </row>
    <row r="747" spans="1:31" s="24" customFormat="1" x14ac:dyDescent="0.3">
      <c r="A747" s="23">
        <v>234</v>
      </c>
      <c r="B747" s="23">
        <v>229</v>
      </c>
      <c r="C747" s="24" t="s">
        <v>2165</v>
      </c>
      <c r="D747" s="69" t="s">
        <v>713</v>
      </c>
      <c r="E747" s="24" t="s">
        <v>712</v>
      </c>
      <c r="F747" s="24" t="s">
        <v>730</v>
      </c>
      <c r="G747" s="69" t="s">
        <v>731</v>
      </c>
      <c r="H747" s="24">
        <v>3</v>
      </c>
      <c r="I747" s="69"/>
      <c r="J747" s="24" t="s">
        <v>4927</v>
      </c>
      <c r="K747" s="24" t="s">
        <v>733</v>
      </c>
      <c r="L747" s="24" t="s">
        <v>9768</v>
      </c>
      <c r="M747" s="75" t="s">
        <v>732</v>
      </c>
      <c r="N747" s="75"/>
      <c r="O747" s="75"/>
      <c r="P747" s="75"/>
      <c r="Q747" s="75"/>
      <c r="R747" s="75"/>
      <c r="T747" s="24" t="s">
        <v>2423</v>
      </c>
      <c r="V747" s="24" t="s">
        <v>2424</v>
      </c>
      <c r="Z747" s="69"/>
      <c r="AA747" s="69"/>
      <c r="AB747" s="69"/>
      <c r="AC747" s="69"/>
      <c r="AE747" s="24" t="s">
        <v>2425</v>
      </c>
    </row>
    <row r="748" spans="1:31" s="26" customFormat="1" x14ac:dyDescent="0.3">
      <c r="A748" s="25" t="s">
        <v>5019</v>
      </c>
      <c r="B748" s="25"/>
      <c r="C748" s="26" t="s">
        <v>3005</v>
      </c>
      <c r="D748" s="70"/>
      <c r="G748" s="70" t="s">
        <v>731</v>
      </c>
      <c r="H748" s="26">
        <v>2</v>
      </c>
      <c r="I748" s="70" t="s">
        <v>5020</v>
      </c>
      <c r="J748" s="26" t="s">
        <v>4318</v>
      </c>
      <c r="K748" s="26" t="s">
        <v>5021</v>
      </c>
      <c r="L748" s="26" t="s">
        <v>10281</v>
      </c>
      <c r="M748" s="76"/>
      <c r="N748" s="76"/>
      <c r="O748" s="76"/>
      <c r="P748" s="76"/>
      <c r="Q748" s="76"/>
      <c r="R748" s="76"/>
      <c r="Z748" s="70"/>
      <c r="AA748" s="70"/>
      <c r="AB748" s="70"/>
      <c r="AC748" s="70"/>
    </row>
    <row r="749" spans="1:31" s="26" customFormat="1" x14ac:dyDescent="0.3">
      <c r="A749" s="25" t="s">
        <v>5022</v>
      </c>
      <c r="B749" s="25"/>
      <c r="C749" s="26" t="s">
        <v>3005</v>
      </c>
      <c r="D749" s="70"/>
      <c r="G749" s="70" t="s">
        <v>731</v>
      </c>
      <c r="H749" s="26">
        <v>3</v>
      </c>
      <c r="I749" s="70" t="s">
        <v>5023</v>
      </c>
      <c r="J749" s="26" t="s">
        <v>4927</v>
      </c>
      <c r="K749" s="26" t="s">
        <v>5024</v>
      </c>
      <c r="L749" s="26" t="s">
        <v>2015</v>
      </c>
      <c r="M749" s="76"/>
      <c r="N749" s="76"/>
      <c r="O749" s="76"/>
      <c r="P749" s="76"/>
      <c r="Q749" s="76"/>
      <c r="R749" s="76"/>
      <c r="Z749" s="70"/>
      <c r="AA749" s="70"/>
      <c r="AB749" s="70"/>
      <c r="AC749" s="70"/>
    </row>
    <row r="750" spans="1:31" s="26" customFormat="1" x14ac:dyDescent="0.3">
      <c r="A750" s="25" t="s">
        <v>5025</v>
      </c>
      <c r="B750" s="25"/>
      <c r="C750" s="26" t="s">
        <v>3005</v>
      </c>
      <c r="D750" s="70"/>
      <c r="G750" s="70" t="s">
        <v>731</v>
      </c>
      <c r="H750" s="26">
        <v>-1</v>
      </c>
      <c r="I750" s="70" t="s">
        <v>3717</v>
      </c>
      <c r="J750" s="26" t="s">
        <v>5026</v>
      </c>
      <c r="K750" s="26" t="s">
        <v>2679</v>
      </c>
      <c r="L750" s="26" t="s">
        <v>10083</v>
      </c>
      <c r="M750" s="76"/>
      <c r="N750" s="76"/>
      <c r="O750" s="76"/>
      <c r="P750" s="76"/>
      <c r="Q750" s="76"/>
      <c r="R750" s="76"/>
      <c r="T750" s="26" t="s">
        <v>2200</v>
      </c>
      <c r="Z750" s="70"/>
      <c r="AA750" s="70"/>
      <c r="AB750" s="70"/>
      <c r="AC750" s="70"/>
      <c r="AE750" s="26" t="s">
        <v>5027</v>
      </c>
    </row>
    <row r="751" spans="1:31" s="26" customFormat="1" x14ac:dyDescent="0.3">
      <c r="A751" s="25" t="s">
        <v>5028</v>
      </c>
      <c r="B751" s="25"/>
      <c r="C751" s="26" t="s">
        <v>3005</v>
      </c>
      <c r="D751" s="70"/>
      <c r="G751" s="70" t="s">
        <v>731</v>
      </c>
      <c r="H751" s="26">
        <v>2</v>
      </c>
      <c r="I751" s="70" t="s">
        <v>5029</v>
      </c>
      <c r="J751" s="26" t="s">
        <v>5030</v>
      </c>
      <c r="K751" s="26" t="s">
        <v>5031</v>
      </c>
      <c r="L751" s="26" t="s">
        <v>10282</v>
      </c>
      <c r="M751" s="76"/>
      <c r="N751" s="76"/>
      <c r="O751" s="76"/>
      <c r="P751" s="76"/>
      <c r="Q751" s="76"/>
      <c r="R751" s="76"/>
      <c r="T751" s="26" t="s">
        <v>2200</v>
      </c>
      <c r="Z751" s="70"/>
      <c r="AA751" s="70"/>
      <c r="AB751" s="70"/>
      <c r="AC751" s="70"/>
      <c r="AE751" s="26" t="s">
        <v>5032</v>
      </c>
    </row>
    <row r="752" spans="1:31" s="24" customFormat="1" x14ac:dyDescent="0.3">
      <c r="A752" s="23">
        <v>235</v>
      </c>
      <c r="B752" s="23">
        <v>230</v>
      </c>
      <c r="C752" s="24" t="s">
        <v>2165</v>
      </c>
      <c r="D752" s="69" t="s">
        <v>713</v>
      </c>
      <c r="E752" s="24" t="s">
        <v>712</v>
      </c>
      <c r="F752" s="24" t="s">
        <v>734</v>
      </c>
      <c r="G752" s="69" t="s">
        <v>735</v>
      </c>
      <c r="H752" s="24">
        <v>1</v>
      </c>
      <c r="I752" s="69"/>
      <c r="J752" s="24" t="s">
        <v>3016</v>
      </c>
      <c r="K752" s="24" t="s">
        <v>119</v>
      </c>
      <c r="M752" s="75" t="s">
        <v>15</v>
      </c>
      <c r="N752" s="75"/>
      <c r="O752" s="75"/>
      <c r="P752" s="75"/>
      <c r="Q752" s="75"/>
      <c r="R752" s="75"/>
      <c r="V752" s="24" t="s">
        <v>2426</v>
      </c>
      <c r="W752" s="24" t="s">
        <v>2427</v>
      </c>
      <c r="Y752" s="24" t="s">
        <v>2428</v>
      </c>
      <c r="Z752" s="69"/>
      <c r="AA752" s="69"/>
      <c r="AB752" s="69"/>
      <c r="AC752" s="69"/>
    </row>
    <row r="753" spans="1:29" s="26" customFormat="1" x14ac:dyDescent="0.3">
      <c r="A753" s="25" t="s">
        <v>5033</v>
      </c>
      <c r="B753" s="25"/>
      <c r="C753" s="26" t="s">
        <v>3005</v>
      </c>
      <c r="D753" s="70"/>
      <c r="G753" s="70" t="s">
        <v>735</v>
      </c>
      <c r="H753" s="26">
        <v>2</v>
      </c>
      <c r="I753" s="70" t="s">
        <v>5034</v>
      </c>
      <c r="J753" s="26" t="s">
        <v>3016</v>
      </c>
      <c r="K753" s="26" t="s">
        <v>5035</v>
      </c>
      <c r="L753" s="26" t="s">
        <v>10283</v>
      </c>
      <c r="M753" s="76"/>
      <c r="N753" s="76"/>
      <c r="O753" s="76"/>
      <c r="P753" s="76"/>
      <c r="Q753" s="76"/>
      <c r="R753" s="76"/>
      <c r="Z753" s="70"/>
      <c r="AA753" s="70"/>
      <c r="AB753" s="70"/>
      <c r="AC753" s="70"/>
    </row>
    <row r="754" spans="1:29" s="26" customFormat="1" x14ac:dyDescent="0.3">
      <c r="A754" s="25" t="s">
        <v>5036</v>
      </c>
      <c r="B754" s="25"/>
      <c r="C754" s="26" t="s">
        <v>3005</v>
      </c>
      <c r="D754" s="70"/>
      <c r="G754" s="70" t="s">
        <v>735</v>
      </c>
      <c r="H754" s="26">
        <v>-1</v>
      </c>
      <c r="I754" s="70" t="s">
        <v>5037</v>
      </c>
      <c r="J754" s="26" t="s">
        <v>5038</v>
      </c>
      <c r="K754" s="26" t="s">
        <v>3736</v>
      </c>
      <c r="L754" s="26" t="s">
        <v>3736</v>
      </c>
      <c r="M754" s="76"/>
      <c r="N754" s="76"/>
      <c r="O754" s="76"/>
      <c r="P754" s="76"/>
      <c r="Q754" s="76"/>
      <c r="R754" s="76"/>
      <c r="Z754" s="70"/>
      <c r="AA754" s="70"/>
      <c r="AB754" s="70"/>
      <c r="AC754" s="70"/>
    </row>
    <row r="755" spans="1:29" s="26" customFormat="1" x14ac:dyDescent="0.3">
      <c r="A755" s="25" t="s">
        <v>5039</v>
      </c>
      <c r="B755" s="25"/>
      <c r="C755" s="26" t="s">
        <v>3005</v>
      </c>
      <c r="D755" s="70"/>
      <c r="G755" s="70" t="s">
        <v>735</v>
      </c>
      <c r="H755" s="26">
        <v>-1</v>
      </c>
      <c r="I755" s="70" t="s">
        <v>5040</v>
      </c>
      <c r="J755" s="26" t="s">
        <v>5041</v>
      </c>
      <c r="K755" s="26" t="s">
        <v>3750</v>
      </c>
      <c r="M755" s="76"/>
      <c r="N755" s="76"/>
      <c r="O755" s="76"/>
      <c r="P755" s="76"/>
      <c r="Q755" s="76"/>
      <c r="R755" s="76"/>
      <c r="Z755" s="70"/>
      <c r="AA755" s="70"/>
      <c r="AB755" s="70"/>
      <c r="AC755" s="70"/>
    </row>
    <row r="756" spans="1:29" s="26" customFormat="1" x14ac:dyDescent="0.3">
      <c r="A756" s="25" t="s">
        <v>5042</v>
      </c>
      <c r="B756" s="25"/>
      <c r="C756" s="26" t="s">
        <v>3005</v>
      </c>
      <c r="D756" s="70"/>
      <c r="G756" s="70" t="s">
        <v>735</v>
      </c>
      <c r="H756" s="26">
        <v>-1</v>
      </c>
      <c r="I756" s="70" t="s">
        <v>5043</v>
      </c>
      <c r="J756" s="26" t="s">
        <v>3373</v>
      </c>
      <c r="K756" s="26" t="s">
        <v>3182</v>
      </c>
      <c r="L756" s="26" t="s">
        <v>9974</v>
      </c>
      <c r="M756" s="76"/>
      <c r="N756" s="76"/>
      <c r="O756" s="76"/>
      <c r="P756" s="76"/>
      <c r="Q756" s="76"/>
      <c r="R756" s="76"/>
      <c r="Z756" s="70"/>
      <c r="AA756" s="70"/>
      <c r="AB756" s="70"/>
      <c r="AC756" s="70"/>
    </row>
    <row r="757" spans="1:29" s="26" customFormat="1" x14ac:dyDescent="0.3">
      <c r="A757" s="25" t="s">
        <v>5044</v>
      </c>
      <c r="B757" s="25"/>
      <c r="C757" s="26" t="s">
        <v>3005</v>
      </c>
      <c r="D757" s="70"/>
      <c r="G757" s="70" t="s">
        <v>735</v>
      </c>
      <c r="H757" s="26">
        <v>-1</v>
      </c>
      <c r="I757" s="70" t="s">
        <v>5045</v>
      </c>
      <c r="J757" s="26" t="s">
        <v>5046</v>
      </c>
      <c r="K757" s="26" t="s">
        <v>3318</v>
      </c>
      <c r="L757" s="26" t="s">
        <v>10284</v>
      </c>
      <c r="M757" s="76"/>
      <c r="N757" s="76"/>
      <c r="O757" s="76"/>
      <c r="P757" s="76"/>
      <c r="Q757" s="76"/>
      <c r="R757" s="76"/>
      <c r="Z757" s="70"/>
      <c r="AA757" s="70"/>
      <c r="AB757" s="70"/>
      <c r="AC757" s="70"/>
    </row>
    <row r="758" spans="1:29" s="26" customFormat="1" x14ac:dyDescent="0.3">
      <c r="A758" s="25" t="s">
        <v>5047</v>
      </c>
      <c r="B758" s="25"/>
      <c r="C758" s="26" t="s">
        <v>3005</v>
      </c>
      <c r="D758" s="70"/>
      <c r="G758" s="70" t="s">
        <v>735</v>
      </c>
      <c r="H758" s="26">
        <v>-1</v>
      </c>
      <c r="I758" s="70" t="s">
        <v>5048</v>
      </c>
      <c r="J758" s="26" t="s">
        <v>5041</v>
      </c>
      <c r="K758" s="26" t="s">
        <v>5049</v>
      </c>
      <c r="L758" s="26" t="s">
        <v>10285</v>
      </c>
      <c r="M758" s="76"/>
      <c r="N758" s="76"/>
      <c r="O758" s="76"/>
      <c r="P758" s="76"/>
      <c r="Q758" s="76"/>
      <c r="R758" s="76"/>
      <c r="Z758" s="70"/>
      <c r="AA758" s="70"/>
      <c r="AB758" s="70"/>
      <c r="AC758" s="70"/>
    </row>
    <row r="759" spans="1:29" s="24" customFormat="1" x14ac:dyDescent="0.3">
      <c r="A759" s="23">
        <v>236</v>
      </c>
      <c r="B759" s="23">
        <v>231</v>
      </c>
      <c r="C759" s="24" t="s">
        <v>2165</v>
      </c>
      <c r="D759" s="69" t="s">
        <v>713</v>
      </c>
      <c r="E759" s="24" t="s">
        <v>712</v>
      </c>
      <c r="F759" s="24" t="s">
        <v>736</v>
      </c>
      <c r="G759" s="69" t="s">
        <v>737</v>
      </c>
      <c r="I759" s="69"/>
      <c r="J759" s="24" t="s">
        <v>3174</v>
      </c>
      <c r="K759" s="24" t="s">
        <v>738</v>
      </c>
      <c r="L759" s="24" t="s">
        <v>9769</v>
      </c>
      <c r="M759" s="75" t="s">
        <v>15</v>
      </c>
      <c r="N759" s="75"/>
      <c r="O759" s="75"/>
      <c r="P759" s="75"/>
      <c r="Q759" s="75"/>
      <c r="R759" s="75"/>
      <c r="Z759" s="69"/>
      <c r="AA759" s="69"/>
      <c r="AB759" s="69"/>
      <c r="AC759" s="69"/>
    </row>
    <row r="760" spans="1:29" s="24" customFormat="1" x14ac:dyDescent="0.3">
      <c r="A760" s="23">
        <v>237</v>
      </c>
      <c r="B760" s="23">
        <v>233</v>
      </c>
      <c r="C760" s="24" t="s">
        <v>2165</v>
      </c>
      <c r="D760" s="69" t="s">
        <v>713</v>
      </c>
      <c r="E760" s="24" t="s">
        <v>712</v>
      </c>
      <c r="F760" s="24" t="s">
        <v>739</v>
      </c>
      <c r="G760" s="69" t="s">
        <v>740</v>
      </c>
      <c r="H760" s="24">
        <v>1</v>
      </c>
      <c r="I760" s="69"/>
      <c r="J760" s="24" t="s">
        <v>3016</v>
      </c>
      <c r="K760" s="24" t="s">
        <v>741</v>
      </c>
      <c r="M760" s="75" t="s">
        <v>15</v>
      </c>
      <c r="N760" s="75"/>
      <c r="O760" s="75" t="s">
        <v>58</v>
      </c>
      <c r="P760" s="75" t="s">
        <v>58</v>
      </c>
      <c r="Q760" s="75" t="s">
        <v>67</v>
      </c>
      <c r="R760" s="75"/>
      <c r="Z760" s="69"/>
      <c r="AA760" s="69"/>
      <c r="AB760" s="69"/>
      <c r="AC760" s="69"/>
    </row>
    <row r="761" spans="1:29" s="26" customFormat="1" x14ac:dyDescent="0.3">
      <c r="A761" s="25" t="s">
        <v>5050</v>
      </c>
      <c r="B761" s="25"/>
      <c r="C761" s="26" t="s">
        <v>3005</v>
      </c>
      <c r="D761" s="70"/>
      <c r="G761" s="70" t="s">
        <v>740</v>
      </c>
      <c r="H761" s="26">
        <v>2</v>
      </c>
      <c r="I761" s="70" t="s">
        <v>5051</v>
      </c>
      <c r="J761" s="26" t="s">
        <v>3016</v>
      </c>
      <c r="K761" s="26" t="s">
        <v>5052</v>
      </c>
      <c r="L761" s="26" t="s">
        <v>10286</v>
      </c>
      <c r="M761" s="76"/>
      <c r="N761" s="76"/>
      <c r="O761" s="76"/>
      <c r="P761" s="76"/>
      <c r="Q761" s="76"/>
      <c r="R761" s="76"/>
      <c r="Z761" s="70"/>
      <c r="AA761" s="70"/>
      <c r="AB761" s="70"/>
      <c r="AC761" s="70"/>
    </row>
    <row r="762" spans="1:29" s="26" customFormat="1" x14ac:dyDescent="0.3">
      <c r="A762" s="25" t="s">
        <v>5053</v>
      </c>
      <c r="B762" s="25"/>
      <c r="C762" s="26" t="s">
        <v>3005</v>
      </c>
      <c r="D762" s="70"/>
      <c r="G762" s="70" t="s">
        <v>740</v>
      </c>
      <c r="H762" s="26">
        <v>-1</v>
      </c>
      <c r="I762" s="70" t="s">
        <v>3393</v>
      </c>
      <c r="J762" s="26" t="s">
        <v>5054</v>
      </c>
      <c r="K762" s="26" t="s">
        <v>5055</v>
      </c>
      <c r="L762" s="26" t="s">
        <v>10287</v>
      </c>
      <c r="M762" s="76"/>
      <c r="N762" s="76"/>
      <c r="O762" s="76"/>
      <c r="P762" s="76"/>
      <c r="Q762" s="76"/>
      <c r="R762" s="76"/>
      <c r="Z762" s="70"/>
      <c r="AA762" s="70"/>
      <c r="AB762" s="70"/>
      <c r="AC762" s="70"/>
    </row>
    <row r="763" spans="1:29" s="24" customFormat="1" x14ac:dyDescent="0.3">
      <c r="A763" s="23">
        <v>238</v>
      </c>
      <c r="B763" s="23">
        <v>234</v>
      </c>
      <c r="C763" s="24" t="s">
        <v>2165</v>
      </c>
      <c r="D763" s="69" t="s">
        <v>713</v>
      </c>
      <c r="E763" s="24" t="s">
        <v>712</v>
      </c>
      <c r="F763" s="24" t="s">
        <v>742</v>
      </c>
      <c r="G763" s="69" t="s">
        <v>743</v>
      </c>
      <c r="H763" s="24">
        <v>3</v>
      </c>
      <c r="I763" s="69"/>
      <c r="J763" s="24" t="s">
        <v>3158</v>
      </c>
      <c r="K763" s="24" t="s">
        <v>68</v>
      </c>
      <c r="M763" s="75" t="s">
        <v>65</v>
      </c>
      <c r="N763" s="75" t="s">
        <v>2019</v>
      </c>
      <c r="O763" s="75" t="s">
        <v>58</v>
      </c>
      <c r="P763" s="75" t="s">
        <v>58</v>
      </c>
      <c r="Q763" s="75" t="s">
        <v>66</v>
      </c>
      <c r="R763" s="75"/>
      <c r="Z763" s="69"/>
      <c r="AA763" s="69"/>
      <c r="AB763" s="69"/>
      <c r="AC763" s="69"/>
    </row>
    <row r="764" spans="1:29" s="26" customFormat="1" x14ac:dyDescent="0.3">
      <c r="A764" s="25" t="s">
        <v>5056</v>
      </c>
      <c r="B764" s="25"/>
      <c r="C764" s="26" t="s">
        <v>3005</v>
      </c>
      <c r="D764" s="70"/>
      <c r="G764" s="70" t="s">
        <v>743</v>
      </c>
      <c r="H764" s="26">
        <v>1</v>
      </c>
      <c r="I764" s="70" t="s">
        <v>5057</v>
      </c>
      <c r="J764" s="26" t="s">
        <v>5058</v>
      </c>
      <c r="K764" s="26" t="s">
        <v>4253</v>
      </c>
      <c r="L764" s="26" t="s">
        <v>10288</v>
      </c>
      <c r="M764" s="76"/>
      <c r="N764" s="76"/>
      <c r="O764" s="76"/>
      <c r="P764" s="76"/>
      <c r="Q764" s="76"/>
      <c r="R764" s="76"/>
      <c r="Z764" s="70"/>
      <c r="AA764" s="70"/>
      <c r="AB764" s="70"/>
      <c r="AC764" s="70"/>
    </row>
    <row r="765" spans="1:29" s="26" customFormat="1" x14ac:dyDescent="0.3">
      <c r="A765" s="25" t="s">
        <v>5059</v>
      </c>
      <c r="B765" s="25"/>
      <c r="C765" s="26" t="s">
        <v>3005</v>
      </c>
      <c r="D765" s="70"/>
      <c r="G765" s="70" t="s">
        <v>743</v>
      </c>
      <c r="H765" s="26">
        <v>1</v>
      </c>
      <c r="I765" s="70" t="s">
        <v>5060</v>
      </c>
      <c r="J765" s="26" t="s">
        <v>3158</v>
      </c>
      <c r="K765" s="26" t="s">
        <v>5061</v>
      </c>
      <c r="L765" s="26" t="s">
        <v>10289</v>
      </c>
      <c r="M765" s="76"/>
      <c r="N765" s="76"/>
      <c r="O765" s="76"/>
      <c r="P765" s="76"/>
      <c r="Q765" s="76"/>
      <c r="R765" s="76"/>
      <c r="Z765" s="70"/>
      <c r="AA765" s="70"/>
      <c r="AB765" s="70"/>
      <c r="AC765" s="70"/>
    </row>
    <row r="766" spans="1:29" s="26" customFormat="1" x14ac:dyDescent="0.3">
      <c r="A766" s="25" t="s">
        <v>5062</v>
      </c>
      <c r="B766" s="25"/>
      <c r="C766" s="26" t="s">
        <v>3005</v>
      </c>
      <c r="D766" s="70"/>
      <c r="G766" s="70" t="s">
        <v>743</v>
      </c>
      <c r="H766" s="26">
        <v>1</v>
      </c>
      <c r="I766" s="70" t="s">
        <v>5063</v>
      </c>
      <c r="J766" s="26" t="s">
        <v>5064</v>
      </c>
      <c r="K766" s="26" t="s">
        <v>5065</v>
      </c>
      <c r="L766" s="26" t="s">
        <v>10290</v>
      </c>
      <c r="M766" s="76"/>
      <c r="N766" s="76"/>
      <c r="O766" s="76"/>
      <c r="P766" s="76"/>
      <c r="Q766" s="76"/>
      <c r="R766" s="76"/>
      <c r="Z766" s="70"/>
      <c r="AA766" s="70"/>
      <c r="AB766" s="70"/>
      <c r="AC766" s="70"/>
    </row>
    <row r="767" spans="1:29" s="24" customFormat="1" x14ac:dyDescent="0.3">
      <c r="A767" s="23">
        <v>239</v>
      </c>
      <c r="B767" s="23">
        <v>235</v>
      </c>
      <c r="C767" s="24" t="s">
        <v>2165</v>
      </c>
      <c r="D767" s="69" t="s">
        <v>713</v>
      </c>
      <c r="E767" s="24" t="s">
        <v>712</v>
      </c>
      <c r="F767" s="24" t="s">
        <v>744</v>
      </c>
      <c r="G767" s="69" t="s">
        <v>745</v>
      </c>
      <c r="H767" s="24">
        <v>3</v>
      </c>
      <c r="I767" s="69"/>
      <c r="J767" s="24" t="s">
        <v>5066</v>
      </c>
      <c r="K767" s="24" t="s">
        <v>68</v>
      </c>
      <c r="M767" s="75" t="s">
        <v>65</v>
      </c>
      <c r="N767" s="75" t="s">
        <v>2020</v>
      </c>
      <c r="O767" s="75" t="s">
        <v>66</v>
      </c>
      <c r="P767" s="75" t="s">
        <v>66</v>
      </c>
      <c r="Q767" s="75" t="s">
        <v>66</v>
      </c>
      <c r="R767" s="75"/>
      <c r="Z767" s="69"/>
      <c r="AA767" s="69"/>
      <c r="AB767" s="69"/>
      <c r="AC767" s="69" t="s">
        <v>11382</v>
      </c>
    </row>
    <row r="768" spans="1:29" s="26" customFormat="1" x14ac:dyDescent="0.3">
      <c r="A768" s="25" t="s">
        <v>5067</v>
      </c>
      <c r="B768" s="25"/>
      <c r="C768" s="26" t="s">
        <v>3005</v>
      </c>
      <c r="D768" s="70"/>
      <c r="G768" s="70" t="s">
        <v>745</v>
      </c>
      <c r="H768" s="26">
        <v>1</v>
      </c>
      <c r="I768" s="70" t="s">
        <v>5068</v>
      </c>
      <c r="J768" s="26" t="s">
        <v>5069</v>
      </c>
      <c r="K768" s="26" t="s">
        <v>5070</v>
      </c>
      <c r="L768" s="26" t="s">
        <v>10291</v>
      </c>
      <c r="M768" s="76"/>
      <c r="N768" s="76"/>
      <c r="O768" s="76"/>
      <c r="P768" s="76"/>
      <c r="Q768" s="76"/>
      <c r="R768" s="76"/>
      <c r="Z768" s="70"/>
      <c r="AA768" s="70"/>
      <c r="AB768" s="70"/>
      <c r="AC768" s="70"/>
    </row>
    <row r="769" spans="1:31" s="26" customFormat="1" x14ac:dyDescent="0.3">
      <c r="A769" s="25" t="s">
        <v>5071</v>
      </c>
      <c r="B769" s="25"/>
      <c r="C769" s="26" t="s">
        <v>3005</v>
      </c>
      <c r="D769" s="70"/>
      <c r="G769" s="70" t="s">
        <v>745</v>
      </c>
      <c r="H769" s="26">
        <v>1</v>
      </c>
      <c r="I769" s="70" t="s">
        <v>5072</v>
      </c>
      <c r="J769" s="26" t="s">
        <v>5066</v>
      </c>
      <c r="K769" s="26" t="s">
        <v>5073</v>
      </c>
      <c r="L769" s="26" t="s">
        <v>10292</v>
      </c>
      <c r="M769" s="76"/>
      <c r="N769" s="76"/>
      <c r="O769" s="76"/>
      <c r="P769" s="76"/>
      <c r="Q769" s="76"/>
      <c r="R769" s="76"/>
      <c r="Z769" s="70"/>
      <c r="AA769" s="70"/>
      <c r="AB769" s="70"/>
      <c r="AC769" s="70"/>
    </row>
    <row r="770" spans="1:31" s="26" customFormat="1" x14ac:dyDescent="0.3">
      <c r="A770" s="25" t="s">
        <v>5074</v>
      </c>
      <c r="B770" s="25"/>
      <c r="C770" s="26" t="s">
        <v>3005</v>
      </c>
      <c r="D770" s="70"/>
      <c r="G770" s="70" t="s">
        <v>745</v>
      </c>
      <c r="H770" s="26">
        <v>1</v>
      </c>
      <c r="I770" s="70" t="s">
        <v>5075</v>
      </c>
      <c r="J770" s="26" t="s">
        <v>5076</v>
      </c>
      <c r="K770" s="26" t="s">
        <v>5077</v>
      </c>
      <c r="L770" s="26" t="s">
        <v>10293</v>
      </c>
      <c r="M770" s="76"/>
      <c r="N770" s="76"/>
      <c r="O770" s="76"/>
      <c r="P770" s="76"/>
      <c r="Q770" s="76"/>
      <c r="R770" s="76"/>
      <c r="Z770" s="70"/>
      <c r="AA770" s="70"/>
      <c r="AB770" s="70"/>
      <c r="AC770" s="70"/>
    </row>
    <row r="771" spans="1:31" s="24" customFormat="1" x14ac:dyDescent="0.3">
      <c r="A771" s="23">
        <v>240</v>
      </c>
      <c r="B771" s="23">
        <v>236</v>
      </c>
      <c r="C771" s="24" t="s">
        <v>2165</v>
      </c>
      <c r="D771" s="69" t="s">
        <v>713</v>
      </c>
      <c r="E771" s="24" t="s">
        <v>712</v>
      </c>
      <c r="F771" s="24" t="s">
        <v>746</v>
      </c>
      <c r="G771" s="69" t="s">
        <v>747</v>
      </c>
      <c r="I771" s="69"/>
      <c r="J771" s="24" t="s">
        <v>5078</v>
      </c>
      <c r="K771" s="24" t="s">
        <v>68</v>
      </c>
      <c r="L771" s="24" t="s">
        <v>9770</v>
      </c>
      <c r="M771" s="75" t="s">
        <v>65</v>
      </c>
      <c r="N771" s="75" t="s">
        <v>2021</v>
      </c>
      <c r="O771" s="75" t="s">
        <v>85</v>
      </c>
      <c r="P771" s="75" t="s">
        <v>85</v>
      </c>
      <c r="Q771" s="75" t="s">
        <v>85</v>
      </c>
      <c r="R771" s="75" t="s">
        <v>2166</v>
      </c>
      <c r="Z771" s="69"/>
      <c r="AA771" s="69"/>
      <c r="AB771" s="69"/>
      <c r="AC771" s="69"/>
    </row>
    <row r="772" spans="1:31" s="24" customFormat="1" x14ac:dyDescent="0.3">
      <c r="A772" s="23">
        <v>241</v>
      </c>
      <c r="B772" s="23">
        <v>237</v>
      </c>
      <c r="C772" s="24" t="s">
        <v>2165</v>
      </c>
      <c r="D772" s="69" t="s">
        <v>713</v>
      </c>
      <c r="E772" s="24" t="s">
        <v>712</v>
      </c>
      <c r="F772" s="24" t="s">
        <v>748</v>
      </c>
      <c r="G772" s="69" t="s">
        <v>749</v>
      </c>
      <c r="I772" s="69"/>
      <c r="J772" s="24" t="s">
        <v>5079</v>
      </c>
      <c r="K772" s="24" t="s">
        <v>68</v>
      </c>
      <c r="L772" s="24" t="s">
        <v>9771</v>
      </c>
      <c r="M772" s="75" t="s">
        <v>65</v>
      </c>
      <c r="N772" s="75" t="s">
        <v>2022</v>
      </c>
      <c r="O772" s="75" t="s">
        <v>85</v>
      </c>
      <c r="P772" s="75" t="s">
        <v>85</v>
      </c>
      <c r="Q772" s="75" t="s">
        <v>85</v>
      </c>
      <c r="R772" s="75" t="s">
        <v>2166</v>
      </c>
      <c r="Z772" s="69"/>
      <c r="AA772" s="69"/>
      <c r="AB772" s="69"/>
      <c r="AC772" s="69"/>
    </row>
    <row r="773" spans="1:31" s="24" customFormat="1" x14ac:dyDescent="0.3">
      <c r="A773" s="23">
        <v>242</v>
      </c>
      <c r="B773" s="23">
        <v>238</v>
      </c>
      <c r="C773" s="24" t="s">
        <v>2165</v>
      </c>
      <c r="D773" s="69" t="s">
        <v>713</v>
      </c>
      <c r="E773" s="24" t="s">
        <v>712</v>
      </c>
      <c r="F773" s="24" t="s">
        <v>750</v>
      </c>
      <c r="G773" s="69" t="s">
        <v>751</v>
      </c>
      <c r="I773" s="69"/>
      <c r="J773" s="24" t="s">
        <v>5080</v>
      </c>
      <c r="K773" s="24" t="s">
        <v>68</v>
      </c>
      <c r="L773" s="24" t="s">
        <v>9772</v>
      </c>
      <c r="M773" s="75" t="s">
        <v>65</v>
      </c>
      <c r="N773" s="75" t="s">
        <v>2023</v>
      </c>
      <c r="O773" s="75" t="s">
        <v>85</v>
      </c>
      <c r="P773" s="75" t="s">
        <v>85</v>
      </c>
      <c r="Q773" s="75" t="s">
        <v>85</v>
      </c>
      <c r="R773" s="75" t="s">
        <v>2166</v>
      </c>
      <c r="Z773" s="69"/>
      <c r="AA773" s="69"/>
      <c r="AB773" s="69"/>
      <c r="AC773" s="69"/>
      <c r="AD773" s="24" t="s">
        <v>752</v>
      </c>
    </row>
    <row r="774" spans="1:31" s="24" customFormat="1" x14ac:dyDescent="0.3">
      <c r="A774" s="23">
        <v>243</v>
      </c>
      <c r="B774" s="23">
        <v>239</v>
      </c>
      <c r="C774" s="24" t="s">
        <v>2165</v>
      </c>
      <c r="D774" s="69" t="s">
        <v>713</v>
      </c>
      <c r="E774" s="24" t="s">
        <v>712</v>
      </c>
      <c r="F774" s="24" t="s">
        <v>753</v>
      </c>
      <c r="G774" s="69" t="s">
        <v>754</v>
      </c>
      <c r="H774" s="24">
        <v>4</v>
      </c>
      <c r="I774" s="69"/>
      <c r="J774" s="24" t="s">
        <v>4992</v>
      </c>
      <c r="K774" s="24" t="s">
        <v>68</v>
      </c>
      <c r="M774" s="75" t="s">
        <v>65</v>
      </c>
      <c r="N774" s="75" t="s">
        <v>2015</v>
      </c>
      <c r="O774" s="75"/>
      <c r="P774" s="75"/>
      <c r="Q774" s="75"/>
      <c r="R774" s="75"/>
      <c r="V774" s="24" t="s">
        <v>2429</v>
      </c>
      <c r="W774" s="24" t="s">
        <v>2429</v>
      </c>
      <c r="Y774" s="24" t="s">
        <v>2430</v>
      </c>
      <c r="Z774" s="69"/>
      <c r="AA774" s="69"/>
      <c r="AB774" s="69"/>
      <c r="AC774" s="69"/>
    </row>
    <row r="775" spans="1:31" s="26" customFormat="1" x14ac:dyDescent="0.3">
      <c r="A775" s="25" t="s">
        <v>5081</v>
      </c>
      <c r="B775" s="25"/>
      <c r="C775" s="26" t="s">
        <v>3005</v>
      </c>
      <c r="D775" s="70"/>
      <c r="G775" s="70" t="s">
        <v>754</v>
      </c>
      <c r="H775" s="26">
        <v>1</v>
      </c>
      <c r="I775" s="70" t="s">
        <v>5082</v>
      </c>
      <c r="J775" s="26" t="s">
        <v>4992</v>
      </c>
      <c r="K775" s="26" t="s">
        <v>5083</v>
      </c>
      <c r="M775" s="76"/>
      <c r="N775" s="76"/>
      <c r="O775" s="76"/>
      <c r="P775" s="76"/>
      <c r="Q775" s="76"/>
      <c r="R775" s="76"/>
      <c r="Z775" s="70"/>
      <c r="AA775" s="70"/>
      <c r="AB775" s="70"/>
      <c r="AC775" s="70"/>
    </row>
    <row r="776" spans="1:31" s="26" customFormat="1" x14ac:dyDescent="0.3">
      <c r="A776" s="25" t="s">
        <v>5084</v>
      </c>
      <c r="B776" s="25"/>
      <c r="C776" s="26" t="s">
        <v>3005</v>
      </c>
      <c r="D776" s="70"/>
      <c r="G776" s="70" t="s">
        <v>754</v>
      </c>
      <c r="H776" s="26">
        <v>1</v>
      </c>
      <c r="I776" s="70" t="s">
        <v>4243</v>
      </c>
      <c r="J776" s="26" t="s">
        <v>5085</v>
      </c>
      <c r="K776" s="26" t="s">
        <v>5086</v>
      </c>
      <c r="M776" s="76"/>
      <c r="N776" s="76"/>
      <c r="O776" s="76"/>
      <c r="P776" s="76"/>
      <c r="Q776" s="76"/>
      <c r="R776" s="76"/>
      <c r="Y776" s="26" t="s">
        <v>5087</v>
      </c>
      <c r="Z776" s="70"/>
      <c r="AA776" s="70"/>
      <c r="AB776" s="70" t="s">
        <v>5088</v>
      </c>
      <c r="AC776" s="70"/>
    </row>
    <row r="777" spans="1:31" s="26" customFormat="1" x14ac:dyDescent="0.3">
      <c r="A777" s="25" t="s">
        <v>5089</v>
      </c>
      <c r="B777" s="25"/>
      <c r="C777" s="26" t="s">
        <v>3005</v>
      </c>
      <c r="D777" s="70"/>
      <c r="G777" s="70" t="s">
        <v>754</v>
      </c>
      <c r="H777" s="26">
        <v>1</v>
      </c>
      <c r="I777" s="70" t="s">
        <v>5090</v>
      </c>
      <c r="J777" s="26" t="s">
        <v>5091</v>
      </c>
      <c r="K777" s="26" t="s">
        <v>5092</v>
      </c>
      <c r="L777" s="26" t="s">
        <v>10294</v>
      </c>
      <c r="M777" s="76"/>
      <c r="N777" s="76"/>
      <c r="O777" s="76"/>
      <c r="P777" s="76"/>
      <c r="Q777" s="76"/>
      <c r="R777" s="76"/>
      <c r="Y777" s="26" t="s">
        <v>5093</v>
      </c>
      <c r="Z777" s="70"/>
      <c r="AA777" s="70"/>
      <c r="AB777" s="70" t="s">
        <v>5094</v>
      </c>
      <c r="AC777" s="70"/>
    </row>
    <row r="778" spans="1:31" s="26" customFormat="1" x14ac:dyDescent="0.3">
      <c r="A778" s="25" t="s">
        <v>5095</v>
      </c>
      <c r="B778" s="25"/>
      <c r="C778" s="26" t="s">
        <v>3005</v>
      </c>
      <c r="D778" s="70"/>
      <c r="G778" s="70" t="s">
        <v>754</v>
      </c>
      <c r="H778" s="26">
        <v>1</v>
      </c>
      <c r="I778" s="70" t="s">
        <v>5096</v>
      </c>
      <c r="J778" s="26" t="s">
        <v>5078</v>
      </c>
      <c r="K778" s="26" t="s">
        <v>5097</v>
      </c>
      <c r="L778" s="26" t="s">
        <v>10295</v>
      </c>
      <c r="M778" s="76"/>
      <c r="N778" s="76"/>
      <c r="O778" s="76"/>
      <c r="P778" s="76"/>
      <c r="Q778" s="76"/>
      <c r="R778" s="76"/>
      <c r="Z778" s="70"/>
      <c r="AA778" s="70"/>
      <c r="AB778" s="70"/>
      <c r="AC778" s="70"/>
    </row>
    <row r="779" spans="1:31" s="24" customFormat="1" x14ac:dyDescent="0.3">
      <c r="A779" s="23">
        <v>244</v>
      </c>
      <c r="B779" s="23">
        <v>240</v>
      </c>
      <c r="C779" s="24" t="s">
        <v>2165</v>
      </c>
      <c r="D779" s="69" t="s">
        <v>713</v>
      </c>
      <c r="E779" s="24" t="s">
        <v>712</v>
      </c>
      <c r="F779" s="24" t="s">
        <v>755</v>
      </c>
      <c r="G779" s="69" t="s">
        <v>756</v>
      </c>
      <c r="H779" s="24">
        <v>4</v>
      </c>
      <c r="I779" s="69"/>
      <c r="J779" s="24" t="s">
        <v>3373</v>
      </c>
      <c r="K779" s="24" t="s">
        <v>68</v>
      </c>
      <c r="M779" s="75" t="s">
        <v>65</v>
      </c>
      <c r="N779" s="75" t="s">
        <v>2015</v>
      </c>
      <c r="O779" s="75"/>
      <c r="P779" s="75"/>
      <c r="Q779" s="75" t="s">
        <v>85</v>
      </c>
      <c r="R779" s="75"/>
      <c r="V779" s="24" t="s">
        <v>2431</v>
      </c>
      <c r="W779" s="24" t="s">
        <v>2431</v>
      </c>
      <c r="Y779" s="24" t="s">
        <v>2432</v>
      </c>
      <c r="Z779" s="69"/>
      <c r="AA779" s="69"/>
      <c r="AB779" s="69"/>
      <c r="AC779" s="69" t="s">
        <v>11383</v>
      </c>
    </row>
    <row r="780" spans="1:31" s="26" customFormat="1" x14ac:dyDescent="0.3">
      <c r="A780" s="25" t="s">
        <v>5098</v>
      </c>
      <c r="B780" s="25"/>
      <c r="C780" s="26" t="s">
        <v>3005</v>
      </c>
      <c r="D780" s="70"/>
      <c r="G780" s="70" t="s">
        <v>756</v>
      </c>
      <c r="H780" s="26">
        <v>1</v>
      </c>
      <c r="I780" s="70" t="s">
        <v>5099</v>
      </c>
      <c r="J780" s="26" t="s">
        <v>3373</v>
      </c>
      <c r="K780" s="26" t="s">
        <v>5100</v>
      </c>
      <c r="L780" s="26" t="s">
        <v>10296</v>
      </c>
      <c r="M780" s="76"/>
      <c r="N780" s="76"/>
      <c r="O780" s="76"/>
      <c r="P780" s="76"/>
      <c r="Q780" s="76"/>
      <c r="R780" s="76"/>
      <c r="Z780" s="70"/>
      <c r="AA780" s="70"/>
      <c r="AB780" s="70"/>
      <c r="AC780" s="70"/>
    </row>
    <row r="781" spans="1:31" s="26" customFormat="1" x14ac:dyDescent="0.3">
      <c r="A781" s="25" t="s">
        <v>5101</v>
      </c>
      <c r="B781" s="25"/>
      <c r="C781" s="26" t="s">
        <v>3005</v>
      </c>
      <c r="D781" s="70"/>
      <c r="G781" s="70" t="s">
        <v>756</v>
      </c>
      <c r="H781" s="26">
        <v>1</v>
      </c>
      <c r="I781" s="70" t="s">
        <v>5102</v>
      </c>
      <c r="J781" s="26" t="s">
        <v>5103</v>
      </c>
      <c r="K781" s="26" t="s">
        <v>5104</v>
      </c>
      <c r="L781" s="26" t="s">
        <v>10297</v>
      </c>
      <c r="M781" s="76"/>
      <c r="N781" s="76"/>
      <c r="O781" s="76"/>
      <c r="P781" s="76"/>
      <c r="Q781" s="76"/>
      <c r="R781" s="76"/>
      <c r="Z781" s="70"/>
      <c r="AA781" s="70"/>
      <c r="AB781" s="70"/>
      <c r="AC781" s="70"/>
    </row>
    <row r="782" spans="1:31" s="26" customFormat="1" x14ac:dyDescent="0.3">
      <c r="A782" s="25" t="s">
        <v>5105</v>
      </c>
      <c r="B782" s="25"/>
      <c r="C782" s="26" t="s">
        <v>3005</v>
      </c>
      <c r="D782" s="70"/>
      <c r="G782" s="70" t="s">
        <v>756</v>
      </c>
      <c r="H782" s="26">
        <v>1</v>
      </c>
      <c r="I782" s="70" t="s">
        <v>5106</v>
      </c>
      <c r="J782" s="26" t="s">
        <v>5080</v>
      </c>
      <c r="K782" s="26" t="s">
        <v>5107</v>
      </c>
      <c r="M782" s="76"/>
      <c r="N782" s="76"/>
      <c r="O782" s="76"/>
      <c r="P782" s="76"/>
      <c r="Q782" s="76"/>
      <c r="R782" s="76"/>
      <c r="Y782" s="26" t="s">
        <v>5108</v>
      </c>
      <c r="Z782" s="70"/>
      <c r="AA782" s="70"/>
      <c r="AB782" s="70" t="s">
        <v>5109</v>
      </c>
      <c r="AC782" s="70"/>
    </row>
    <row r="783" spans="1:31" s="26" customFormat="1" x14ac:dyDescent="0.3">
      <c r="A783" s="25" t="s">
        <v>5110</v>
      </c>
      <c r="B783" s="25"/>
      <c r="C783" s="26" t="s">
        <v>3005</v>
      </c>
      <c r="D783" s="70"/>
      <c r="G783" s="70" t="s">
        <v>756</v>
      </c>
      <c r="H783" s="26">
        <v>1</v>
      </c>
      <c r="I783" s="70" t="s">
        <v>5111</v>
      </c>
      <c r="J783" s="26" t="s">
        <v>5080</v>
      </c>
      <c r="K783" s="26" t="s">
        <v>5112</v>
      </c>
      <c r="M783" s="76"/>
      <c r="N783" s="76"/>
      <c r="O783" s="76"/>
      <c r="P783" s="76"/>
      <c r="Q783" s="76"/>
      <c r="R783" s="76"/>
      <c r="Y783" s="26" t="s">
        <v>5113</v>
      </c>
      <c r="Z783" s="70"/>
      <c r="AA783" s="70"/>
      <c r="AB783" s="70" t="s">
        <v>5114</v>
      </c>
      <c r="AC783" s="70"/>
    </row>
    <row r="784" spans="1:31" s="24" customFormat="1" x14ac:dyDescent="0.3">
      <c r="A784" s="23">
        <v>245</v>
      </c>
      <c r="B784" s="23">
        <v>241</v>
      </c>
      <c r="C784" s="24" t="s">
        <v>2165</v>
      </c>
      <c r="D784" s="69" t="s">
        <v>713</v>
      </c>
      <c r="E784" s="24" t="s">
        <v>712</v>
      </c>
      <c r="F784" s="24" t="s">
        <v>757</v>
      </c>
      <c r="G784" s="69" t="s">
        <v>758</v>
      </c>
      <c r="I784" s="69"/>
      <c r="J784" s="24" t="s">
        <v>5080</v>
      </c>
      <c r="K784" s="24" t="s">
        <v>759</v>
      </c>
      <c r="L784" s="24" t="s">
        <v>9773</v>
      </c>
      <c r="M784" s="75" t="s">
        <v>65</v>
      </c>
      <c r="N784" s="75" t="s">
        <v>2023</v>
      </c>
      <c r="O784" s="75" t="s">
        <v>67</v>
      </c>
      <c r="P784" s="75" t="s">
        <v>67</v>
      </c>
      <c r="Q784" s="75" t="s">
        <v>85</v>
      </c>
      <c r="R784" s="75" t="s">
        <v>2166</v>
      </c>
      <c r="T784" s="24" t="s">
        <v>2174</v>
      </c>
      <c r="V784" s="24" t="s">
        <v>2433</v>
      </c>
      <c r="W784" s="24" t="s">
        <v>2434</v>
      </c>
      <c r="Y784" s="24" t="s">
        <v>2435</v>
      </c>
      <c r="Z784" s="69"/>
      <c r="AA784" s="69"/>
      <c r="AB784" s="69"/>
      <c r="AC784" s="69"/>
      <c r="AE784" s="24" t="s">
        <v>2436</v>
      </c>
    </row>
    <row r="785" spans="1:31" s="24" customFormat="1" x14ac:dyDescent="0.3">
      <c r="A785" s="23">
        <v>246</v>
      </c>
      <c r="B785" s="23">
        <v>242</v>
      </c>
      <c r="C785" s="24" t="s">
        <v>2165</v>
      </c>
      <c r="D785" s="69" t="s">
        <v>713</v>
      </c>
      <c r="E785" s="24" t="s">
        <v>712</v>
      </c>
      <c r="F785" s="24" t="s">
        <v>760</v>
      </c>
      <c r="G785" s="69" t="s">
        <v>761</v>
      </c>
      <c r="I785" s="69"/>
      <c r="J785" s="24" t="s">
        <v>5080</v>
      </c>
      <c r="K785" s="24" t="s">
        <v>762</v>
      </c>
      <c r="L785" s="24" t="s">
        <v>9774</v>
      </c>
      <c r="M785" s="75" t="s">
        <v>65</v>
      </c>
      <c r="N785" s="75" t="s">
        <v>2020</v>
      </c>
      <c r="O785" s="75" t="s">
        <v>66</v>
      </c>
      <c r="P785" s="75" t="s">
        <v>66</v>
      </c>
      <c r="Q785" s="75" t="s">
        <v>66</v>
      </c>
      <c r="R785" s="75"/>
      <c r="T785" s="24" t="s">
        <v>2179</v>
      </c>
      <c r="V785" s="24" t="s">
        <v>2433</v>
      </c>
      <c r="W785" s="24" t="s">
        <v>2437</v>
      </c>
      <c r="Y785" s="24" t="s">
        <v>2438</v>
      </c>
      <c r="Z785" s="69"/>
      <c r="AA785" s="69"/>
      <c r="AB785" s="69"/>
      <c r="AC785" s="69"/>
      <c r="AE785" s="24" t="s">
        <v>2439</v>
      </c>
    </row>
    <row r="786" spans="1:31" s="24" customFormat="1" x14ac:dyDescent="0.3">
      <c r="A786" s="23">
        <v>247</v>
      </c>
      <c r="B786" s="23">
        <v>243</v>
      </c>
      <c r="C786" s="24" t="s">
        <v>2165</v>
      </c>
      <c r="D786" s="69" t="s">
        <v>713</v>
      </c>
      <c r="E786" s="24" t="s">
        <v>712</v>
      </c>
      <c r="F786" s="24" t="s">
        <v>763</v>
      </c>
      <c r="G786" s="69" t="s">
        <v>764</v>
      </c>
      <c r="I786" s="69"/>
      <c r="J786" s="24" t="s">
        <v>5115</v>
      </c>
      <c r="K786" s="24" t="s">
        <v>765</v>
      </c>
      <c r="L786" s="24" t="s">
        <v>9775</v>
      </c>
      <c r="M786" s="75" t="s">
        <v>15</v>
      </c>
      <c r="N786" s="75"/>
      <c r="O786" s="75"/>
      <c r="P786" s="75"/>
      <c r="Q786" s="75"/>
      <c r="R786" s="75"/>
      <c r="V786" s="24" t="s">
        <v>2440</v>
      </c>
      <c r="W786" s="24" t="s">
        <v>2441</v>
      </c>
      <c r="Y786" s="24" t="s">
        <v>2442</v>
      </c>
      <c r="Z786" s="69"/>
      <c r="AA786" s="69"/>
      <c r="AB786" s="69"/>
      <c r="AC786" s="69"/>
    </row>
    <row r="787" spans="1:31" s="24" customFormat="1" x14ac:dyDescent="0.3">
      <c r="A787" s="23">
        <v>248</v>
      </c>
      <c r="B787" s="23">
        <v>244</v>
      </c>
      <c r="C787" s="24" t="s">
        <v>2165</v>
      </c>
      <c r="D787" s="69" t="s">
        <v>713</v>
      </c>
      <c r="E787" s="24" t="s">
        <v>712</v>
      </c>
      <c r="F787" s="24" t="s">
        <v>766</v>
      </c>
      <c r="G787" s="69" t="s">
        <v>767</v>
      </c>
      <c r="H787" s="24">
        <v>4</v>
      </c>
      <c r="I787" s="69"/>
      <c r="J787" s="24" t="s">
        <v>3485</v>
      </c>
      <c r="K787" s="24" t="s">
        <v>68</v>
      </c>
      <c r="M787" s="75" t="s">
        <v>65</v>
      </c>
      <c r="N787" s="75" t="s">
        <v>2015</v>
      </c>
      <c r="O787" s="75"/>
      <c r="P787" s="75"/>
      <c r="Q787" s="75" t="s">
        <v>66</v>
      </c>
      <c r="R787" s="75"/>
      <c r="T787" s="24" t="s">
        <v>2179</v>
      </c>
      <c r="V787" s="24" t="s">
        <v>2443</v>
      </c>
      <c r="W787" s="24" t="s">
        <v>2444</v>
      </c>
      <c r="Y787" s="24" t="s">
        <v>2445</v>
      </c>
      <c r="Z787" s="69"/>
      <c r="AA787" s="69"/>
      <c r="AB787" s="69"/>
      <c r="AC787" s="69"/>
      <c r="AE787" s="24" t="s">
        <v>2446</v>
      </c>
    </row>
    <row r="788" spans="1:31" s="26" customFormat="1" x14ac:dyDescent="0.3">
      <c r="A788" s="25" t="s">
        <v>5116</v>
      </c>
      <c r="B788" s="25"/>
      <c r="C788" s="26" t="s">
        <v>3005</v>
      </c>
      <c r="D788" s="70"/>
      <c r="G788" s="70" t="s">
        <v>767</v>
      </c>
      <c r="H788" s="26">
        <v>1</v>
      </c>
      <c r="I788" s="70" t="s">
        <v>5117</v>
      </c>
      <c r="J788" s="26" t="s">
        <v>5118</v>
      </c>
      <c r="K788" s="26" t="s">
        <v>4253</v>
      </c>
      <c r="L788" s="26" t="s">
        <v>10288</v>
      </c>
      <c r="M788" s="76"/>
      <c r="N788" s="76"/>
      <c r="O788" s="76"/>
      <c r="P788" s="76"/>
      <c r="Q788" s="76"/>
      <c r="R788" s="76"/>
      <c r="Z788" s="70"/>
      <c r="AA788" s="70"/>
      <c r="AB788" s="70"/>
      <c r="AC788" s="70"/>
    </row>
    <row r="789" spans="1:31" s="26" customFormat="1" x14ac:dyDescent="0.3">
      <c r="A789" s="25" t="s">
        <v>5119</v>
      </c>
      <c r="B789" s="25"/>
      <c r="C789" s="26" t="s">
        <v>3005</v>
      </c>
      <c r="D789" s="70"/>
      <c r="G789" s="70" t="s">
        <v>767</v>
      </c>
      <c r="H789" s="26">
        <v>1</v>
      </c>
      <c r="I789" s="70" t="s">
        <v>5120</v>
      </c>
      <c r="J789" s="26" t="s">
        <v>3485</v>
      </c>
      <c r="K789" s="26" t="s">
        <v>5121</v>
      </c>
      <c r="L789" s="26" t="s">
        <v>10298</v>
      </c>
      <c r="M789" s="76"/>
      <c r="N789" s="76"/>
      <c r="O789" s="76"/>
      <c r="P789" s="76"/>
      <c r="Q789" s="76"/>
      <c r="R789" s="76"/>
      <c r="Z789" s="70"/>
      <c r="AA789" s="70"/>
      <c r="AB789" s="70"/>
      <c r="AC789" s="70"/>
    </row>
    <row r="790" spans="1:31" s="26" customFormat="1" x14ac:dyDescent="0.3">
      <c r="A790" s="25" t="s">
        <v>5122</v>
      </c>
      <c r="B790" s="25"/>
      <c r="C790" s="26" t="s">
        <v>3005</v>
      </c>
      <c r="D790" s="70"/>
      <c r="G790" s="70" t="s">
        <v>767</v>
      </c>
      <c r="H790" s="26">
        <v>1</v>
      </c>
      <c r="I790" s="70" t="s">
        <v>5123</v>
      </c>
      <c r="J790" s="26" t="s">
        <v>5118</v>
      </c>
      <c r="K790" s="26" t="s">
        <v>5124</v>
      </c>
      <c r="L790" s="26" t="s">
        <v>10299</v>
      </c>
      <c r="M790" s="76"/>
      <c r="N790" s="76"/>
      <c r="O790" s="76"/>
      <c r="P790" s="76"/>
      <c r="Q790" s="76"/>
      <c r="R790" s="76"/>
      <c r="Z790" s="70"/>
      <c r="AA790" s="70"/>
      <c r="AB790" s="70"/>
      <c r="AC790" s="70"/>
    </row>
    <row r="791" spans="1:31" s="26" customFormat="1" x14ac:dyDescent="0.3">
      <c r="A791" s="25" t="s">
        <v>5125</v>
      </c>
      <c r="B791" s="25"/>
      <c r="C791" s="26" t="s">
        <v>3005</v>
      </c>
      <c r="D791" s="70"/>
      <c r="G791" s="70" t="s">
        <v>767</v>
      </c>
      <c r="H791" s="26">
        <v>1</v>
      </c>
      <c r="I791" s="70" t="s">
        <v>5126</v>
      </c>
      <c r="J791" s="26" t="s">
        <v>5127</v>
      </c>
      <c r="K791" s="26" t="s">
        <v>5128</v>
      </c>
      <c r="L791" s="26" t="s">
        <v>10300</v>
      </c>
      <c r="M791" s="76"/>
      <c r="N791" s="76"/>
      <c r="O791" s="76"/>
      <c r="P791" s="76"/>
      <c r="Q791" s="76"/>
      <c r="R791" s="76"/>
      <c r="Z791" s="70"/>
      <c r="AA791" s="70"/>
      <c r="AB791" s="70"/>
      <c r="AC791" s="70"/>
    </row>
    <row r="792" spans="1:31" s="24" customFormat="1" x14ac:dyDescent="0.3">
      <c r="A792" s="23">
        <v>249</v>
      </c>
      <c r="B792" s="23">
        <v>245</v>
      </c>
      <c r="C792" s="24" t="s">
        <v>2165</v>
      </c>
      <c r="D792" s="69" t="s">
        <v>713</v>
      </c>
      <c r="E792" s="24" t="s">
        <v>712</v>
      </c>
      <c r="F792" s="24" t="s">
        <v>768</v>
      </c>
      <c r="G792" s="69" t="s">
        <v>769</v>
      </c>
      <c r="H792" s="24">
        <v>1</v>
      </c>
      <c r="I792" s="69"/>
      <c r="J792" s="24" t="s">
        <v>3092</v>
      </c>
      <c r="K792" s="24" t="s">
        <v>43</v>
      </c>
      <c r="M792" s="75" t="s">
        <v>15</v>
      </c>
      <c r="N792" s="75"/>
      <c r="O792" s="75"/>
      <c r="P792" s="75"/>
      <c r="Q792" s="75"/>
      <c r="R792" s="75"/>
      <c r="V792" s="24" t="s">
        <v>2447</v>
      </c>
      <c r="W792" s="24" t="s">
        <v>2448</v>
      </c>
      <c r="Y792" s="24" t="s">
        <v>2449</v>
      </c>
      <c r="Z792" s="69"/>
      <c r="AA792" s="69"/>
      <c r="AB792" s="69"/>
      <c r="AC792" s="69"/>
    </row>
    <row r="793" spans="1:31" s="26" customFormat="1" x14ac:dyDescent="0.3">
      <c r="A793" s="25" t="s">
        <v>5129</v>
      </c>
      <c r="B793" s="25"/>
      <c r="C793" s="26" t="s">
        <v>3005</v>
      </c>
      <c r="D793" s="70"/>
      <c r="G793" s="70" t="s">
        <v>769</v>
      </c>
      <c r="H793" s="26">
        <v>-1</v>
      </c>
      <c r="I793" s="70" t="s">
        <v>5130</v>
      </c>
      <c r="J793" s="26" t="s">
        <v>3832</v>
      </c>
      <c r="K793" s="26" t="s">
        <v>5131</v>
      </c>
      <c r="M793" s="76"/>
      <c r="N793" s="76"/>
      <c r="O793" s="76"/>
      <c r="P793" s="76"/>
      <c r="Q793" s="76"/>
      <c r="R793" s="76"/>
      <c r="Z793" s="70"/>
      <c r="AA793" s="70"/>
      <c r="AB793" s="70"/>
      <c r="AC793" s="70"/>
    </row>
    <row r="794" spans="1:31" s="26" customFormat="1" x14ac:dyDescent="0.3">
      <c r="A794" s="25" t="s">
        <v>5132</v>
      </c>
      <c r="B794" s="25"/>
      <c r="C794" s="26" t="s">
        <v>3005</v>
      </c>
      <c r="D794" s="70"/>
      <c r="G794" s="70" t="s">
        <v>769</v>
      </c>
      <c r="H794" s="26">
        <v>-1</v>
      </c>
      <c r="I794" s="70" t="s">
        <v>5133</v>
      </c>
      <c r="J794" s="26" t="s">
        <v>5134</v>
      </c>
      <c r="K794" s="26" t="s">
        <v>3761</v>
      </c>
      <c r="M794" s="76"/>
      <c r="N794" s="76"/>
      <c r="O794" s="76"/>
      <c r="P794" s="76"/>
      <c r="Q794" s="76"/>
      <c r="R794" s="76"/>
      <c r="Z794" s="70"/>
      <c r="AA794" s="70"/>
      <c r="AB794" s="70"/>
      <c r="AC794" s="70"/>
    </row>
    <row r="795" spans="1:31" s="26" customFormat="1" x14ac:dyDescent="0.3">
      <c r="A795" s="25" t="s">
        <v>5135</v>
      </c>
      <c r="B795" s="25"/>
      <c r="C795" s="26" t="s">
        <v>3005</v>
      </c>
      <c r="D795" s="70"/>
      <c r="G795" s="70" t="s">
        <v>769</v>
      </c>
      <c r="H795" s="26">
        <v>-1</v>
      </c>
      <c r="I795" s="70" t="s">
        <v>5136</v>
      </c>
      <c r="J795" s="26" t="s">
        <v>3092</v>
      </c>
      <c r="K795" s="26" t="s">
        <v>5137</v>
      </c>
      <c r="M795" s="76"/>
      <c r="N795" s="76"/>
      <c r="O795" s="76"/>
      <c r="P795" s="76"/>
      <c r="Q795" s="76"/>
      <c r="R795" s="76"/>
      <c r="Z795" s="70"/>
      <c r="AA795" s="70"/>
      <c r="AB795" s="70"/>
      <c r="AC795" s="70"/>
    </row>
    <row r="796" spans="1:31" s="26" customFormat="1" x14ac:dyDescent="0.3">
      <c r="A796" s="25" t="s">
        <v>5138</v>
      </c>
      <c r="B796" s="25"/>
      <c r="C796" s="26" t="s">
        <v>3005</v>
      </c>
      <c r="D796" s="70"/>
      <c r="G796" s="70" t="s">
        <v>769</v>
      </c>
      <c r="H796" s="26">
        <v>-1</v>
      </c>
      <c r="I796" s="70" t="s">
        <v>5139</v>
      </c>
      <c r="J796" s="26" t="s">
        <v>3443</v>
      </c>
      <c r="K796" s="26" t="s">
        <v>5140</v>
      </c>
      <c r="M796" s="76"/>
      <c r="N796" s="76"/>
      <c r="O796" s="76"/>
      <c r="P796" s="76"/>
      <c r="Q796" s="76"/>
      <c r="R796" s="76"/>
      <c r="Z796" s="70"/>
      <c r="AA796" s="70"/>
      <c r="AB796" s="70"/>
      <c r="AC796" s="70"/>
    </row>
    <row r="797" spans="1:31" s="26" customFormat="1" x14ac:dyDescent="0.3">
      <c r="A797" s="25" t="s">
        <v>5141</v>
      </c>
      <c r="B797" s="25"/>
      <c r="C797" s="26" t="s">
        <v>3005</v>
      </c>
      <c r="D797" s="70"/>
      <c r="G797" s="70" t="s">
        <v>769</v>
      </c>
      <c r="H797" s="26">
        <v>-1</v>
      </c>
      <c r="I797" s="70" t="s">
        <v>5142</v>
      </c>
      <c r="J797" s="26" t="s">
        <v>3443</v>
      </c>
      <c r="K797" s="26" t="s">
        <v>3784</v>
      </c>
      <c r="M797" s="76"/>
      <c r="N797" s="76"/>
      <c r="O797" s="76"/>
      <c r="P797" s="76"/>
      <c r="Q797" s="76"/>
      <c r="R797" s="76"/>
      <c r="Z797" s="70"/>
      <c r="AA797" s="70"/>
      <c r="AB797" s="70"/>
      <c r="AC797" s="70"/>
    </row>
    <row r="798" spans="1:31" s="26" customFormat="1" x14ac:dyDescent="0.3">
      <c r="A798" s="25" t="s">
        <v>5143</v>
      </c>
      <c r="B798" s="25"/>
      <c r="C798" s="26" t="s">
        <v>3005</v>
      </c>
      <c r="D798" s="70"/>
      <c r="G798" s="70" t="s">
        <v>769</v>
      </c>
      <c r="H798" s="26">
        <v>-1</v>
      </c>
      <c r="I798" s="70" t="s">
        <v>5144</v>
      </c>
      <c r="J798" s="26" t="s">
        <v>3443</v>
      </c>
      <c r="K798" s="26" t="s">
        <v>5145</v>
      </c>
      <c r="M798" s="76"/>
      <c r="N798" s="76"/>
      <c r="O798" s="76"/>
      <c r="P798" s="76"/>
      <c r="Q798" s="76"/>
      <c r="R798" s="76"/>
      <c r="Z798" s="70"/>
      <c r="AA798" s="70"/>
      <c r="AB798" s="70"/>
      <c r="AC798" s="70"/>
    </row>
    <row r="799" spans="1:31" s="26" customFormat="1" x14ac:dyDescent="0.3">
      <c r="A799" s="25" t="s">
        <v>5146</v>
      </c>
      <c r="B799" s="25"/>
      <c r="C799" s="26" t="s">
        <v>3005</v>
      </c>
      <c r="D799" s="70"/>
      <c r="G799" s="70" t="s">
        <v>769</v>
      </c>
      <c r="H799" s="26">
        <v>-1</v>
      </c>
      <c r="I799" s="70" t="s">
        <v>5147</v>
      </c>
      <c r="J799" s="26" t="s">
        <v>3443</v>
      </c>
      <c r="K799" s="26" t="s">
        <v>5148</v>
      </c>
      <c r="M799" s="76"/>
      <c r="N799" s="76"/>
      <c r="O799" s="76"/>
      <c r="P799" s="76"/>
      <c r="Q799" s="76"/>
      <c r="R799" s="76"/>
      <c r="Z799" s="70"/>
      <c r="AA799" s="70"/>
      <c r="AB799" s="70"/>
      <c r="AC799" s="70"/>
    </row>
    <row r="800" spans="1:31" s="26" customFormat="1" x14ac:dyDescent="0.3">
      <c r="A800" s="25" t="s">
        <v>5149</v>
      </c>
      <c r="B800" s="25"/>
      <c r="C800" s="26" t="s">
        <v>3005</v>
      </c>
      <c r="D800" s="70"/>
      <c r="G800" s="70" t="s">
        <v>769</v>
      </c>
      <c r="H800" s="26">
        <v>-1</v>
      </c>
      <c r="I800" s="70" t="s">
        <v>5150</v>
      </c>
      <c r="J800" s="26" t="s">
        <v>5151</v>
      </c>
      <c r="K800" s="26" t="s">
        <v>2679</v>
      </c>
      <c r="M800" s="76"/>
      <c r="N800" s="76"/>
      <c r="O800" s="76"/>
      <c r="P800" s="76"/>
      <c r="Q800" s="76"/>
      <c r="R800" s="76"/>
      <c r="Z800" s="70"/>
      <c r="AA800" s="70"/>
      <c r="AB800" s="70"/>
      <c r="AC800" s="70"/>
    </row>
    <row r="801" spans="1:29" s="26" customFormat="1" x14ac:dyDescent="0.3">
      <c r="A801" s="25" t="s">
        <v>5152</v>
      </c>
      <c r="B801" s="25"/>
      <c r="C801" s="26" t="s">
        <v>3005</v>
      </c>
      <c r="D801" s="70"/>
      <c r="G801" s="70" t="s">
        <v>769</v>
      </c>
      <c r="H801" s="26">
        <v>6</v>
      </c>
      <c r="I801" s="70" t="s">
        <v>5153</v>
      </c>
      <c r="J801" s="26" t="s">
        <v>5154</v>
      </c>
      <c r="K801" s="26" t="s">
        <v>5155</v>
      </c>
      <c r="M801" s="76"/>
      <c r="N801" s="76"/>
      <c r="O801" s="76"/>
      <c r="P801" s="76"/>
      <c r="Q801" s="76"/>
      <c r="R801" s="76"/>
      <c r="Z801" s="70"/>
      <c r="AA801" s="70"/>
      <c r="AB801" s="70"/>
      <c r="AC801" s="70"/>
    </row>
    <row r="802" spans="1:29" s="24" customFormat="1" x14ac:dyDescent="0.3">
      <c r="A802" s="23">
        <v>250</v>
      </c>
      <c r="B802" s="23">
        <v>246</v>
      </c>
      <c r="C802" s="24" t="s">
        <v>2165</v>
      </c>
      <c r="D802" s="69" t="s">
        <v>713</v>
      </c>
      <c r="E802" s="24" t="s">
        <v>712</v>
      </c>
      <c r="F802" s="24" t="s">
        <v>770</v>
      </c>
      <c r="G802" s="69" t="s">
        <v>771</v>
      </c>
      <c r="H802" s="24">
        <v>1</v>
      </c>
      <c r="I802" s="69"/>
      <c r="J802" s="24" t="s">
        <v>5156</v>
      </c>
      <c r="K802" s="24" t="s">
        <v>772</v>
      </c>
      <c r="M802" s="75" t="s">
        <v>15</v>
      </c>
      <c r="N802" s="75"/>
      <c r="O802" s="75" t="s">
        <v>58</v>
      </c>
      <c r="P802" s="75" t="s">
        <v>58</v>
      </c>
      <c r="Q802" s="75" t="s">
        <v>66</v>
      </c>
      <c r="R802" s="75"/>
      <c r="V802" s="24" t="s">
        <v>2450</v>
      </c>
      <c r="W802" s="24" t="s">
        <v>2450</v>
      </c>
      <c r="Y802" s="24" t="s">
        <v>2451</v>
      </c>
      <c r="Z802" s="69"/>
      <c r="AA802" s="69"/>
      <c r="AB802" s="69"/>
      <c r="AC802" s="69"/>
    </row>
    <row r="803" spans="1:29" s="26" customFormat="1" x14ac:dyDescent="0.3">
      <c r="A803" s="25" t="s">
        <v>5157</v>
      </c>
      <c r="B803" s="25"/>
      <c r="C803" s="26" t="s">
        <v>3005</v>
      </c>
      <c r="D803" s="70"/>
      <c r="G803" s="70" t="s">
        <v>771</v>
      </c>
      <c r="H803" s="26">
        <v>-1</v>
      </c>
      <c r="I803" s="70" t="s">
        <v>5158</v>
      </c>
      <c r="J803" s="26" t="s">
        <v>4168</v>
      </c>
      <c r="K803" s="26" t="s">
        <v>5159</v>
      </c>
      <c r="L803" s="26" t="s">
        <v>10301</v>
      </c>
      <c r="M803" s="76"/>
      <c r="N803" s="76"/>
      <c r="O803" s="76"/>
      <c r="P803" s="76"/>
      <c r="Q803" s="76"/>
      <c r="R803" s="76"/>
      <c r="Z803" s="70"/>
      <c r="AA803" s="70"/>
      <c r="AB803" s="70"/>
      <c r="AC803" s="70"/>
    </row>
    <row r="804" spans="1:29" s="26" customFormat="1" x14ac:dyDescent="0.3">
      <c r="A804" s="25" t="s">
        <v>5160</v>
      </c>
      <c r="B804" s="25"/>
      <c r="C804" s="26" t="s">
        <v>3005</v>
      </c>
      <c r="D804" s="70"/>
      <c r="G804" s="70" t="s">
        <v>771</v>
      </c>
      <c r="H804" s="26">
        <v>-1</v>
      </c>
      <c r="I804" s="70" t="s">
        <v>5161</v>
      </c>
      <c r="J804" s="26" t="s">
        <v>5162</v>
      </c>
      <c r="K804" s="26" t="s">
        <v>5163</v>
      </c>
      <c r="L804" s="26" t="s">
        <v>10302</v>
      </c>
      <c r="M804" s="76"/>
      <c r="N804" s="76"/>
      <c r="O804" s="76"/>
      <c r="P804" s="76"/>
      <c r="Q804" s="76"/>
      <c r="R804" s="76"/>
      <c r="Z804" s="70"/>
      <c r="AA804" s="70"/>
      <c r="AB804" s="70"/>
      <c r="AC804" s="70"/>
    </row>
    <row r="805" spans="1:29" s="26" customFormat="1" x14ac:dyDescent="0.3">
      <c r="A805" s="25" t="s">
        <v>5164</v>
      </c>
      <c r="B805" s="25"/>
      <c r="C805" s="26" t="s">
        <v>3005</v>
      </c>
      <c r="D805" s="70"/>
      <c r="G805" s="70" t="s">
        <v>771</v>
      </c>
      <c r="H805" s="26">
        <v>-1</v>
      </c>
      <c r="I805" s="70" t="s">
        <v>3835</v>
      </c>
      <c r="J805" s="26" t="s">
        <v>5156</v>
      </c>
      <c r="K805" s="26" t="s">
        <v>3757</v>
      </c>
      <c r="L805" s="26" t="s">
        <v>10303</v>
      </c>
      <c r="M805" s="76"/>
      <c r="N805" s="76"/>
      <c r="O805" s="76"/>
      <c r="P805" s="76"/>
      <c r="Q805" s="76"/>
      <c r="R805" s="76"/>
      <c r="Z805" s="70"/>
      <c r="AA805" s="70"/>
      <c r="AB805" s="70"/>
      <c r="AC805" s="70"/>
    </row>
    <row r="806" spans="1:29" s="26" customFormat="1" x14ac:dyDescent="0.3">
      <c r="A806" s="25" t="s">
        <v>5165</v>
      </c>
      <c r="B806" s="25"/>
      <c r="C806" s="26" t="s">
        <v>3005</v>
      </c>
      <c r="D806" s="70"/>
      <c r="G806" s="70" t="s">
        <v>771</v>
      </c>
      <c r="H806" s="26">
        <v>1</v>
      </c>
      <c r="I806" s="70" t="s">
        <v>5166</v>
      </c>
      <c r="J806" s="26" t="s">
        <v>5167</v>
      </c>
      <c r="K806" s="26" t="s">
        <v>5168</v>
      </c>
      <c r="L806" s="26" t="s">
        <v>10304</v>
      </c>
      <c r="M806" s="76"/>
      <c r="N806" s="76"/>
      <c r="O806" s="76"/>
      <c r="P806" s="76"/>
      <c r="Q806" s="76"/>
      <c r="R806" s="76"/>
      <c r="Z806" s="70"/>
      <c r="AA806" s="70"/>
      <c r="AB806" s="70"/>
      <c r="AC806" s="70"/>
    </row>
    <row r="807" spans="1:29" s="24" customFormat="1" x14ac:dyDescent="0.3">
      <c r="A807" s="23">
        <v>251</v>
      </c>
      <c r="B807" s="23">
        <v>247</v>
      </c>
      <c r="C807" s="24" t="s">
        <v>2165</v>
      </c>
      <c r="D807" s="69" t="s">
        <v>713</v>
      </c>
      <c r="E807" s="24" t="s">
        <v>712</v>
      </c>
      <c r="F807" s="24" t="s">
        <v>773</v>
      </c>
      <c r="G807" s="69" t="s">
        <v>774</v>
      </c>
      <c r="I807" s="69"/>
      <c r="J807" s="24" t="s">
        <v>5169</v>
      </c>
      <c r="K807" s="24" t="s">
        <v>68</v>
      </c>
      <c r="L807" s="24" t="s">
        <v>9776</v>
      </c>
      <c r="M807" s="75" t="s">
        <v>65</v>
      </c>
      <c r="N807" s="75" t="s">
        <v>2017</v>
      </c>
      <c r="O807" s="75" t="s">
        <v>66</v>
      </c>
      <c r="P807" s="75" t="s">
        <v>66</v>
      </c>
      <c r="Q807" s="75" t="s">
        <v>67</v>
      </c>
      <c r="R807" s="75"/>
      <c r="V807" s="24" t="s">
        <v>2452</v>
      </c>
      <c r="W807" s="24" t="s">
        <v>2452</v>
      </c>
      <c r="Y807" s="24" t="s">
        <v>2453</v>
      </c>
      <c r="Z807" s="69"/>
      <c r="AA807" s="69"/>
      <c r="AB807" s="69" t="s">
        <v>2454</v>
      </c>
      <c r="AC807" s="69"/>
    </row>
    <row r="808" spans="1:29" s="24" customFormat="1" x14ac:dyDescent="0.3">
      <c r="A808" s="23">
        <v>252</v>
      </c>
      <c r="B808" s="23">
        <v>248</v>
      </c>
      <c r="C808" s="24" t="s">
        <v>2165</v>
      </c>
      <c r="D808" s="69" t="s">
        <v>713</v>
      </c>
      <c r="E808" s="24" t="s">
        <v>712</v>
      </c>
      <c r="F808" s="24" t="s">
        <v>775</v>
      </c>
      <c r="G808" s="69" t="s">
        <v>776</v>
      </c>
      <c r="H808" s="24">
        <v>2</v>
      </c>
      <c r="I808" s="69"/>
      <c r="J808" s="24" t="s">
        <v>5170</v>
      </c>
      <c r="K808" s="24" t="s">
        <v>68</v>
      </c>
      <c r="M808" s="75" t="s">
        <v>65</v>
      </c>
      <c r="N808" s="75" t="s">
        <v>2019</v>
      </c>
      <c r="O808" s="75" t="s">
        <v>58</v>
      </c>
      <c r="P808" s="75" t="s">
        <v>58</v>
      </c>
      <c r="Q808" s="75" t="s">
        <v>66</v>
      </c>
      <c r="R808" s="75"/>
      <c r="V808" s="24" t="s">
        <v>2455</v>
      </c>
      <c r="W808" s="24" t="s">
        <v>2456</v>
      </c>
      <c r="Y808" s="24" t="s">
        <v>2457</v>
      </c>
      <c r="Z808" s="69"/>
      <c r="AA808" s="69"/>
      <c r="AB808" s="69" t="s">
        <v>2458</v>
      </c>
      <c r="AC808" s="69"/>
    </row>
    <row r="809" spans="1:29" s="26" customFormat="1" x14ac:dyDescent="0.3">
      <c r="A809" s="25" t="s">
        <v>5171</v>
      </c>
      <c r="B809" s="25"/>
      <c r="C809" s="26" t="s">
        <v>3005</v>
      </c>
      <c r="D809" s="70"/>
      <c r="G809" s="70" t="s">
        <v>776</v>
      </c>
      <c r="H809" s="26">
        <v>1</v>
      </c>
      <c r="I809" s="70" t="s">
        <v>5172</v>
      </c>
      <c r="J809" s="26" t="s">
        <v>5173</v>
      </c>
      <c r="K809" s="26" t="s">
        <v>4253</v>
      </c>
      <c r="L809" s="26" t="s">
        <v>10288</v>
      </c>
      <c r="M809" s="76"/>
      <c r="N809" s="76"/>
      <c r="O809" s="76"/>
      <c r="P809" s="76"/>
      <c r="Q809" s="76"/>
      <c r="R809" s="76"/>
      <c r="Z809" s="70"/>
      <c r="AA809" s="70"/>
      <c r="AB809" s="70"/>
      <c r="AC809" s="70"/>
    </row>
    <row r="810" spans="1:29" s="26" customFormat="1" x14ac:dyDescent="0.3">
      <c r="A810" s="25" t="s">
        <v>5174</v>
      </c>
      <c r="B810" s="25"/>
      <c r="C810" s="26" t="s">
        <v>3005</v>
      </c>
      <c r="D810" s="70"/>
      <c r="G810" s="70" t="s">
        <v>776</v>
      </c>
      <c r="H810" s="26">
        <v>1</v>
      </c>
      <c r="I810" s="70" t="s">
        <v>5175</v>
      </c>
      <c r="J810" s="26" t="s">
        <v>5170</v>
      </c>
      <c r="K810" s="26" t="s">
        <v>5176</v>
      </c>
      <c r="L810" s="26" t="s">
        <v>10305</v>
      </c>
      <c r="M810" s="76"/>
      <c r="N810" s="76"/>
      <c r="O810" s="76"/>
      <c r="P810" s="76"/>
      <c r="Q810" s="76"/>
      <c r="R810" s="76"/>
      <c r="Z810" s="70"/>
      <c r="AA810" s="70"/>
      <c r="AB810" s="70"/>
      <c r="AC810" s="70"/>
    </row>
    <row r="811" spans="1:29" s="24" customFormat="1" x14ac:dyDescent="0.3">
      <c r="A811" s="23">
        <v>253</v>
      </c>
      <c r="B811" s="23">
        <v>249</v>
      </c>
      <c r="C811" s="24" t="s">
        <v>2165</v>
      </c>
      <c r="D811" s="69" t="s">
        <v>713</v>
      </c>
      <c r="E811" s="24" t="s">
        <v>712</v>
      </c>
      <c r="F811" s="24" t="s">
        <v>777</v>
      </c>
      <c r="G811" s="69" t="s">
        <v>778</v>
      </c>
      <c r="H811" s="24">
        <v>2</v>
      </c>
      <c r="I811" s="69"/>
      <c r="J811" s="24" t="s">
        <v>5177</v>
      </c>
      <c r="K811" s="24" t="s">
        <v>68</v>
      </c>
      <c r="M811" s="75" t="s">
        <v>65</v>
      </c>
      <c r="N811" s="75" t="s">
        <v>2015</v>
      </c>
      <c r="O811" s="75"/>
      <c r="P811" s="75"/>
      <c r="Q811" s="75"/>
      <c r="R811" s="75"/>
      <c r="V811" s="24" t="s">
        <v>2459</v>
      </c>
      <c r="W811" s="24" t="s">
        <v>2459</v>
      </c>
      <c r="Y811" s="24" t="s">
        <v>2460</v>
      </c>
      <c r="Z811" s="69"/>
      <c r="AA811" s="69"/>
      <c r="AB811" s="69" t="s">
        <v>2461</v>
      </c>
      <c r="AC811" s="69"/>
    </row>
    <row r="812" spans="1:29" s="26" customFormat="1" x14ac:dyDescent="0.3">
      <c r="A812" s="25" t="s">
        <v>5178</v>
      </c>
      <c r="B812" s="25"/>
      <c r="C812" s="26" t="s">
        <v>3005</v>
      </c>
      <c r="D812" s="70"/>
      <c r="G812" s="70" t="s">
        <v>778</v>
      </c>
      <c r="H812" s="26">
        <v>1</v>
      </c>
      <c r="I812" s="70" t="s">
        <v>5096</v>
      </c>
      <c r="J812" s="26" t="s">
        <v>5177</v>
      </c>
      <c r="K812" s="26" t="s">
        <v>3908</v>
      </c>
      <c r="L812" s="26" t="s">
        <v>10306</v>
      </c>
      <c r="M812" s="76"/>
      <c r="N812" s="76"/>
      <c r="O812" s="76"/>
      <c r="P812" s="76"/>
      <c r="Q812" s="76"/>
      <c r="R812" s="76"/>
      <c r="Z812" s="70"/>
      <c r="AA812" s="70"/>
      <c r="AB812" s="70"/>
      <c r="AC812" s="70"/>
    </row>
    <row r="813" spans="1:29" s="26" customFormat="1" x14ac:dyDescent="0.3">
      <c r="A813" s="25" t="s">
        <v>5179</v>
      </c>
      <c r="B813" s="25"/>
      <c r="C813" s="26" t="s">
        <v>3005</v>
      </c>
      <c r="D813" s="70"/>
      <c r="G813" s="70" t="s">
        <v>778</v>
      </c>
      <c r="H813" s="26">
        <v>1</v>
      </c>
      <c r="I813" s="70" t="s">
        <v>5180</v>
      </c>
      <c r="J813" s="26" t="s">
        <v>5181</v>
      </c>
      <c r="K813" s="26" t="s">
        <v>5182</v>
      </c>
      <c r="L813" s="26" t="s">
        <v>10307</v>
      </c>
      <c r="M813" s="76"/>
      <c r="N813" s="76"/>
      <c r="O813" s="76"/>
      <c r="P813" s="76"/>
      <c r="Q813" s="76"/>
      <c r="R813" s="76"/>
      <c r="Z813" s="70"/>
      <c r="AA813" s="70"/>
      <c r="AB813" s="70"/>
      <c r="AC813" s="70"/>
    </row>
    <row r="814" spans="1:29" s="24" customFormat="1" x14ac:dyDescent="0.3">
      <c r="A814" s="23">
        <v>254</v>
      </c>
      <c r="B814" s="23">
        <v>250</v>
      </c>
      <c r="C814" s="24" t="s">
        <v>2165</v>
      </c>
      <c r="D814" s="69" t="s">
        <v>713</v>
      </c>
      <c r="E814" s="24" t="s">
        <v>712</v>
      </c>
      <c r="F814" s="24" t="s">
        <v>779</v>
      </c>
      <c r="G814" s="69" t="s">
        <v>780</v>
      </c>
      <c r="H814" s="24">
        <v>3</v>
      </c>
      <c r="I814" s="69"/>
      <c r="J814" s="24" t="s">
        <v>3485</v>
      </c>
      <c r="K814" s="24" t="s">
        <v>781</v>
      </c>
      <c r="M814" s="75" t="s">
        <v>732</v>
      </c>
      <c r="N814" s="75"/>
      <c r="O814" s="75"/>
      <c r="P814" s="75"/>
      <c r="Q814" s="75"/>
      <c r="R814" s="75"/>
      <c r="V814" s="24" t="s">
        <v>2462</v>
      </c>
      <c r="W814" s="24" t="s">
        <v>2462</v>
      </c>
      <c r="Y814" s="24" t="s">
        <v>2463</v>
      </c>
      <c r="Z814" s="69"/>
      <c r="AA814" s="69"/>
      <c r="AB814" s="69" t="s">
        <v>2464</v>
      </c>
      <c r="AC814" s="69"/>
    </row>
    <row r="815" spans="1:29" s="26" customFormat="1" x14ac:dyDescent="0.3">
      <c r="A815" s="25" t="s">
        <v>5183</v>
      </c>
      <c r="B815" s="25"/>
      <c r="C815" s="26" t="s">
        <v>3005</v>
      </c>
      <c r="D815" s="70"/>
      <c r="G815" s="70" t="s">
        <v>780</v>
      </c>
      <c r="H815" s="26">
        <v>-1</v>
      </c>
      <c r="I815" s="70" t="s">
        <v>4115</v>
      </c>
      <c r="J815" s="26" t="s">
        <v>5184</v>
      </c>
      <c r="K815" s="26" t="s">
        <v>3757</v>
      </c>
      <c r="M815" s="76"/>
      <c r="N815" s="76"/>
      <c r="O815" s="76"/>
      <c r="P815" s="76"/>
      <c r="Q815" s="76"/>
      <c r="R815" s="76"/>
      <c r="Z815" s="70"/>
      <c r="AA815" s="70"/>
      <c r="AB815" s="70"/>
      <c r="AC815" s="70"/>
    </row>
    <row r="816" spans="1:29" s="26" customFormat="1" x14ac:dyDescent="0.3">
      <c r="A816" s="25" t="s">
        <v>5185</v>
      </c>
      <c r="B816" s="25"/>
      <c r="C816" s="26" t="s">
        <v>3005</v>
      </c>
      <c r="D816" s="70"/>
      <c r="G816" s="70" t="s">
        <v>780</v>
      </c>
      <c r="H816" s="26">
        <v>3</v>
      </c>
      <c r="I816" s="70" t="s">
        <v>5186</v>
      </c>
      <c r="J816" s="26" t="s">
        <v>5173</v>
      </c>
      <c r="K816" s="26" t="s">
        <v>5187</v>
      </c>
      <c r="L816" s="26" t="s">
        <v>10308</v>
      </c>
      <c r="M816" s="76"/>
      <c r="N816" s="76"/>
      <c r="O816" s="76"/>
      <c r="P816" s="76"/>
      <c r="Q816" s="76"/>
      <c r="R816" s="76"/>
      <c r="Z816" s="70"/>
      <c r="AA816" s="70"/>
      <c r="AB816" s="70"/>
      <c r="AC816" s="70"/>
    </row>
    <row r="817" spans="1:31" s="26" customFormat="1" x14ac:dyDescent="0.3">
      <c r="A817" s="25" t="s">
        <v>5188</v>
      </c>
      <c r="B817" s="25"/>
      <c r="C817" s="26" t="s">
        <v>3005</v>
      </c>
      <c r="D817" s="70"/>
      <c r="G817" s="70" t="s">
        <v>780</v>
      </c>
      <c r="H817" s="26">
        <v>2</v>
      </c>
      <c r="I817" s="70" t="s">
        <v>5189</v>
      </c>
      <c r="J817" s="26" t="s">
        <v>3485</v>
      </c>
      <c r="K817" s="26" t="s">
        <v>5190</v>
      </c>
      <c r="L817" s="26" t="s">
        <v>10309</v>
      </c>
      <c r="M817" s="76"/>
      <c r="N817" s="76"/>
      <c r="O817" s="76"/>
      <c r="P817" s="76"/>
      <c r="Q817" s="76"/>
      <c r="R817" s="76"/>
      <c r="Z817" s="70"/>
      <c r="AA817" s="70"/>
      <c r="AB817" s="70"/>
      <c r="AC817" s="70"/>
    </row>
    <row r="818" spans="1:31" s="26" customFormat="1" x14ac:dyDescent="0.3">
      <c r="A818" s="25" t="s">
        <v>5191</v>
      </c>
      <c r="B818" s="25"/>
      <c r="C818" s="26" t="s">
        <v>3005</v>
      </c>
      <c r="D818" s="70"/>
      <c r="G818" s="70" t="s">
        <v>780</v>
      </c>
      <c r="H818" s="26">
        <v>1</v>
      </c>
      <c r="I818" s="70" t="s">
        <v>5192</v>
      </c>
      <c r="J818" s="26" t="s">
        <v>5193</v>
      </c>
      <c r="K818" s="26" t="s">
        <v>5194</v>
      </c>
      <c r="L818" s="26" t="s">
        <v>9788</v>
      </c>
      <c r="M818" s="76"/>
      <c r="N818" s="76"/>
      <c r="O818" s="76"/>
      <c r="P818" s="76"/>
      <c r="Q818" s="76"/>
      <c r="R818" s="76"/>
      <c r="Z818" s="70"/>
      <c r="AA818" s="70"/>
      <c r="AB818" s="70"/>
      <c r="AC818" s="70"/>
    </row>
    <row r="819" spans="1:31" s="24" customFormat="1" x14ac:dyDescent="0.3">
      <c r="A819" s="23">
        <v>255</v>
      </c>
      <c r="B819" s="23">
        <v>251</v>
      </c>
      <c r="C819" s="24" t="s">
        <v>2165</v>
      </c>
      <c r="D819" s="69" t="s">
        <v>713</v>
      </c>
      <c r="E819" s="24" t="s">
        <v>712</v>
      </c>
      <c r="F819" s="24" t="s">
        <v>782</v>
      </c>
      <c r="G819" s="69" t="s">
        <v>783</v>
      </c>
      <c r="I819" s="69"/>
      <c r="J819" s="24" t="s">
        <v>4989</v>
      </c>
      <c r="K819" s="24" t="s">
        <v>784</v>
      </c>
      <c r="M819" s="75" t="s">
        <v>10</v>
      </c>
      <c r="N819" s="75"/>
      <c r="O819" s="75"/>
      <c r="P819" s="75"/>
      <c r="Q819" s="75"/>
      <c r="R819" s="75" t="s">
        <v>2166</v>
      </c>
      <c r="V819" s="24" t="s">
        <v>2465</v>
      </c>
      <c r="W819" s="24" t="s">
        <v>2465</v>
      </c>
      <c r="Z819" s="69"/>
      <c r="AA819" s="69"/>
      <c r="AB819" s="69"/>
      <c r="AC819" s="69"/>
      <c r="AD819" s="24" t="s">
        <v>785</v>
      </c>
    </row>
    <row r="820" spans="1:31" s="26" customFormat="1" x14ac:dyDescent="0.3">
      <c r="A820" s="25" t="s">
        <v>5195</v>
      </c>
      <c r="B820" s="25"/>
      <c r="C820" s="26" t="s">
        <v>3005</v>
      </c>
      <c r="D820" s="70"/>
      <c r="G820" s="70" t="s">
        <v>783</v>
      </c>
      <c r="H820" s="26">
        <v>-1</v>
      </c>
      <c r="I820" s="70" t="s">
        <v>5196</v>
      </c>
      <c r="J820" s="26" t="s">
        <v>5197</v>
      </c>
      <c r="K820" s="26" t="s">
        <v>4306</v>
      </c>
      <c r="M820" s="76"/>
      <c r="N820" s="76"/>
      <c r="O820" s="76"/>
      <c r="P820" s="76"/>
      <c r="Q820" s="76"/>
      <c r="R820" s="76"/>
      <c r="Z820" s="70"/>
      <c r="AA820" s="70"/>
      <c r="AB820" s="70"/>
      <c r="AC820" s="70"/>
    </row>
    <row r="821" spans="1:31" s="26" customFormat="1" x14ac:dyDescent="0.3">
      <c r="A821" s="25" t="s">
        <v>5198</v>
      </c>
      <c r="B821" s="25"/>
      <c r="C821" s="26" t="s">
        <v>3005</v>
      </c>
      <c r="D821" s="70"/>
      <c r="G821" s="70" t="s">
        <v>783</v>
      </c>
      <c r="H821" s="26">
        <v>-1</v>
      </c>
      <c r="I821" s="70" t="s">
        <v>5199</v>
      </c>
      <c r="J821" s="26" t="s">
        <v>4989</v>
      </c>
      <c r="K821" s="26" t="s">
        <v>5200</v>
      </c>
      <c r="M821" s="76"/>
      <c r="N821" s="76"/>
      <c r="O821" s="76"/>
      <c r="P821" s="76"/>
      <c r="Q821" s="76"/>
      <c r="R821" s="76"/>
      <c r="Z821" s="70"/>
      <c r="AA821" s="70"/>
      <c r="AB821" s="70"/>
      <c r="AC821" s="70"/>
    </row>
    <row r="822" spans="1:31" s="24" customFormat="1" x14ac:dyDescent="0.3">
      <c r="A822" s="23">
        <v>256</v>
      </c>
      <c r="B822" s="23">
        <v>252</v>
      </c>
      <c r="C822" s="24" t="s">
        <v>2165</v>
      </c>
      <c r="D822" s="69" t="s">
        <v>713</v>
      </c>
      <c r="E822" s="24" t="s">
        <v>712</v>
      </c>
      <c r="F822" s="24" t="s">
        <v>786</v>
      </c>
      <c r="G822" s="69" t="s">
        <v>787</v>
      </c>
      <c r="H822" s="24">
        <v>1</v>
      </c>
      <c r="I822" s="69"/>
      <c r="J822" s="24" t="s">
        <v>5201</v>
      </c>
      <c r="K822" s="24" t="s">
        <v>788</v>
      </c>
      <c r="M822" s="75" t="s">
        <v>15</v>
      </c>
      <c r="N822" s="75"/>
      <c r="O822" s="75"/>
      <c r="P822" s="75"/>
      <c r="Q822" s="75"/>
      <c r="R822" s="75"/>
      <c r="V822" s="24" t="s">
        <v>2466</v>
      </c>
      <c r="W822" s="24" t="s">
        <v>2466</v>
      </c>
      <c r="Y822" s="24" t="s">
        <v>2467</v>
      </c>
      <c r="Z822" s="69"/>
      <c r="AA822" s="69"/>
      <c r="AB822" s="69"/>
      <c r="AC822" s="69" t="s">
        <v>11384</v>
      </c>
    </row>
    <row r="823" spans="1:31" s="26" customFormat="1" x14ac:dyDescent="0.3">
      <c r="A823" s="25" t="s">
        <v>5202</v>
      </c>
      <c r="B823" s="25"/>
      <c r="C823" s="26" t="s">
        <v>3005</v>
      </c>
      <c r="D823" s="70"/>
      <c r="G823" s="70" t="s">
        <v>787</v>
      </c>
      <c r="H823" s="26">
        <v>2</v>
      </c>
      <c r="I823" s="70" t="s">
        <v>5203</v>
      </c>
      <c r="J823" s="26" t="s">
        <v>5204</v>
      </c>
      <c r="K823" s="26" t="s">
        <v>5205</v>
      </c>
      <c r="L823" s="26" t="s">
        <v>10310</v>
      </c>
      <c r="M823" s="76"/>
      <c r="N823" s="76"/>
      <c r="O823" s="76"/>
      <c r="P823" s="76"/>
      <c r="Q823" s="76"/>
      <c r="R823" s="76"/>
      <c r="Z823" s="70"/>
      <c r="AA823" s="70"/>
      <c r="AB823" s="70"/>
      <c r="AC823" s="70"/>
    </row>
    <row r="824" spans="1:31" s="26" customFormat="1" x14ac:dyDescent="0.3">
      <c r="A824" s="25" t="s">
        <v>5206</v>
      </c>
      <c r="B824" s="25"/>
      <c r="C824" s="26" t="s">
        <v>3005</v>
      </c>
      <c r="D824" s="70"/>
      <c r="G824" s="70" t="s">
        <v>787</v>
      </c>
      <c r="H824" s="26">
        <v>-1</v>
      </c>
      <c r="I824" s="70" t="s">
        <v>5207</v>
      </c>
      <c r="J824" s="26" t="s">
        <v>5201</v>
      </c>
      <c r="K824" s="26" t="s">
        <v>5208</v>
      </c>
      <c r="L824" s="26" t="s">
        <v>10311</v>
      </c>
      <c r="M824" s="76"/>
      <c r="N824" s="76"/>
      <c r="O824" s="76"/>
      <c r="P824" s="76"/>
      <c r="Q824" s="76"/>
      <c r="R824" s="76"/>
      <c r="Z824" s="70"/>
      <c r="AA824" s="70"/>
      <c r="AB824" s="70"/>
      <c r="AC824" s="70"/>
    </row>
    <row r="825" spans="1:31" s="26" customFormat="1" x14ac:dyDescent="0.3">
      <c r="A825" s="25" t="s">
        <v>5209</v>
      </c>
      <c r="B825" s="25"/>
      <c r="C825" s="26" t="s">
        <v>3005</v>
      </c>
      <c r="D825" s="70"/>
      <c r="G825" s="70" t="s">
        <v>787</v>
      </c>
      <c r="H825" s="26">
        <v>-1</v>
      </c>
      <c r="I825" s="70" t="s">
        <v>5210</v>
      </c>
      <c r="J825" s="26" t="s">
        <v>5201</v>
      </c>
      <c r="K825" s="26" t="s">
        <v>5211</v>
      </c>
      <c r="L825" s="26" t="s">
        <v>10312</v>
      </c>
      <c r="M825" s="76"/>
      <c r="N825" s="76"/>
      <c r="O825" s="76"/>
      <c r="P825" s="76"/>
      <c r="Q825" s="76"/>
      <c r="R825" s="76"/>
      <c r="Z825" s="70"/>
      <c r="AA825" s="70"/>
      <c r="AB825" s="70"/>
      <c r="AC825" s="70"/>
    </row>
    <row r="826" spans="1:31" s="26" customFormat="1" x14ac:dyDescent="0.3">
      <c r="A826" s="25" t="s">
        <v>5212</v>
      </c>
      <c r="B826" s="25"/>
      <c r="C826" s="26" t="s">
        <v>3005</v>
      </c>
      <c r="D826" s="70"/>
      <c r="G826" s="70" t="s">
        <v>787</v>
      </c>
      <c r="H826" s="26">
        <v>-1</v>
      </c>
      <c r="I826" s="70" t="s">
        <v>5213</v>
      </c>
      <c r="J826" s="26" t="s">
        <v>5201</v>
      </c>
      <c r="K826" s="26" t="s">
        <v>5214</v>
      </c>
      <c r="L826" s="26" t="s">
        <v>10313</v>
      </c>
      <c r="M826" s="76"/>
      <c r="N826" s="76"/>
      <c r="O826" s="76"/>
      <c r="P826" s="76"/>
      <c r="Q826" s="76"/>
      <c r="R826" s="76"/>
      <c r="Z826" s="70"/>
      <c r="AA826" s="70"/>
      <c r="AB826" s="70"/>
      <c r="AC826" s="70"/>
    </row>
    <row r="827" spans="1:31" s="26" customFormat="1" x14ac:dyDescent="0.3">
      <c r="A827" s="25" t="s">
        <v>5215</v>
      </c>
      <c r="B827" s="25"/>
      <c r="C827" s="26" t="s">
        <v>3005</v>
      </c>
      <c r="D827" s="70"/>
      <c r="G827" s="70" t="s">
        <v>787</v>
      </c>
      <c r="H827" s="26">
        <v>-1</v>
      </c>
      <c r="I827" s="70" t="s">
        <v>5216</v>
      </c>
      <c r="J827" s="26" t="s">
        <v>5201</v>
      </c>
      <c r="K827" s="26" t="s">
        <v>5217</v>
      </c>
      <c r="L827" s="26" t="s">
        <v>10314</v>
      </c>
      <c r="M827" s="76"/>
      <c r="N827" s="76"/>
      <c r="O827" s="76"/>
      <c r="P827" s="76"/>
      <c r="Q827" s="76"/>
      <c r="R827" s="76"/>
      <c r="T827" s="26" t="s">
        <v>2200</v>
      </c>
      <c r="Z827" s="70"/>
      <c r="AA827" s="70"/>
      <c r="AB827" s="70"/>
      <c r="AC827" s="70"/>
      <c r="AE827" s="26" t="s">
        <v>5218</v>
      </c>
    </row>
    <row r="828" spans="1:31" s="24" customFormat="1" x14ac:dyDescent="0.3">
      <c r="A828" s="23">
        <v>257</v>
      </c>
      <c r="B828" s="23">
        <v>253</v>
      </c>
      <c r="C828" s="24" t="s">
        <v>2165</v>
      </c>
      <c r="D828" s="69" t="s">
        <v>713</v>
      </c>
      <c r="E828" s="24" t="s">
        <v>712</v>
      </c>
      <c r="F828" s="24" t="s">
        <v>789</v>
      </c>
      <c r="G828" s="69" t="s">
        <v>790</v>
      </c>
      <c r="I828" s="69"/>
      <c r="J828" s="24" t="s">
        <v>5219</v>
      </c>
      <c r="K828" s="24" t="s">
        <v>68</v>
      </c>
      <c r="L828" s="24" t="s">
        <v>9777</v>
      </c>
      <c r="M828" s="75" t="s">
        <v>65</v>
      </c>
      <c r="N828" s="75" t="s">
        <v>2024</v>
      </c>
      <c r="O828" s="75" t="s">
        <v>85</v>
      </c>
      <c r="P828" s="75" t="s">
        <v>85</v>
      </c>
      <c r="Q828" s="75" t="s">
        <v>85</v>
      </c>
      <c r="R828" s="75" t="s">
        <v>2166</v>
      </c>
      <c r="V828" s="24" t="s">
        <v>2468</v>
      </c>
      <c r="W828" s="24" t="s">
        <v>2468</v>
      </c>
      <c r="Y828" s="24" t="s">
        <v>2469</v>
      </c>
      <c r="Z828" s="69"/>
      <c r="AA828" s="69"/>
      <c r="AB828" s="69"/>
      <c r="AC828" s="69"/>
      <c r="AD828" s="24" t="s">
        <v>791</v>
      </c>
    </row>
    <row r="829" spans="1:31" s="24" customFormat="1" x14ac:dyDescent="0.3">
      <c r="A829" s="23">
        <v>258</v>
      </c>
      <c r="B829" s="23">
        <v>254</v>
      </c>
      <c r="C829" s="24" t="s">
        <v>2165</v>
      </c>
      <c r="D829" s="69" t="s">
        <v>713</v>
      </c>
      <c r="E829" s="24" t="s">
        <v>712</v>
      </c>
      <c r="F829" s="24" t="s">
        <v>792</v>
      </c>
      <c r="G829" s="69" t="s">
        <v>793</v>
      </c>
      <c r="I829" s="69"/>
      <c r="J829" s="24" t="s">
        <v>5220</v>
      </c>
      <c r="K829" s="24" t="s">
        <v>68</v>
      </c>
      <c r="L829" s="24" t="s">
        <v>9778</v>
      </c>
      <c r="M829" s="75" t="s">
        <v>65</v>
      </c>
      <c r="N829" s="75" t="s">
        <v>2015</v>
      </c>
      <c r="O829" s="75" t="s">
        <v>58</v>
      </c>
      <c r="P829" s="75" t="s">
        <v>58</v>
      </c>
      <c r="Q829" s="75" t="s">
        <v>85</v>
      </c>
      <c r="R829" s="75"/>
      <c r="V829" s="24" t="s">
        <v>2470</v>
      </c>
      <c r="W829" s="24" t="s">
        <v>2470</v>
      </c>
      <c r="Y829" s="24" t="s">
        <v>2471</v>
      </c>
      <c r="Z829" s="69"/>
      <c r="AA829" s="69"/>
      <c r="AB829" s="69"/>
      <c r="AC829" s="69"/>
    </row>
    <row r="830" spans="1:31" s="24" customFormat="1" x14ac:dyDescent="0.3">
      <c r="A830" s="23">
        <v>259</v>
      </c>
      <c r="B830" s="23">
        <v>255</v>
      </c>
      <c r="C830" s="24" t="s">
        <v>2165</v>
      </c>
      <c r="D830" s="69" t="s">
        <v>713</v>
      </c>
      <c r="E830" s="24" t="s">
        <v>712</v>
      </c>
      <c r="F830" s="24" t="s">
        <v>794</v>
      </c>
      <c r="G830" s="69" t="s">
        <v>795</v>
      </c>
      <c r="I830" s="69"/>
      <c r="J830" s="24" t="s">
        <v>5221</v>
      </c>
      <c r="K830" s="24" t="s">
        <v>68</v>
      </c>
      <c r="L830" s="24" t="s">
        <v>9779</v>
      </c>
      <c r="M830" s="75" t="s">
        <v>65</v>
      </c>
      <c r="N830" s="75" t="s">
        <v>2021</v>
      </c>
      <c r="O830" s="75" t="s">
        <v>67</v>
      </c>
      <c r="P830" s="75" t="s">
        <v>67</v>
      </c>
      <c r="Q830" s="75" t="s">
        <v>67</v>
      </c>
      <c r="R830" s="75"/>
      <c r="V830" s="24" t="s">
        <v>2472</v>
      </c>
      <c r="W830" s="24" t="s">
        <v>2472</v>
      </c>
      <c r="Y830" s="24" t="s">
        <v>2473</v>
      </c>
      <c r="Z830" s="69"/>
      <c r="AA830" s="69"/>
      <c r="AB830" s="69"/>
      <c r="AC830" s="69"/>
    </row>
    <row r="831" spans="1:31" s="24" customFormat="1" x14ac:dyDescent="0.3">
      <c r="A831" s="23">
        <v>260</v>
      </c>
      <c r="B831" s="23">
        <v>256</v>
      </c>
      <c r="C831" s="24" t="s">
        <v>2165</v>
      </c>
      <c r="D831" s="69" t="s">
        <v>713</v>
      </c>
      <c r="E831" s="24" t="s">
        <v>712</v>
      </c>
      <c r="F831" s="24" t="s">
        <v>796</v>
      </c>
      <c r="G831" s="69" t="s">
        <v>797</v>
      </c>
      <c r="H831" s="24">
        <v>3</v>
      </c>
      <c r="I831" s="69"/>
      <c r="J831" s="24" t="s">
        <v>5222</v>
      </c>
      <c r="K831" s="24" t="s">
        <v>68</v>
      </c>
      <c r="M831" s="75" t="s">
        <v>65</v>
      </c>
      <c r="N831" s="75" t="s">
        <v>2015</v>
      </c>
      <c r="O831" s="75" t="s">
        <v>66</v>
      </c>
      <c r="P831" s="75" t="s">
        <v>66</v>
      </c>
      <c r="Q831" s="75" t="s">
        <v>67</v>
      </c>
      <c r="R831" s="75"/>
      <c r="V831" s="24" t="s">
        <v>2474</v>
      </c>
      <c r="W831" s="24" t="s">
        <v>2474</v>
      </c>
      <c r="Y831" s="24" t="s">
        <v>2475</v>
      </c>
      <c r="Z831" s="69"/>
      <c r="AA831" s="69"/>
      <c r="AB831" s="69"/>
      <c r="AC831" s="69"/>
    </row>
    <row r="832" spans="1:31" s="26" customFormat="1" x14ac:dyDescent="0.3">
      <c r="A832" s="25" t="s">
        <v>5223</v>
      </c>
      <c r="B832" s="25"/>
      <c r="C832" s="26" t="s">
        <v>3005</v>
      </c>
      <c r="D832" s="70"/>
      <c r="G832" s="70" t="s">
        <v>797</v>
      </c>
      <c r="H832" s="26">
        <v>1</v>
      </c>
      <c r="I832" s="70" t="s">
        <v>5224</v>
      </c>
      <c r="J832" s="26" t="s">
        <v>5222</v>
      </c>
      <c r="K832" s="26" t="s">
        <v>5225</v>
      </c>
      <c r="L832" s="26" t="s">
        <v>10315</v>
      </c>
      <c r="M832" s="76"/>
      <c r="N832" s="76"/>
      <c r="O832" s="76"/>
      <c r="P832" s="76"/>
      <c r="Q832" s="76"/>
      <c r="R832" s="76"/>
      <c r="Z832" s="70"/>
      <c r="AA832" s="70"/>
      <c r="AB832" s="70"/>
      <c r="AC832" s="70"/>
    </row>
    <row r="833" spans="1:29" s="26" customFormat="1" x14ac:dyDescent="0.3">
      <c r="A833" s="25" t="s">
        <v>5226</v>
      </c>
      <c r="B833" s="25"/>
      <c r="C833" s="26" t="s">
        <v>3005</v>
      </c>
      <c r="D833" s="70"/>
      <c r="G833" s="70" t="s">
        <v>797</v>
      </c>
      <c r="H833" s="26">
        <v>1</v>
      </c>
      <c r="I833" s="70" t="s">
        <v>4243</v>
      </c>
      <c r="J833" s="26" t="s">
        <v>5227</v>
      </c>
      <c r="K833" s="26" t="s">
        <v>5228</v>
      </c>
      <c r="L833" s="26" t="s">
        <v>10316</v>
      </c>
      <c r="M833" s="76"/>
      <c r="N833" s="76"/>
      <c r="O833" s="76"/>
      <c r="P833" s="76"/>
      <c r="Q833" s="76"/>
      <c r="R833" s="76"/>
      <c r="Z833" s="70"/>
      <c r="AA833" s="70"/>
      <c r="AB833" s="70"/>
      <c r="AC833" s="70"/>
    </row>
    <row r="834" spans="1:29" s="26" customFormat="1" x14ac:dyDescent="0.3">
      <c r="A834" s="25" t="s">
        <v>5229</v>
      </c>
      <c r="B834" s="25"/>
      <c r="C834" s="26" t="s">
        <v>3005</v>
      </c>
      <c r="D834" s="70"/>
      <c r="G834" s="70" t="s">
        <v>797</v>
      </c>
      <c r="H834" s="26">
        <v>1</v>
      </c>
      <c r="I834" s="70" t="s">
        <v>5230</v>
      </c>
      <c r="J834" s="26" t="s">
        <v>5231</v>
      </c>
      <c r="K834" s="26" t="s">
        <v>2025</v>
      </c>
      <c r="L834" s="26" t="s">
        <v>9880</v>
      </c>
      <c r="M834" s="76"/>
      <c r="N834" s="76"/>
      <c r="O834" s="76"/>
      <c r="P834" s="76"/>
      <c r="Q834" s="76"/>
      <c r="R834" s="76"/>
      <c r="Z834" s="70"/>
      <c r="AA834" s="70"/>
      <c r="AB834" s="70"/>
      <c r="AC834" s="70"/>
    </row>
    <row r="835" spans="1:29" s="24" customFormat="1" x14ac:dyDescent="0.3">
      <c r="A835" s="23">
        <v>261</v>
      </c>
      <c r="B835" s="23">
        <v>257</v>
      </c>
      <c r="C835" s="24" t="s">
        <v>2165</v>
      </c>
      <c r="D835" s="69" t="s">
        <v>713</v>
      </c>
      <c r="E835" s="24" t="s">
        <v>712</v>
      </c>
      <c r="F835" s="24" t="s">
        <v>798</v>
      </c>
      <c r="G835" s="69" t="s">
        <v>799</v>
      </c>
      <c r="H835" s="24">
        <v>4</v>
      </c>
      <c r="I835" s="69"/>
      <c r="J835" s="24" t="s">
        <v>3174</v>
      </c>
      <c r="K835" s="24" t="s">
        <v>43</v>
      </c>
      <c r="M835" s="75" t="s">
        <v>15</v>
      </c>
      <c r="N835" s="75"/>
      <c r="O835" s="75"/>
      <c r="P835" s="75"/>
      <c r="Q835" s="75"/>
      <c r="R835" s="75"/>
      <c r="V835" s="24" t="s">
        <v>2476</v>
      </c>
      <c r="W835" s="24" t="s">
        <v>2476</v>
      </c>
      <c r="Y835" s="24" t="s">
        <v>2477</v>
      </c>
      <c r="Z835" s="69"/>
      <c r="AA835" s="69"/>
      <c r="AB835" s="69"/>
      <c r="AC835" s="69"/>
    </row>
    <row r="836" spans="1:29" s="26" customFormat="1" x14ac:dyDescent="0.3">
      <c r="A836" s="25" t="s">
        <v>5232</v>
      </c>
      <c r="B836" s="25"/>
      <c r="C836" s="26" t="s">
        <v>3005</v>
      </c>
      <c r="D836" s="70"/>
      <c r="G836" s="70" t="s">
        <v>799</v>
      </c>
      <c r="H836" s="26">
        <v>-1</v>
      </c>
      <c r="I836" s="70" t="s">
        <v>5233</v>
      </c>
      <c r="J836" s="26" t="s">
        <v>3919</v>
      </c>
      <c r="K836" s="26" t="s">
        <v>5234</v>
      </c>
      <c r="L836" s="26" t="s">
        <v>10317</v>
      </c>
      <c r="M836" s="76"/>
      <c r="N836" s="76"/>
      <c r="O836" s="76"/>
      <c r="P836" s="76"/>
      <c r="Q836" s="76"/>
      <c r="R836" s="76"/>
      <c r="Z836" s="70"/>
      <c r="AA836" s="70"/>
      <c r="AB836" s="70"/>
      <c r="AC836" s="70"/>
    </row>
    <row r="837" spans="1:29" s="26" customFormat="1" x14ac:dyDescent="0.3">
      <c r="A837" s="25" t="s">
        <v>5235</v>
      </c>
      <c r="B837" s="25"/>
      <c r="C837" s="26" t="s">
        <v>3005</v>
      </c>
      <c r="D837" s="70"/>
      <c r="G837" s="70" t="s">
        <v>799</v>
      </c>
      <c r="H837" s="26">
        <v>-1</v>
      </c>
      <c r="I837" s="70" t="s">
        <v>4143</v>
      </c>
      <c r="J837" s="26" t="s">
        <v>5236</v>
      </c>
      <c r="K837" s="26" t="s">
        <v>3888</v>
      </c>
      <c r="L837" s="26" t="s">
        <v>10082</v>
      </c>
      <c r="M837" s="76"/>
      <c r="N837" s="76"/>
      <c r="O837" s="76"/>
      <c r="P837" s="76"/>
      <c r="Q837" s="76"/>
      <c r="R837" s="76"/>
      <c r="Z837" s="70"/>
      <c r="AA837" s="70"/>
      <c r="AB837" s="70"/>
      <c r="AC837" s="70"/>
    </row>
    <row r="838" spans="1:29" s="26" customFormat="1" x14ac:dyDescent="0.3">
      <c r="A838" s="25" t="s">
        <v>5237</v>
      </c>
      <c r="B838" s="25"/>
      <c r="C838" s="26" t="s">
        <v>3005</v>
      </c>
      <c r="D838" s="70"/>
      <c r="G838" s="70" t="s">
        <v>799</v>
      </c>
      <c r="H838" s="26">
        <v>-1</v>
      </c>
      <c r="I838" s="70" t="s">
        <v>5238</v>
      </c>
      <c r="J838" s="26" t="s">
        <v>5239</v>
      </c>
      <c r="K838" s="26" t="s">
        <v>3750</v>
      </c>
      <c r="M838" s="76"/>
      <c r="N838" s="76"/>
      <c r="O838" s="76"/>
      <c r="P838" s="76"/>
      <c r="Q838" s="76"/>
      <c r="R838" s="76"/>
      <c r="Z838" s="70"/>
      <c r="AA838" s="70"/>
      <c r="AB838" s="70"/>
      <c r="AC838" s="70"/>
    </row>
    <row r="839" spans="1:29" s="26" customFormat="1" x14ac:dyDescent="0.3">
      <c r="A839" s="25" t="s">
        <v>5240</v>
      </c>
      <c r="B839" s="25"/>
      <c r="C839" s="26" t="s">
        <v>3005</v>
      </c>
      <c r="D839" s="70"/>
      <c r="G839" s="70" t="s">
        <v>799</v>
      </c>
      <c r="H839" s="26">
        <v>-1</v>
      </c>
      <c r="I839" s="70" t="s">
        <v>5241</v>
      </c>
      <c r="J839" s="26" t="s">
        <v>5242</v>
      </c>
      <c r="K839" s="26" t="s">
        <v>5243</v>
      </c>
      <c r="L839" s="26" t="s">
        <v>10072</v>
      </c>
      <c r="M839" s="76"/>
      <c r="N839" s="76"/>
      <c r="O839" s="76"/>
      <c r="P839" s="76"/>
      <c r="Q839" s="76"/>
      <c r="R839" s="76"/>
      <c r="Z839" s="70"/>
      <c r="AA839" s="70"/>
      <c r="AB839" s="70"/>
      <c r="AC839" s="70"/>
    </row>
    <row r="840" spans="1:29" s="26" customFormat="1" x14ac:dyDescent="0.3">
      <c r="A840" s="25" t="s">
        <v>5244</v>
      </c>
      <c r="B840" s="25"/>
      <c r="C840" s="26" t="s">
        <v>3005</v>
      </c>
      <c r="D840" s="70"/>
      <c r="G840" s="70" t="s">
        <v>799</v>
      </c>
      <c r="H840" s="26">
        <v>-1</v>
      </c>
      <c r="I840" s="70" t="s">
        <v>5245</v>
      </c>
      <c r="J840" s="26" t="s">
        <v>5246</v>
      </c>
      <c r="K840" s="26" t="s">
        <v>5247</v>
      </c>
      <c r="L840" s="26" t="s">
        <v>10318</v>
      </c>
      <c r="M840" s="76"/>
      <c r="N840" s="76"/>
      <c r="O840" s="76"/>
      <c r="P840" s="76"/>
      <c r="Q840" s="76"/>
      <c r="R840" s="76"/>
      <c r="Z840" s="70"/>
      <c r="AA840" s="70"/>
      <c r="AB840" s="70"/>
      <c r="AC840" s="70"/>
    </row>
    <row r="841" spans="1:29" s="26" customFormat="1" x14ac:dyDescent="0.3">
      <c r="A841" s="25" t="s">
        <v>5248</v>
      </c>
      <c r="B841" s="25"/>
      <c r="C841" s="26" t="s">
        <v>3005</v>
      </c>
      <c r="D841" s="70"/>
      <c r="G841" s="70" t="s">
        <v>799</v>
      </c>
      <c r="H841" s="26">
        <v>-1</v>
      </c>
      <c r="I841" s="70" t="s">
        <v>5249</v>
      </c>
      <c r="J841" s="26" t="s">
        <v>5250</v>
      </c>
      <c r="K841" s="26" t="s">
        <v>5251</v>
      </c>
      <c r="M841" s="76"/>
      <c r="N841" s="76"/>
      <c r="O841" s="76"/>
      <c r="P841" s="76"/>
      <c r="Q841" s="76"/>
      <c r="R841" s="76"/>
      <c r="Z841" s="70"/>
      <c r="AA841" s="70"/>
      <c r="AB841" s="70"/>
      <c r="AC841" s="70"/>
    </row>
    <row r="842" spans="1:29" s="26" customFormat="1" x14ac:dyDescent="0.3">
      <c r="A842" s="25" t="s">
        <v>5252</v>
      </c>
      <c r="B842" s="25"/>
      <c r="C842" s="26" t="s">
        <v>3005</v>
      </c>
      <c r="D842" s="70"/>
      <c r="G842" s="70" t="s">
        <v>799</v>
      </c>
      <c r="H842" s="26">
        <v>3</v>
      </c>
      <c r="I842" s="70" t="s">
        <v>3694</v>
      </c>
      <c r="J842" s="26" t="s">
        <v>5253</v>
      </c>
      <c r="K842" s="26" t="s">
        <v>5254</v>
      </c>
      <c r="L842" s="26" t="s">
        <v>10319</v>
      </c>
      <c r="M842" s="76"/>
      <c r="N842" s="76"/>
      <c r="O842" s="76"/>
      <c r="P842" s="76"/>
      <c r="Q842" s="76"/>
      <c r="R842" s="76"/>
      <c r="Z842" s="70"/>
      <c r="AA842" s="70"/>
      <c r="AB842" s="70"/>
      <c r="AC842" s="70"/>
    </row>
    <row r="843" spans="1:29" s="26" customFormat="1" x14ac:dyDescent="0.3">
      <c r="A843" s="25" t="s">
        <v>5255</v>
      </c>
      <c r="B843" s="25"/>
      <c r="C843" s="26" t="s">
        <v>3005</v>
      </c>
      <c r="D843" s="70"/>
      <c r="G843" s="70" t="s">
        <v>799</v>
      </c>
      <c r="H843" s="26">
        <v>3</v>
      </c>
      <c r="I843" s="70" t="s">
        <v>5256</v>
      </c>
      <c r="J843" s="26" t="s">
        <v>5257</v>
      </c>
      <c r="K843" s="26" t="s">
        <v>5258</v>
      </c>
      <c r="L843" s="26" t="s">
        <v>10320</v>
      </c>
      <c r="M843" s="76"/>
      <c r="N843" s="76"/>
      <c r="O843" s="76"/>
      <c r="P843" s="76"/>
      <c r="Q843" s="76"/>
      <c r="R843" s="76"/>
      <c r="Z843" s="70"/>
      <c r="AA843" s="70"/>
      <c r="AB843" s="70"/>
      <c r="AC843" s="70"/>
    </row>
    <row r="844" spans="1:29" s="26" customFormat="1" x14ac:dyDescent="0.3">
      <c r="A844" s="25" t="s">
        <v>5259</v>
      </c>
      <c r="B844" s="25"/>
      <c r="C844" s="26" t="s">
        <v>3005</v>
      </c>
      <c r="D844" s="70"/>
      <c r="G844" s="70" t="s">
        <v>799</v>
      </c>
      <c r="H844" s="26">
        <v>3</v>
      </c>
      <c r="I844" s="70" t="s">
        <v>5260</v>
      </c>
      <c r="J844" s="26" t="s">
        <v>5261</v>
      </c>
      <c r="K844" s="26" t="s">
        <v>5262</v>
      </c>
      <c r="M844" s="76"/>
      <c r="N844" s="76"/>
      <c r="O844" s="76"/>
      <c r="P844" s="76"/>
      <c r="Q844" s="76"/>
      <c r="R844" s="76"/>
      <c r="Z844" s="70"/>
      <c r="AA844" s="70"/>
      <c r="AB844" s="70"/>
      <c r="AC844" s="70"/>
    </row>
    <row r="845" spans="1:29" s="26" customFormat="1" x14ac:dyDescent="0.3">
      <c r="A845" s="25" t="s">
        <v>5263</v>
      </c>
      <c r="B845" s="25"/>
      <c r="C845" s="26" t="s">
        <v>3005</v>
      </c>
      <c r="D845" s="70"/>
      <c r="G845" s="70" t="s">
        <v>799</v>
      </c>
      <c r="H845" s="26">
        <v>4</v>
      </c>
      <c r="I845" s="70" t="s">
        <v>5264</v>
      </c>
      <c r="J845" s="26" t="s">
        <v>3174</v>
      </c>
      <c r="K845" s="26" t="s">
        <v>5265</v>
      </c>
      <c r="L845" s="26" t="s">
        <v>10321</v>
      </c>
      <c r="M845" s="76"/>
      <c r="N845" s="76"/>
      <c r="O845" s="76"/>
      <c r="P845" s="76"/>
      <c r="Q845" s="76"/>
      <c r="R845" s="76"/>
      <c r="Z845" s="70"/>
      <c r="AA845" s="70"/>
      <c r="AB845" s="70"/>
      <c r="AC845" s="70"/>
    </row>
    <row r="846" spans="1:29" s="26" customFormat="1" x14ac:dyDescent="0.3">
      <c r="A846" s="25" t="s">
        <v>5266</v>
      </c>
      <c r="B846" s="25"/>
      <c r="C846" s="26" t="s">
        <v>3005</v>
      </c>
      <c r="D846" s="70"/>
      <c r="G846" s="70" t="s">
        <v>799</v>
      </c>
      <c r="H846" s="26">
        <v>-1</v>
      </c>
      <c r="I846" s="70" t="s">
        <v>3546</v>
      </c>
      <c r="J846" s="26" t="s">
        <v>5267</v>
      </c>
      <c r="K846" s="26" t="s">
        <v>5268</v>
      </c>
      <c r="M846" s="76"/>
      <c r="N846" s="76"/>
      <c r="O846" s="76"/>
      <c r="P846" s="76"/>
      <c r="Q846" s="76"/>
      <c r="R846" s="76"/>
      <c r="Z846" s="70"/>
      <c r="AA846" s="70"/>
      <c r="AB846" s="70"/>
      <c r="AC846" s="70"/>
    </row>
    <row r="847" spans="1:29" s="26" customFormat="1" x14ac:dyDescent="0.3">
      <c r="A847" s="25" t="s">
        <v>5269</v>
      </c>
      <c r="B847" s="25"/>
      <c r="C847" s="26" t="s">
        <v>3005</v>
      </c>
      <c r="D847" s="70"/>
      <c r="G847" s="70" t="s">
        <v>799</v>
      </c>
      <c r="H847" s="26">
        <v>-1</v>
      </c>
      <c r="I847" s="70" t="s">
        <v>5270</v>
      </c>
      <c r="J847" s="26" t="s">
        <v>4927</v>
      </c>
      <c r="K847" s="26" t="s">
        <v>5271</v>
      </c>
      <c r="M847" s="76"/>
      <c r="N847" s="76"/>
      <c r="O847" s="76"/>
      <c r="P847" s="76"/>
      <c r="Q847" s="76"/>
      <c r="R847" s="76"/>
      <c r="Z847" s="70"/>
      <c r="AA847" s="70"/>
      <c r="AB847" s="70"/>
      <c r="AC847" s="70"/>
    </row>
    <row r="848" spans="1:29" s="24" customFormat="1" x14ac:dyDescent="0.3">
      <c r="A848" s="23">
        <v>262</v>
      </c>
      <c r="B848" s="23">
        <v>258</v>
      </c>
      <c r="C848" s="24" t="s">
        <v>2165</v>
      </c>
      <c r="D848" s="69" t="s">
        <v>713</v>
      </c>
      <c r="E848" s="24" t="s">
        <v>712</v>
      </c>
      <c r="F848" s="24" t="s">
        <v>800</v>
      </c>
      <c r="G848" s="69" t="s">
        <v>801</v>
      </c>
      <c r="I848" s="69"/>
      <c r="J848" s="24" t="s">
        <v>5272</v>
      </c>
      <c r="K848" s="24" t="s">
        <v>802</v>
      </c>
      <c r="M848" s="75" t="s">
        <v>732</v>
      </c>
      <c r="N848" s="75"/>
      <c r="O848" s="75" t="s">
        <v>66</v>
      </c>
      <c r="P848" s="75" t="s">
        <v>66</v>
      </c>
      <c r="Q848" s="75" t="s">
        <v>67</v>
      </c>
      <c r="R848" s="75"/>
      <c r="V848" s="24" t="s">
        <v>2478</v>
      </c>
      <c r="W848" s="24" t="s">
        <v>2479</v>
      </c>
      <c r="Y848" s="24" t="s">
        <v>2480</v>
      </c>
      <c r="Z848" s="69"/>
      <c r="AA848" s="69"/>
      <c r="AB848" s="69"/>
      <c r="AC848" s="69"/>
    </row>
    <row r="849" spans="1:31" s="24" customFormat="1" x14ac:dyDescent="0.3">
      <c r="A849" s="23">
        <v>263</v>
      </c>
      <c r="B849" s="23">
        <v>259</v>
      </c>
      <c r="C849" s="24" t="s">
        <v>2165</v>
      </c>
      <c r="D849" s="69" t="s">
        <v>713</v>
      </c>
      <c r="E849" s="24" t="s">
        <v>712</v>
      </c>
      <c r="F849" s="24" t="s">
        <v>803</v>
      </c>
      <c r="G849" s="69" t="s">
        <v>804</v>
      </c>
      <c r="I849" s="69"/>
      <c r="J849" s="24" t="s">
        <v>3158</v>
      </c>
      <c r="K849" s="24" t="s">
        <v>805</v>
      </c>
      <c r="M849" s="75" t="s">
        <v>15</v>
      </c>
      <c r="N849" s="75"/>
      <c r="O849" s="75"/>
      <c r="P849" s="75"/>
      <c r="Q849" s="75"/>
      <c r="R849" s="75"/>
      <c r="T849" s="24" t="s">
        <v>2200</v>
      </c>
      <c r="V849" s="24" t="s">
        <v>2481</v>
      </c>
      <c r="W849" s="24" t="s">
        <v>2481</v>
      </c>
      <c r="Y849" s="24" t="s">
        <v>2482</v>
      </c>
      <c r="Z849" s="69"/>
      <c r="AA849" s="69"/>
      <c r="AB849" s="69"/>
      <c r="AC849" s="69"/>
      <c r="AE849" s="24" t="s">
        <v>2483</v>
      </c>
    </row>
    <row r="850" spans="1:31" s="24" customFormat="1" x14ac:dyDescent="0.3">
      <c r="A850" s="23">
        <v>264</v>
      </c>
      <c r="B850" s="23">
        <v>260</v>
      </c>
      <c r="C850" s="24" t="s">
        <v>2165</v>
      </c>
      <c r="D850" s="69" t="s">
        <v>807</v>
      </c>
      <c r="E850" s="24" t="s">
        <v>806</v>
      </c>
      <c r="F850" s="24" t="s">
        <v>808</v>
      </c>
      <c r="G850" s="69" t="s">
        <v>809</v>
      </c>
      <c r="I850" s="69"/>
      <c r="J850" s="24" t="s">
        <v>5273</v>
      </c>
      <c r="K850" s="24" t="s">
        <v>68</v>
      </c>
      <c r="L850" s="24" t="s">
        <v>9780</v>
      </c>
      <c r="M850" s="75" t="s">
        <v>65</v>
      </c>
      <c r="N850" s="75" t="s">
        <v>2019</v>
      </c>
      <c r="O850" s="75" t="s">
        <v>58</v>
      </c>
      <c r="P850" s="75" t="s">
        <v>58</v>
      </c>
      <c r="Q850" s="75" t="s">
        <v>130</v>
      </c>
      <c r="R850" s="75"/>
      <c r="Z850" s="69"/>
      <c r="AA850" s="69"/>
      <c r="AB850" s="69"/>
      <c r="AC850" s="69"/>
    </row>
    <row r="851" spans="1:31" s="24" customFormat="1" x14ac:dyDescent="0.3">
      <c r="A851" s="23">
        <v>265</v>
      </c>
      <c r="B851" s="23">
        <v>261</v>
      </c>
      <c r="C851" s="24" t="s">
        <v>2165</v>
      </c>
      <c r="D851" s="69" t="s">
        <v>807</v>
      </c>
      <c r="E851" s="24" t="s">
        <v>806</v>
      </c>
      <c r="F851" s="24" t="s">
        <v>810</v>
      </c>
      <c r="G851" s="69" t="s">
        <v>811</v>
      </c>
      <c r="I851" s="69"/>
      <c r="J851" s="24" t="s">
        <v>3686</v>
      </c>
      <c r="K851" s="24" t="s">
        <v>68</v>
      </c>
      <c r="M851" s="75" t="s">
        <v>65</v>
      </c>
      <c r="N851" s="75" t="s">
        <v>2020</v>
      </c>
      <c r="O851" s="75"/>
      <c r="P851" s="75"/>
      <c r="Q851" s="75"/>
      <c r="R851" s="75"/>
      <c r="T851" s="24" t="s">
        <v>2200</v>
      </c>
      <c r="Z851" s="69"/>
      <c r="AA851" s="69"/>
      <c r="AB851" s="69"/>
      <c r="AC851" s="69"/>
      <c r="AE851" s="24" t="s">
        <v>2484</v>
      </c>
    </row>
    <row r="852" spans="1:31" s="24" customFormat="1" x14ac:dyDescent="0.3">
      <c r="A852" s="23">
        <v>266</v>
      </c>
      <c r="B852" s="23">
        <v>262</v>
      </c>
      <c r="C852" s="24" t="s">
        <v>2165</v>
      </c>
      <c r="D852" s="69" t="s">
        <v>807</v>
      </c>
      <c r="E852" s="24" t="s">
        <v>806</v>
      </c>
      <c r="F852" s="24" t="s">
        <v>812</v>
      </c>
      <c r="G852" s="69" t="s">
        <v>813</v>
      </c>
      <c r="I852" s="69"/>
      <c r="J852" s="24" t="s">
        <v>5274</v>
      </c>
      <c r="K852" s="24" t="s">
        <v>68</v>
      </c>
      <c r="L852" s="24" t="s">
        <v>9781</v>
      </c>
      <c r="M852" s="75" t="s">
        <v>65</v>
      </c>
      <c r="N852" s="75" t="s">
        <v>2021</v>
      </c>
      <c r="O852" s="75" t="s">
        <v>85</v>
      </c>
      <c r="P852" s="75" t="s">
        <v>85</v>
      </c>
      <c r="Q852" s="75" t="s">
        <v>85</v>
      </c>
      <c r="R852" s="75" t="s">
        <v>2166</v>
      </c>
      <c r="Z852" s="69"/>
      <c r="AA852" s="69"/>
      <c r="AB852" s="69"/>
      <c r="AC852" s="69"/>
    </row>
    <row r="853" spans="1:31" s="24" customFormat="1" x14ac:dyDescent="0.3">
      <c r="A853" s="23">
        <v>267</v>
      </c>
      <c r="B853" s="23">
        <v>263</v>
      </c>
      <c r="C853" s="24" t="s">
        <v>2165</v>
      </c>
      <c r="D853" s="69" t="s">
        <v>807</v>
      </c>
      <c r="E853" s="24" t="s">
        <v>806</v>
      </c>
      <c r="F853" s="24" t="s">
        <v>814</v>
      </c>
      <c r="G853" s="69" t="s">
        <v>815</v>
      </c>
      <c r="H853" s="24">
        <v>2</v>
      </c>
      <c r="I853" s="69"/>
      <c r="J853" s="24" t="s">
        <v>5275</v>
      </c>
      <c r="K853" s="24" t="s">
        <v>43</v>
      </c>
      <c r="M853" s="75" t="s">
        <v>15</v>
      </c>
      <c r="N853" s="75"/>
      <c r="O853" s="75"/>
      <c r="P853" s="75"/>
      <c r="Q853" s="75"/>
      <c r="R853" s="75"/>
      <c r="Z853" s="69"/>
      <c r="AA853" s="69"/>
      <c r="AB853" s="69"/>
      <c r="AC853" s="69"/>
    </row>
    <row r="854" spans="1:31" s="26" customFormat="1" x14ac:dyDescent="0.3">
      <c r="A854" s="25" t="s">
        <v>5276</v>
      </c>
      <c r="B854" s="25"/>
      <c r="C854" s="26" t="s">
        <v>3005</v>
      </c>
      <c r="D854" s="70"/>
      <c r="G854" s="70" t="s">
        <v>815</v>
      </c>
      <c r="H854" s="26">
        <v>-1</v>
      </c>
      <c r="I854" s="70" t="s">
        <v>3640</v>
      </c>
      <c r="J854" s="26" t="s">
        <v>5275</v>
      </c>
      <c r="K854" s="26" t="s">
        <v>5277</v>
      </c>
      <c r="L854" s="26" t="s">
        <v>10322</v>
      </c>
      <c r="M854" s="76"/>
      <c r="N854" s="76"/>
      <c r="O854" s="76"/>
      <c r="P854" s="76"/>
      <c r="Q854" s="76"/>
      <c r="R854" s="76"/>
      <c r="Z854" s="70"/>
      <c r="AA854" s="70"/>
      <c r="AB854" s="70"/>
      <c r="AC854" s="70"/>
    </row>
    <row r="855" spans="1:31" s="26" customFormat="1" x14ac:dyDescent="0.3">
      <c r="A855" s="25" t="s">
        <v>5278</v>
      </c>
      <c r="B855" s="25"/>
      <c r="C855" s="26" t="s">
        <v>3005</v>
      </c>
      <c r="D855" s="70"/>
      <c r="G855" s="70" t="s">
        <v>815</v>
      </c>
      <c r="H855" s="26">
        <v>-1</v>
      </c>
      <c r="I855" s="70" t="s">
        <v>5279</v>
      </c>
      <c r="J855" s="26" t="s">
        <v>5280</v>
      </c>
      <c r="K855" s="26" t="s">
        <v>5281</v>
      </c>
      <c r="M855" s="76"/>
      <c r="N855" s="76"/>
      <c r="O855" s="76"/>
      <c r="P855" s="76"/>
      <c r="Q855" s="76"/>
      <c r="R855" s="76"/>
      <c r="Z855" s="70"/>
      <c r="AA855" s="70"/>
      <c r="AB855" s="70"/>
      <c r="AC855" s="70"/>
    </row>
    <row r="856" spans="1:31" s="26" customFormat="1" x14ac:dyDescent="0.3">
      <c r="A856" s="25" t="s">
        <v>5282</v>
      </c>
      <c r="B856" s="25"/>
      <c r="C856" s="26" t="s">
        <v>3005</v>
      </c>
      <c r="D856" s="70"/>
      <c r="G856" s="70" t="s">
        <v>815</v>
      </c>
      <c r="H856" s="26">
        <v>-1</v>
      </c>
      <c r="I856" s="70" t="s">
        <v>3966</v>
      </c>
      <c r="J856" s="26" t="s">
        <v>5283</v>
      </c>
      <c r="K856" s="26" t="s">
        <v>5284</v>
      </c>
      <c r="L856" s="26" t="s">
        <v>10323</v>
      </c>
      <c r="M856" s="76"/>
      <c r="N856" s="76"/>
      <c r="O856" s="76"/>
      <c r="P856" s="76"/>
      <c r="Q856" s="76"/>
      <c r="R856" s="76"/>
      <c r="Z856" s="70"/>
      <c r="AA856" s="70"/>
      <c r="AB856" s="70"/>
      <c r="AC856" s="70"/>
    </row>
    <row r="857" spans="1:31" s="26" customFormat="1" x14ac:dyDescent="0.3">
      <c r="A857" s="25" t="s">
        <v>5285</v>
      </c>
      <c r="B857" s="25"/>
      <c r="C857" s="26" t="s">
        <v>3005</v>
      </c>
      <c r="D857" s="70"/>
      <c r="G857" s="70" t="s">
        <v>815</v>
      </c>
      <c r="H857" s="26">
        <v>2</v>
      </c>
      <c r="I857" s="70" t="s">
        <v>5286</v>
      </c>
      <c r="J857" s="26" t="s">
        <v>4187</v>
      </c>
      <c r="K857" s="26" t="s">
        <v>5287</v>
      </c>
      <c r="L857" s="26" t="s">
        <v>10324</v>
      </c>
      <c r="M857" s="76"/>
      <c r="N857" s="76"/>
      <c r="O857" s="76"/>
      <c r="P857" s="76"/>
      <c r="Q857" s="76"/>
      <c r="R857" s="76"/>
      <c r="Z857" s="70"/>
      <c r="AA857" s="70"/>
      <c r="AB857" s="70"/>
      <c r="AC857" s="70"/>
    </row>
    <row r="858" spans="1:31" s="26" customFormat="1" x14ac:dyDescent="0.3">
      <c r="A858" s="25" t="s">
        <v>5288</v>
      </c>
      <c r="B858" s="25"/>
      <c r="C858" s="26" t="s">
        <v>3005</v>
      </c>
      <c r="D858" s="70"/>
      <c r="G858" s="70" t="s">
        <v>815</v>
      </c>
      <c r="H858" s="26">
        <v>2</v>
      </c>
      <c r="I858" s="70" t="s">
        <v>5289</v>
      </c>
      <c r="J858" s="26" t="s">
        <v>5280</v>
      </c>
      <c r="K858" s="26" t="s">
        <v>5290</v>
      </c>
      <c r="L858" s="26" t="s">
        <v>10325</v>
      </c>
      <c r="M858" s="76"/>
      <c r="N858" s="76"/>
      <c r="O858" s="76"/>
      <c r="P858" s="76"/>
      <c r="Q858" s="76"/>
      <c r="R858" s="76"/>
      <c r="Z858" s="70"/>
      <c r="AA858" s="70"/>
      <c r="AB858" s="70"/>
      <c r="AC858" s="70"/>
    </row>
    <row r="859" spans="1:31" s="26" customFormat="1" x14ac:dyDescent="0.3">
      <c r="A859" s="25" t="s">
        <v>5291</v>
      </c>
      <c r="B859" s="25"/>
      <c r="C859" s="26" t="s">
        <v>3005</v>
      </c>
      <c r="D859" s="70"/>
      <c r="G859" s="70" t="s">
        <v>815</v>
      </c>
      <c r="H859" s="26">
        <v>-1</v>
      </c>
      <c r="I859" s="70" t="s">
        <v>5292</v>
      </c>
      <c r="J859" s="26" t="s">
        <v>5293</v>
      </c>
      <c r="K859" s="26" t="s">
        <v>5294</v>
      </c>
      <c r="L859" s="26" t="s">
        <v>10326</v>
      </c>
      <c r="M859" s="76"/>
      <c r="N859" s="76"/>
      <c r="O859" s="76"/>
      <c r="P859" s="76"/>
      <c r="Q859" s="76"/>
      <c r="R859" s="76"/>
      <c r="Z859" s="70"/>
      <c r="AA859" s="70"/>
      <c r="AB859" s="70"/>
      <c r="AC859" s="70"/>
    </row>
    <row r="860" spans="1:31" s="24" customFormat="1" x14ac:dyDescent="0.3">
      <c r="A860" s="23">
        <v>268</v>
      </c>
      <c r="B860" s="23">
        <v>264</v>
      </c>
      <c r="C860" s="24" t="s">
        <v>2165</v>
      </c>
      <c r="D860" s="69" t="s">
        <v>807</v>
      </c>
      <c r="E860" s="24" t="s">
        <v>806</v>
      </c>
      <c r="F860" s="24" t="s">
        <v>816</v>
      </c>
      <c r="G860" s="69" t="s">
        <v>817</v>
      </c>
      <c r="H860" s="24">
        <v>4</v>
      </c>
      <c r="I860" s="69"/>
      <c r="J860" s="24" t="s">
        <v>3158</v>
      </c>
      <c r="K860" s="24" t="s">
        <v>68</v>
      </c>
      <c r="M860" s="75" t="s">
        <v>65</v>
      </c>
      <c r="N860" s="75" t="s">
        <v>2015</v>
      </c>
      <c r="O860" s="75"/>
      <c r="P860" s="75"/>
      <c r="Q860" s="75"/>
      <c r="R860" s="75"/>
      <c r="Z860" s="69"/>
      <c r="AA860" s="69"/>
      <c r="AB860" s="69"/>
      <c r="AC860" s="69"/>
    </row>
    <row r="861" spans="1:31" s="26" customFormat="1" x14ac:dyDescent="0.3">
      <c r="A861" s="25" t="s">
        <v>5295</v>
      </c>
      <c r="B861" s="25"/>
      <c r="C861" s="26" t="s">
        <v>3005</v>
      </c>
      <c r="D861" s="70"/>
      <c r="G861" s="70" t="s">
        <v>817</v>
      </c>
      <c r="H861" s="26">
        <v>1</v>
      </c>
      <c r="I861" s="70" t="s">
        <v>5296</v>
      </c>
      <c r="J861" s="26" t="s">
        <v>5297</v>
      </c>
      <c r="K861" s="26" t="s">
        <v>5298</v>
      </c>
      <c r="L861" s="26" t="s">
        <v>10327</v>
      </c>
      <c r="M861" s="76"/>
      <c r="N861" s="76"/>
      <c r="O861" s="76"/>
      <c r="P861" s="76"/>
      <c r="Q861" s="76"/>
      <c r="R861" s="76"/>
      <c r="Z861" s="70"/>
      <c r="AA861" s="70"/>
      <c r="AB861" s="70"/>
      <c r="AC861" s="70"/>
    </row>
    <row r="862" spans="1:31" s="26" customFormat="1" x14ac:dyDescent="0.3">
      <c r="A862" s="25" t="s">
        <v>5299</v>
      </c>
      <c r="B862" s="25"/>
      <c r="C862" s="26" t="s">
        <v>3005</v>
      </c>
      <c r="D862" s="70"/>
      <c r="G862" s="70" t="s">
        <v>817</v>
      </c>
      <c r="H862" s="26">
        <v>1</v>
      </c>
      <c r="I862" s="70" t="s">
        <v>5300</v>
      </c>
      <c r="J862" s="26" t="s">
        <v>3158</v>
      </c>
      <c r="K862" s="26" t="s">
        <v>2354</v>
      </c>
      <c r="L862" s="26" t="s">
        <v>9924</v>
      </c>
      <c r="M862" s="76"/>
      <c r="N862" s="76"/>
      <c r="O862" s="76"/>
      <c r="P862" s="76"/>
      <c r="Q862" s="76"/>
      <c r="R862" s="76"/>
      <c r="Z862" s="70"/>
      <c r="AA862" s="70"/>
      <c r="AB862" s="70"/>
      <c r="AC862" s="70"/>
    </row>
    <row r="863" spans="1:31" s="26" customFormat="1" x14ac:dyDescent="0.3">
      <c r="A863" s="25" t="s">
        <v>5301</v>
      </c>
      <c r="B863" s="25"/>
      <c r="C863" s="26" t="s">
        <v>3005</v>
      </c>
      <c r="D863" s="70"/>
      <c r="G863" s="70" t="s">
        <v>817</v>
      </c>
      <c r="H863" s="26">
        <v>1</v>
      </c>
      <c r="I863" s="70" t="s">
        <v>5302</v>
      </c>
      <c r="J863" s="26" t="s">
        <v>5303</v>
      </c>
      <c r="K863" s="26" t="s">
        <v>5304</v>
      </c>
      <c r="L863" s="26" t="s">
        <v>10328</v>
      </c>
      <c r="M863" s="76"/>
      <c r="N863" s="76"/>
      <c r="O863" s="76"/>
      <c r="P863" s="76"/>
      <c r="Q863" s="76"/>
      <c r="R863" s="76"/>
      <c r="Z863" s="70"/>
      <c r="AA863" s="70"/>
      <c r="AB863" s="70"/>
      <c r="AC863" s="70"/>
    </row>
    <row r="864" spans="1:31" s="26" customFormat="1" x14ac:dyDescent="0.3">
      <c r="A864" s="25" t="s">
        <v>5305</v>
      </c>
      <c r="B864" s="25"/>
      <c r="C864" s="26" t="s">
        <v>3005</v>
      </c>
      <c r="D864" s="70"/>
      <c r="G864" s="70" t="s">
        <v>817</v>
      </c>
      <c r="H864" s="26">
        <v>1</v>
      </c>
      <c r="I864" s="70" t="s">
        <v>5306</v>
      </c>
      <c r="J864" s="26" t="s">
        <v>5307</v>
      </c>
      <c r="K864" s="26" t="s">
        <v>5308</v>
      </c>
      <c r="L864" s="26" t="s">
        <v>10329</v>
      </c>
      <c r="M864" s="76"/>
      <c r="N864" s="76"/>
      <c r="O864" s="76"/>
      <c r="P864" s="76"/>
      <c r="Q864" s="76"/>
      <c r="R864" s="76"/>
      <c r="Z864" s="70"/>
      <c r="AA864" s="70"/>
      <c r="AB864" s="70"/>
      <c r="AC864" s="70"/>
    </row>
    <row r="865" spans="1:30" s="24" customFormat="1" x14ac:dyDescent="0.3">
      <c r="A865" s="23">
        <v>269</v>
      </c>
      <c r="B865" s="23">
        <v>265</v>
      </c>
      <c r="C865" s="24" t="s">
        <v>2165</v>
      </c>
      <c r="D865" s="69" t="s">
        <v>807</v>
      </c>
      <c r="E865" s="24" t="s">
        <v>806</v>
      </c>
      <c r="F865" s="24" t="s">
        <v>818</v>
      </c>
      <c r="G865" s="69" t="s">
        <v>819</v>
      </c>
      <c r="H865" s="24">
        <v>2</v>
      </c>
      <c r="I865" s="69"/>
      <c r="J865" s="24" t="s">
        <v>3662</v>
      </c>
      <c r="K865" s="24" t="s">
        <v>43</v>
      </c>
      <c r="M865" s="75" t="s">
        <v>15</v>
      </c>
      <c r="N865" s="75"/>
      <c r="O865" s="75"/>
      <c r="P865" s="75"/>
      <c r="Q865" s="75"/>
      <c r="R865" s="75"/>
      <c r="Z865" s="69"/>
      <c r="AA865" s="69"/>
      <c r="AB865" s="69"/>
      <c r="AC865" s="69"/>
    </row>
    <row r="866" spans="1:30" s="26" customFormat="1" x14ac:dyDescent="0.3">
      <c r="A866" s="25" t="s">
        <v>5309</v>
      </c>
      <c r="B866" s="25"/>
      <c r="C866" s="26" t="s">
        <v>3005</v>
      </c>
      <c r="D866" s="70"/>
      <c r="G866" s="70" t="s">
        <v>819</v>
      </c>
      <c r="H866" s="26">
        <v>-1</v>
      </c>
      <c r="I866" s="70" t="s">
        <v>4262</v>
      </c>
      <c r="J866" s="26" t="s">
        <v>3662</v>
      </c>
      <c r="K866" s="26" t="s">
        <v>5310</v>
      </c>
      <c r="L866" s="26" t="s">
        <v>10330</v>
      </c>
      <c r="M866" s="76"/>
      <c r="N866" s="76"/>
      <c r="O866" s="76"/>
      <c r="P866" s="76"/>
      <c r="Q866" s="76"/>
      <c r="R866" s="76"/>
      <c r="Z866" s="70"/>
      <c r="AA866" s="70"/>
      <c r="AB866" s="70"/>
      <c r="AC866" s="70"/>
    </row>
    <row r="867" spans="1:30" s="26" customFormat="1" x14ac:dyDescent="0.3">
      <c r="A867" s="25" t="s">
        <v>5311</v>
      </c>
      <c r="B867" s="25"/>
      <c r="C867" s="26" t="s">
        <v>3005</v>
      </c>
      <c r="D867" s="70"/>
      <c r="G867" s="70" t="s">
        <v>819</v>
      </c>
      <c r="H867" s="26">
        <v>-1</v>
      </c>
      <c r="I867" s="70" t="s">
        <v>5312</v>
      </c>
      <c r="J867" s="26" t="s">
        <v>4606</v>
      </c>
      <c r="K867" s="26" t="s">
        <v>5313</v>
      </c>
      <c r="L867" s="26" t="s">
        <v>10331</v>
      </c>
      <c r="M867" s="76"/>
      <c r="N867" s="76"/>
      <c r="O867" s="76"/>
      <c r="P867" s="76"/>
      <c r="Q867" s="76"/>
      <c r="R867" s="76"/>
      <c r="Z867" s="70"/>
      <c r="AA867" s="70"/>
      <c r="AB867" s="70"/>
      <c r="AC867" s="70"/>
    </row>
    <row r="868" spans="1:30" s="26" customFormat="1" x14ac:dyDescent="0.3">
      <c r="A868" s="25" t="s">
        <v>5314</v>
      </c>
      <c r="B868" s="25"/>
      <c r="C868" s="26" t="s">
        <v>3005</v>
      </c>
      <c r="D868" s="70"/>
      <c r="G868" s="70" t="s">
        <v>819</v>
      </c>
      <c r="H868" s="26">
        <v>4</v>
      </c>
      <c r="I868" s="70" t="s">
        <v>5315</v>
      </c>
      <c r="J868" s="26" t="s">
        <v>5316</v>
      </c>
      <c r="K868" s="26" t="s">
        <v>5317</v>
      </c>
      <c r="L868" s="26" t="s">
        <v>10332</v>
      </c>
      <c r="M868" s="76"/>
      <c r="N868" s="76"/>
      <c r="O868" s="76"/>
      <c r="P868" s="76"/>
      <c r="Q868" s="76"/>
      <c r="R868" s="76"/>
      <c r="Z868" s="70"/>
      <c r="AA868" s="70"/>
      <c r="AB868" s="70"/>
      <c r="AC868" s="70"/>
    </row>
    <row r="869" spans="1:30" s="26" customFormat="1" x14ac:dyDescent="0.3">
      <c r="A869" s="25" t="s">
        <v>5318</v>
      </c>
      <c r="B869" s="25"/>
      <c r="C869" s="26" t="s">
        <v>3005</v>
      </c>
      <c r="D869" s="70"/>
      <c r="G869" s="70" t="s">
        <v>819</v>
      </c>
      <c r="H869" s="26">
        <v>2</v>
      </c>
      <c r="I869" s="70" t="s">
        <v>5319</v>
      </c>
      <c r="J869" s="26" t="s">
        <v>5320</v>
      </c>
      <c r="K869" s="26" t="s">
        <v>5321</v>
      </c>
      <c r="M869" s="76"/>
      <c r="N869" s="76"/>
      <c r="O869" s="76"/>
      <c r="P869" s="76"/>
      <c r="Q869" s="76"/>
      <c r="R869" s="76"/>
      <c r="Z869" s="70"/>
      <c r="AA869" s="70"/>
      <c r="AB869" s="70"/>
      <c r="AC869" s="70"/>
    </row>
    <row r="870" spans="1:30" s="26" customFormat="1" x14ac:dyDescent="0.3">
      <c r="A870" s="25" t="s">
        <v>5322</v>
      </c>
      <c r="B870" s="25"/>
      <c r="C870" s="26" t="s">
        <v>3005</v>
      </c>
      <c r="D870" s="70"/>
      <c r="G870" s="70" t="s">
        <v>819</v>
      </c>
      <c r="H870" s="26">
        <v>-1</v>
      </c>
      <c r="I870" s="70" t="s">
        <v>5323</v>
      </c>
      <c r="J870" s="26" t="s">
        <v>5324</v>
      </c>
      <c r="K870" s="26" t="s">
        <v>5325</v>
      </c>
      <c r="L870" s="26" t="s">
        <v>5325</v>
      </c>
      <c r="M870" s="76"/>
      <c r="N870" s="76"/>
      <c r="O870" s="76"/>
      <c r="P870" s="76"/>
      <c r="Q870" s="76"/>
      <c r="R870" s="76"/>
      <c r="Z870" s="70"/>
      <c r="AA870" s="70"/>
      <c r="AB870" s="70"/>
      <c r="AC870" s="70"/>
    </row>
    <row r="871" spans="1:30" s="26" customFormat="1" x14ac:dyDescent="0.3">
      <c r="A871" s="25" t="s">
        <v>5326</v>
      </c>
      <c r="B871" s="25"/>
      <c r="C871" s="26" t="s">
        <v>3005</v>
      </c>
      <c r="D871" s="70"/>
      <c r="G871" s="70" t="s">
        <v>819</v>
      </c>
      <c r="H871" s="26">
        <v>-1</v>
      </c>
      <c r="I871" s="70" t="s">
        <v>5327</v>
      </c>
      <c r="J871" s="26" t="s">
        <v>5328</v>
      </c>
      <c r="K871" s="26" t="s">
        <v>3457</v>
      </c>
      <c r="L871" s="26" t="s">
        <v>10333</v>
      </c>
      <c r="M871" s="76"/>
      <c r="N871" s="76"/>
      <c r="O871" s="76"/>
      <c r="P871" s="76"/>
      <c r="Q871" s="76"/>
      <c r="R871" s="76"/>
      <c r="Z871" s="70"/>
      <c r="AA871" s="70"/>
      <c r="AB871" s="70"/>
      <c r="AC871" s="70"/>
    </row>
    <row r="872" spans="1:30" s="24" customFormat="1" x14ac:dyDescent="0.3">
      <c r="A872" s="23">
        <v>270</v>
      </c>
      <c r="B872" s="23">
        <v>266</v>
      </c>
      <c r="C872" s="24" t="s">
        <v>2165</v>
      </c>
      <c r="D872" s="69" t="s">
        <v>807</v>
      </c>
      <c r="E872" s="24" t="s">
        <v>806</v>
      </c>
      <c r="F872" s="24" t="s">
        <v>820</v>
      </c>
      <c r="G872" s="69" t="s">
        <v>821</v>
      </c>
      <c r="H872" s="24">
        <v>1</v>
      </c>
      <c r="I872" s="69"/>
      <c r="J872" s="24" t="s">
        <v>5329</v>
      </c>
      <c r="K872" s="24" t="s">
        <v>822</v>
      </c>
      <c r="M872" s="75" t="s">
        <v>15</v>
      </c>
      <c r="N872" s="75"/>
      <c r="O872" s="75"/>
      <c r="P872" s="75"/>
      <c r="Q872" s="75"/>
      <c r="R872" s="75"/>
      <c r="Z872" s="69"/>
      <c r="AA872" s="69"/>
      <c r="AB872" s="69"/>
      <c r="AC872" s="69"/>
      <c r="AD872" s="24" t="s">
        <v>123</v>
      </c>
    </row>
    <row r="873" spans="1:30" s="26" customFormat="1" x14ac:dyDescent="0.3">
      <c r="A873" s="25" t="s">
        <v>5330</v>
      </c>
      <c r="B873" s="25"/>
      <c r="C873" s="26" t="s">
        <v>3005</v>
      </c>
      <c r="D873" s="70"/>
      <c r="G873" s="70" t="s">
        <v>821</v>
      </c>
      <c r="H873" s="26">
        <v>-1</v>
      </c>
      <c r="I873" s="70" t="s">
        <v>5331</v>
      </c>
      <c r="J873" s="26" t="s">
        <v>5332</v>
      </c>
      <c r="K873" s="26" t="s">
        <v>5333</v>
      </c>
      <c r="L873" s="26" t="s">
        <v>10334</v>
      </c>
      <c r="M873" s="76"/>
      <c r="N873" s="76"/>
      <c r="O873" s="76"/>
      <c r="P873" s="76"/>
      <c r="Q873" s="76"/>
      <c r="R873" s="76"/>
      <c r="Z873" s="70"/>
      <c r="AA873" s="70"/>
      <c r="AB873" s="70"/>
      <c r="AC873" s="70"/>
    </row>
    <row r="874" spans="1:30" s="26" customFormat="1" x14ac:dyDescent="0.3">
      <c r="A874" s="25" t="s">
        <v>5334</v>
      </c>
      <c r="B874" s="25"/>
      <c r="C874" s="26" t="s">
        <v>3005</v>
      </c>
      <c r="D874" s="70"/>
      <c r="G874" s="70" t="s">
        <v>821</v>
      </c>
      <c r="H874" s="26">
        <v>-1</v>
      </c>
      <c r="I874" s="70" t="s">
        <v>5335</v>
      </c>
      <c r="J874" s="26" t="s">
        <v>5336</v>
      </c>
      <c r="K874" s="26" t="s">
        <v>5337</v>
      </c>
      <c r="M874" s="76"/>
      <c r="N874" s="76"/>
      <c r="O874" s="76"/>
      <c r="P874" s="76"/>
      <c r="Q874" s="76"/>
      <c r="R874" s="76"/>
      <c r="Z874" s="70"/>
      <c r="AA874" s="70"/>
      <c r="AB874" s="70"/>
      <c r="AC874" s="70"/>
    </row>
    <row r="875" spans="1:30" s="26" customFormat="1" x14ac:dyDescent="0.3">
      <c r="A875" s="25" t="s">
        <v>5338</v>
      </c>
      <c r="B875" s="25"/>
      <c r="C875" s="26" t="s">
        <v>3005</v>
      </c>
      <c r="D875" s="70"/>
      <c r="G875" s="70" t="s">
        <v>821</v>
      </c>
      <c r="H875" s="26">
        <v>-1</v>
      </c>
      <c r="I875" s="70" t="s">
        <v>5339</v>
      </c>
      <c r="J875" s="26" t="s">
        <v>5329</v>
      </c>
      <c r="K875" s="26" t="s">
        <v>5340</v>
      </c>
      <c r="L875" s="26" t="s">
        <v>10335</v>
      </c>
      <c r="M875" s="76"/>
      <c r="N875" s="76"/>
      <c r="O875" s="76"/>
      <c r="P875" s="76"/>
      <c r="Q875" s="76"/>
      <c r="R875" s="76"/>
      <c r="Z875" s="70"/>
      <c r="AA875" s="70"/>
      <c r="AB875" s="70"/>
      <c r="AC875" s="70"/>
    </row>
    <row r="876" spans="1:30" s="26" customFormat="1" x14ac:dyDescent="0.3">
      <c r="A876" s="25" t="s">
        <v>5341</v>
      </c>
      <c r="B876" s="25"/>
      <c r="C876" s="26" t="s">
        <v>3005</v>
      </c>
      <c r="D876" s="70"/>
      <c r="G876" s="70" t="s">
        <v>821</v>
      </c>
      <c r="H876" s="26">
        <v>-1</v>
      </c>
      <c r="I876" s="70" t="s">
        <v>5342</v>
      </c>
      <c r="J876" s="26" t="s">
        <v>5280</v>
      </c>
      <c r="K876" s="26" t="s">
        <v>5343</v>
      </c>
      <c r="L876" s="26" t="s">
        <v>10336</v>
      </c>
      <c r="M876" s="76"/>
      <c r="N876" s="76"/>
      <c r="O876" s="76"/>
      <c r="P876" s="76"/>
      <c r="Q876" s="76"/>
      <c r="R876" s="76"/>
      <c r="Z876" s="70"/>
      <c r="AA876" s="70"/>
      <c r="AB876" s="70"/>
      <c r="AC876" s="70"/>
    </row>
    <row r="877" spans="1:30" s="26" customFormat="1" x14ac:dyDescent="0.3">
      <c r="A877" s="25" t="s">
        <v>5344</v>
      </c>
      <c r="B877" s="25"/>
      <c r="C877" s="26" t="s">
        <v>3005</v>
      </c>
      <c r="D877" s="70"/>
      <c r="G877" s="70" t="s">
        <v>821</v>
      </c>
      <c r="H877" s="26">
        <v>-1</v>
      </c>
      <c r="I877" s="70" t="s">
        <v>5345</v>
      </c>
      <c r="J877" s="26" t="s">
        <v>5346</v>
      </c>
      <c r="K877" s="26" t="s">
        <v>5347</v>
      </c>
      <c r="L877" s="26" t="s">
        <v>5347</v>
      </c>
      <c r="M877" s="76"/>
      <c r="N877" s="76"/>
      <c r="O877" s="76"/>
      <c r="P877" s="76"/>
      <c r="Q877" s="76"/>
      <c r="R877" s="76"/>
      <c r="Z877" s="70"/>
      <c r="AA877" s="70"/>
      <c r="AB877" s="70"/>
      <c r="AC877" s="70"/>
    </row>
    <row r="878" spans="1:30" s="26" customFormat="1" x14ac:dyDescent="0.3">
      <c r="A878" s="25" t="s">
        <v>5348</v>
      </c>
      <c r="B878" s="25"/>
      <c r="C878" s="26" t="s">
        <v>3005</v>
      </c>
      <c r="D878" s="70"/>
      <c r="G878" s="70" t="s">
        <v>821</v>
      </c>
      <c r="H878" s="26">
        <v>2</v>
      </c>
      <c r="I878" s="70" t="s">
        <v>5349</v>
      </c>
      <c r="J878" s="26" t="s">
        <v>5085</v>
      </c>
      <c r="K878" s="26" t="s">
        <v>5290</v>
      </c>
      <c r="L878" s="26" t="s">
        <v>10337</v>
      </c>
      <c r="M878" s="76"/>
      <c r="N878" s="76"/>
      <c r="O878" s="76"/>
      <c r="P878" s="76"/>
      <c r="Q878" s="76"/>
      <c r="R878" s="76"/>
      <c r="Z878" s="70"/>
      <c r="AA878" s="70"/>
      <c r="AB878" s="70"/>
      <c r="AC878" s="70"/>
    </row>
    <row r="879" spans="1:30" s="24" customFormat="1" x14ac:dyDescent="0.3">
      <c r="A879" s="23">
        <v>271</v>
      </c>
      <c r="B879" s="23">
        <v>267</v>
      </c>
      <c r="C879" s="24" t="s">
        <v>2165</v>
      </c>
      <c r="D879" s="69" t="s">
        <v>807</v>
      </c>
      <c r="E879" s="24" t="s">
        <v>806</v>
      </c>
      <c r="F879" s="24" t="s">
        <v>823</v>
      </c>
      <c r="G879" s="69" t="s">
        <v>824</v>
      </c>
      <c r="H879" s="24">
        <v>2</v>
      </c>
      <c r="I879" s="69"/>
      <c r="J879" s="24" t="s">
        <v>5350</v>
      </c>
      <c r="K879" s="24" t="s">
        <v>68</v>
      </c>
      <c r="M879" s="75" t="s">
        <v>65</v>
      </c>
      <c r="N879" s="75" t="s">
        <v>2019</v>
      </c>
      <c r="O879" s="75"/>
      <c r="P879" s="75"/>
      <c r="Q879" s="75"/>
      <c r="R879" s="75"/>
      <c r="V879" s="24" t="s">
        <v>2485</v>
      </c>
      <c r="W879" s="24" t="s">
        <v>2485</v>
      </c>
      <c r="Y879" s="24" t="s">
        <v>2485</v>
      </c>
      <c r="Z879" s="69"/>
      <c r="AA879" s="69"/>
      <c r="AB879" s="69"/>
      <c r="AC879" s="69" t="s">
        <v>11385</v>
      </c>
    </row>
    <row r="880" spans="1:30" s="26" customFormat="1" x14ac:dyDescent="0.3">
      <c r="A880" s="25" t="s">
        <v>5351</v>
      </c>
      <c r="B880" s="25"/>
      <c r="C880" s="26" t="s">
        <v>3005</v>
      </c>
      <c r="D880" s="70"/>
      <c r="G880" s="70" t="s">
        <v>824</v>
      </c>
      <c r="H880" s="26">
        <v>1</v>
      </c>
      <c r="I880" s="70" t="s">
        <v>5352</v>
      </c>
      <c r="J880" s="26" t="s">
        <v>5353</v>
      </c>
      <c r="K880" s="26" t="s">
        <v>5354</v>
      </c>
      <c r="L880" s="26" t="s">
        <v>10338</v>
      </c>
      <c r="M880" s="76"/>
      <c r="N880" s="76"/>
      <c r="O880" s="76"/>
      <c r="P880" s="76"/>
      <c r="Q880" s="76"/>
      <c r="R880" s="76"/>
      <c r="Z880" s="70"/>
      <c r="AA880" s="70"/>
      <c r="AB880" s="70"/>
      <c r="AC880" s="70"/>
    </row>
    <row r="881" spans="1:30" s="26" customFormat="1" x14ac:dyDescent="0.3">
      <c r="A881" s="25" t="s">
        <v>5355</v>
      </c>
      <c r="B881" s="25"/>
      <c r="C881" s="26" t="s">
        <v>3005</v>
      </c>
      <c r="D881" s="70"/>
      <c r="G881" s="70" t="s">
        <v>824</v>
      </c>
      <c r="H881" s="26">
        <v>1</v>
      </c>
      <c r="I881" s="70" t="s">
        <v>5356</v>
      </c>
      <c r="J881" s="26" t="s">
        <v>5350</v>
      </c>
      <c r="K881" s="26" t="s">
        <v>5357</v>
      </c>
      <c r="L881" s="26" t="s">
        <v>10339</v>
      </c>
      <c r="M881" s="76"/>
      <c r="N881" s="76"/>
      <c r="O881" s="76"/>
      <c r="P881" s="76"/>
      <c r="Q881" s="76"/>
      <c r="R881" s="76"/>
      <c r="Z881" s="70"/>
      <c r="AA881" s="70"/>
      <c r="AB881" s="70"/>
      <c r="AC881" s="70"/>
    </row>
    <row r="882" spans="1:30" s="24" customFormat="1" x14ac:dyDescent="0.3">
      <c r="A882" s="23">
        <v>272</v>
      </c>
      <c r="B882" s="23">
        <v>268</v>
      </c>
      <c r="C882" s="24" t="s">
        <v>2165</v>
      </c>
      <c r="D882" s="69" t="s">
        <v>807</v>
      </c>
      <c r="E882" s="24" t="s">
        <v>806</v>
      </c>
      <c r="F882" s="24" t="s">
        <v>825</v>
      </c>
      <c r="G882" s="69" t="s">
        <v>826</v>
      </c>
      <c r="I882" s="69"/>
      <c r="J882" s="24" t="s">
        <v>5358</v>
      </c>
      <c r="K882" s="24" t="s">
        <v>68</v>
      </c>
      <c r="L882" s="24" t="s">
        <v>9782</v>
      </c>
      <c r="M882" s="75" t="s">
        <v>65</v>
      </c>
      <c r="N882" s="75" t="s">
        <v>2019</v>
      </c>
      <c r="O882" s="75"/>
      <c r="P882" s="75"/>
      <c r="Q882" s="75"/>
      <c r="R882" s="75"/>
      <c r="Z882" s="69"/>
      <c r="AA882" s="69"/>
      <c r="AB882" s="69" t="s">
        <v>2486</v>
      </c>
      <c r="AC882" s="69" t="s">
        <v>11386</v>
      </c>
    </row>
    <row r="883" spans="1:30" s="24" customFormat="1" x14ac:dyDescent="0.3">
      <c r="A883" s="23">
        <v>273</v>
      </c>
      <c r="B883" s="23">
        <v>269</v>
      </c>
      <c r="C883" s="24" t="s">
        <v>2165</v>
      </c>
      <c r="D883" s="69" t="s">
        <v>807</v>
      </c>
      <c r="E883" s="24" t="s">
        <v>806</v>
      </c>
      <c r="F883" s="24" t="s">
        <v>827</v>
      </c>
      <c r="G883" s="69" t="s">
        <v>828</v>
      </c>
      <c r="I883" s="69"/>
      <c r="J883" s="24" t="s">
        <v>3174</v>
      </c>
      <c r="K883" s="24" t="s">
        <v>829</v>
      </c>
      <c r="L883" s="24" t="s">
        <v>9783</v>
      </c>
      <c r="M883" s="75" t="s">
        <v>50</v>
      </c>
      <c r="N883" s="75"/>
      <c r="O883" s="75"/>
      <c r="P883" s="75"/>
      <c r="Q883" s="75"/>
      <c r="R883" s="75"/>
      <c r="Z883" s="69"/>
      <c r="AA883" s="69"/>
      <c r="AB883" s="69"/>
      <c r="AC883" s="69"/>
    </row>
    <row r="884" spans="1:30" s="24" customFormat="1" x14ac:dyDescent="0.3">
      <c r="A884" s="23">
        <v>274</v>
      </c>
      <c r="B884" s="23">
        <v>270</v>
      </c>
      <c r="C884" s="24" t="s">
        <v>2165</v>
      </c>
      <c r="D884" s="69" t="s">
        <v>807</v>
      </c>
      <c r="E884" s="24" t="s">
        <v>806</v>
      </c>
      <c r="F884" s="24" t="s">
        <v>830</v>
      </c>
      <c r="G884" s="69" t="s">
        <v>831</v>
      </c>
      <c r="I884" s="69"/>
      <c r="J884" s="24" t="s">
        <v>3323</v>
      </c>
      <c r="K884" s="24" t="s">
        <v>832</v>
      </c>
      <c r="M884" s="75" t="s">
        <v>19</v>
      </c>
      <c r="N884" s="75"/>
      <c r="O884" s="75"/>
      <c r="P884" s="75"/>
      <c r="Q884" s="75"/>
      <c r="R884" s="75" t="s">
        <v>2166</v>
      </c>
      <c r="V884" s="24" t="s">
        <v>2171</v>
      </c>
      <c r="W884" s="24" t="s">
        <v>2487</v>
      </c>
      <c r="Z884" s="69"/>
      <c r="AA884" s="69"/>
      <c r="AB884" s="69"/>
      <c r="AC884" s="69"/>
      <c r="AD884" s="24" t="s">
        <v>833</v>
      </c>
    </row>
    <row r="885" spans="1:30" s="26" customFormat="1" x14ac:dyDescent="0.3">
      <c r="A885" s="25" t="s">
        <v>5359</v>
      </c>
      <c r="B885" s="25"/>
      <c r="C885" s="26" t="s">
        <v>3005</v>
      </c>
      <c r="D885" s="70"/>
      <c r="G885" s="70" t="s">
        <v>831</v>
      </c>
      <c r="H885" s="26">
        <v>-1</v>
      </c>
      <c r="I885" s="70" t="s">
        <v>4838</v>
      </c>
      <c r="J885" s="26" t="s">
        <v>4687</v>
      </c>
      <c r="K885" s="26" t="s">
        <v>5360</v>
      </c>
      <c r="L885" s="26" t="s">
        <v>10340</v>
      </c>
      <c r="M885" s="76"/>
      <c r="N885" s="76"/>
      <c r="O885" s="76"/>
      <c r="P885" s="76"/>
      <c r="Q885" s="76"/>
      <c r="R885" s="76"/>
      <c r="U885" s="26" t="s">
        <v>5361</v>
      </c>
      <c r="Z885" s="70"/>
      <c r="AA885" s="70"/>
      <c r="AB885" s="70"/>
      <c r="AC885" s="70"/>
    </row>
    <row r="886" spans="1:30" s="26" customFormat="1" x14ac:dyDescent="0.3">
      <c r="A886" s="25" t="s">
        <v>5362</v>
      </c>
      <c r="B886" s="25"/>
      <c r="C886" s="26" t="s">
        <v>3005</v>
      </c>
      <c r="D886" s="70"/>
      <c r="G886" s="70" t="s">
        <v>831</v>
      </c>
      <c r="H886" s="26">
        <v>-1</v>
      </c>
      <c r="I886" s="70" t="s">
        <v>5363</v>
      </c>
      <c r="J886" s="26" t="s">
        <v>3410</v>
      </c>
      <c r="K886" s="26" t="s">
        <v>5364</v>
      </c>
      <c r="L886" s="26" t="s">
        <v>10341</v>
      </c>
      <c r="M886" s="76"/>
      <c r="N886" s="76"/>
      <c r="O886" s="76"/>
      <c r="P886" s="76"/>
      <c r="Q886" s="76"/>
      <c r="R886" s="76"/>
      <c r="U886" s="26" t="s">
        <v>5365</v>
      </c>
      <c r="Z886" s="70"/>
      <c r="AA886" s="70"/>
      <c r="AB886" s="70"/>
      <c r="AC886" s="70"/>
    </row>
    <row r="887" spans="1:30" s="26" customFormat="1" x14ac:dyDescent="0.3">
      <c r="A887" s="25" t="s">
        <v>5366</v>
      </c>
      <c r="B887" s="25"/>
      <c r="C887" s="26" t="s">
        <v>3005</v>
      </c>
      <c r="D887" s="70"/>
      <c r="G887" s="70" t="s">
        <v>831</v>
      </c>
      <c r="H887" s="26">
        <v>-1</v>
      </c>
      <c r="I887" s="70" t="s">
        <v>5367</v>
      </c>
      <c r="J887" s="26" t="s">
        <v>3323</v>
      </c>
      <c r="K887" s="26" t="s">
        <v>5368</v>
      </c>
      <c r="L887" s="26" t="s">
        <v>10082</v>
      </c>
      <c r="M887" s="76"/>
      <c r="N887" s="76"/>
      <c r="O887" s="76"/>
      <c r="P887" s="76"/>
      <c r="Q887" s="76"/>
      <c r="R887" s="76"/>
      <c r="U887" s="26" t="s">
        <v>5369</v>
      </c>
      <c r="Z887" s="70"/>
      <c r="AA887" s="70"/>
      <c r="AB887" s="70"/>
      <c r="AC887" s="70"/>
    </row>
    <row r="888" spans="1:30" s="24" customFormat="1" x14ac:dyDescent="0.3">
      <c r="A888" s="23">
        <v>275</v>
      </c>
      <c r="B888" s="23">
        <v>271</v>
      </c>
      <c r="C888" s="24" t="s">
        <v>2165</v>
      </c>
      <c r="D888" s="69" t="s">
        <v>807</v>
      </c>
      <c r="E888" s="24" t="s">
        <v>806</v>
      </c>
      <c r="F888" s="24" t="s">
        <v>834</v>
      </c>
      <c r="G888" s="69" t="s">
        <v>835</v>
      </c>
      <c r="H888" s="24">
        <v>1</v>
      </c>
      <c r="I888" s="69"/>
      <c r="J888" s="24" t="s">
        <v>3016</v>
      </c>
      <c r="K888" s="24" t="s">
        <v>836</v>
      </c>
      <c r="M888" s="75" t="s">
        <v>15</v>
      </c>
      <c r="N888" s="75"/>
      <c r="O888" s="75"/>
      <c r="P888" s="75"/>
      <c r="Q888" s="75"/>
      <c r="R888" s="75"/>
      <c r="V888" s="24" t="s">
        <v>2488</v>
      </c>
      <c r="Y888" s="24" t="s">
        <v>2489</v>
      </c>
      <c r="Z888" s="69"/>
      <c r="AA888" s="69"/>
      <c r="AB888" s="69"/>
      <c r="AC888" s="69" t="s">
        <v>11387</v>
      </c>
    </row>
    <row r="889" spans="1:30" s="26" customFormat="1" x14ac:dyDescent="0.3">
      <c r="A889" s="25" t="s">
        <v>5370</v>
      </c>
      <c r="B889" s="25"/>
      <c r="C889" s="26" t="s">
        <v>3005</v>
      </c>
      <c r="D889" s="70"/>
      <c r="G889" s="70" t="s">
        <v>835</v>
      </c>
      <c r="H889" s="26">
        <v>-1</v>
      </c>
      <c r="I889" s="70" t="s">
        <v>5371</v>
      </c>
      <c r="J889" s="26" t="s">
        <v>3016</v>
      </c>
      <c r="K889" s="26" t="s">
        <v>5372</v>
      </c>
      <c r="L889" s="26" t="s">
        <v>10342</v>
      </c>
      <c r="M889" s="76"/>
      <c r="N889" s="76"/>
      <c r="O889" s="76"/>
      <c r="P889" s="76"/>
      <c r="Q889" s="76"/>
      <c r="R889" s="76"/>
      <c r="Z889" s="70"/>
      <c r="AA889" s="70"/>
      <c r="AB889" s="70"/>
      <c r="AC889" s="70"/>
    </row>
    <row r="890" spans="1:30" s="26" customFormat="1" x14ac:dyDescent="0.3">
      <c r="A890" s="25" t="s">
        <v>5373</v>
      </c>
      <c r="B890" s="25"/>
      <c r="C890" s="26" t="s">
        <v>3005</v>
      </c>
      <c r="D890" s="70"/>
      <c r="G890" s="70" t="s">
        <v>835</v>
      </c>
      <c r="H890" s="26">
        <v>-1</v>
      </c>
      <c r="I890" s="70" t="s">
        <v>3176</v>
      </c>
      <c r="J890" s="26" t="s">
        <v>5374</v>
      </c>
      <c r="K890" s="26" t="s">
        <v>5375</v>
      </c>
      <c r="L890" s="26" t="s">
        <v>10343</v>
      </c>
      <c r="M890" s="76"/>
      <c r="N890" s="76"/>
      <c r="O890" s="76"/>
      <c r="P890" s="76"/>
      <c r="Q890" s="76"/>
      <c r="R890" s="76"/>
      <c r="U890" s="26" t="s">
        <v>5376</v>
      </c>
      <c r="Z890" s="70"/>
      <c r="AA890" s="70"/>
      <c r="AB890" s="70"/>
      <c r="AC890" s="70"/>
    </row>
    <row r="891" spans="1:30" s="26" customFormat="1" x14ac:dyDescent="0.3">
      <c r="A891" s="25" t="s">
        <v>5377</v>
      </c>
      <c r="B891" s="25"/>
      <c r="C891" s="26" t="s">
        <v>3005</v>
      </c>
      <c r="D891" s="70"/>
      <c r="G891" s="70" t="s">
        <v>835</v>
      </c>
      <c r="H891" s="26">
        <v>-1</v>
      </c>
      <c r="I891" s="70" t="s">
        <v>5378</v>
      </c>
      <c r="J891" s="26" t="s">
        <v>5379</v>
      </c>
      <c r="K891" s="26" t="s">
        <v>5018</v>
      </c>
      <c r="L891" s="26" t="s">
        <v>10062</v>
      </c>
      <c r="M891" s="76"/>
      <c r="N891" s="76"/>
      <c r="O891" s="76"/>
      <c r="P891" s="76"/>
      <c r="Q891" s="76"/>
      <c r="R891" s="76"/>
      <c r="Z891" s="70"/>
      <c r="AA891" s="70"/>
      <c r="AB891" s="70"/>
      <c r="AC891" s="70"/>
    </row>
    <row r="892" spans="1:30" s="26" customFormat="1" x14ac:dyDescent="0.3">
      <c r="A892" s="25" t="s">
        <v>5380</v>
      </c>
      <c r="B892" s="25"/>
      <c r="C892" s="26" t="s">
        <v>3005</v>
      </c>
      <c r="D892" s="70"/>
      <c r="G892" s="70" t="s">
        <v>835</v>
      </c>
      <c r="H892" s="26">
        <v>-1</v>
      </c>
      <c r="I892" s="70" t="s">
        <v>5381</v>
      </c>
      <c r="J892" s="26" t="s">
        <v>5374</v>
      </c>
      <c r="K892" s="26" t="s">
        <v>5382</v>
      </c>
      <c r="L892" s="26" t="s">
        <v>10344</v>
      </c>
      <c r="M892" s="76"/>
      <c r="N892" s="76"/>
      <c r="O892" s="76"/>
      <c r="P892" s="76"/>
      <c r="Q892" s="76"/>
      <c r="R892" s="76"/>
      <c r="Z892" s="70"/>
      <c r="AA892" s="70"/>
      <c r="AB892" s="70"/>
      <c r="AC892" s="70"/>
    </row>
    <row r="893" spans="1:30" s="26" customFormat="1" x14ac:dyDescent="0.3">
      <c r="A893" s="25" t="s">
        <v>5383</v>
      </c>
      <c r="B893" s="25"/>
      <c r="C893" s="26" t="s">
        <v>3005</v>
      </c>
      <c r="D893" s="70"/>
      <c r="G893" s="70" t="s">
        <v>835</v>
      </c>
      <c r="H893" s="26">
        <v>3</v>
      </c>
      <c r="I893" s="70" t="s">
        <v>5230</v>
      </c>
      <c r="J893" s="26" t="s">
        <v>3174</v>
      </c>
      <c r="K893" s="26" t="s">
        <v>5384</v>
      </c>
      <c r="L893" s="26" t="s">
        <v>10345</v>
      </c>
      <c r="M893" s="76"/>
      <c r="N893" s="76"/>
      <c r="O893" s="76"/>
      <c r="P893" s="76"/>
      <c r="Q893" s="76"/>
      <c r="R893" s="76"/>
      <c r="Z893" s="70"/>
      <c r="AA893" s="70"/>
      <c r="AB893" s="70"/>
      <c r="AC893" s="70"/>
    </row>
    <row r="894" spans="1:30" s="24" customFormat="1" x14ac:dyDescent="0.3">
      <c r="A894" s="23">
        <v>276</v>
      </c>
      <c r="B894" s="23">
        <v>272</v>
      </c>
      <c r="C894" s="24" t="s">
        <v>2165</v>
      </c>
      <c r="D894" s="69" t="s">
        <v>807</v>
      </c>
      <c r="E894" s="24" t="s">
        <v>806</v>
      </c>
      <c r="F894" s="24" t="s">
        <v>837</v>
      </c>
      <c r="G894" s="69" t="s">
        <v>838</v>
      </c>
      <c r="I894" s="69"/>
      <c r="J894" s="24" t="s">
        <v>4461</v>
      </c>
      <c r="K894" s="24" t="s">
        <v>233</v>
      </c>
      <c r="M894" s="75" t="s">
        <v>19</v>
      </c>
      <c r="N894" s="75"/>
      <c r="O894" s="75"/>
      <c r="P894" s="75"/>
      <c r="Q894" s="75"/>
      <c r="R894" s="75" t="s">
        <v>2166</v>
      </c>
      <c r="V894" s="24" t="s">
        <v>2171</v>
      </c>
      <c r="Z894" s="69"/>
      <c r="AA894" s="69"/>
      <c r="AB894" s="69"/>
      <c r="AC894" s="69"/>
      <c r="AD894" s="24" t="s">
        <v>11328</v>
      </c>
    </row>
    <row r="895" spans="1:30" s="26" customFormat="1" x14ac:dyDescent="0.3">
      <c r="A895" s="25" t="s">
        <v>5385</v>
      </c>
      <c r="B895" s="25"/>
      <c r="C895" s="26" t="s">
        <v>3005</v>
      </c>
      <c r="D895" s="70"/>
      <c r="G895" s="70" t="s">
        <v>838</v>
      </c>
      <c r="H895" s="26">
        <v>-1</v>
      </c>
      <c r="I895" s="70" t="s">
        <v>5386</v>
      </c>
      <c r="J895" s="26" t="s">
        <v>5387</v>
      </c>
      <c r="K895" s="26" t="s">
        <v>5388</v>
      </c>
      <c r="L895" s="26" t="s">
        <v>10346</v>
      </c>
      <c r="M895" s="76"/>
      <c r="N895" s="76"/>
      <c r="O895" s="76"/>
      <c r="P895" s="76"/>
      <c r="Q895" s="76"/>
      <c r="R895" s="76"/>
      <c r="Z895" s="70"/>
      <c r="AA895" s="70"/>
      <c r="AB895" s="70"/>
      <c r="AC895" s="70"/>
    </row>
    <row r="896" spans="1:30" s="26" customFormat="1" x14ac:dyDescent="0.3">
      <c r="A896" s="25" t="s">
        <v>5389</v>
      </c>
      <c r="B896" s="25"/>
      <c r="C896" s="26" t="s">
        <v>3005</v>
      </c>
      <c r="D896" s="70"/>
      <c r="G896" s="70" t="s">
        <v>838</v>
      </c>
      <c r="H896" s="26">
        <v>-1</v>
      </c>
      <c r="I896" s="70" t="s">
        <v>3652</v>
      </c>
      <c r="J896" s="26" t="s">
        <v>4461</v>
      </c>
      <c r="K896" s="26" t="s">
        <v>5390</v>
      </c>
      <c r="L896" s="26" t="s">
        <v>10347</v>
      </c>
      <c r="M896" s="76"/>
      <c r="N896" s="76"/>
      <c r="O896" s="76"/>
      <c r="P896" s="76"/>
      <c r="Q896" s="76"/>
      <c r="R896" s="76"/>
      <c r="U896" s="26" t="s">
        <v>5391</v>
      </c>
      <c r="Z896" s="70"/>
      <c r="AA896" s="70"/>
      <c r="AB896" s="70"/>
      <c r="AC896" s="70"/>
    </row>
    <row r="897" spans="1:31" s="26" customFormat="1" x14ac:dyDescent="0.3">
      <c r="A897" s="25" t="s">
        <v>5392</v>
      </c>
      <c r="B897" s="25"/>
      <c r="C897" s="26" t="s">
        <v>3005</v>
      </c>
      <c r="D897" s="70"/>
      <c r="G897" s="70" t="s">
        <v>838</v>
      </c>
      <c r="H897" s="26">
        <v>-1</v>
      </c>
      <c r="I897" s="70" t="s">
        <v>5393</v>
      </c>
      <c r="J897" s="26" t="s">
        <v>5387</v>
      </c>
      <c r="K897" s="26" t="s">
        <v>5394</v>
      </c>
      <c r="L897" s="26" t="s">
        <v>10348</v>
      </c>
      <c r="M897" s="76"/>
      <c r="N897" s="76"/>
      <c r="O897" s="76"/>
      <c r="P897" s="76"/>
      <c r="Q897" s="76"/>
      <c r="R897" s="76"/>
      <c r="Z897" s="70"/>
      <c r="AA897" s="70"/>
      <c r="AB897" s="70"/>
      <c r="AC897" s="70"/>
    </row>
    <row r="898" spans="1:31" s="24" customFormat="1" x14ac:dyDescent="0.3">
      <c r="A898" s="23">
        <v>277</v>
      </c>
      <c r="B898" s="23">
        <v>273</v>
      </c>
      <c r="C898" s="24" t="s">
        <v>2165</v>
      </c>
      <c r="D898" s="69" t="s">
        <v>807</v>
      </c>
      <c r="E898" s="24" t="s">
        <v>806</v>
      </c>
      <c r="F898" s="24" t="s">
        <v>839</v>
      </c>
      <c r="G898" s="69" t="s">
        <v>840</v>
      </c>
      <c r="H898" s="24">
        <v>2</v>
      </c>
      <c r="I898" s="69"/>
      <c r="J898" s="24" t="s">
        <v>3447</v>
      </c>
      <c r="K898" s="24" t="s">
        <v>841</v>
      </c>
      <c r="M898" s="75" t="s">
        <v>15</v>
      </c>
      <c r="N898" s="75"/>
      <c r="O898" s="75"/>
      <c r="P898" s="75"/>
      <c r="Q898" s="75"/>
      <c r="R898" s="75"/>
      <c r="Z898" s="69"/>
      <c r="AA898" s="69"/>
      <c r="AB898" s="69"/>
      <c r="AC898" s="69"/>
    </row>
    <row r="899" spans="1:31" s="26" customFormat="1" x14ac:dyDescent="0.3">
      <c r="A899" s="25" t="s">
        <v>5395</v>
      </c>
      <c r="B899" s="25"/>
      <c r="C899" s="26" t="s">
        <v>3005</v>
      </c>
      <c r="D899" s="70"/>
      <c r="G899" s="70" t="s">
        <v>840</v>
      </c>
      <c r="H899" s="26">
        <v>1</v>
      </c>
      <c r="I899" s="70" t="s">
        <v>5396</v>
      </c>
      <c r="J899" s="26" t="s">
        <v>3447</v>
      </c>
      <c r="K899" s="26" t="s">
        <v>5397</v>
      </c>
      <c r="L899" s="26" t="s">
        <v>10349</v>
      </c>
      <c r="M899" s="76"/>
      <c r="N899" s="76"/>
      <c r="O899" s="76"/>
      <c r="P899" s="76"/>
      <c r="Q899" s="76"/>
      <c r="R899" s="76"/>
      <c r="Z899" s="70"/>
      <c r="AA899" s="70"/>
      <c r="AB899" s="70"/>
      <c r="AC899" s="70"/>
    </row>
    <row r="900" spans="1:31" s="26" customFormat="1" x14ac:dyDescent="0.3">
      <c r="A900" s="25" t="s">
        <v>5398</v>
      </c>
      <c r="B900" s="25"/>
      <c r="C900" s="26" t="s">
        <v>3005</v>
      </c>
      <c r="D900" s="70"/>
      <c r="G900" s="70" t="s">
        <v>840</v>
      </c>
      <c r="H900" s="26">
        <v>2</v>
      </c>
      <c r="I900" s="70" t="s">
        <v>5099</v>
      </c>
      <c r="J900" s="26" t="s">
        <v>3803</v>
      </c>
      <c r="K900" s="26" t="s">
        <v>2015</v>
      </c>
      <c r="L900" s="26" t="s">
        <v>9660</v>
      </c>
      <c r="M900" s="76"/>
      <c r="N900" s="76"/>
      <c r="O900" s="76"/>
      <c r="P900" s="76"/>
      <c r="Q900" s="76"/>
      <c r="R900" s="76"/>
      <c r="Z900" s="70"/>
      <c r="AA900" s="70"/>
      <c r="AB900" s="70"/>
      <c r="AC900" s="70"/>
    </row>
    <row r="901" spans="1:31" s="24" customFormat="1" x14ac:dyDescent="0.3">
      <c r="A901" s="23">
        <v>278</v>
      </c>
      <c r="B901" s="23">
        <v>274</v>
      </c>
      <c r="C901" s="24" t="s">
        <v>2165</v>
      </c>
      <c r="D901" s="69" t="s">
        <v>807</v>
      </c>
      <c r="E901" s="24" t="s">
        <v>806</v>
      </c>
      <c r="F901" s="24" t="s">
        <v>842</v>
      </c>
      <c r="G901" s="69" t="s">
        <v>843</v>
      </c>
      <c r="H901" s="24">
        <v>1</v>
      </c>
      <c r="I901" s="69"/>
      <c r="J901" s="24" t="s">
        <v>3677</v>
      </c>
      <c r="K901" s="24" t="s">
        <v>844</v>
      </c>
      <c r="M901" s="75" t="s">
        <v>15</v>
      </c>
      <c r="N901" s="75"/>
      <c r="O901" s="75"/>
      <c r="P901" s="75"/>
      <c r="Q901" s="75"/>
      <c r="R901" s="75"/>
      <c r="T901" s="24" t="s">
        <v>2330</v>
      </c>
      <c r="V901" s="24" t="s">
        <v>2490</v>
      </c>
      <c r="W901" s="24" t="s">
        <v>2491</v>
      </c>
      <c r="Y901" s="24" t="s">
        <v>2492</v>
      </c>
      <c r="Z901" s="69"/>
      <c r="AA901" s="69"/>
      <c r="AB901" s="69" t="s">
        <v>2493</v>
      </c>
      <c r="AC901" s="69"/>
      <c r="AD901" s="24" t="s">
        <v>123</v>
      </c>
      <c r="AE901" s="24" t="s">
        <v>2494</v>
      </c>
    </row>
    <row r="902" spans="1:31" s="26" customFormat="1" x14ac:dyDescent="0.3">
      <c r="A902" s="25" t="s">
        <v>5399</v>
      </c>
      <c r="B902" s="25"/>
      <c r="C902" s="26" t="s">
        <v>3005</v>
      </c>
      <c r="D902" s="70"/>
      <c r="G902" s="70" t="s">
        <v>843</v>
      </c>
      <c r="H902" s="26">
        <v>-1</v>
      </c>
      <c r="I902" s="70" t="s">
        <v>5400</v>
      </c>
      <c r="J902" s="26" t="s">
        <v>5401</v>
      </c>
      <c r="K902" s="26" t="s">
        <v>5402</v>
      </c>
      <c r="L902" s="26" t="s">
        <v>10350</v>
      </c>
      <c r="M902" s="76"/>
      <c r="N902" s="76"/>
      <c r="O902" s="76"/>
      <c r="P902" s="76"/>
      <c r="Q902" s="76"/>
      <c r="R902" s="76"/>
      <c r="Z902" s="70"/>
      <c r="AA902" s="70"/>
      <c r="AB902" s="70"/>
      <c r="AC902" s="70"/>
    </row>
    <row r="903" spans="1:31" s="26" customFormat="1" x14ac:dyDescent="0.3">
      <c r="A903" s="25" t="s">
        <v>5403</v>
      </c>
      <c r="B903" s="25"/>
      <c r="C903" s="26" t="s">
        <v>3005</v>
      </c>
      <c r="D903" s="70"/>
      <c r="G903" s="70" t="s">
        <v>843</v>
      </c>
      <c r="H903" s="26">
        <v>-1</v>
      </c>
      <c r="I903" s="70" t="s">
        <v>3063</v>
      </c>
      <c r="J903" s="26" t="s">
        <v>5404</v>
      </c>
      <c r="K903" s="26" t="s">
        <v>5405</v>
      </c>
      <c r="L903" s="26" t="s">
        <v>10351</v>
      </c>
      <c r="M903" s="76"/>
      <c r="N903" s="76"/>
      <c r="O903" s="76"/>
      <c r="P903" s="76"/>
      <c r="Q903" s="76"/>
      <c r="R903" s="76"/>
      <c r="Z903" s="70"/>
      <c r="AA903" s="70"/>
      <c r="AB903" s="70"/>
      <c r="AC903" s="70"/>
    </row>
    <row r="904" spans="1:31" s="26" customFormat="1" x14ac:dyDescent="0.3">
      <c r="A904" s="25" t="s">
        <v>5406</v>
      </c>
      <c r="B904" s="25"/>
      <c r="C904" s="26" t="s">
        <v>3005</v>
      </c>
      <c r="D904" s="70"/>
      <c r="G904" s="70" t="s">
        <v>843</v>
      </c>
      <c r="H904" s="26">
        <v>2</v>
      </c>
      <c r="I904" s="70" t="s">
        <v>5407</v>
      </c>
      <c r="J904" s="26" t="s">
        <v>5404</v>
      </c>
      <c r="K904" s="26" t="s">
        <v>5408</v>
      </c>
      <c r="L904" s="26" t="s">
        <v>10352</v>
      </c>
      <c r="M904" s="76"/>
      <c r="N904" s="76"/>
      <c r="O904" s="76"/>
      <c r="P904" s="76"/>
      <c r="Q904" s="76"/>
      <c r="R904" s="76"/>
      <c r="Z904" s="70"/>
      <c r="AA904" s="70"/>
      <c r="AB904" s="70"/>
      <c r="AC904" s="70"/>
    </row>
    <row r="905" spans="1:31" s="26" customFormat="1" x14ac:dyDescent="0.3">
      <c r="A905" s="25" t="s">
        <v>5409</v>
      </c>
      <c r="B905" s="25"/>
      <c r="C905" s="26" t="s">
        <v>3005</v>
      </c>
      <c r="D905" s="70"/>
      <c r="G905" s="70" t="s">
        <v>843</v>
      </c>
      <c r="H905" s="26">
        <v>-1</v>
      </c>
      <c r="I905" s="70" t="s">
        <v>5410</v>
      </c>
      <c r="J905" s="26" t="s">
        <v>5411</v>
      </c>
      <c r="K905" s="26" t="s">
        <v>5412</v>
      </c>
      <c r="L905" s="26" t="s">
        <v>10353</v>
      </c>
      <c r="M905" s="76"/>
      <c r="N905" s="76"/>
      <c r="O905" s="76"/>
      <c r="P905" s="76"/>
      <c r="Q905" s="76"/>
      <c r="R905" s="76"/>
      <c r="Z905" s="70"/>
      <c r="AA905" s="70"/>
      <c r="AB905" s="70"/>
      <c r="AC905" s="70"/>
    </row>
    <row r="906" spans="1:31" s="26" customFormat="1" x14ac:dyDescent="0.3">
      <c r="A906" s="25" t="s">
        <v>5413</v>
      </c>
      <c r="B906" s="25"/>
      <c r="C906" s="26" t="s">
        <v>3005</v>
      </c>
      <c r="D906" s="70"/>
      <c r="G906" s="70" t="s">
        <v>843</v>
      </c>
      <c r="H906" s="26">
        <v>-1</v>
      </c>
      <c r="I906" s="70" t="s">
        <v>5414</v>
      </c>
      <c r="J906" s="26" t="s">
        <v>5415</v>
      </c>
      <c r="K906" s="26" t="s">
        <v>3453</v>
      </c>
      <c r="L906" s="26" t="s">
        <v>10354</v>
      </c>
      <c r="M906" s="76"/>
      <c r="N906" s="76"/>
      <c r="O906" s="76"/>
      <c r="P906" s="76"/>
      <c r="Q906" s="76"/>
      <c r="R906" s="76"/>
      <c r="Z906" s="70"/>
      <c r="AA906" s="70"/>
      <c r="AB906" s="70"/>
      <c r="AC906" s="70"/>
    </row>
    <row r="907" spans="1:31" s="26" customFormat="1" x14ac:dyDescent="0.3">
      <c r="A907" s="25" t="s">
        <v>5416</v>
      </c>
      <c r="B907" s="25"/>
      <c r="C907" s="26" t="s">
        <v>3005</v>
      </c>
      <c r="D907" s="70"/>
      <c r="G907" s="70" t="s">
        <v>843</v>
      </c>
      <c r="H907" s="26">
        <v>-1</v>
      </c>
      <c r="I907" s="70" t="s">
        <v>3380</v>
      </c>
      <c r="J907" s="26" t="s">
        <v>5417</v>
      </c>
      <c r="K907" s="26" t="s">
        <v>5418</v>
      </c>
      <c r="M907" s="76"/>
      <c r="N907" s="76"/>
      <c r="O907" s="76"/>
      <c r="P907" s="76"/>
      <c r="Q907" s="76"/>
      <c r="R907" s="76"/>
      <c r="Z907" s="70"/>
      <c r="AA907" s="70"/>
      <c r="AB907" s="70"/>
      <c r="AC907" s="70"/>
    </row>
    <row r="908" spans="1:31" s="26" customFormat="1" x14ac:dyDescent="0.3">
      <c r="A908" s="25" t="s">
        <v>5419</v>
      </c>
      <c r="B908" s="25"/>
      <c r="C908" s="26" t="s">
        <v>3005</v>
      </c>
      <c r="D908" s="70"/>
      <c r="G908" s="70" t="s">
        <v>843</v>
      </c>
      <c r="H908" s="26">
        <v>-1</v>
      </c>
      <c r="I908" s="70" t="s">
        <v>5420</v>
      </c>
      <c r="J908" s="26" t="s">
        <v>5421</v>
      </c>
      <c r="K908" s="26" t="s">
        <v>5422</v>
      </c>
      <c r="L908" s="26" t="s">
        <v>10355</v>
      </c>
      <c r="M908" s="76"/>
      <c r="N908" s="76"/>
      <c r="O908" s="76"/>
      <c r="P908" s="76"/>
      <c r="Q908" s="76"/>
      <c r="R908" s="76"/>
      <c r="Z908" s="70"/>
      <c r="AA908" s="70"/>
      <c r="AB908" s="70"/>
      <c r="AC908" s="70"/>
    </row>
    <row r="909" spans="1:31" s="26" customFormat="1" x14ac:dyDescent="0.3">
      <c r="A909" s="25" t="s">
        <v>5423</v>
      </c>
      <c r="B909" s="25"/>
      <c r="C909" s="26" t="s">
        <v>3005</v>
      </c>
      <c r="D909" s="70"/>
      <c r="G909" s="70" t="s">
        <v>843</v>
      </c>
      <c r="H909" s="26">
        <v>-1</v>
      </c>
      <c r="I909" s="70" t="s">
        <v>5424</v>
      </c>
      <c r="J909" s="26" t="s">
        <v>5425</v>
      </c>
      <c r="K909" s="26" t="s">
        <v>5426</v>
      </c>
      <c r="L909" s="26" t="s">
        <v>10356</v>
      </c>
      <c r="M909" s="76"/>
      <c r="N909" s="76"/>
      <c r="O909" s="76"/>
      <c r="P909" s="76"/>
      <c r="Q909" s="76"/>
      <c r="R909" s="76"/>
      <c r="Z909" s="70"/>
      <c r="AA909" s="70"/>
      <c r="AB909" s="70"/>
      <c r="AC909" s="70"/>
    </row>
    <row r="910" spans="1:31" s="26" customFormat="1" x14ac:dyDescent="0.3">
      <c r="A910" s="25" t="s">
        <v>5427</v>
      </c>
      <c r="B910" s="25"/>
      <c r="C910" s="26" t="s">
        <v>3005</v>
      </c>
      <c r="D910" s="70"/>
      <c r="G910" s="70" t="s">
        <v>843</v>
      </c>
      <c r="H910" s="26">
        <v>-1</v>
      </c>
      <c r="I910" s="70" t="s">
        <v>5428</v>
      </c>
      <c r="J910" s="26" t="s">
        <v>3148</v>
      </c>
      <c r="K910" s="26" t="s">
        <v>5429</v>
      </c>
      <c r="L910" s="26" t="s">
        <v>10357</v>
      </c>
      <c r="M910" s="76"/>
      <c r="N910" s="76"/>
      <c r="O910" s="76"/>
      <c r="P910" s="76"/>
      <c r="Q910" s="76"/>
      <c r="R910" s="76"/>
      <c r="Z910" s="70"/>
      <c r="AA910" s="70"/>
      <c r="AB910" s="70"/>
      <c r="AC910" s="70"/>
    </row>
    <row r="911" spans="1:31" s="26" customFormat="1" x14ac:dyDescent="0.3">
      <c r="A911" s="25" t="s">
        <v>5430</v>
      </c>
      <c r="B911" s="25"/>
      <c r="C911" s="26" t="s">
        <v>3005</v>
      </c>
      <c r="D911" s="70"/>
      <c r="G911" s="70" t="s">
        <v>843</v>
      </c>
      <c r="H911" s="26">
        <v>-1</v>
      </c>
      <c r="I911" s="70" t="s">
        <v>5431</v>
      </c>
      <c r="J911" s="26" t="s">
        <v>3677</v>
      </c>
      <c r="K911" s="26" t="s">
        <v>3196</v>
      </c>
      <c r="L911" s="26" t="s">
        <v>10358</v>
      </c>
      <c r="M911" s="76"/>
      <c r="N911" s="76"/>
      <c r="O911" s="76"/>
      <c r="P911" s="76"/>
      <c r="Q911" s="76"/>
      <c r="R911" s="76"/>
      <c r="Z911" s="70"/>
      <c r="AA911" s="70"/>
      <c r="AB911" s="70"/>
      <c r="AC911" s="70"/>
    </row>
    <row r="912" spans="1:31" s="26" customFormat="1" x14ac:dyDescent="0.3">
      <c r="A912" s="25" t="s">
        <v>5432</v>
      </c>
      <c r="B912" s="25"/>
      <c r="C912" s="26" t="s">
        <v>3005</v>
      </c>
      <c r="D912" s="70"/>
      <c r="G912" s="70" t="s">
        <v>843</v>
      </c>
      <c r="H912" s="26">
        <v>-1</v>
      </c>
      <c r="I912" s="70" t="s">
        <v>5433</v>
      </c>
      <c r="J912" s="26" t="s">
        <v>5434</v>
      </c>
      <c r="K912" s="26" t="s">
        <v>3099</v>
      </c>
      <c r="L912" s="26" t="s">
        <v>10359</v>
      </c>
      <c r="M912" s="76"/>
      <c r="N912" s="76"/>
      <c r="O912" s="76"/>
      <c r="P912" s="76"/>
      <c r="Q912" s="76"/>
      <c r="R912" s="76"/>
      <c r="T912" s="26" t="s">
        <v>2200</v>
      </c>
      <c r="Z912" s="70"/>
      <c r="AA912" s="70"/>
      <c r="AB912" s="70"/>
      <c r="AC912" s="70"/>
      <c r="AE912" s="26" t="s">
        <v>5435</v>
      </c>
    </row>
    <row r="913" spans="1:31" s="26" customFormat="1" x14ac:dyDescent="0.3">
      <c r="A913" s="25" t="s">
        <v>5436</v>
      </c>
      <c r="B913" s="25"/>
      <c r="C913" s="26" t="s">
        <v>3005</v>
      </c>
      <c r="D913" s="70"/>
      <c r="G913" s="70" t="s">
        <v>843</v>
      </c>
      <c r="H913" s="26">
        <v>-1</v>
      </c>
      <c r="I913" s="70" t="s">
        <v>5437</v>
      </c>
      <c r="J913" s="26" t="s">
        <v>3195</v>
      </c>
      <c r="K913" s="26" t="s">
        <v>2370</v>
      </c>
      <c r="L913" s="26" t="s">
        <v>10360</v>
      </c>
      <c r="M913" s="76"/>
      <c r="N913" s="76"/>
      <c r="O913" s="76"/>
      <c r="P913" s="76"/>
      <c r="Q913" s="76"/>
      <c r="R913" s="76"/>
      <c r="Z913" s="70"/>
      <c r="AA913" s="70"/>
      <c r="AB913" s="70"/>
      <c r="AC913" s="70"/>
    </row>
    <row r="914" spans="1:31" s="24" customFormat="1" x14ac:dyDescent="0.3">
      <c r="A914" s="23">
        <v>279</v>
      </c>
      <c r="B914" s="23">
        <v>275</v>
      </c>
      <c r="C914" s="24" t="s">
        <v>2165</v>
      </c>
      <c r="D914" s="69" t="s">
        <v>807</v>
      </c>
      <c r="E914" s="24" t="s">
        <v>806</v>
      </c>
      <c r="F914" s="24" t="s">
        <v>845</v>
      </c>
      <c r="G914" s="69" t="s">
        <v>846</v>
      </c>
      <c r="H914" s="24">
        <v>1</v>
      </c>
      <c r="I914" s="69"/>
      <c r="J914" s="24" t="s">
        <v>3334</v>
      </c>
      <c r="K914" s="24" t="s">
        <v>43</v>
      </c>
      <c r="M914" s="75" t="s">
        <v>317</v>
      </c>
      <c r="N914" s="75"/>
      <c r="O914" s="75"/>
      <c r="P914" s="75"/>
      <c r="Q914" s="75"/>
      <c r="R914" s="75"/>
      <c r="Z914" s="69"/>
      <c r="AA914" s="69"/>
      <c r="AB914" s="69"/>
      <c r="AC914" s="69"/>
    </row>
    <row r="915" spans="1:31" s="26" customFormat="1" x14ac:dyDescent="0.3">
      <c r="A915" s="25" t="s">
        <v>5438</v>
      </c>
      <c r="B915" s="25"/>
      <c r="C915" s="26" t="s">
        <v>3005</v>
      </c>
      <c r="D915" s="70"/>
      <c r="G915" s="70" t="s">
        <v>846</v>
      </c>
      <c r="H915" s="26">
        <v>-1</v>
      </c>
      <c r="I915" s="70" t="s">
        <v>5439</v>
      </c>
      <c r="J915" s="26" t="s">
        <v>3334</v>
      </c>
      <c r="K915" s="26" t="s">
        <v>5440</v>
      </c>
      <c r="L915" s="26" t="s">
        <v>10361</v>
      </c>
      <c r="M915" s="76"/>
      <c r="N915" s="76"/>
      <c r="O915" s="76"/>
      <c r="P915" s="76"/>
      <c r="Q915" s="76"/>
      <c r="R915" s="76"/>
      <c r="Z915" s="70"/>
      <c r="AA915" s="70"/>
      <c r="AB915" s="70"/>
      <c r="AC915" s="70"/>
    </row>
    <row r="916" spans="1:31" s="26" customFormat="1" x14ac:dyDescent="0.3">
      <c r="A916" s="25" t="s">
        <v>5441</v>
      </c>
      <c r="B916" s="25"/>
      <c r="C916" s="26" t="s">
        <v>3005</v>
      </c>
      <c r="D916" s="70"/>
      <c r="G916" s="70" t="s">
        <v>846</v>
      </c>
      <c r="H916" s="26">
        <v>-1</v>
      </c>
      <c r="I916" s="70" t="s">
        <v>5442</v>
      </c>
      <c r="J916" s="26" t="s">
        <v>5443</v>
      </c>
      <c r="K916" s="26" t="s">
        <v>3736</v>
      </c>
      <c r="L916" s="26" t="s">
        <v>3736</v>
      </c>
      <c r="M916" s="76"/>
      <c r="N916" s="76"/>
      <c r="O916" s="76"/>
      <c r="P916" s="76"/>
      <c r="Q916" s="76"/>
      <c r="R916" s="76"/>
      <c r="Z916" s="70"/>
      <c r="AA916" s="70"/>
      <c r="AB916" s="70"/>
      <c r="AC916" s="70"/>
    </row>
    <row r="917" spans="1:31" s="26" customFormat="1" x14ac:dyDescent="0.3">
      <c r="A917" s="25" t="s">
        <v>5444</v>
      </c>
      <c r="B917" s="25"/>
      <c r="C917" s="26" t="s">
        <v>3005</v>
      </c>
      <c r="D917" s="70"/>
      <c r="G917" s="70" t="s">
        <v>846</v>
      </c>
      <c r="H917" s="26">
        <v>1</v>
      </c>
      <c r="I917" s="70" t="s">
        <v>5445</v>
      </c>
      <c r="J917" s="26" t="s">
        <v>5446</v>
      </c>
      <c r="K917" s="26" t="s">
        <v>5447</v>
      </c>
      <c r="L917" s="26" t="s">
        <v>10362</v>
      </c>
      <c r="M917" s="76"/>
      <c r="N917" s="76"/>
      <c r="O917" s="76"/>
      <c r="P917" s="76"/>
      <c r="Q917" s="76"/>
      <c r="R917" s="76"/>
      <c r="T917" s="26" t="s">
        <v>2200</v>
      </c>
      <c r="Z917" s="70"/>
      <c r="AA917" s="70"/>
      <c r="AB917" s="70"/>
      <c r="AC917" s="70"/>
      <c r="AE917" s="26" t="s">
        <v>5448</v>
      </c>
    </row>
    <row r="918" spans="1:31" s="26" customFormat="1" x14ac:dyDescent="0.3">
      <c r="A918" s="25" t="s">
        <v>5449</v>
      </c>
      <c r="B918" s="25"/>
      <c r="C918" s="26" t="s">
        <v>3005</v>
      </c>
      <c r="D918" s="70"/>
      <c r="G918" s="70" t="s">
        <v>846</v>
      </c>
      <c r="H918" s="26">
        <v>-1</v>
      </c>
      <c r="I918" s="70" t="s">
        <v>5450</v>
      </c>
      <c r="J918" s="26" t="s">
        <v>5451</v>
      </c>
      <c r="K918" s="26" t="s">
        <v>3215</v>
      </c>
      <c r="L918" s="26" t="s">
        <v>3215</v>
      </c>
      <c r="M918" s="76"/>
      <c r="N918" s="76"/>
      <c r="O918" s="76"/>
      <c r="P918" s="76"/>
      <c r="Q918" s="76"/>
      <c r="R918" s="76"/>
      <c r="Z918" s="70"/>
      <c r="AA918" s="70"/>
      <c r="AB918" s="70"/>
      <c r="AC918" s="70"/>
    </row>
    <row r="919" spans="1:31" s="24" customFormat="1" x14ac:dyDescent="0.3">
      <c r="A919" s="23">
        <v>280</v>
      </c>
      <c r="B919" s="23">
        <v>276</v>
      </c>
      <c r="C919" s="24" t="s">
        <v>2165</v>
      </c>
      <c r="D919" s="69" t="s">
        <v>807</v>
      </c>
      <c r="E919" s="24" t="s">
        <v>806</v>
      </c>
      <c r="F919" s="24" t="s">
        <v>847</v>
      </c>
      <c r="G919" s="69" t="s">
        <v>848</v>
      </c>
      <c r="H919" s="24">
        <v>1</v>
      </c>
      <c r="I919" s="69"/>
      <c r="J919" s="24" t="s">
        <v>3158</v>
      </c>
      <c r="K919" s="24" t="s">
        <v>841</v>
      </c>
      <c r="M919" s="75" t="s">
        <v>15</v>
      </c>
      <c r="N919" s="75"/>
      <c r="O919" s="75"/>
      <c r="P919" s="75"/>
      <c r="Q919" s="75"/>
      <c r="R919" s="75"/>
      <c r="Z919" s="69"/>
      <c r="AA919" s="69"/>
      <c r="AB919" s="69"/>
      <c r="AC919" s="69"/>
    </row>
    <row r="920" spans="1:31" s="26" customFormat="1" x14ac:dyDescent="0.3">
      <c r="A920" s="25" t="s">
        <v>5452</v>
      </c>
      <c r="B920" s="25"/>
      <c r="C920" s="26" t="s">
        <v>3005</v>
      </c>
      <c r="D920" s="70"/>
      <c r="G920" s="70" t="s">
        <v>848</v>
      </c>
      <c r="H920" s="26">
        <v>-1</v>
      </c>
      <c r="I920" s="70" t="s">
        <v>5453</v>
      </c>
      <c r="J920" s="26" t="s">
        <v>5454</v>
      </c>
      <c r="K920" s="26" t="s">
        <v>5455</v>
      </c>
      <c r="L920" s="26" t="s">
        <v>10363</v>
      </c>
      <c r="M920" s="76"/>
      <c r="N920" s="76"/>
      <c r="O920" s="76"/>
      <c r="P920" s="76"/>
      <c r="Q920" s="76"/>
      <c r="R920" s="76"/>
      <c r="Z920" s="70"/>
      <c r="AA920" s="70"/>
      <c r="AB920" s="70"/>
      <c r="AC920" s="70"/>
    </row>
    <row r="921" spans="1:31" s="26" customFormat="1" x14ac:dyDescent="0.3">
      <c r="A921" s="25" t="s">
        <v>5456</v>
      </c>
      <c r="B921" s="25"/>
      <c r="C921" s="26" t="s">
        <v>3005</v>
      </c>
      <c r="D921" s="70"/>
      <c r="G921" s="70" t="s">
        <v>848</v>
      </c>
      <c r="H921" s="26">
        <v>-1</v>
      </c>
      <c r="I921" s="70" t="s">
        <v>5457</v>
      </c>
      <c r="J921" s="26" t="s">
        <v>5374</v>
      </c>
      <c r="K921" s="26" t="s">
        <v>5458</v>
      </c>
      <c r="L921" s="26" t="s">
        <v>10364</v>
      </c>
      <c r="M921" s="76"/>
      <c r="N921" s="76"/>
      <c r="O921" s="76"/>
      <c r="P921" s="76"/>
      <c r="Q921" s="76"/>
      <c r="R921" s="76"/>
      <c r="Z921" s="70"/>
      <c r="AA921" s="70"/>
      <c r="AB921" s="70"/>
      <c r="AC921" s="70"/>
    </row>
    <row r="922" spans="1:31" s="26" customFormat="1" x14ac:dyDescent="0.3">
      <c r="A922" s="25" t="s">
        <v>5459</v>
      </c>
      <c r="B922" s="25"/>
      <c r="C922" s="26" t="s">
        <v>3005</v>
      </c>
      <c r="D922" s="70"/>
      <c r="G922" s="70" t="s">
        <v>848</v>
      </c>
      <c r="H922" s="26">
        <v>-1</v>
      </c>
      <c r="I922" s="70" t="s">
        <v>5460</v>
      </c>
      <c r="J922" s="26" t="s">
        <v>5446</v>
      </c>
      <c r="K922" s="26" t="s">
        <v>5461</v>
      </c>
      <c r="L922" s="26" t="s">
        <v>10365</v>
      </c>
      <c r="M922" s="76"/>
      <c r="N922" s="76"/>
      <c r="O922" s="76"/>
      <c r="P922" s="76"/>
      <c r="Q922" s="76"/>
      <c r="R922" s="76"/>
      <c r="Z922" s="70"/>
      <c r="AA922" s="70"/>
      <c r="AB922" s="70"/>
      <c r="AC922" s="70"/>
    </row>
    <row r="923" spans="1:31" s="26" customFormat="1" x14ac:dyDescent="0.3">
      <c r="A923" s="25" t="s">
        <v>5462</v>
      </c>
      <c r="B923" s="25"/>
      <c r="C923" s="26" t="s">
        <v>3005</v>
      </c>
      <c r="D923" s="70"/>
      <c r="G923" s="70" t="s">
        <v>848</v>
      </c>
      <c r="H923" s="26">
        <v>2</v>
      </c>
      <c r="I923" s="70" t="s">
        <v>5463</v>
      </c>
      <c r="J923" s="26" t="s">
        <v>3158</v>
      </c>
      <c r="K923" s="26" t="s">
        <v>2015</v>
      </c>
      <c r="L923" s="26" t="s">
        <v>9660</v>
      </c>
      <c r="M923" s="76"/>
      <c r="N923" s="76"/>
      <c r="O923" s="76"/>
      <c r="P923" s="76"/>
      <c r="Q923" s="76"/>
      <c r="R923" s="76"/>
      <c r="Z923" s="70"/>
      <c r="AA923" s="70"/>
      <c r="AB923" s="70"/>
      <c r="AC923" s="70"/>
    </row>
    <row r="924" spans="1:31" s="24" customFormat="1" x14ac:dyDescent="0.3">
      <c r="A924" s="23">
        <v>281</v>
      </c>
      <c r="B924" s="23">
        <v>277</v>
      </c>
      <c r="C924" s="24" t="s">
        <v>2165</v>
      </c>
      <c r="D924" s="69" t="s">
        <v>807</v>
      </c>
      <c r="E924" s="24" t="s">
        <v>806</v>
      </c>
      <c r="F924" s="24" t="s">
        <v>849</v>
      </c>
      <c r="G924" s="69" t="s">
        <v>850</v>
      </c>
      <c r="H924" s="24">
        <v>1</v>
      </c>
      <c r="I924" s="69"/>
      <c r="J924" s="24" t="s">
        <v>5446</v>
      </c>
      <c r="K924" s="24" t="s">
        <v>851</v>
      </c>
      <c r="M924" s="75" t="s">
        <v>15</v>
      </c>
      <c r="N924" s="75"/>
      <c r="O924" s="75"/>
      <c r="P924" s="75"/>
      <c r="Q924" s="75"/>
      <c r="R924" s="75"/>
      <c r="V924" s="24" t="s">
        <v>2495</v>
      </c>
      <c r="W924" s="24" t="s">
        <v>2495</v>
      </c>
      <c r="Y924" s="24" t="s">
        <v>2495</v>
      </c>
      <c r="Z924" s="69" t="s">
        <v>2496</v>
      </c>
      <c r="AA924" s="69"/>
      <c r="AB924" s="69" t="s">
        <v>2496</v>
      </c>
      <c r="AC924" s="69"/>
    </row>
    <row r="925" spans="1:31" s="26" customFormat="1" x14ac:dyDescent="0.3">
      <c r="A925" s="25" t="s">
        <v>5464</v>
      </c>
      <c r="B925" s="25"/>
      <c r="C925" s="26" t="s">
        <v>3005</v>
      </c>
      <c r="D925" s="70"/>
      <c r="G925" s="70" t="s">
        <v>850</v>
      </c>
      <c r="H925" s="26">
        <v>2</v>
      </c>
      <c r="I925" s="70" t="s">
        <v>5465</v>
      </c>
      <c r="J925" s="26" t="s">
        <v>5446</v>
      </c>
      <c r="K925" s="26" t="s">
        <v>5466</v>
      </c>
      <c r="L925" s="26" t="s">
        <v>10366</v>
      </c>
      <c r="M925" s="76"/>
      <c r="N925" s="76"/>
      <c r="O925" s="76"/>
      <c r="P925" s="76"/>
      <c r="Q925" s="76"/>
      <c r="R925" s="76"/>
      <c r="Z925" s="70"/>
      <c r="AA925" s="70"/>
      <c r="AB925" s="70"/>
      <c r="AC925" s="70"/>
    </row>
    <row r="926" spans="1:31" s="26" customFormat="1" x14ac:dyDescent="0.3">
      <c r="A926" s="25" t="s">
        <v>5467</v>
      </c>
      <c r="B926" s="25"/>
      <c r="C926" s="26" t="s">
        <v>3005</v>
      </c>
      <c r="D926" s="70"/>
      <c r="G926" s="70" t="s">
        <v>850</v>
      </c>
      <c r="H926" s="26">
        <v>4</v>
      </c>
      <c r="I926" s="70" t="s">
        <v>5126</v>
      </c>
      <c r="J926" s="26" t="s">
        <v>5468</v>
      </c>
      <c r="K926" s="26" t="s">
        <v>5469</v>
      </c>
      <c r="L926" s="26" t="s">
        <v>10367</v>
      </c>
      <c r="M926" s="76"/>
      <c r="N926" s="76"/>
      <c r="O926" s="76"/>
      <c r="P926" s="76"/>
      <c r="Q926" s="76"/>
      <c r="R926" s="76"/>
      <c r="T926" s="26" t="s">
        <v>2200</v>
      </c>
      <c r="Z926" s="70"/>
      <c r="AA926" s="70"/>
      <c r="AB926" s="70"/>
      <c r="AC926" s="70"/>
      <c r="AE926" s="26" t="s">
        <v>5470</v>
      </c>
    </row>
    <row r="927" spans="1:31" s="26" customFormat="1" x14ac:dyDescent="0.3">
      <c r="A927" s="25" t="s">
        <v>5471</v>
      </c>
      <c r="B927" s="25"/>
      <c r="C927" s="26" t="s">
        <v>3005</v>
      </c>
      <c r="D927" s="70"/>
      <c r="G927" s="70" t="s">
        <v>850</v>
      </c>
      <c r="H927" s="26">
        <v>-1</v>
      </c>
      <c r="I927" s="70" t="s">
        <v>5472</v>
      </c>
      <c r="J927" s="26" t="s">
        <v>3718</v>
      </c>
      <c r="K927" s="26" t="s">
        <v>5473</v>
      </c>
      <c r="L927" s="26" t="s">
        <v>10368</v>
      </c>
      <c r="M927" s="76"/>
      <c r="N927" s="76"/>
      <c r="O927" s="76"/>
      <c r="P927" s="76"/>
      <c r="Q927" s="76"/>
      <c r="R927" s="76"/>
      <c r="T927" s="26" t="s">
        <v>2254</v>
      </c>
      <c r="Z927" s="70"/>
      <c r="AA927" s="70"/>
      <c r="AB927" s="70"/>
      <c r="AC927" s="70"/>
      <c r="AE927" s="26" t="s">
        <v>5474</v>
      </c>
    </row>
    <row r="928" spans="1:31" s="24" customFormat="1" x14ac:dyDescent="0.3">
      <c r="A928" s="23">
        <v>282</v>
      </c>
      <c r="B928" s="23">
        <v>278</v>
      </c>
      <c r="C928" s="24" t="s">
        <v>2165</v>
      </c>
      <c r="D928" s="69" t="s">
        <v>807</v>
      </c>
      <c r="E928" s="24" t="s">
        <v>806</v>
      </c>
      <c r="F928" s="24" t="s">
        <v>852</v>
      </c>
      <c r="G928" s="69" t="s">
        <v>853</v>
      </c>
      <c r="H928" s="24">
        <v>3</v>
      </c>
      <c r="I928" s="69"/>
      <c r="J928" s="24" t="s">
        <v>5475</v>
      </c>
      <c r="K928" s="24" t="s">
        <v>68</v>
      </c>
      <c r="M928" s="75" t="s">
        <v>65</v>
      </c>
      <c r="N928" s="75" t="s">
        <v>2015</v>
      </c>
      <c r="O928" s="75"/>
      <c r="P928" s="75"/>
      <c r="Q928" s="75"/>
      <c r="R928" s="75"/>
      <c r="T928" s="24" t="s">
        <v>2179</v>
      </c>
      <c r="V928" s="24" t="s">
        <v>2497</v>
      </c>
      <c r="Z928" s="69"/>
      <c r="AA928" s="69"/>
      <c r="AB928" s="69"/>
      <c r="AC928" s="69"/>
      <c r="AE928" s="24" t="s">
        <v>2498</v>
      </c>
    </row>
    <row r="929" spans="1:31" s="26" customFormat="1" x14ac:dyDescent="0.3">
      <c r="A929" s="25" t="s">
        <v>5476</v>
      </c>
      <c r="B929" s="25"/>
      <c r="C929" s="26" t="s">
        <v>3005</v>
      </c>
      <c r="D929" s="70"/>
      <c r="G929" s="70" t="s">
        <v>853</v>
      </c>
      <c r="H929" s="26">
        <v>1</v>
      </c>
      <c r="I929" s="70" t="s">
        <v>5477</v>
      </c>
      <c r="J929" s="26" t="s">
        <v>5478</v>
      </c>
      <c r="K929" s="26" t="s">
        <v>5479</v>
      </c>
      <c r="L929" s="26" t="s">
        <v>10369</v>
      </c>
      <c r="M929" s="76"/>
      <c r="N929" s="76"/>
      <c r="O929" s="76"/>
      <c r="P929" s="76"/>
      <c r="Q929" s="76"/>
      <c r="R929" s="76"/>
      <c r="Z929" s="70"/>
      <c r="AA929" s="70"/>
      <c r="AB929" s="70"/>
      <c r="AC929" s="70"/>
    </row>
    <row r="930" spans="1:31" s="26" customFormat="1" x14ac:dyDescent="0.3">
      <c r="A930" s="25" t="s">
        <v>5480</v>
      </c>
      <c r="B930" s="25"/>
      <c r="C930" s="26" t="s">
        <v>3005</v>
      </c>
      <c r="D930" s="70"/>
      <c r="G930" s="70" t="s">
        <v>853</v>
      </c>
      <c r="H930" s="26">
        <v>1</v>
      </c>
      <c r="I930" s="70" t="s">
        <v>5481</v>
      </c>
      <c r="J930" s="26" t="s">
        <v>5475</v>
      </c>
      <c r="K930" s="26" t="s">
        <v>5482</v>
      </c>
      <c r="L930" s="26" t="s">
        <v>10370</v>
      </c>
      <c r="M930" s="76"/>
      <c r="N930" s="76"/>
      <c r="O930" s="76"/>
      <c r="P930" s="76"/>
      <c r="Q930" s="76"/>
      <c r="R930" s="76"/>
      <c r="Z930" s="70"/>
      <c r="AA930" s="70"/>
      <c r="AB930" s="70"/>
      <c r="AC930" s="70"/>
    </row>
    <row r="931" spans="1:31" s="26" customFormat="1" x14ac:dyDescent="0.3">
      <c r="A931" s="25" t="s">
        <v>5483</v>
      </c>
      <c r="B931" s="25"/>
      <c r="C931" s="26" t="s">
        <v>3005</v>
      </c>
      <c r="D931" s="70"/>
      <c r="G931" s="70" t="s">
        <v>853</v>
      </c>
      <c r="H931" s="26">
        <v>1</v>
      </c>
      <c r="I931" s="70" t="s">
        <v>4247</v>
      </c>
      <c r="J931" s="26" t="s">
        <v>5478</v>
      </c>
      <c r="K931" s="26" t="s">
        <v>5484</v>
      </c>
      <c r="L931" s="26" t="s">
        <v>10371</v>
      </c>
      <c r="M931" s="76"/>
      <c r="N931" s="76"/>
      <c r="O931" s="76"/>
      <c r="P931" s="76"/>
      <c r="Q931" s="76"/>
      <c r="R931" s="76"/>
      <c r="Z931" s="70"/>
      <c r="AA931" s="70"/>
      <c r="AB931" s="70"/>
      <c r="AC931" s="70"/>
    </row>
    <row r="932" spans="1:31" s="24" customFormat="1" x14ac:dyDescent="0.3">
      <c r="A932" s="23">
        <v>283</v>
      </c>
      <c r="B932" s="23">
        <v>279</v>
      </c>
      <c r="C932" s="24" t="s">
        <v>2165</v>
      </c>
      <c r="D932" s="69" t="s">
        <v>807</v>
      </c>
      <c r="E932" s="24" t="s">
        <v>806</v>
      </c>
      <c r="F932" s="24" t="s">
        <v>854</v>
      </c>
      <c r="G932" s="69" t="s">
        <v>855</v>
      </c>
      <c r="H932" s="24">
        <v>1</v>
      </c>
      <c r="I932" s="69"/>
      <c r="J932" s="24" t="s">
        <v>3447</v>
      </c>
      <c r="K932" s="24" t="s">
        <v>856</v>
      </c>
      <c r="M932" s="75" t="s">
        <v>15</v>
      </c>
      <c r="N932" s="75"/>
      <c r="O932" s="75"/>
      <c r="P932" s="75"/>
      <c r="Q932" s="75"/>
      <c r="R932" s="75"/>
      <c r="T932" s="24" t="s">
        <v>2174</v>
      </c>
      <c r="V932" s="24" t="s">
        <v>2497</v>
      </c>
      <c r="Z932" s="69"/>
      <c r="AA932" s="69"/>
      <c r="AB932" s="69"/>
      <c r="AC932" s="69"/>
      <c r="AE932" s="24" t="s">
        <v>2499</v>
      </c>
    </row>
    <row r="933" spans="1:31" s="26" customFormat="1" x14ac:dyDescent="0.3">
      <c r="A933" s="25" t="s">
        <v>5485</v>
      </c>
      <c r="B933" s="25"/>
      <c r="C933" s="26" t="s">
        <v>3005</v>
      </c>
      <c r="D933" s="70"/>
      <c r="G933" s="70" t="s">
        <v>855</v>
      </c>
      <c r="H933" s="26">
        <v>-1</v>
      </c>
      <c r="I933" s="70" t="s">
        <v>5486</v>
      </c>
      <c r="J933" s="26" t="s">
        <v>3443</v>
      </c>
      <c r="K933" s="26" t="s">
        <v>5487</v>
      </c>
      <c r="L933" s="26" t="s">
        <v>10372</v>
      </c>
      <c r="M933" s="76"/>
      <c r="N933" s="76"/>
      <c r="O933" s="76"/>
      <c r="P933" s="76"/>
      <c r="Q933" s="76"/>
      <c r="R933" s="76"/>
      <c r="T933" s="26" t="s">
        <v>2200</v>
      </c>
      <c r="Z933" s="70"/>
      <c r="AA933" s="70"/>
      <c r="AB933" s="70"/>
      <c r="AC933" s="70"/>
      <c r="AE933" s="26" t="s">
        <v>5488</v>
      </c>
    </row>
    <row r="934" spans="1:31" s="26" customFormat="1" x14ac:dyDescent="0.3">
      <c r="A934" s="25" t="s">
        <v>5489</v>
      </c>
      <c r="B934" s="25"/>
      <c r="C934" s="26" t="s">
        <v>3005</v>
      </c>
      <c r="D934" s="70"/>
      <c r="G934" s="70" t="s">
        <v>855</v>
      </c>
      <c r="H934" s="26">
        <v>1</v>
      </c>
      <c r="I934" s="70" t="s">
        <v>5490</v>
      </c>
      <c r="J934" s="26" t="s">
        <v>5280</v>
      </c>
      <c r="K934" s="26" t="s">
        <v>5491</v>
      </c>
      <c r="L934" s="26" t="s">
        <v>10373</v>
      </c>
      <c r="M934" s="76"/>
      <c r="N934" s="76"/>
      <c r="O934" s="76"/>
      <c r="P934" s="76"/>
      <c r="Q934" s="76"/>
      <c r="R934" s="76"/>
      <c r="Z934" s="70"/>
      <c r="AA934" s="70"/>
      <c r="AB934" s="70"/>
      <c r="AC934" s="70"/>
    </row>
    <row r="935" spans="1:31" s="26" customFormat="1" x14ac:dyDescent="0.3">
      <c r="A935" s="25" t="s">
        <v>5492</v>
      </c>
      <c r="B935" s="25"/>
      <c r="C935" s="26" t="s">
        <v>3005</v>
      </c>
      <c r="D935" s="70"/>
      <c r="G935" s="70" t="s">
        <v>855</v>
      </c>
      <c r="H935" s="26">
        <v>-1</v>
      </c>
      <c r="I935" s="70" t="s">
        <v>4196</v>
      </c>
      <c r="J935" s="26" t="s">
        <v>3447</v>
      </c>
      <c r="K935" s="26" t="s">
        <v>3791</v>
      </c>
      <c r="L935" s="26" t="s">
        <v>5732</v>
      </c>
      <c r="M935" s="76"/>
      <c r="N935" s="76"/>
      <c r="O935" s="76"/>
      <c r="P935" s="76"/>
      <c r="Q935" s="76"/>
      <c r="R935" s="76"/>
      <c r="Z935" s="70"/>
      <c r="AA935" s="70"/>
      <c r="AB935" s="70"/>
      <c r="AC935" s="70"/>
    </row>
    <row r="936" spans="1:31" s="24" customFormat="1" x14ac:dyDescent="0.3">
      <c r="A936" s="23">
        <v>284</v>
      </c>
      <c r="B936" s="23">
        <v>280</v>
      </c>
      <c r="C936" s="24" t="s">
        <v>2165</v>
      </c>
      <c r="D936" s="69" t="s">
        <v>807</v>
      </c>
      <c r="E936" s="24" t="s">
        <v>806</v>
      </c>
      <c r="F936" s="24" t="s">
        <v>857</v>
      </c>
      <c r="G936" s="69" t="s">
        <v>858</v>
      </c>
      <c r="I936" s="69"/>
      <c r="J936" s="24" t="s">
        <v>5493</v>
      </c>
      <c r="K936" s="24" t="s">
        <v>43</v>
      </c>
      <c r="L936" s="24" t="s">
        <v>9784</v>
      </c>
      <c r="M936" s="75" t="s">
        <v>50</v>
      </c>
      <c r="N936" s="75"/>
      <c r="O936" s="75"/>
      <c r="P936" s="75"/>
      <c r="Q936" s="75"/>
      <c r="R936" s="75"/>
      <c r="Z936" s="69"/>
      <c r="AA936" s="69"/>
      <c r="AB936" s="69"/>
      <c r="AC936" s="69"/>
    </row>
    <row r="937" spans="1:31" s="24" customFormat="1" x14ac:dyDescent="0.3">
      <c r="A937" s="23">
        <v>285</v>
      </c>
      <c r="B937" s="23">
        <v>281</v>
      </c>
      <c r="C937" s="24" t="s">
        <v>2165</v>
      </c>
      <c r="D937" s="69" t="s">
        <v>807</v>
      </c>
      <c r="E937" s="24" t="s">
        <v>806</v>
      </c>
      <c r="F937" s="24" t="s">
        <v>859</v>
      </c>
      <c r="G937" s="69" t="s">
        <v>860</v>
      </c>
      <c r="I937" s="69"/>
      <c r="J937" s="24" t="s">
        <v>5374</v>
      </c>
      <c r="K937" s="24" t="s">
        <v>68</v>
      </c>
      <c r="L937" s="24" t="s">
        <v>9660</v>
      </c>
      <c r="M937" s="75" t="s">
        <v>65</v>
      </c>
      <c r="N937" s="75" t="s">
        <v>2015</v>
      </c>
      <c r="O937" s="75"/>
      <c r="P937" s="75"/>
      <c r="Q937" s="75"/>
      <c r="R937" s="75"/>
      <c r="V937" s="24" t="s">
        <v>2500</v>
      </c>
      <c r="Z937" s="69"/>
      <c r="AA937" s="69"/>
      <c r="AB937" s="69"/>
      <c r="AC937" s="69"/>
    </row>
    <row r="938" spans="1:31" s="24" customFormat="1" x14ac:dyDescent="0.3">
      <c r="A938" s="23">
        <v>286</v>
      </c>
      <c r="B938" s="23">
        <v>282</v>
      </c>
      <c r="C938" s="24" t="s">
        <v>2165</v>
      </c>
      <c r="D938" s="69" t="s">
        <v>807</v>
      </c>
      <c r="E938" s="24" t="s">
        <v>806</v>
      </c>
      <c r="F938" s="24" t="s">
        <v>861</v>
      </c>
      <c r="G938" s="69" t="s">
        <v>862</v>
      </c>
      <c r="I938" s="69"/>
      <c r="J938" s="24" t="s">
        <v>3615</v>
      </c>
      <c r="K938" s="24" t="s">
        <v>215</v>
      </c>
      <c r="M938" s="75" t="s">
        <v>50</v>
      </c>
      <c r="N938" s="75"/>
      <c r="O938" s="75"/>
      <c r="P938" s="75"/>
      <c r="Q938" s="75"/>
      <c r="R938" s="75" t="s">
        <v>2166</v>
      </c>
      <c r="Z938" s="69"/>
      <c r="AA938" s="69"/>
      <c r="AB938" s="69"/>
      <c r="AC938" s="69"/>
    </row>
    <row r="939" spans="1:31" s="26" customFormat="1" x14ac:dyDescent="0.3">
      <c r="A939" s="25" t="s">
        <v>5494</v>
      </c>
      <c r="B939" s="25"/>
      <c r="C939" s="26" t="s">
        <v>3005</v>
      </c>
      <c r="D939" s="70"/>
      <c r="G939" s="70" t="s">
        <v>862</v>
      </c>
      <c r="H939" s="26">
        <v>-1</v>
      </c>
      <c r="I939" s="70" t="s">
        <v>5495</v>
      </c>
      <c r="J939" s="26" t="s">
        <v>3615</v>
      </c>
      <c r="K939" s="26" t="s">
        <v>5496</v>
      </c>
      <c r="L939" s="26" t="s">
        <v>10374</v>
      </c>
      <c r="M939" s="76"/>
      <c r="N939" s="76"/>
      <c r="O939" s="76"/>
      <c r="P939" s="76"/>
      <c r="Q939" s="76"/>
      <c r="R939" s="76"/>
      <c r="U939" s="26" t="s">
        <v>5497</v>
      </c>
      <c r="Z939" s="70"/>
      <c r="AA939" s="70"/>
      <c r="AB939" s="70"/>
      <c r="AC939" s="70"/>
    </row>
    <row r="940" spans="1:31" s="26" customFormat="1" x14ac:dyDescent="0.3">
      <c r="A940" s="25" t="s">
        <v>5498</v>
      </c>
      <c r="B940" s="25"/>
      <c r="C940" s="26" t="s">
        <v>3005</v>
      </c>
      <c r="D940" s="70"/>
      <c r="G940" s="70" t="s">
        <v>862</v>
      </c>
      <c r="H940" s="26">
        <v>-1</v>
      </c>
      <c r="I940" s="70" t="s">
        <v>5499</v>
      </c>
      <c r="J940" s="26" t="s">
        <v>5500</v>
      </c>
      <c r="K940" s="26" t="s">
        <v>5501</v>
      </c>
      <c r="L940" s="26" t="s">
        <v>10375</v>
      </c>
      <c r="M940" s="76"/>
      <c r="N940" s="76"/>
      <c r="O940" s="76"/>
      <c r="P940" s="76"/>
      <c r="Q940" s="76"/>
      <c r="R940" s="76"/>
      <c r="Z940" s="70"/>
      <c r="AA940" s="70"/>
      <c r="AB940" s="70"/>
      <c r="AC940" s="70"/>
    </row>
    <row r="941" spans="1:31" s="24" customFormat="1" x14ac:dyDescent="0.3">
      <c r="A941" s="23">
        <v>287</v>
      </c>
      <c r="B941" s="23">
        <v>283</v>
      </c>
      <c r="C941" s="24" t="s">
        <v>2165</v>
      </c>
      <c r="D941" s="69" t="s">
        <v>807</v>
      </c>
      <c r="E941" s="24" t="s">
        <v>806</v>
      </c>
      <c r="F941" s="24" t="s">
        <v>863</v>
      </c>
      <c r="G941" s="69" t="s">
        <v>864</v>
      </c>
      <c r="I941" s="69"/>
      <c r="J941" s="24" t="s">
        <v>5502</v>
      </c>
      <c r="K941" s="24" t="s">
        <v>865</v>
      </c>
      <c r="L941" s="24" t="s">
        <v>9785</v>
      </c>
      <c r="M941" s="75" t="s">
        <v>50</v>
      </c>
      <c r="N941" s="75"/>
      <c r="O941" s="75"/>
      <c r="P941" s="75"/>
      <c r="Q941" s="75"/>
      <c r="R941" s="75" t="s">
        <v>2166</v>
      </c>
      <c r="T941" s="24" t="s">
        <v>2174</v>
      </c>
      <c r="U941" s="24" t="s">
        <v>2501</v>
      </c>
      <c r="V941" s="24" t="s">
        <v>866</v>
      </c>
      <c r="Y941" s="24" t="s">
        <v>866</v>
      </c>
      <c r="Z941" s="69"/>
      <c r="AA941" s="69"/>
      <c r="AB941" s="69"/>
      <c r="AC941" s="69"/>
      <c r="AE941" s="24" t="s">
        <v>2502</v>
      </c>
    </row>
    <row r="942" spans="1:31" s="24" customFormat="1" x14ac:dyDescent="0.3">
      <c r="A942" s="23">
        <v>288</v>
      </c>
      <c r="B942" s="23">
        <v>284</v>
      </c>
      <c r="C942" s="24" t="s">
        <v>2165</v>
      </c>
      <c r="D942" s="69" t="s">
        <v>807</v>
      </c>
      <c r="E942" s="24" t="s">
        <v>806</v>
      </c>
      <c r="F942" s="24" t="s">
        <v>866</v>
      </c>
      <c r="G942" s="69" t="s">
        <v>867</v>
      </c>
      <c r="I942" s="69"/>
      <c r="J942" s="24" t="s">
        <v>4205</v>
      </c>
      <c r="K942" s="24" t="s">
        <v>868</v>
      </c>
      <c r="L942" s="24" t="s">
        <v>9786</v>
      </c>
      <c r="M942" s="75" t="s">
        <v>50</v>
      </c>
      <c r="N942" s="75"/>
      <c r="O942" s="75"/>
      <c r="P942" s="75"/>
      <c r="Q942" s="75"/>
      <c r="R942" s="75" t="s">
        <v>2166</v>
      </c>
      <c r="T942" s="24" t="s">
        <v>2179</v>
      </c>
      <c r="U942" s="24" t="s">
        <v>2503</v>
      </c>
      <c r="Z942" s="69"/>
      <c r="AA942" s="69"/>
      <c r="AB942" s="69"/>
      <c r="AC942" s="69"/>
      <c r="AE942" s="24" t="s">
        <v>2504</v>
      </c>
    </row>
    <row r="943" spans="1:31" s="24" customFormat="1" x14ac:dyDescent="0.3">
      <c r="A943" s="23">
        <v>289</v>
      </c>
      <c r="B943" s="23">
        <v>285</v>
      </c>
      <c r="C943" s="24" t="s">
        <v>2165</v>
      </c>
      <c r="D943" s="69" t="s">
        <v>870</v>
      </c>
      <c r="E943" s="24" t="s">
        <v>869</v>
      </c>
      <c r="F943" s="24" t="s">
        <v>871</v>
      </c>
      <c r="G943" s="69" t="s">
        <v>872</v>
      </c>
      <c r="H943" s="24">
        <v>1</v>
      </c>
      <c r="I943" s="69"/>
      <c r="J943" s="24" t="s">
        <v>5503</v>
      </c>
      <c r="K943" s="24" t="s">
        <v>873</v>
      </c>
      <c r="M943" s="75" t="s">
        <v>15</v>
      </c>
      <c r="N943" s="75"/>
      <c r="O943" s="75"/>
      <c r="P943" s="75"/>
      <c r="Q943" s="75"/>
      <c r="R943" s="75"/>
      <c r="T943" s="24" t="s">
        <v>2179</v>
      </c>
      <c r="V943" s="24" t="s">
        <v>2505</v>
      </c>
      <c r="W943" s="24" t="s">
        <v>2506</v>
      </c>
      <c r="Y943" s="24" t="s">
        <v>2507</v>
      </c>
      <c r="Z943" s="69"/>
      <c r="AA943" s="69"/>
      <c r="AB943" s="69"/>
      <c r="AC943" s="69"/>
      <c r="AE943" s="24" t="s">
        <v>2508</v>
      </c>
    </row>
    <row r="944" spans="1:31" s="26" customFormat="1" x14ac:dyDescent="0.3">
      <c r="A944" s="25" t="s">
        <v>5504</v>
      </c>
      <c r="B944" s="25"/>
      <c r="C944" s="26" t="s">
        <v>3005</v>
      </c>
      <c r="D944" s="70"/>
      <c r="G944" s="70" t="s">
        <v>872</v>
      </c>
      <c r="H944" s="26">
        <v>-1</v>
      </c>
      <c r="I944" s="70" t="s">
        <v>5505</v>
      </c>
      <c r="J944" s="26" t="s">
        <v>5503</v>
      </c>
      <c r="K944" s="26" t="s">
        <v>5506</v>
      </c>
      <c r="L944" s="26" t="s">
        <v>10376</v>
      </c>
      <c r="M944" s="76"/>
      <c r="N944" s="76"/>
      <c r="O944" s="76"/>
      <c r="P944" s="76"/>
      <c r="Q944" s="76"/>
      <c r="R944" s="76"/>
      <c r="Z944" s="70"/>
      <c r="AA944" s="70"/>
      <c r="AB944" s="70"/>
      <c r="AC944" s="70"/>
    </row>
    <row r="945" spans="1:31" s="26" customFormat="1" x14ac:dyDescent="0.3">
      <c r="A945" s="25" t="s">
        <v>5507</v>
      </c>
      <c r="B945" s="25"/>
      <c r="C945" s="26" t="s">
        <v>3005</v>
      </c>
      <c r="D945" s="70"/>
      <c r="G945" s="70" t="s">
        <v>872</v>
      </c>
      <c r="H945" s="26">
        <v>-1</v>
      </c>
      <c r="I945" s="70" t="s">
        <v>3176</v>
      </c>
      <c r="J945" s="26" t="s">
        <v>5508</v>
      </c>
      <c r="K945" s="26" t="s">
        <v>5509</v>
      </c>
      <c r="L945" s="26" t="s">
        <v>10377</v>
      </c>
      <c r="M945" s="76"/>
      <c r="N945" s="76"/>
      <c r="O945" s="76"/>
      <c r="P945" s="76"/>
      <c r="Q945" s="76"/>
      <c r="R945" s="76"/>
      <c r="Z945" s="70"/>
      <c r="AA945" s="70"/>
      <c r="AB945" s="70"/>
      <c r="AC945" s="70"/>
    </row>
    <row r="946" spans="1:31" s="26" customFormat="1" x14ac:dyDescent="0.3">
      <c r="A946" s="25" t="s">
        <v>5510</v>
      </c>
      <c r="B946" s="25"/>
      <c r="C946" s="26" t="s">
        <v>3005</v>
      </c>
      <c r="D946" s="70"/>
      <c r="G946" s="70" t="s">
        <v>872</v>
      </c>
      <c r="H946" s="26">
        <v>-1</v>
      </c>
      <c r="I946" s="70" t="s">
        <v>5511</v>
      </c>
      <c r="J946" s="26" t="s">
        <v>5512</v>
      </c>
      <c r="K946" s="26" t="s">
        <v>3757</v>
      </c>
      <c r="L946" s="26" t="s">
        <v>3757</v>
      </c>
      <c r="M946" s="76"/>
      <c r="N946" s="76"/>
      <c r="O946" s="76"/>
      <c r="P946" s="76"/>
      <c r="Q946" s="76"/>
      <c r="R946" s="76"/>
      <c r="Z946" s="70"/>
      <c r="AA946" s="70"/>
      <c r="AB946" s="70"/>
      <c r="AC946" s="70"/>
    </row>
    <row r="947" spans="1:31" s="26" customFormat="1" x14ac:dyDescent="0.3">
      <c r="A947" s="25" t="s">
        <v>5513</v>
      </c>
      <c r="B947" s="25"/>
      <c r="C947" s="26" t="s">
        <v>3005</v>
      </c>
      <c r="D947" s="70"/>
      <c r="G947" s="70" t="s">
        <v>872</v>
      </c>
      <c r="H947" s="26">
        <v>1</v>
      </c>
      <c r="I947" s="70" t="s">
        <v>5514</v>
      </c>
      <c r="J947" s="26" t="s">
        <v>5515</v>
      </c>
      <c r="K947" s="26" t="s">
        <v>5516</v>
      </c>
      <c r="L947" s="26" t="s">
        <v>9660</v>
      </c>
      <c r="M947" s="76"/>
      <c r="N947" s="76"/>
      <c r="O947" s="76"/>
      <c r="P947" s="76"/>
      <c r="Q947" s="76"/>
      <c r="R947" s="76"/>
      <c r="Z947" s="70"/>
      <c r="AA947" s="70"/>
      <c r="AB947" s="70"/>
      <c r="AC947" s="70"/>
    </row>
    <row r="948" spans="1:31" s="26" customFormat="1" x14ac:dyDescent="0.3">
      <c r="A948" s="25" t="s">
        <v>5517</v>
      </c>
      <c r="B948" s="25"/>
      <c r="C948" s="26" t="s">
        <v>3005</v>
      </c>
      <c r="D948" s="70"/>
      <c r="G948" s="70" t="s">
        <v>872</v>
      </c>
      <c r="H948" s="26">
        <v>-1</v>
      </c>
      <c r="I948" s="70" t="s">
        <v>3459</v>
      </c>
      <c r="J948" s="26" t="s">
        <v>5508</v>
      </c>
      <c r="K948" s="26" t="s">
        <v>4151</v>
      </c>
      <c r="L948" s="26" t="s">
        <v>10378</v>
      </c>
      <c r="M948" s="76"/>
      <c r="N948" s="76"/>
      <c r="O948" s="76"/>
      <c r="P948" s="76"/>
      <c r="Q948" s="76"/>
      <c r="R948" s="76"/>
      <c r="Z948" s="70"/>
      <c r="AA948" s="70"/>
      <c r="AB948" s="70"/>
      <c r="AC948" s="70"/>
    </row>
    <row r="949" spans="1:31" s="24" customFormat="1" x14ac:dyDescent="0.3">
      <c r="A949" s="23">
        <v>290</v>
      </c>
      <c r="B949" s="23">
        <v>286</v>
      </c>
      <c r="C949" s="24" t="s">
        <v>2165</v>
      </c>
      <c r="D949" s="69" t="s">
        <v>875</v>
      </c>
      <c r="E949" s="24" t="s">
        <v>874</v>
      </c>
      <c r="F949" s="24" t="s">
        <v>876</v>
      </c>
      <c r="G949" s="69" t="s">
        <v>877</v>
      </c>
      <c r="I949" s="69"/>
      <c r="J949" s="24" t="s">
        <v>5518</v>
      </c>
      <c r="K949" s="24" t="s">
        <v>68</v>
      </c>
      <c r="L949" s="24" t="s">
        <v>9787</v>
      </c>
      <c r="M949" s="75" t="s">
        <v>65</v>
      </c>
      <c r="N949" s="75" t="s">
        <v>2020</v>
      </c>
      <c r="O949" s="75" t="s">
        <v>66</v>
      </c>
      <c r="P949" s="75" t="s">
        <v>66</v>
      </c>
      <c r="Q949" s="75" t="s">
        <v>67</v>
      </c>
      <c r="R949" s="75"/>
      <c r="T949" s="24" t="s">
        <v>2509</v>
      </c>
      <c r="V949" s="24" t="s">
        <v>2510</v>
      </c>
      <c r="W949" s="24" t="s">
        <v>2510</v>
      </c>
      <c r="Y949" s="24" t="s">
        <v>2511</v>
      </c>
      <c r="Z949" s="69"/>
      <c r="AA949" s="69"/>
      <c r="AB949" s="69"/>
      <c r="AC949" s="69" t="s">
        <v>11388</v>
      </c>
      <c r="AE949" s="24" t="s">
        <v>2512</v>
      </c>
    </row>
    <row r="950" spans="1:31" s="24" customFormat="1" x14ac:dyDescent="0.3">
      <c r="A950" s="23">
        <v>291</v>
      </c>
      <c r="B950" s="23">
        <v>287</v>
      </c>
      <c r="C950" s="24" t="s">
        <v>2165</v>
      </c>
      <c r="D950" s="69" t="s">
        <v>875</v>
      </c>
      <c r="E950" s="24" t="s">
        <v>874</v>
      </c>
      <c r="F950" s="24" t="s">
        <v>878</v>
      </c>
      <c r="G950" s="69" t="s">
        <v>879</v>
      </c>
      <c r="I950" s="69"/>
      <c r="J950" s="24" t="s">
        <v>5519</v>
      </c>
      <c r="K950" s="24" t="s">
        <v>880</v>
      </c>
      <c r="L950" s="24" t="s">
        <v>9788</v>
      </c>
      <c r="M950" s="75" t="s">
        <v>65</v>
      </c>
      <c r="N950" s="75" t="s">
        <v>2016</v>
      </c>
      <c r="O950" s="75" t="s">
        <v>58</v>
      </c>
      <c r="P950" s="75" t="s">
        <v>58</v>
      </c>
      <c r="Q950" s="75" t="s">
        <v>67</v>
      </c>
      <c r="R950" s="75"/>
      <c r="V950" s="24" t="s">
        <v>2513</v>
      </c>
      <c r="W950" s="24" t="s">
        <v>2513</v>
      </c>
      <c r="Y950" s="24" t="s">
        <v>2514</v>
      </c>
      <c r="Z950" s="69"/>
      <c r="AA950" s="69"/>
      <c r="AB950" s="69"/>
      <c r="AC950" s="69"/>
    </row>
    <row r="951" spans="1:31" s="24" customFormat="1" x14ac:dyDescent="0.3">
      <c r="A951" s="23">
        <v>292</v>
      </c>
      <c r="B951" s="23">
        <v>288</v>
      </c>
      <c r="C951" s="24" t="s">
        <v>2165</v>
      </c>
      <c r="D951" s="69" t="s">
        <v>875</v>
      </c>
      <c r="E951" s="24" t="s">
        <v>874</v>
      </c>
      <c r="F951" s="24" t="s">
        <v>881</v>
      </c>
      <c r="G951" s="69" t="s">
        <v>882</v>
      </c>
      <c r="I951" s="69"/>
      <c r="J951" s="24" t="s">
        <v>5520</v>
      </c>
      <c r="K951" s="24" t="s">
        <v>883</v>
      </c>
      <c r="L951" s="24" t="s">
        <v>9789</v>
      </c>
      <c r="M951" s="75" t="s">
        <v>65</v>
      </c>
      <c r="N951" s="75" t="s">
        <v>2019</v>
      </c>
      <c r="O951" s="75"/>
      <c r="P951" s="75"/>
      <c r="Q951" s="75"/>
      <c r="R951" s="75"/>
      <c r="V951" s="24" t="s">
        <v>2515</v>
      </c>
      <c r="W951" s="24" t="s">
        <v>2515</v>
      </c>
      <c r="Y951" s="24" t="s">
        <v>2516</v>
      </c>
      <c r="Z951" s="69"/>
      <c r="AA951" s="69"/>
      <c r="AB951" s="69"/>
      <c r="AC951" s="69"/>
    </row>
    <row r="952" spans="1:31" s="24" customFormat="1" x14ac:dyDescent="0.3">
      <c r="A952" s="23">
        <v>293</v>
      </c>
      <c r="B952" s="23">
        <v>289</v>
      </c>
      <c r="C952" s="24" t="s">
        <v>2165</v>
      </c>
      <c r="D952" s="69" t="s">
        <v>875</v>
      </c>
      <c r="E952" s="24" t="s">
        <v>874</v>
      </c>
      <c r="F952" s="24" t="s">
        <v>884</v>
      </c>
      <c r="G952" s="69" t="s">
        <v>885</v>
      </c>
      <c r="I952" s="69"/>
      <c r="J952" s="24" t="s">
        <v>5518</v>
      </c>
      <c r="K952" s="24" t="s">
        <v>886</v>
      </c>
      <c r="L952" s="24" t="s">
        <v>9790</v>
      </c>
      <c r="M952" s="75" t="s">
        <v>65</v>
      </c>
      <c r="N952" s="75" t="s">
        <v>2020</v>
      </c>
      <c r="O952" s="75"/>
      <c r="P952" s="75"/>
      <c r="Q952" s="75"/>
      <c r="R952" s="75"/>
      <c r="T952" s="24" t="s">
        <v>2179</v>
      </c>
      <c r="V952" s="24" t="s">
        <v>2515</v>
      </c>
      <c r="W952" s="24" t="s">
        <v>2517</v>
      </c>
      <c r="Y952" s="24" t="s">
        <v>2518</v>
      </c>
      <c r="Z952" s="69"/>
      <c r="AA952" s="69"/>
      <c r="AB952" s="69"/>
      <c r="AC952" s="69"/>
      <c r="AE952" s="24" t="s">
        <v>2519</v>
      </c>
    </row>
    <row r="953" spans="1:31" s="24" customFormat="1" x14ac:dyDescent="0.3">
      <c r="A953" s="23">
        <v>294</v>
      </c>
      <c r="B953" s="23">
        <v>290</v>
      </c>
      <c r="C953" s="24" t="s">
        <v>2165</v>
      </c>
      <c r="D953" s="69" t="s">
        <v>875</v>
      </c>
      <c r="E953" s="24" t="s">
        <v>874</v>
      </c>
      <c r="F953" s="24" t="s">
        <v>887</v>
      </c>
      <c r="G953" s="69" t="s">
        <v>888</v>
      </c>
      <c r="I953" s="69"/>
      <c r="J953" s="24" t="s">
        <v>5521</v>
      </c>
      <c r="K953" s="24" t="s">
        <v>889</v>
      </c>
      <c r="L953" s="24" t="s">
        <v>9791</v>
      </c>
      <c r="M953" s="75" t="s">
        <v>65</v>
      </c>
      <c r="N953" s="75" t="s">
        <v>2022</v>
      </c>
      <c r="O953" s="75" t="s">
        <v>66</v>
      </c>
      <c r="P953" s="75" t="s">
        <v>66</v>
      </c>
      <c r="Q953" s="75" t="s">
        <v>66</v>
      </c>
      <c r="R953" s="75"/>
      <c r="T953" s="24" t="s">
        <v>2179</v>
      </c>
      <c r="V953" s="24" t="s">
        <v>2515</v>
      </c>
      <c r="W953" s="24" t="s">
        <v>2520</v>
      </c>
      <c r="Y953" s="24" t="s">
        <v>2521</v>
      </c>
      <c r="Z953" s="69"/>
      <c r="AA953" s="69"/>
      <c r="AB953" s="69"/>
      <c r="AC953" s="69"/>
      <c r="AE953" s="24" t="s">
        <v>2522</v>
      </c>
    </row>
    <row r="954" spans="1:31" s="24" customFormat="1" x14ac:dyDescent="0.3">
      <c r="A954" s="23">
        <v>295</v>
      </c>
      <c r="B954" s="23">
        <v>291</v>
      </c>
      <c r="C954" s="24" t="s">
        <v>2165</v>
      </c>
      <c r="D954" s="69" t="s">
        <v>875</v>
      </c>
      <c r="E954" s="24" t="s">
        <v>874</v>
      </c>
      <c r="F954" s="24" t="s">
        <v>890</v>
      </c>
      <c r="G954" s="69" t="s">
        <v>891</v>
      </c>
      <c r="I954" s="69"/>
      <c r="J954" s="24" t="s">
        <v>5522</v>
      </c>
      <c r="K954" s="24" t="s">
        <v>892</v>
      </c>
      <c r="L954" s="24" t="s">
        <v>9792</v>
      </c>
      <c r="M954" s="75" t="s">
        <v>65</v>
      </c>
      <c r="N954" s="75" t="s">
        <v>2025</v>
      </c>
      <c r="O954" s="75" t="s">
        <v>58</v>
      </c>
      <c r="P954" s="75" t="s">
        <v>58</v>
      </c>
      <c r="Q954" s="75"/>
      <c r="R954" s="75"/>
      <c r="V954" s="24" t="s">
        <v>2523</v>
      </c>
      <c r="W954" s="24" t="s">
        <v>2523</v>
      </c>
      <c r="Y954" s="24" t="s">
        <v>2524</v>
      </c>
      <c r="Z954" s="69"/>
      <c r="AA954" s="69"/>
      <c r="AB954" s="69"/>
      <c r="AC954" s="69"/>
    </row>
    <row r="955" spans="1:31" s="24" customFormat="1" x14ac:dyDescent="0.3">
      <c r="A955" s="23">
        <v>296</v>
      </c>
      <c r="B955" s="23">
        <v>292</v>
      </c>
      <c r="C955" s="24" t="s">
        <v>2165</v>
      </c>
      <c r="D955" s="69" t="s">
        <v>875</v>
      </c>
      <c r="E955" s="24" t="s">
        <v>874</v>
      </c>
      <c r="F955" s="24" t="s">
        <v>893</v>
      </c>
      <c r="G955" s="69" t="s">
        <v>894</v>
      </c>
      <c r="I955" s="69"/>
      <c r="J955" s="24" t="s">
        <v>5523</v>
      </c>
      <c r="K955" s="24" t="s">
        <v>895</v>
      </c>
      <c r="L955" s="24" t="s">
        <v>9776</v>
      </c>
      <c r="M955" s="75" t="s">
        <v>65</v>
      </c>
      <c r="N955" s="75" t="s">
        <v>2017</v>
      </c>
      <c r="O955" s="75" t="s">
        <v>58</v>
      </c>
      <c r="P955" s="75" t="s">
        <v>58</v>
      </c>
      <c r="Q955" s="75" t="s">
        <v>66</v>
      </c>
      <c r="R955" s="75"/>
      <c r="V955" s="24" t="s">
        <v>2525</v>
      </c>
      <c r="W955" s="24" t="s">
        <v>2525</v>
      </c>
      <c r="Y955" s="24" t="s">
        <v>2526</v>
      </c>
      <c r="Z955" s="69"/>
      <c r="AA955" s="69"/>
      <c r="AB955" s="69"/>
      <c r="AC955" s="69"/>
    </row>
    <row r="956" spans="1:31" s="24" customFormat="1" x14ac:dyDescent="0.3">
      <c r="A956" s="23">
        <v>297</v>
      </c>
      <c r="B956" s="23">
        <v>293</v>
      </c>
      <c r="C956" s="24" t="s">
        <v>2165</v>
      </c>
      <c r="D956" s="69" t="s">
        <v>875</v>
      </c>
      <c r="E956" s="24" t="s">
        <v>874</v>
      </c>
      <c r="F956" s="24" t="s">
        <v>896</v>
      </c>
      <c r="G956" s="69" t="s">
        <v>897</v>
      </c>
      <c r="I956" s="69"/>
      <c r="J956" s="24" t="s">
        <v>5524</v>
      </c>
      <c r="K956" s="24" t="s">
        <v>898</v>
      </c>
      <c r="L956" s="24" t="s">
        <v>9793</v>
      </c>
      <c r="M956" s="75" t="s">
        <v>65</v>
      </c>
      <c r="N956" s="75" t="s">
        <v>2021</v>
      </c>
      <c r="O956" s="75" t="s">
        <v>58</v>
      </c>
      <c r="P956" s="75" t="s">
        <v>58</v>
      </c>
      <c r="Q956" s="75" t="s">
        <v>66</v>
      </c>
      <c r="R956" s="75"/>
      <c r="V956" s="24" t="s">
        <v>2527</v>
      </c>
      <c r="W956" s="24" t="s">
        <v>2527</v>
      </c>
      <c r="Y956" s="24" t="s">
        <v>2528</v>
      </c>
      <c r="Z956" s="69"/>
      <c r="AA956" s="69"/>
      <c r="AB956" s="69"/>
      <c r="AC956" s="69"/>
    </row>
    <row r="957" spans="1:31" s="24" customFormat="1" x14ac:dyDescent="0.3">
      <c r="A957" s="23">
        <v>298</v>
      </c>
      <c r="B957" s="23">
        <v>294</v>
      </c>
      <c r="C957" s="24" t="s">
        <v>2165</v>
      </c>
      <c r="D957" s="69" t="s">
        <v>875</v>
      </c>
      <c r="E957" s="24" t="s">
        <v>874</v>
      </c>
      <c r="F957" s="24" t="s">
        <v>899</v>
      </c>
      <c r="G957" s="69" t="s">
        <v>900</v>
      </c>
      <c r="I957" s="69"/>
      <c r="J957" s="24" t="s">
        <v>3832</v>
      </c>
      <c r="K957" s="24" t="s">
        <v>215</v>
      </c>
      <c r="M957" s="75" t="s">
        <v>19</v>
      </c>
      <c r="N957" s="75"/>
      <c r="O957" s="75"/>
      <c r="P957" s="75"/>
      <c r="Q957" s="75"/>
      <c r="R957" s="75" t="s">
        <v>2166</v>
      </c>
      <c r="V957" s="24" t="s">
        <v>2171</v>
      </c>
      <c r="W957" s="24" t="s">
        <v>2529</v>
      </c>
      <c r="Y957" s="24" t="s">
        <v>2530</v>
      </c>
      <c r="Z957" s="69"/>
      <c r="AA957" s="69"/>
      <c r="AB957" s="69"/>
      <c r="AC957" s="69"/>
      <c r="AD957" s="24" t="s">
        <v>11329</v>
      </c>
    </row>
    <row r="958" spans="1:31" s="26" customFormat="1" x14ac:dyDescent="0.3">
      <c r="A958" s="25" t="s">
        <v>5525</v>
      </c>
      <c r="B958" s="25"/>
      <c r="C958" s="26" t="s">
        <v>3005</v>
      </c>
      <c r="D958" s="70"/>
      <c r="G958" s="70" t="s">
        <v>900</v>
      </c>
      <c r="H958" s="26">
        <v>-1</v>
      </c>
      <c r="I958" s="70" t="s">
        <v>3977</v>
      </c>
      <c r="J958" s="26" t="s">
        <v>3975</v>
      </c>
      <c r="K958" s="26" t="s">
        <v>3646</v>
      </c>
      <c r="L958" s="26" t="s">
        <v>10379</v>
      </c>
      <c r="M958" s="76"/>
      <c r="N958" s="76"/>
      <c r="O958" s="76"/>
      <c r="P958" s="76"/>
      <c r="Q958" s="76"/>
      <c r="R958" s="76"/>
      <c r="Z958" s="70"/>
      <c r="AA958" s="70"/>
      <c r="AB958" s="70"/>
      <c r="AC958" s="70"/>
    </row>
    <row r="959" spans="1:31" s="26" customFormat="1" x14ac:dyDescent="0.3">
      <c r="A959" s="25" t="s">
        <v>5526</v>
      </c>
      <c r="B959" s="25"/>
      <c r="C959" s="26" t="s">
        <v>3005</v>
      </c>
      <c r="D959" s="70"/>
      <c r="G959" s="70" t="s">
        <v>900</v>
      </c>
      <c r="H959" s="26">
        <v>-1</v>
      </c>
      <c r="I959" s="70" t="s">
        <v>5527</v>
      </c>
      <c r="J959" s="26" t="s">
        <v>5528</v>
      </c>
      <c r="K959" s="26" t="s">
        <v>5529</v>
      </c>
      <c r="L959" s="26" t="s">
        <v>10380</v>
      </c>
      <c r="M959" s="76"/>
      <c r="N959" s="76"/>
      <c r="O959" s="76"/>
      <c r="P959" s="76"/>
      <c r="Q959" s="76"/>
      <c r="R959" s="76"/>
      <c r="Z959" s="70"/>
      <c r="AA959" s="70"/>
      <c r="AB959" s="70"/>
      <c r="AC959" s="70"/>
    </row>
    <row r="960" spans="1:31" s="26" customFormat="1" x14ac:dyDescent="0.3">
      <c r="A960" s="25" t="s">
        <v>5530</v>
      </c>
      <c r="B960" s="25"/>
      <c r="C960" s="26" t="s">
        <v>3005</v>
      </c>
      <c r="D960" s="70"/>
      <c r="G960" s="70" t="s">
        <v>900</v>
      </c>
      <c r="H960" s="26">
        <v>-1</v>
      </c>
      <c r="I960" s="70" t="s">
        <v>5381</v>
      </c>
      <c r="J960" s="26" t="s">
        <v>5531</v>
      </c>
      <c r="K960" s="26" t="s">
        <v>5532</v>
      </c>
      <c r="L960" s="26" t="s">
        <v>10381</v>
      </c>
      <c r="M960" s="76"/>
      <c r="N960" s="76"/>
      <c r="O960" s="76"/>
      <c r="P960" s="76"/>
      <c r="Q960" s="76"/>
      <c r="R960" s="76"/>
      <c r="Z960" s="70"/>
      <c r="AA960" s="70"/>
      <c r="AB960" s="70"/>
      <c r="AC960" s="70"/>
    </row>
    <row r="961" spans="1:29" s="26" customFormat="1" x14ac:dyDescent="0.3">
      <c r="A961" s="25" t="s">
        <v>5533</v>
      </c>
      <c r="B961" s="25"/>
      <c r="C961" s="26" t="s">
        <v>3005</v>
      </c>
      <c r="D961" s="70"/>
      <c r="G961" s="70" t="s">
        <v>900</v>
      </c>
      <c r="H961" s="26">
        <v>-1</v>
      </c>
      <c r="I961" s="70" t="s">
        <v>5534</v>
      </c>
      <c r="J961" s="26" t="s">
        <v>3832</v>
      </c>
      <c r="K961" s="26" t="s">
        <v>5535</v>
      </c>
      <c r="L961" s="26" t="s">
        <v>10382</v>
      </c>
      <c r="M961" s="76"/>
      <c r="N961" s="76"/>
      <c r="O961" s="76"/>
      <c r="P961" s="76"/>
      <c r="Q961" s="76"/>
      <c r="R961" s="76"/>
      <c r="Z961" s="70"/>
      <c r="AA961" s="70"/>
      <c r="AB961" s="70"/>
      <c r="AC961" s="70"/>
    </row>
    <row r="962" spans="1:29" s="26" customFormat="1" x14ac:dyDescent="0.3">
      <c r="A962" s="25" t="s">
        <v>5536</v>
      </c>
      <c r="B962" s="25"/>
      <c r="C962" s="26" t="s">
        <v>3005</v>
      </c>
      <c r="D962" s="70"/>
      <c r="G962" s="70" t="s">
        <v>900</v>
      </c>
      <c r="H962" s="26">
        <v>-1</v>
      </c>
      <c r="I962" s="70" t="s">
        <v>5537</v>
      </c>
      <c r="J962" s="26" t="s">
        <v>5538</v>
      </c>
      <c r="K962" s="26" t="s">
        <v>5539</v>
      </c>
      <c r="L962" s="26" t="s">
        <v>10383</v>
      </c>
      <c r="M962" s="76"/>
      <c r="N962" s="76"/>
      <c r="O962" s="76"/>
      <c r="P962" s="76"/>
      <c r="Q962" s="76"/>
      <c r="R962" s="76"/>
      <c r="Z962" s="70"/>
      <c r="AA962" s="70"/>
      <c r="AB962" s="70"/>
      <c r="AC962" s="70"/>
    </row>
    <row r="963" spans="1:29" s="26" customFormat="1" x14ac:dyDescent="0.3">
      <c r="A963" s="25" t="s">
        <v>5540</v>
      </c>
      <c r="B963" s="25"/>
      <c r="C963" s="26" t="s">
        <v>3005</v>
      </c>
      <c r="D963" s="70"/>
      <c r="G963" s="70" t="s">
        <v>900</v>
      </c>
      <c r="H963" s="26">
        <v>-1</v>
      </c>
      <c r="I963" s="70" t="s">
        <v>5541</v>
      </c>
      <c r="J963" s="26" t="s">
        <v>5528</v>
      </c>
      <c r="K963" s="26" t="s">
        <v>3732</v>
      </c>
      <c r="L963" s="26" t="s">
        <v>10384</v>
      </c>
      <c r="M963" s="76"/>
      <c r="N963" s="76"/>
      <c r="O963" s="76"/>
      <c r="P963" s="76"/>
      <c r="Q963" s="76"/>
      <c r="R963" s="76"/>
      <c r="Z963" s="70"/>
      <c r="AA963" s="70"/>
      <c r="AB963" s="70"/>
      <c r="AC963" s="70"/>
    </row>
    <row r="964" spans="1:29" s="26" customFormat="1" x14ac:dyDescent="0.3">
      <c r="A964" s="25" t="s">
        <v>5542</v>
      </c>
      <c r="B964" s="25"/>
      <c r="C964" s="26" t="s">
        <v>3005</v>
      </c>
      <c r="D964" s="70"/>
      <c r="G964" s="70" t="s">
        <v>900</v>
      </c>
      <c r="H964" s="26">
        <v>-1</v>
      </c>
      <c r="I964" s="70" t="s">
        <v>4270</v>
      </c>
      <c r="J964" s="26" t="s">
        <v>5543</v>
      </c>
      <c r="K964" s="26" t="s">
        <v>3736</v>
      </c>
      <c r="L964" s="26" t="s">
        <v>3736</v>
      </c>
      <c r="M964" s="76"/>
      <c r="N964" s="76"/>
      <c r="O964" s="76"/>
      <c r="P964" s="76"/>
      <c r="Q964" s="76"/>
      <c r="R964" s="76"/>
      <c r="Z964" s="70"/>
      <c r="AA964" s="70"/>
      <c r="AB964" s="70"/>
      <c r="AC964" s="70"/>
    </row>
    <row r="965" spans="1:29" s="26" customFormat="1" x14ac:dyDescent="0.3">
      <c r="A965" s="25" t="s">
        <v>5544</v>
      </c>
      <c r="B965" s="25"/>
      <c r="C965" s="26" t="s">
        <v>3005</v>
      </c>
      <c r="D965" s="70"/>
      <c r="G965" s="70" t="s">
        <v>900</v>
      </c>
      <c r="H965" s="26">
        <v>-1</v>
      </c>
      <c r="I965" s="70" t="s">
        <v>5545</v>
      </c>
      <c r="J965" s="26" t="s">
        <v>5546</v>
      </c>
      <c r="K965" s="26" t="s">
        <v>3750</v>
      </c>
      <c r="M965" s="76"/>
      <c r="N965" s="76"/>
      <c r="O965" s="76"/>
      <c r="P965" s="76"/>
      <c r="Q965" s="76"/>
      <c r="R965" s="76"/>
      <c r="Z965" s="70"/>
      <c r="AA965" s="70"/>
      <c r="AB965" s="70"/>
      <c r="AC965" s="70"/>
    </row>
    <row r="966" spans="1:29" s="26" customFormat="1" x14ac:dyDescent="0.3">
      <c r="A966" s="25" t="s">
        <v>5547</v>
      </c>
      <c r="B966" s="25"/>
      <c r="C966" s="26" t="s">
        <v>3005</v>
      </c>
      <c r="D966" s="70"/>
      <c r="G966" s="70" t="s">
        <v>900</v>
      </c>
      <c r="H966" s="26">
        <v>-1</v>
      </c>
      <c r="I966" s="70" t="s">
        <v>5548</v>
      </c>
      <c r="J966" s="26" t="s">
        <v>5549</v>
      </c>
      <c r="K966" s="26" t="s">
        <v>3182</v>
      </c>
      <c r="L966" s="26" t="s">
        <v>9974</v>
      </c>
      <c r="M966" s="76"/>
      <c r="N966" s="76"/>
      <c r="O966" s="76"/>
      <c r="P966" s="76"/>
      <c r="Q966" s="76"/>
      <c r="R966" s="76"/>
      <c r="Z966" s="70"/>
      <c r="AA966" s="70"/>
      <c r="AB966" s="70"/>
      <c r="AC966" s="70"/>
    </row>
    <row r="967" spans="1:29" s="24" customFormat="1" x14ac:dyDescent="0.3">
      <c r="A967" s="23">
        <v>299</v>
      </c>
      <c r="B967" s="23">
        <v>295</v>
      </c>
      <c r="C967" s="24" t="s">
        <v>2165</v>
      </c>
      <c r="D967" s="69" t="s">
        <v>875</v>
      </c>
      <c r="E967" s="24" t="s">
        <v>874</v>
      </c>
      <c r="F967" s="24" t="s">
        <v>901</v>
      </c>
      <c r="G967" s="69" t="s">
        <v>902</v>
      </c>
      <c r="H967" s="24">
        <v>4</v>
      </c>
      <c r="I967" s="69"/>
      <c r="J967" s="24" t="s">
        <v>5550</v>
      </c>
      <c r="K967" s="24" t="s">
        <v>68</v>
      </c>
      <c r="M967" s="75" t="s">
        <v>732</v>
      </c>
      <c r="N967" s="75"/>
      <c r="O967" s="75" t="s">
        <v>58</v>
      </c>
      <c r="P967" s="75" t="s">
        <v>58</v>
      </c>
      <c r="Q967" s="75" t="s">
        <v>66</v>
      </c>
      <c r="R967" s="75"/>
      <c r="V967" s="24" t="s">
        <v>2531</v>
      </c>
      <c r="W967" s="24" t="s">
        <v>2531</v>
      </c>
      <c r="Y967" s="24" t="s">
        <v>2532</v>
      </c>
      <c r="Z967" s="69"/>
      <c r="AA967" s="69"/>
      <c r="AB967" s="69"/>
      <c r="AC967" s="69"/>
    </row>
    <row r="968" spans="1:29" s="26" customFormat="1" x14ac:dyDescent="0.3">
      <c r="A968" s="25" t="s">
        <v>5551</v>
      </c>
      <c r="B968" s="25"/>
      <c r="C968" s="26" t="s">
        <v>3005</v>
      </c>
      <c r="D968" s="70"/>
      <c r="G968" s="70" t="s">
        <v>902</v>
      </c>
      <c r="H968" s="26">
        <v>1</v>
      </c>
      <c r="I968" s="70" t="s">
        <v>5552</v>
      </c>
      <c r="J968" s="26" t="s">
        <v>5550</v>
      </c>
      <c r="K968" s="26" t="s">
        <v>5553</v>
      </c>
      <c r="L968" s="26" t="s">
        <v>10385</v>
      </c>
      <c r="M968" s="76"/>
      <c r="N968" s="76"/>
      <c r="O968" s="76"/>
      <c r="P968" s="76"/>
      <c r="Q968" s="76"/>
      <c r="R968" s="76"/>
      <c r="Z968" s="70"/>
      <c r="AA968" s="70"/>
      <c r="AB968" s="70"/>
      <c r="AC968" s="70"/>
    </row>
    <row r="969" spans="1:29" s="26" customFormat="1" x14ac:dyDescent="0.3">
      <c r="A969" s="25" t="s">
        <v>5554</v>
      </c>
      <c r="B969" s="25"/>
      <c r="C969" s="26" t="s">
        <v>3005</v>
      </c>
      <c r="D969" s="70"/>
      <c r="G969" s="70" t="s">
        <v>902</v>
      </c>
      <c r="H969" s="26">
        <v>2</v>
      </c>
      <c r="I969" s="70" t="s">
        <v>5555</v>
      </c>
      <c r="J969" s="26" t="s">
        <v>4318</v>
      </c>
      <c r="K969" s="26" t="s">
        <v>5556</v>
      </c>
      <c r="L969" s="26" t="s">
        <v>10386</v>
      </c>
      <c r="M969" s="76"/>
      <c r="N969" s="76"/>
      <c r="O969" s="76"/>
      <c r="P969" s="76"/>
      <c r="Q969" s="76"/>
      <c r="R969" s="76"/>
      <c r="Z969" s="70"/>
      <c r="AA969" s="70"/>
      <c r="AB969" s="70"/>
      <c r="AC969" s="70"/>
    </row>
    <row r="970" spans="1:29" s="26" customFormat="1" x14ac:dyDescent="0.3">
      <c r="A970" s="25" t="s">
        <v>5557</v>
      </c>
      <c r="B970" s="25"/>
      <c r="C970" s="26" t="s">
        <v>3005</v>
      </c>
      <c r="D970" s="70"/>
      <c r="G970" s="70" t="s">
        <v>902</v>
      </c>
      <c r="H970" s="26">
        <v>6</v>
      </c>
      <c r="I970" s="70" t="s">
        <v>5558</v>
      </c>
      <c r="J970" s="26" t="s">
        <v>5559</v>
      </c>
      <c r="K970" s="26" t="s">
        <v>5560</v>
      </c>
      <c r="L970" s="26" t="s">
        <v>10387</v>
      </c>
      <c r="M970" s="76"/>
      <c r="N970" s="76"/>
      <c r="O970" s="76"/>
      <c r="P970" s="76"/>
      <c r="Q970" s="76"/>
      <c r="R970" s="76"/>
      <c r="Z970" s="70"/>
      <c r="AA970" s="70"/>
      <c r="AB970" s="70"/>
      <c r="AC970" s="70"/>
    </row>
    <row r="971" spans="1:29" s="26" customFormat="1" x14ac:dyDescent="0.3">
      <c r="A971" s="25" t="s">
        <v>5561</v>
      </c>
      <c r="B971" s="25"/>
      <c r="C971" s="26" t="s">
        <v>3005</v>
      </c>
      <c r="D971" s="70"/>
      <c r="G971" s="70" t="s">
        <v>902</v>
      </c>
      <c r="H971" s="26">
        <v>1</v>
      </c>
      <c r="I971" s="70" t="s">
        <v>5562</v>
      </c>
      <c r="J971" s="26" t="s">
        <v>5563</v>
      </c>
      <c r="K971" s="26" t="s">
        <v>5564</v>
      </c>
      <c r="L971" s="26" t="s">
        <v>10388</v>
      </c>
      <c r="M971" s="76"/>
      <c r="N971" s="76"/>
      <c r="O971" s="76"/>
      <c r="P971" s="76"/>
      <c r="Q971" s="76"/>
      <c r="R971" s="76"/>
      <c r="Z971" s="70"/>
      <c r="AA971" s="70"/>
      <c r="AB971" s="70"/>
      <c r="AC971" s="70"/>
    </row>
    <row r="972" spans="1:29" s="24" customFormat="1" x14ac:dyDescent="0.3">
      <c r="A972" s="23">
        <v>300</v>
      </c>
      <c r="B972" s="23">
        <v>296</v>
      </c>
      <c r="C972" s="24" t="s">
        <v>2165</v>
      </c>
      <c r="D972" s="69" t="s">
        <v>875</v>
      </c>
      <c r="E972" s="24" t="s">
        <v>874</v>
      </c>
      <c r="F972" s="24" t="s">
        <v>903</v>
      </c>
      <c r="G972" s="69" t="s">
        <v>904</v>
      </c>
      <c r="H972" s="24">
        <v>1</v>
      </c>
      <c r="I972" s="69"/>
      <c r="J972" s="24" t="s">
        <v>5565</v>
      </c>
      <c r="K972" s="24" t="s">
        <v>905</v>
      </c>
      <c r="M972" s="75" t="s">
        <v>15</v>
      </c>
      <c r="N972" s="75"/>
      <c r="O972" s="75" t="s">
        <v>58</v>
      </c>
      <c r="P972" s="75" t="s">
        <v>58</v>
      </c>
      <c r="Q972" s="75" t="s">
        <v>130</v>
      </c>
      <c r="R972" s="75"/>
      <c r="V972" s="24" t="s">
        <v>2533</v>
      </c>
      <c r="W972" s="24" t="s">
        <v>2533</v>
      </c>
      <c r="Y972" s="24" t="s">
        <v>2534</v>
      </c>
      <c r="Z972" s="69"/>
      <c r="AA972" s="69"/>
      <c r="AB972" s="69"/>
      <c r="AC972" s="69"/>
    </row>
    <row r="973" spans="1:29" s="26" customFormat="1" x14ac:dyDescent="0.3">
      <c r="A973" s="25" t="s">
        <v>5566</v>
      </c>
      <c r="B973" s="25"/>
      <c r="C973" s="26" t="s">
        <v>3005</v>
      </c>
      <c r="D973" s="70"/>
      <c r="G973" s="70" t="s">
        <v>904</v>
      </c>
      <c r="H973" s="26">
        <v>-1</v>
      </c>
      <c r="I973" s="70" t="s">
        <v>5567</v>
      </c>
      <c r="J973" s="26" t="s">
        <v>5568</v>
      </c>
      <c r="K973" s="26" t="s">
        <v>3987</v>
      </c>
      <c r="L973" s="26" t="s">
        <v>10389</v>
      </c>
      <c r="M973" s="76"/>
      <c r="N973" s="76"/>
      <c r="O973" s="76"/>
      <c r="P973" s="76"/>
      <c r="Q973" s="76"/>
      <c r="R973" s="76"/>
      <c r="Z973" s="70"/>
      <c r="AA973" s="70"/>
      <c r="AB973" s="70"/>
      <c r="AC973" s="70"/>
    </row>
    <row r="974" spans="1:29" s="26" customFormat="1" x14ac:dyDescent="0.3">
      <c r="A974" s="25" t="s">
        <v>5569</v>
      </c>
      <c r="B974" s="25"/>
      <c r="C974" s="26" t="s">
        <v>3005</v>
      </c>
      <c r="D974" s="70"/>
      <c r="G974" s="70" t="s">
        <v>904</v>
      </c>
      <c r="H974" s="26">
        <v>-1</v>
      </c>
      <c r="I974" s="70" t="s">
        <v>5570</v>
      </c>
      <c r="J974" s="26" t="s">
        <v>5565</v>
      </c>
      <c r="K974" s="26" t="s">
        <v>5571</v>
      </c>
      <c r="L974" s="26" t="s">
        <v>10390</v>
      </c>
      <c r="M974" s="76"/>
      <c r="N974" s="76"/>
      <c r="O974" s="76"/>
      <c r="P974" s="76"/>
      <c r="Q974" s="76"/>
      <c r="R974" s="76"/>
      <c r="Z974" s="70"/>
      <c r="AA974" s="70"/>
      <c r="AB974" s="70"/>
      <c r="AC974" s="70"/>
    </row>
    <row r="975" spans="1:29" s="26" customFormat="1" x14ac:dyDescent="0.3">
      <c r="A975" s="25" t="s">
        <v>5572</v>
      </c>
      <c r="B975" s="25"/>
      <c r="C975" s="26" t="s">
        <v>3005</v>
      </c>
      <c r="D975" s="70"/>
      <c r="G975" s="70" t="s">
        <v>904</v>
      </c>
      <c r="H975" s="26">
        <v>-1</v>
      </c>
      <c r="I975" s="70" t="s">
        <v>5573</v>
      </c>
      <c r="J975" s="26" t="s">
        <v>5574</v>
      </c>
      <c r="K975" s="26" t="s">
        <v>5575</v>
      </c>
      <c r="L975" s="26" t="s">
        <v>10391</v>
      </c>
      <c r="M975" s="76"/>
      <c r="N975" s="76"/>
      <c r="O975" s="76"/>
      <c r="P975" s="76"/>
      <c r="Q975" s="76"/>
      <c r="R975" s="76"/>
      <c r="Z975" s="70"/>
      <c r="AA975" s="70"/>
      <c r="AB975" s="70"/>
      <c r="AC975" s="70"/>
    </row>
    <row r="976" spans="1:29" s="26" customFormat="1" x14ac:dyDescent="0.3">
      <c r="A976" s="25" t="s">
        <v>5576</v>
      </c>
      <c r="B976" s="25"/>
      <c r="C976" s="26" t="s">
        <v>3005</v>
      </c>
      <c r="D976" s="70"/>
      <c r="G976" s="70" t="s">
        <v>904</v>
      </c>
      <c r="H976" s="26">
        <v>2</v>
      </c>
      <c r="I976" s="70" t="s">
        <v>5577</v>
      </c>
      <c r="J976" s="26" t="s">
        <v>4318</v>
      </c>
      <c r="K976" s="26" t="s">
        <v>5578</v>
      </c>
      <c r="L976" s="26" t="s">
        <v>10392</v>
      </c>
      <c r="M976" s="76"/>
      <c r="N976" s="76"/>
      <c r="O976" s="76"/>
      <c r="P976" s="76"/>
      <c r="Q976" s="76"/>
      <c r="R976" s="76"/>
      <c r="Z976" s="70"/>
      <c r="AA976" s="70"/>
      <c r="AB976" s="70"/>
      <c r="AC976" s="70"/>
    </row>
    <row r="977" spans="1:29" s="24" customFormat="1" x14ac:dyDescent="0.3">
      <c r="A977" s="23">
        <v>301</v>
      </c>
      <c r="B977" s="23">
        <v>297</v>
      </c>
      <c r="C977" s="24" t="s">
        <v>2165</v>
      </c>
      <c r="D977" s="69" t="s">
        <v>875</v>
      </c>
      <c r="E977" s="24" t="s">
        <v>874</v>
      </c>
      <c r="F977" s="24" t="s">
        <v>906</v>
      </c>
      <c r="G977" s="69" t="s">
        <v>907</v>
      </c>
      <c r="H977" s="24">
        <v>2</v>
      </c>
      <c r="I977" s="69"/>
      <c r="J977" s="24" t="s">
        <v>5579</v>
      </c>
      <c r="K977" s="24" t="s">
        <v>68</v>
      </c>
      <c r="M977" s="75" t="s">
        <v>65</v>
      </c>
      <c r="N977" s="75" t="s">
        <v>2015</v>
      </c>
      <c r="O977" s="75" t="s">
        <v>66</v>
      </c>
      <c r="P977" s="75" t="s">
        <v>66</v>
      </c>
      <c r="Q977" s="75" t="s">
        <v>67</v>
      </c>
      <c r="R977" s="75"/>
      <c r="Z977" s="69"/>
      <c r="AA977" s="69"/>
      <c r="AB977" s="69"/>
      <c r="AC977" s="69"/>
    </row>
    <row r="978" spans="1:29" s="26" customFormat="1" x14ac:dyDescent="0.3">
      <c r="A978" s="25" t="s">
        <v>5580</v>
      </c>
      <c r="B978" s="25"/>
      <c r="C978" s="26" t="s">
        <v>3005</v>
      </c>
      <c r="D978" s="70"/>
      <c r="G978" s="70" t="s">
        <v>907</v>
      </c>
      <c r="H978" s="26">
        <v>1</v>
      </c>
      <c r="I978" s="70" t="s">
        <v>3267</v>
      </c>
      <c r="J978" s="26" t="s">
        <v>5579</v>
      </c>
      <c r="K978" s="26" t="s">
        <v>5581</v>
      </c>
      <c r="L978" s="26" t="s">
        <v>10393</v>
      </c>
      <c r="M978" s="76"/>
      <c r="N978" s="76"/>
      <c r="O978" s="76"/>
      <c r="P978" s="76"/>
      <c r="Q978" s="76"/>
      <c r="R978" s="76"/>
      <c r="Z978" s="70"/>
      <c r="AA978" s="70"/>
      <c r="AB978" s="70"/>
      <c r="AC978" s="70"/>
    </row>
    <row r="979" spans="1:29" s="26" customFormat="1" x14ac:dyDescent="0.3">
      <c r="A979" s="25" t="s">
        <v>5582</v>
      </c>
      <c r="B979" s="25"/>
      <c r="C979" s="26" t="s">
        <v>3005</v>
      </c>
      <c r="D979" s="70"/>
      <c r="G979" s="70" t="s">
        <v>907</v>
      </c>
      <c r="H979" s="26">
        <v>1</v>
      </c>
      <c r="I979" s="70" t="s">
        <v>5230</v>
      </c>
      <c r="J979" s="26" t="s">
        <v>5583</v>
      </c>
      <c r="K979" s="26" t="s">
        <v>5584</v>
      </c>
      <c r="L979" s="26" t="s">
        <v>10394</v>
      </c>
      <c r="M979" s="76"/>
      <c r="N979" s="76"/>
      <c r="O979" s="76"/>
      <c r="P979" s="76"/>
      <c r="Q979" s="76"/>
      <c r="R979" s="76"/>
      <c r="Z979" s="70"/>
      <c r="AA979" s="70"/>
      <c r="AB979" s="70"/>
      <c r="AC979" s="70"/>
    </row>
    <row r="980" spans="1:29" s="24" customFormat="1" x14ac:dyDescent="0.3">
      <c r="A980" s="23">
        <v>302</v>
      </c>
      <c r="B980" s="23">
        <v>298</v>
      </c>
      <c r="C980" s="24" t="s">
        <v>2165</v>
      </c>
      <c r="D980" s="69" t="s">
        <v>875</v>
      </c>
      <c r="E980" s="24" t="s">
        <v>874</v>
      </c>
      <c r="F980" s="24" t="s">
        <v>908</v>
      </c>
      <c r="G980" s="69" t="s">
        <v>909</v>
      </c>
      <c r="H980" s="24">
        <v>1</v>
      </c>
      <c r="I980" s="69"/>
      <c r="J980" s="24" t="s">
        <v>4187</v>
      </c>
      <c r="K980" s="24" t="s">
        <v>910</v>
      </c>
      <c r="M980" s="75" t="s">
        <v>15</v>
      </c>
      <c r="N980" s="75"/>
      <c r="O980" s="75"/>
      <c r="P980" s="75"/>
      <c r="Q980" s="75"/>
      <c r="R980" s="75"/>
      <c r="V980" s="24" t="s">
        <v>2535</v>
      </c>
      <c r="W980" s="24" t="s">
        <v>2535</v>
      </c>
      <c r="Y980" s="24" t="s">
        <v>2536</v>
      </c>
      <c r="Z980" s="69"/>
      <c r="AA980" s="69"/>
      <c r="AB980" s="69"/>
      <c r="AC980" s="69"/>
    </row>
    <row r="981" spans="1:29" s="26" customFormat="1" x14ac:dyDescent="0.3">
      <c r="A981" s="25" t="s">
        <v>5585</v>
      </c>
      <c r="B981" s="25"/>
      <c r="C981" s="26" t="s">
        <v>3005</v>
      </c>
      <c r="D981" s="70"/>
      <c r="G981" s="70" t="s">
        <v>909</v>
      </c>
      <c r="H981" s="26">
        <v>-1</v>
      </c>
      <c r="I981" s="70" t="s">
        <v>5586</v>
      </c>
      <c r="J981" s="26" t="s">
        <v>4187</v>
      </c>
      <c r="K981" s="26" t="s">
        <v>5587</v>
      </c>
      <c r="L981" s="26" t="s">
        <v>10395</v>
      </c>
      <c r="M981" s="76"/>
      <c r="N981" s="76"/>
      <c r="O981" s="76"/>
      <c r="P981" s="76"/>
      <c r="Q981" s="76"/>
      <c r="R981" s="76"/>
      <c r="Z981" s="70"/>
      <c r="AA981" s="70"/>
      <c r="AB981" s="70"/>
      <c r="AC981" s="70"/>
    </row>
    <row r="982" spans="1:29" s="26" customFormat="1" x14ac:dyDescent="0.3">
      <c r="A982" s="25" t="s">
        <v>5588</v>
      </c>
      <c r="B982" s="25"/>
      <c r="C982" s="26" t="s">
        <v>3005</v>
      </c>
      <c r="D982" s="70"/>
      <c r="G982" s="70" t="s">
        <v>909</v>
      </c>
      <c r="H982" s="26">
        <v>-1</v>
      </c>
      <c r="I982" s="70" t="s">
        <v>5589</v>
      </c>
      <c r="J982" s="26" t="s">
        <v>3794</v>
      </c>
      <c r="K982" s="26" t="s">
        <v>3795</v>
      </c>
      <c r="L982" s="26" t="s">
        <v>10396</v>
      </c>
      <c r="M982" s="76"/>
      <c r="N982" s="76"/>
      <c r="O982" s="76"/>
      <c r="P982" s="76"/>
      <c r="Q982" s="76"/>
      <c r="R982" s="76"/>
      <c r="Z982" s="70"/>
      <c r="AA982" s="70"/>
      <c r="AB982" s="70"/>
      <c r="AC982" s="70"/>
    </row>
    <row r="983" spans="1:29" s="26" customFormat="1" x14ac:dyDescent="0.3">
      <c r="A983" s="25" t="s">
        <v>5590</v>
      </c>
      <c r="B983" s="25"/>
      <c r="C983" s="26" t="s">
        <v>3005</v>
      </c>
      <c r="D983" s="70"/>
      <c r="G983" s="70" t="s">
        <v>909</v>
      </c>
      <c r="H983" s="26">
        <v>4</v>
      </c>
      <c r="I983" s="70" t="s">
        <v>5591</v>
      </c>
      <c r="J983" s="26" t="s">
        <v>5253</v>
      </c>
      <c r="K983" s="26" t="s">
        <v>5592</v>
      </c>
      <c r="L983" s="26" t="s">
        <v>10397</v>
      </c>
      <c r="M983" s="76"/>
      <c r="N983" s="76"/>
      <c r="O983" s="76"/>
      <c r="P983" s="76"/>
      <c r="Q983" s="76"/>
      <c r="R983" s="76"/>
      <c r="Z983" s="70"/>
      <c r="AA983" s="70"/>
      <c r="AB983" s="70"/>
      <c r="AC983" s="70"/>
    </row>
    <row r="984" spans="1:29" s="24" customFormat="1" x14ac:dyDescent="0.3">
      <c r="A984" s="23">
        <v>303</v>
      </c>
      <c r="B984" s="23">
        <v>299</v>
      </c>
      <c r="C984" s="24" t="s">
        <v>2165</v>
      </c>
      <c r="D984" s="69" t="s">
        <v>875</v>
      </c>
      <c r="E984" s="24" t="s">
        <v>874</v>
      </c>
      <c r="F984" s="24" t="s">
        <v>911</v>
      </c>
      <c r="G984" s="69" t="s">
        <v>912</v>
      </c>
      <c r="H984" s="24">
        <v>1</v>
      </c>
      <c r="I984" s="69"/>
      <c r="J984" s="24" t="s">
        <v>3364</v>
      </c>
      <c r="K984" s="24" t="s">
        <v>913</v>
      </c>
      <c r="M984" s="75" t="s">
        <v>15</v>
      </c>
      <c r="N984" s="75"/>
      <c r="O984" s="75"/>
      <c r="P984" s="75"/>
      <c r="Q984" s="75"/>
      <c r="R984" s="75"/>
      <c r="U984" s="24" t="s">
        <v>2537</v>
      </c>
      <c r="W984" s="24" t="s">
        <v>2538</v>
      </c>
      <c r="Y984" s="24" t="s">
        <v>2538</v>
      </c>
      <c r="Z984" s="69"/>
      <c r="AA984" s="69"/>
      <c r="AB984" s="69"/>
      <c r="AC984" s="69"/>
    </row>
    <row r="985" spans="1:29" s="26" customFormat="1" x14ac:dyDescent="0.3">
      <c r="A985" s="25" t="s">
        <v>5593</v>
      </c>
      <c r="B985" s="25"/>
      <c r="C985" s="26" t="s">
        <v>3005</v>
      </c>
      <c r="D985" s="70"/>
      <c r="G985" s="70" t="s">
        <v>912</v>
      </c>
      <c r="H985" s="26">
        <v>-1</v>
      </c>
      <c r="I985" s="70" t="s">
        <v>4196</v>
      </c>
      <c r="J985" s="26" t="s">
        <v>3919</v>
      </c>
      <c r="K985" s="26" t="s">
        <v>5594</v>
      </c>
      <c r="L985" s="26" t="s">
        <v>10398</v>
      </c>
      <c r="M985" s="76"/>
      <c r="N985" s="76"/>
      <c r="O985" s="76"/>
      <c r="P985" s="76"/>
      <c r="Q985" s="76"/>
      <c r="R985" s="76"/>
      <c r="Z985" s="70"/>
      <c r="AA985" s="70"/>
      <c r="AB985" s="70"/>
      <c r="AC985" s="70"/>
    </row>
    <row r="986" spans="1:29" s="26" customFormat="1" x14ac:dyDescent="0.3">
      <c r="A986" s="25" t="s">
        <v>5595</v>
      </c>
      <c r="B986" s="25"/>
      <c r="C986" s="26" t="s">
        <v>3005</v>
      </c>
      <c r="D986" s="70"/>
      <c r="G986" s="70" t="s">
        <v>912</v>
      </c>
      <c r="H986" s="26">
        <v>-1</v>
      </c>
      <c r="I986" s="70" t="s">
        <v>5596</v>
      </c>
      <c r="J986" s="26" t="s">
        <v>5597</v>
      </c>
      <c r="K986" s="26" t="s">
        <v>5598</v>
      </c>
      <c r="L986" s="26" t="s">
        <v>10399</v>
      </c>
      <c r="M986" s="76"/>
      <c r="N986" s="76"/>
      <c r="O986" s="76"/>
      <c r="P986" s="76"/>
      <c r="Q986" s="76"/>
      <c r="R986" s="76"/>
      <c r="Z986" s="70"/>
      <c r="AA986" s="70"/>
      <c r="AB986" s="70"/>
      <c r="AC986" s="70"/>
    </row>
    <row r="987" spans="1:29" s="26" customFormat="1" x14ac:dyDescent="0.3">
      <c r="A987" s="25" t="s">
        <v>5599</v>
      </c>
      <c r="B987" s="25"/>
      <c r="C987" s="26" t="s">
        <v>3005</v>
      </c>
      <c r="D987" s="70"/>
      <c r="G987" s="70" t="s">
        <v>912</v>
      </c>
      <c r="H987" s="26">
        <v>-1</v>
      </c>
      <c r="I987" s="70" t="s">
        <v>5600</v>
      </c>
      <c r="J987" s="26" t="s">
        <v>3829</v>
      </c>
      <c r="K987" s="26" t="s">
        <v>3888</v>
      </c>
      <c r="L987" s="26" t="s">
        <v>10082</v>
      </c>
      <c r="M987" s="76"/>
      <c r="N987" s="76"/>
      <c r="O987" s="76"/>
      <c r="P987" s="76"/>
      <c r="Q987" s="76"/>
      <c r="R987" s="76"/>
      <c r="Z987" s="70"/>
      <c r="AA987" s="70"/>
      <c r="AB987" s="70"/>
      <c r="AC987" s="70"/>
    </row>
    <row r="988" spans="1:29" s="26" customFormat="1" x14ac:dyDescent="0.3">
      <c r="A988" s="25" t="s">
        <v>5601</v>
      </c>
      <c r="B988" s="25"/>
      <c r="C988" s="26" t="s">
        <v>3005</v>
      </c>
      <c r="D988" s="70"/>
      <c r="G988" s="70" t="s">
        <v>912</v>
      </c>
      <c r="H988" s="26">
        <v>-1</v>
      </c>
      <c r="I988" s="70" t="s">
        <v>5602</v>
      </c>
      <c r="J988" s="26" t="s">
        <v>5603</v>
      </c>
      <c r="K988" s="26" t="s">
        <v>5604</v>
      </c>
      <c r="L988" s="26" t="s">
        <v>10400</v>
      </c>
      <c r="M988" s="76"/>
      <c r="N988" s="76"/>
      <c r="O988" s="76"/>
      <c r="P988" s="76"/>
      <c r="Q988" s="76"/>
      <c r="R988" s="76"/>
      <c r="Z988" s="70"/>
      <c r="AA988" s="70"/>
      <c r="AB988" s="70"/>
      <c r="AC988" s="70"/>
    </row>
    <row r="989" spans="1:29" s="26" customFormat="1" x14ac:dyDescent="0.3">
      <c r="A989" s="25" t="s">
        <v>5605</v>
      </c>
      <c r="B989" s="25"/>
      <c r="C989" s="26" t="s">
        <v>3005</v>
      </c>
      <c r="D989" s="70"/>
      <c r="G989" s="70" t="s">
        <v>912</v>
      </c>
      <c r="H989" s="26">
        <v>-1</v>
      </c>
      <c r="I989" s="70" t="s">
        <v>5606</v>
      </c>
      <c r="J989" s="26" t="s">
        <v>5607</v>
      </c>
      <c r="K989" s="26" t="s">
        <v>5608</v>
      </c>
      <c r="L989" s="26" t="s">
        <v>10401</v>
      </c>
      <c r="M989" s="76"/>
      <c r="N989" s="76"/>
      <c r="O989" s="76"/>
      <c r="P989" s="76"/>
      <c r="Q989" s="76"/>
      <c r="R989" s="76"/>
      <c r="Z989" s="70"/>
      <c r="AA989" s="70"/>
      <c r="AB989" s="70"/>
      <c r="AC989" s="70"/>
    </row>
    <row r="990" spans="1:29" s="26" customFormat="1" x14ac:dyDescent="0.3">
      <c r="A990" s="25" t="s">
        <v>5609</v>
      </c>
      <c r="B990" s="25"/>
      <c r="C990" s="26" t="s">
        <v>3005</v>
      </c>
      <c r="D990" s="70"/>
      <c r="G990" s="70" t="s">
        <v>912</v>
      </c>
      <c r="H990" s="26">
        <v>-1</v>
      </c>
      <c r="I990" s="70" t="s">
        <v>5610</v>
      </c>
      <c r="J990" s="26" t="s">
        <v>3364</v>
      </c>
      <c r="K990" s="26" t="s">
        <v>5611</v>
      </c>
      <c r="L990" s="26" t="s">
        <v>10402</v>
      </c>
      <c r="M990" s="76"/>
      <c r="N990" s="76"/>
      <c r="O990" s="76"/>
      <c r="P990" s="76"/>
      <c r="Q990" s="76"/>
      <c r="R990" s="76"/>
      <c r="Z990" s="70"/>
      <c r="AA990" s="70"/>
      <c r="AB990" s="70"/>
      <c r="AC990" s="70"/>
    </row>
    <row r="991" spans="1:29" s="26" customFormat="1" x14ac:dyDescent="0.3">
      <c r="A991" s="25" t="s">
        <v>5612</v>
      </c>
      <c r="B991" s="25"/>
      <c r="C991" s="26" t="s">
        <v>3005</v>
      </c>
      <c r="D991" s="70"/>
      <c r="G991" s="70" t="s">
        <v>912</v>
      </c>
      <c r="H991" s="26">
        <v>-1</v>
      </c>
      <c r="I991" s="70" t="s">
        <v>5315</v>
      </c>
      <c r="J991" s="26" t="s">
        <v>5613</v>
      </c>
      <c r="K991" s="26" t="s">
        <v>5614</v>
      </c>
      <c r="L991" s="26" t="s">
        <v>10403</v>
      </c>
      <c r="M991" s="76"/>
      <c r="N991" s="76"/>
      <c r="O991" s="76"/>
      <c r="P991" s="76"/>
      <c r="Q991" s="76"/>
      <c r="R991" s="76"/>
      <c r="Z991" s="70"/>
      <c r="AA991" s="70"/>
      <c r="AB991" s="70"/>
      <c r="AC991" s="70"/>
    </row>
    <row r="992" spans="1:29" s="26" customFormat="1" x14ac:dyDescent="0.3">
      <c r="A992" s="25" t="s">
        <v>5615</v>
      </c>
      <c r="B992" s="25"/>
      <c r="C992" s="26" t="s">
        <v>3005</v>
      </c>
      <c r="D992" s="70"/>
      <c r="G992" s="70" t="s">
        <v>912</v>
      </c>
      <c r="H992" s="26">
        <v>-1</v>
      </c>
      <c r="I992" s="70" t="s">
        <v>3717</v>
      </c>
      <c r="J992" s="26" t="s">
        <v>5616</v>
      </c>
      <c r="K992" s="26" t="s">
        <v>5617</v>
      </c>
      <c r="L992" s="26" t="s">
        <v>10404</v>
      </c>
      <c r="M992" s="76"/>
      <c r="N992" s="76"/>
      <c r="O992" s="76"/>
      <c r="P992" s="76"/>
      <c r="Q992" s="76"/>
      <c r="R992" s="76"/>
      <c r="Z992" s="70"/>
      <c r="AA992" s="70"/>
      <c r="AB992" s="70"/>
      <c r="AC992" s="70"/>
    </row>
    <row r="993" spans="1:31" s="26" customFormat="1" x14ac:dyDescent="0.3">
      <c r="A993" s="25" t="s">
        <v>5618</v>
      </c>
      <c r="B993" s="25"/>
      <c r="C993" s="26" t="s">
        <v>3005</v>
      </c>
      <c r="D993" s="70"/>
      <c r="G993" s="70" t="s">
        <v>912</v>
      </c>
      <c r="H993" s="26">
        <v>3</v>
      </c>
      <c r="I993" s="70" t="s">
        <v>3694</v>
      </c>
      <c r="J993" s="26" t="s">
        <v>5619</v>
      </c>
      <c r="K993" s="26" t="s">
        <v>5620</v>
      </c>
      <c r="L993" s="26" t="s">
        <v>9788</v>
      </c>
      <c r="M993" s="76"/>
      <c r="N993" s="76"/>
      <c r="O993" s="76"/>
      <c r="P993" s="76"/>
      <c r="Q993" s="76"/>
      <c r="R993" s="76"/>
      <c r="Z993" s="70"/>
      <c r="AA993" s="70"/>
      <c r="AB993" s="70"/>
      <c r="AC993" s="70"/>
    </row>
    <row r="994" spans="1:31" s="24" customFormat="1" x14ac:dyDescent="0.3">
      <c r="A994" s="23">
        <v>304</v>
      </c>
      <c r="B994" s="23">
        <v>300</v>
      </c>
      <c r="C994" s="24" t="s">
        <v>2165</v>
      </c>
      <c r="D994" s="69" t="s">
        <v>875</v>
      </c>
      <c r="E994" s="24" t="s">
        <v>874</v>
      </c>
      <c r="F994" s="24" t="s">
        <v>914</v>
      </c>
      <c r="G994" s="69" t="s">
        <v>915</v>
      </c>
      <c r="I994" s="69"/>
      <c r="J994" s="24" t="s">
        <v>3863</v>
      </c>
      <c r="K994" s="24" t="s">
        <v>916</v>
      </c>
      <c r="M994" s="75" t="s">
        <v>236</v>
      </c>
      <c r="N994" s="75"/>
      <c r="O994" s="75"/>
      <c r="P994" s="75"/>
      <c r="Q994" s="75"/>
      <c r="R994" s="75"/>
      <c r="T994" s="24" t="s">
        <v>2179</v>
      </c>
      <c r="V994" s="24" t="s">
        <v>911</v>
      </c>
      <c r="Z994" s="69"/>
      <c r="AA994" s="69"/>
      <c r="AB994" s="69"/>
      <c r="AC994" s="69"/>
      <c r="AD994" s="24" t="s">
        <v>11330</v>
      </c>
      <c r="AE994" s="24" t="s">
        <v>2539</v>
      </c>
    </row>
    <row r="995" spans="1:31" s="26" customFormat="1" x14ac:dyDescent="0.3">
      <c r="A995" s="25" t="s">
        <v>5621</v>
      </c>
      <c r="B995" s="25"/>
      <c r="C995" s="26" t="s">
        <v>3005</v>
      </c>
      <c r="D995" s="70"/>
      <c r="G995" s="70" t="s">
        <v>915</v>
      </c>
      <c r="H995" s="26">
        <v>-1</v>
      </c>
      <c r="I995" s="70" t="s">
        <v>5622</v>
      </c>
      <c r="J995" s="26" t="s">
        <v>5623</v>
      </c>
      <c r="K995" s="26" t="s">
        <v>5624</v>
      </c>
      <c r="M995" s="76"/>
      <c r="N995" s="76"/>
      <c r="O995" s="76"/>
      <c r="P995" s="76"/>
      <c r="Q995" s="76"/>
      <c r="R995" s="76"/>
      <c r="U995" s="26" t="s">
        <v>4736</v>
      </c>
      <c r="Z995" s="70"/>
      <c r="AA995" s="70"/>
      <c r="AB995" s="70"/>
      <c r="AC995" s="70"/>
    </row>
    <row r="996" spans="1:31" s="26" customFormat="1" x14ac:dyDescent="0.3">
      <c r="A996" s="25" t="s">
        <v>5625</v>
      </c>
      <c r="B996" s="25"/>
      <c r="C996" s="26" t="s">
        <v>3005</v>
      </c>
      <c r="D996" s="70"/>
      <c r="G996" s="70" t="s">
        <v>915</v>
      </c>
      <c r="H996" s="26">
        <v>-1</v>
      </c>
      <c r="I996" s="70" t="s">
        <v>5626</v>
      </c>
      <c r="J996" s="26" t="s">
        <v>3863</v>
      </c>
      <c r="K996" s="26" t="s">
        <v>5627</v>
      </c>
      <c r="L996" s="26" t="s">
        <v>10405</v>
      </c>
      <c r="M996" s="76"/>
      <c r="N996" s="76"/>
      <c r="O996" s="76"/>
      <c r="P996" s="76"/>
      <c r="Q996" s="76"/>
      <c r="R996" s="76"/>
      <c r="U996" s="26" t="s">
        <v>3872</v>
      </c>
      <c r="Z996" s="70"/>
      <c r="AA996" s="70"/>
      <c r="AB996" s="70"/>
      <c r="AC996" s="70"/>
    </row>
    <row r="997" spans="1:31" s="26" customFormat="1" x14ac:dyDescent="0.3">
      <c r="A997" s="25" t="s">
        <v>5628</v>
      </c>
      <c r="B997" s="25"/>
      <c r="C997" s="26" t="s">
        <v>3005</v>
      </c>
      <c r="D997" s="70"/>
      <c r="G997" s="70" t="s">
        <v>915</v>
      </c>
      <c r="H997" s="26">
        <v>-1</v>
      </c>
      <c r="I997" s="70" t="s">
        <v>5629</v>
      </c>
      <c r="J997" s="26" t="s">
        <v>5630</v>
      </c>
      <c r="K997" s="26" t="s">
        <v>5631</v>
      </c>
      <c r="L997" s="26" t="s">
        <v>10406</v>
      </c>
      <c r="M997" s="76"/>
      <c r="N997" s="76"/>
      <c r="O997" s="76"/>
      <c r="P997" s="76"/>
      <c r="Q997" s="76"/>
      <c r="R997" s="76"/>
      <c r="Z997" s="70"/>
      <c r="AA997" s="70"/>
      <c r="AB997" s="70"/>
      <c r="AC997" s="70"/>
    </row>
    <row r="998" spans="1:31" s="24" customFormat="1" x14ac:dyDescent="0.3">
      <c r="A998" s="23">
        <v>305</v>
      </c>
      <c r="B998" s="23">
        <v>301</v>
      </c>
      <c r="C998" s="24" t="s">
        <v>2165</v>
      </c>
      <c r="D998" s="69" t="s">
        <v>875</v>
      </c>
      <c r="E998" s="24" t="s">
        <v>874</v>
      </c>
      <c r="F998" s="24" t="s">
        <v>917</v>
      </c>
      <c r="G998" s="69" t="s">
        <v>918</v>
      </c>
      <c r="I998" s="69"/>
      <c r="J998" s="24" t="s">
        <v>5632</v>
      </c>
      <c r="K998" s="24" t="s">
        <v>919</v>
      </c>
      <c r="L998" s="24" t="s">
        <v>9794</v>
      </c>
      <c r="M998" s="75" t="s">
        <v>732</v>
      </c>
      <c r="N998" s="75"/>
      <c r="O998" s="75" t="s">
        <v>58</v>
      </c>
      <c r="P998" s="75" t="s">
        <v>58</v>
      </c>
      <c r="Q998" s="75" t="s">
        <v>66</v>
      </c>
      <c r="R998" s="75"/>
      <c r="T998" s="24" t="s">
        <v>2179</v>
      </c>
      <c r="V998" s="24" t="s">
        <v>911</v>
      </c>
      <c r="Z998" s="69"/>
      <c r="AA998" s="69"/>
      <c r="AB998" s="69"/>
      <c r="AC998" s="69"/>
      <c r="AE998" s="24" t="s">
        <v>2540</v>
      </c>
    </row>
    <row r="999" spans="1:31" s="24" customFormat="1" x14ac:dyDescent="0.3">
      <c r="A999" s="23">
        <v>306</v>
      </c>
      <c r="B999" s="23">
        <v>302</v>
      </c>
      <c r="C999" s="24" t="s">
        <v>2165</v>
      </c>
      <c r="D999" s="69" t="s">
        <v>875</v>
      </c>
      <c r="E999" s="24" t="s">
        <v>874</v>
      </c>
      <c r="F999" s="24" t="s">
        <v>920</v>
      </c>
      <c r="G999" s="69" t="s">
        <v>921</v>
      </c>
      <c r="H999" s="24">
        <v>3</v>
      </c>
      <c r="I999" s="69"/>
      <c r="J999" s="24" t="s">
        <v>3373</v>
      </c>
      <c r="K999" s="24" t="s">
        <v>68</v>
      </c>
      <c r="M999" s="75" t="s">
        <v>65</v>
      </c>
      <c r="N999" s="75" t="s">
        <v>2015</v>
      </c>
      <c r="O999" s="75"/>
      <c r="P999" s="75"/>
      <c r="Q999" s="75"/>
      <c r="R999" s="75"/>
      <c r="T999" s="24" t="s">
        <v>2541</v>
      </c>
      <c r="V999" s="24" t="s">
        <v>2542</v>
      </c>
      <c r="W999" s="24" t="s">
        <v>2543</v>
      </c>
      <c r="Y999" s="24" t="s">
        <v>2543</v>
      </c>
      <c r="Z999" s="69"/>
      <c r="AA999" s="69"/>
      <c r="AB999" s="69"/>
      <c r="AC999" s="69"/>
      <c r="AE999" s="24" t="s">
        <v>2544</v>
      </c>
    </row>
    <row r="1000" spans="1:31" s="26" customFormat="1" x14ac:dyDescent="0.3">
      <c r="A1000" s="25" t="s">
        <v>5633</v>
      </c>
      <c r="B1000" s="25"/>
      <c r="C1000" s="26" t="s">
        <v>3005</v>
      </c>
      <c r="D1000" s="70"/>
      <c r="G1000" s="70" t="s">
        <v>921</v>
      </c>
      <c r="H1000" s="26">
        <v>1</v>
      </c>
      <c r="I1000" s="70" t="s">
        <v>3267</v>
      </c>
      <c r="J1000" s="26" t="s">
        <v>3373</v>
      </c>
      <c r="K1000" s="26" t="s">
        <v>5634</v>
      </c>
      <c r="L1000" s="26" t="s">
        <v>10407</v>
      </c>
      <c r="M1000" s="76"/>
      <c r="N1000" s="76"/>
      <c r="O1000" s="76"/>
      <c r="P1000" s="76"/>
      <c r="Q1000" s="76"/>
      <c r="R1000" s="76"/>
      <c r="T1000" s="26" t="s">
        <v>2330</v>
      </c>
      <c r="Z1000" s="70"/>
      <c r="AA1000" s="70"/>
      <c r="AB1000" s="70"/>
      <c r="AC1000" s="70"/>
      <c r="AE1000" s="26" t="s">
        <v>5635</v>
      </c>
    </row>
    <row r="1001" spans="1:31" s="26" customFormat="1" x14ac:dyDescent="0.3">
      <c r="A1001" s="25" t="s">
        <v>5636</v>
      </c>
      <c r="B1001" s="25"/>
      <c r="C1001" s="26" t="s">
        <v>3005</v>
      </c>
      <c r="D1001" s="70"/>
      <c r="G1001" s="70" t="s">
        <v>921</v>
      </c>
      <c r="H1001" s="26">
        <v>1</v>
      </c>
      <c r="I1001" s="70" t="s">
        <v>5637</v>
      </c>
      <c r="J1001" s="26" t="s">
        <v>5638</v>
      </c>
      <c r="K1001" s="26" t="s">
        <v>5639</v>
      </c>
      <c r="L1001" s="26" t="s">
        <v>10408</v>
      </c>
      <c r="M1001" s="76"/>
      <c r="N1001" s="76"/>
      <c r="O1001" s="76"/>
      <c r="P1001" s="76"/>
      <c r="Q1001" s="76"/>
      <c r="R1001" s="76"/>
      <c r="T1001" s="26" t="s">
        <v>2330</v>
      </c>
      <c r="Z1001" s="70"/>
      <c r="AA1001" s="70"/>
      <c r="AB1001" s="70"/>
      <c r="AC1001" s="70"/>
      <c r="AE1001" s="26" t="s">
        <v>5640</v>
      </c>
    </row>
    <row r="1002" spans="1:31" s="26" customFormat="1" x14ac:dyDescent="0.3">
      <c r="A1002" s="25" t="s">
        <v>5641</v>
      </c>
      <c r="B1002" s="25"/>
      <c r="C1002" s="26" t="s">
        <v>3005</v>
      </c>
      <c r="D1002" s="70"/>
      <c r="G1002" s="70" t="s">
        <v>921</v>
      </c>
      <c r="H1002" s="26">
        <v>1</v>
      </c>
      <c r="I1002" s="70" t="s">
        <v>4570</v>
      </c>
      <c r="J1002" s="26" t="s">
        <v>3010</v>
      </c>
      <c r="K1002" s="26" t="s">
        <v>5642</v>
      </c>
      <c r="L1002" s="26" t="s">
        <v>10409</v>
      </c>
      <c r="M1002" s="76"/>
      <c r="N1002" s="76"/>
      <c r="O1002" s="76"/>
      <c r="P1002" s="76"/>
      <c r="Q1002" s="76"/>
      <c r="R1002" s="76"/>
      <c r="Z1002" s="70"/>
      <c r="AA1002" s="70"/>
      <c r="AB1002" s="70"/>
      <c r="AC1002" s="70"/>
    </row>
    <row r="1003" spans="1:31" s="24" customFormat="1" x14ac:dyDescent="0.3">
      <c r="A1003" s="23">
        <v>307</v>
      </c>
      <c r="B1003" s="23">
        <v>303</v>
      </c>
      <c r="C1003" s="24" t="s">
        <v>2165</v>
      </c>
      <c r="D1003" s="69" t="s">
        <v>875</v>
      </c>
      <c r="E1003" s="24" t="s">
        <v>874</v>
      </c>
      <c r="F1003" s="24" t="s">
        <v>922</v>
      </c>
      <c r="G1003" s="69" t="s">
        <v>923</v>
      </c>
      <c r="I1003" s="69"/>
      <c r="J1003" s="24" t="s">
        <v>5643</v>
      </c>
      <c r="K1003" s="24" t="s">
        <v>924</v>
      </c>
      <c r="L1003" s="24" t="s">
        <v>9795</v>
      </c>
      <c r="M1003" s="75" t="s">
        <v>65</v>
      </c>
      <c r="N1003" s="75" t="s">
        <v>2020</v>
      </c>
      <c r="O1003" s="75" t="s">
        <v>58</v>
      </c>
      <c r="P1003" s="75" t="s">
        <v>58</v>
      </c>
      <c r="Q1003" s="75" t="s">
        <v>66</v>
      </c>
      <c r="R1003" s="75"/>
      <c r="T1003" s="24" t="s">
        <v>2179</v>
      </c>
      <c r="V1003" s="24" t="s">
        <v>2542</v>
      </c>
      <c r="W1003" s="24" t="s">
        <v>2545</v>
      </c>
      <c r="Y1003" s="24" t="s">
        <v>2545</v>
      </c>
      <c r="Z1003" s="69"/>
      <c r="AA1003" s="69"/>
      <c r="AB1003" s="69"/>
      <c r="AC1003" s="69"/>
      <c r="AE1003" s="24" t="s">
        <v>2546</v>
      </c>
    </row>
    <row r="1004" spans="1:31" s="24" customFormat="1" x14ac:dyDescent="0.3">
      <c r="A1004" s="23">
        <v>308</v>
      </c>
      <c r="B1004" s="23">
        <v>304</v>
      </c>
      <c r="C1004" s="24" t="s">
        <v>2165</v>
      </c>
      <c r="D1004" s="69" t="s">
        <v>875</v>
      </c>
      <c r="E1004" s="24" t="s">
        <v>874</v>
      </c>
      <c r="F1004" s="24" t="s">
        <v>925</v>
      </c>
      <c r="G1004" s="69" t="s">
        <v>926</v>
      </c>
      <c r="I1004" s="69"/>
      <c r="J1004" s="24" t="s">
        <v>3804</v>
      </c>
      <c r="K1004" s="24" t="s">
        <v>927</v>
      </c>
      <c r="L1004" s="24" t="s">
        <v>9796</v>
      </c>
      <c r="M1004" s="75" t="s">
        <v>65</v>
      </c>
      <c r="N1004" s="75" t="s">
        <v>2021</v>
      </c>
      <c r="O1004" s="75" t="s">
        <v>66</v>
      </c>
      <c r="P1004" s="75" t="s">
        <v>66</v>
      </c>
      <c r="Q1004" s="75" t="s">
        <v>66</v>
      </c>
      <c r="R1004" s="75"/>
      <c r="T1004" s="24" t="s">
        <v>2179</v>
      </c>
      <c r="V1004" s="24" t="s">
        <v>2542</v>
      </c>
      <c r="W1004" s="24" t="s">
        <v>2547</v>
      </c>
      <c r="Y1004" s="24" t="s">
        <v>2547</v>
      </c>
      <c r="Z1004" s="69"/>
      <c r="AA1004" s="69"/>
      <c r="AB1004" s="69"/>
      <c r="AC1004" s="69"/>
      <c r="AE1004" s="24" t="s">
        <v>2548</v>
      </c>
    </row>
    <row r="1005" spans="1:31" s="24" customFormat="1" x14ac:dyDescent="0.3">
      <c r="A1005" s="23">
        <v>309</v>
      </c>
      <c r="B1005" s="23">
        <v>305</v>
      </c>
      <c r="C1005" s="24" t="s">
        <v>2165</v>
      </c>
      <c r="D1005" s="69" t="s">
        <v>875</v>
      </c>
      <c r="E1005" s="24" t="s">
        <v>874</v>
      </c>
      <c r="F1005" s="24" t="s">
        <v>928</v>
      </c>
      <c r="G1005" s="69" t="s">
        <v>929</v>
      </c>
      <c r="H1005" s="24">
        <v>2</v>
      </c>
      <c r="I1005" s="69"/>
      <c r="J1005" s="24" t="s">
        <v>5274</v>
      </c>
      <c r="K1005" s="24" t="s">
        <v>930</v>
      </c>
      <c r="M1005" s="75" t="s">
        <v>65</v>
      </c>
      <c r="N1005" s="75" t="s">
        <v>2026</v>
      </c>
      <c r="O1005" s="75" t="s">
        <v>67</v>
      </c>
      <c r="P1005" s="75" t="s">
        <v>67</v>
      </c>
      <c r="Q1005" s="75" t="s">
        <v>67</v>
      </c>
      <c r="R1005" s="75"/>
      <c r="T1005" s="24" t="s">
        <v>2179</v>
      </c>
      <c r="V1005" s="24" t="s">
        <v>2542</v>
      </c>
      <c r="W1005" s="24" t="s">
        <v>2549</v>
      </c>
      <c r="Y1005" s="24" t="s">
        <v>2549</v>
      </c>
      <c r="Z1005" s="69"/>
      <c r="AA1005" s="69" t="s">
        <v>2550</v>
      </c>
      <c r="AB1005" s="69"/>
      <c r="AC1005" s="69"/>
      <c r="AE1005" s="24" t="s">
        <v>2551</v>
      </c>
    </row>
    <row r="1006" spans="1:31" s="26" customFormat="1" x14ac:dyDescent="0.3">
      <c r="A1006" s="25" t="s">
        <v>5644</v>
      </c>
      <c r="B1006" s="25"/>
      <c r="C1006" s="26" t="s">
        <v>3005</v>
      </c>
      <c r="D1006" s="70"/>
      <c r="G1006" s="70" t="s">
        <v>929</v>
      </c>
      <c r="H1006" s="26">
        <v>1</v>
      </c>
      <c r="I1006" s="70" t="s">
        <v>5645</v>
      </c>
      <c r="J1006" s="26" t="s">
        <v>5274</v>
      </c>
      <c r="K1006" s="26" t="s">
        <v>5646</v>
      </c>
      <c r="L1006" s="26" t="s">
        <v>10410</v>
      </c>
      <c r="M1006" s="76"/>
      <c r="N1006" s="76"/>
      <c r="O1006" s="76"/>
      <c r="P1006" s="76"/>
      <c r="Q1006" s="76"/>
      <c r="R1006" s="76"/>
      <c r="Z1006" s="70"/>
      <c r="AA1006" s="70"/>
      <c r="AB1006" s="70"/>
      <c r="AC1006" s="70"/>
    </row>
    <row r="1007" spans="1:31" s="26" customFormat="1" x14ac:dyDescent="0.3">
      <c r="A1007" s="25" t="s">
        <v>5647</v>
      </c>
      <c r="B1007" s="25"/>
      <c r="C1007" s="26" t="s">
        <v>3005</v>
      </c>
      <c r="D1007" s="70"/>
      <c r="G1007" s="70" t="s">
        <v>929</v>
      </c>
      <c r="H1007" s="26">
        <v>1</v>
      </c>
      <c r="I1007" s="70" t="s">
        <v>5648</v>
      </c>
      <c r="J1007" s="26" t="s">
        <v>5649</v>
      </c>
      <c r="K1007" s="26" t="s">
        <v>2031</v>
      </c>
      <c r="L1007" s="26" t="s">
        <v>9848</v>
      </c>
      <c r="M1007" s="76"/>
      <c r="N1007" s="76"/>
      <c r="O1007" s="76"/>
      <c r="P1007" s="76"/>
      <c r="Q1007" s="76"/>
      <c r="R1007" s="76"/>
      <c r="T1007" s="26" t="s">
        <v>2552</v>
      </c>
      <c r="Z1007" s="70"/>
      <c r="AA1007" s="70"/>
      <c r="AB1007" s="70"/>
      <c r="AC1007" s="70"/>
      <c r="AE1007" s="26" t="s">
        <v>5650</v>
      </c>
    </row>
    <row r="1008" spans="1:31" s="24" customFormat="1" x14ac:dyDescent="0.3">
      <c r="A1008" s="23">
        <v>310</v>
      </c>
      <c r="B1008" s="23">
        <v>306</v>
      </c>
      <c r="C1008" s="24" t="s">
        <v>2165</v>
      </c>
      <c r="D1008" s="69" t="s">
        <v>875</v>
      </c>
      <c r="E1008" s="24" t="s">
        <v>874</v>
      </c>
      <c r="F1008" s="24" t="s">
        <v>931</v>
      </c>
      <c r="G1008" s="69" t="s">
        <v>932</v>
      </c>
      <c r="I1008" s="69"/>
      <c r="J1008" s="24" t="s">
        <v>5649</v>
      </c>
      <c r="K1008" s="24" t="s">
        <v>933</v>
      </c>
      <c r="L1008" s="24" t="s">
        <v>9797</v>
      </c>
      <c r="M1008" s="75" t="s">
        <v>65</v>
      </c>
      <c r="N1008" s="75" t="s">
        <v>2027</v>
      </c>
      <c r="O1008" s="75" t="s">
        <v>67</v>
      </c>
      <c r="P1008" s="75" t="s">
        <v>67</v>
      </c>
      <c r="Q1008" s="75" t="s">
        <v>67</v>
      </c>
      <c r="R1008" s="75"/>
      <c r="T1008" s="24" t="s">
        <v>2552</v>
      </c>
      <c r="V1008" s="24" t="s">
        <v>2171</v>
      </c>
      <c r="W1008" s="24" t="s">
        <v>2553</v>
      </c>
      <c r="Y1008" s="24" t="s">
        <v>2553</v>
      </c>
      <c r="Z1008" s="69"/>
      <c r="AA1008" s="69"/>
      <c r="AB1008" s="69"/>
      <c r="AC1008" s="69"/>
      <c r="AD1008" s="24" t="s">
        <v>11331</v>
      </c>
      <c r="AE1008" s="24" t="s">
        <v>2554</v>
      </c>
    </row>
    <row r="1009" spans="1:31" s="24" customFormat="1" x14ac:dyDescent="0.3">
      <c r="A1009" s="23">
        <v>311</v>
      </c>
      <c r="B1009" s="23">
        <v>307</v>
      </c>
      <c r="C1009" s="24" t="s">
        <v>2165</v>
      </c>
      <c r="D1009" s="69" t="s">
        <v>875</v>
      </c>
      <c r="E1009" s="24" t="s">
        <v>874</v>
      </c>
      <c r="F1009" s="24" t="s">
        <v>934</v>
      </c>
      <c r="G1009" s="69" t="s">
        <v>935</v>
      </c>
      <c r="I1009" s="69"/>
      <c r="J1009" s="24" t="s">
        <v>5649</v>
      </c>
      <c r="K1009" s="24" t="s">
        <v>936</v>
      </c>
      <c r="L1009" s="24" t="s">
        <v>9798</v>
      </c>
      <c r="M1009" s="75" t="s">
        <v>65</v>
      </c>
      <c r="N1009" s="75" t="s">
        <v>2028</v>
      </c>
      <c r="O1009" s="75" t="s">
        <v>67</v>
      </c>
      <c r="P1009" s="75" t="s">
        <v>67</v>
      </c>
      <c r="Q1009" s="75" t="s">
        <v>67</v>
      </c>
      <c r="R1009" s="75"/>
      <c r="T1009" s="24" t="s">
        <v>2552</v>
      </c>
      <c r="V1009" s="24" t="s">
        <v>2171</v>
      </c>
      <c r="W1009" s="24" t="s">
        <v>2555</v>
      </c>
      <c r="Y1009" s="24" t="s">
        <v>2555</v>
      </c>
      <c r="Z1009" s="69"/>
      <c r="AA1009" s="69"/>
      <c r="AB1009" s="69"/>
      <c r="AC1009" s="69"/>
      <c r="AD1009" s="24" t="s">
        <v>11331</v>
      </c>
      <c r="AE1009" s="24" t="s">
        <v>2554</v>
      </c>
    </row>
    <row r="1010" spans="1:31" s="24" customFormat="1" x14ac:dyDescent="0.3">
      <c r="A1010" s="23">
        <v>312</v>
      </c>
      <c r="B1010" s="23">
        <v>308</v>
      </c>
      <c r="C1010" s="24" t="s">
        <v>2165</v>
      </c>
      <c r="D1010" s="69" t="s">
        <v>875</v>
      </c>
      <c r="E1010" s="24" t="s">
        <v>874</v>
      </c>
      <c r="F1010" s="24" t="s">
        <v>937</v>
      </c>
      <c r="G1010" s="69" t="s">
        <v>938</v>
      </c>
      <c r="I1010" s="69"/>
      <c r="J1010" s="24" t="s">
        <v>5169</v>
      </c>
      <c r="K1010" s="24" t="s">
        <v>939</v>
      </c>
      <c r="L1010" s="24" t="s">
        <v>9799</v>
      </c>
      <c r="M1010" s="75" t="s">
        <v>65</v>
      </c>
      <c r="N1010" s="75" t="s">
        <v>2029</v>
      </c>
      <c r="O1010" s="75" t="s">
        <v>66</v>
      </c>
      <c r="P1010" s="75" t="s">
        <v>66</v>
      </c>
      <c r="Q1010" s="75" t="s">
        <v>66</v>
      </c>
      <c r="R1010" s="75"/>
      <c r="T1010" s="24" t="s">
        <v>2179</v>
      </c>
      <c r="V1010" s="24" t="s">
        <v>2542</v>
      </c>
      <c r="W1010" s="24" t="s">
        <v>2556</v>
      </c>
      <c r="Y1010" s="24" t="s">
        <v>2556</v>
      </c>
      <c r="Z1010" s="69"/>
      <c r="AA1010" s="69"/>
      <c r="AB1010" s="69"/>
      <c r="AC1010" s="69"/>
      <c r="AE1010" s="24" t="s">
        <v>2557</v>
      </c>
    </row>
    <row r="1011" spans="1:31" s="24" customFormat="1" x14ac:dyDescent="0.3">
      <c r="A1011" s="23">
        <v>313</v>
      </c>
      <c r="B1011" s="23">
        <v>309</v>
      </c>
      <c r="C1011" s="24" t="s">
        <v>2165</v>
      </c>
      <c r="D1011" s="69" t="s">
        <v>875</v>
      </c>
      <c r="E1011" s="24" t="s">
        <v>874</v>
      </c>
      <c r="F1011" s="24" t="s">
        <v>940</v>
      </c>
      <c r="G1011" s="69" t="s">
        <v>941</v>
      </c>
      <c r="I1011" s="69"/>
      <c r="J1011" s="24" t="s">
        <v>4538</v>
      </c>
      <c r="K1011" s="24" t="s">
        <v>942</v>
      </c>
      <c r="M1011" s="75" t="s">
        <v>19</v>
      </c>
      <c r="N1011" s="75"/>
      <c r="O1011" s="75"/>
      <c r="P1011" s="75"/>
      <c r="Q1011" s="75"/>
      <c r="R1011" s="75" t="s">
        <v>2166</v>
      </c>
      <c r="Z1011" s="69"/>
      <c r="AA1011" s="69"/>
      <c r="AB1011" s="69"/>
      <c r="AC1011" s="69"/>
    </row>
    <row r="1012" spans="1:31" s="26" customFormat="1" x14ac:dyDescent="0.3">
      <c r="A1012" s="25" t="s">
        <v>5651</v>
      </c>
      <c r="B1012" s="25"/>
      <c r="C1012" s="26" t="s">
        <v>3005</v>
      </c>
      <c r="D1012" s="70"/>
      <c r="G1012" s="70" t="s">
        <v>941</v>
      </c>
      <c r="H1012" s="26">
        <v>-1</v>
      </c>
      <c r="I1012" s="70" t="s">
        <v>5652</v>
      </c>
      <c r="J1012" s="26" t="s">
        <v>4538</v>
      </c>
      <c r="K1012" s="26" t="s">
        <v>5653</v>
      </c>
      <c r="M1012" s="76"/>
      <c r="N1012" s="76"/>
      <c r="O1012" s="76"/>
      <c r="P1012" s="76"/>
      <c r="Q1012" s="76"/>
      <c r="R1012" s="76"/>
      <c r="Z1012" s="70"/>
      <c r="AA1012" s="70"/>
      <c r="AB1012" s="70"/>
      <c r="AC1012" s="70"/>
    </row>
    <row r="1013" spans="1:31" s="26" customFormat="1" x14ac:dyDescent="0.3">
      <c r="A1013" s="25" t="s">
        <v>5654</v>
      </c>
      <c r="B1013" s="25"/>
      <c r="C1013" s="26" t="s">
        <v>3005</v>
      </c>
      <c r="D1013" s="70"/>
      <c r="G1013" s="70" t="s">
        <v>941</v>
      </c>
      <c r="H1013" s="26">
        <v>-1</v>
      </c>
      <c r="I1013" s="70" t="s">
        <v>5655</v>
      </c>
      <c r="J1013" s="26" t="s">
        <v>5656</v>
      </c>
      <c r="K1013" s="26" t="s">
        <v>5657</v>
      </c>
      <c r="M1013" s="76"/>
      <c r="N1013" s="76"/>
      <c r="O1013" s="76"/>
      <c r="P1013" s="76"/>
      <c r="Q1013" s="76"/>
      <c r="R1013" s="76"/>
      <c r="Z1013" s="70"/>
      <c r="AA1013" s="70"/>
      <c r="AB1013" s="70"/>
      <c r="AC1013" s="70"/>
    </row>
    <row r="1014" spans="1:31" s="26" customFormat="1" x14ac:dyDescent="0.3">
      <c r="A1014" s="25" t="s">
        <v>5658</v>
      </c>
      <c r="B1014" s="25"/>
      <c r="C1014" s="26" t="s">
        <v>3005</v>
      </c>
      <c r="D1014" s="70"/>
      <c r="G1014" s="70" t="s">
        <v>941</v>
      </c>
      <c r="H1014" s="26">
        <v>-1</v>
      </c>
      <c r="I1014" s="70" t="s">
        <v>5659</v>
      </c>
      <c r="J1014" s="26" t="s">
        <v>5660</v>
      </c>
      <c r="K1014" s="26" t="s">
        <v>5661</v>
      </c>
      <c r="L1014" s="26" t="s">
        <v>10411</v>
      </c>
      <c r="M1014" s="76"/>
      <c r="N1014" s="76"/>
      <c r="O1014" s="76"/>
      <c r="P1014" s="76"/>
      <c r="Q1014" s="76"/>
      <c r="R1014" s="76"/>
      <c r="Z1014" s="70"/>
      <c r="AA1014" s="70"/>
      <c r="AB1014" s="70"/>
      <c r="AC1014" s="70"/>
    </row>
    <row r="1015" spans="1:31" s="26" customFormat="1" x14ac:dyDescent="0.3">
      <c r="A1015" s="25" t="s">
        <v>5662</v>
      </c>
      <c r="B1015" s="25"/>
      <c r="C1015" s="26" t="s">
        <v>3005</v>
      </c>
      <c r="D1015" s="70"/>
      <c r="G1015" s="70" t="s">
        <v>941</v>
      </c>
      <c r="H1015" s="26">
        <v>-1</v>
      </c>
      <c r="I1015" s="70" t="s">
        <v>5663</v>
      </c>
      <c r="J1015" s="26" t="s">
        <v>5664</v>
      </c>
      <c r="K1015" s="26" t="s">
        <v>5665</v>
      </c>
      <c r="L1015" s="26" t="s">
        <v>5665</v>
      </c>
      <c r="M1015" s="76"/>
      <c r="N1015" s="76"/>
      <c r="O1015" s="76"/>
      <c r="P1015" s="76"/>
      <c r="Q1015" s="76"/>
      <c r="R1015" s="76"/>
      <c r="Z1015" s="70"/>
      <c r="AA1015" s="70"/>
      <c r="AB1015" s="70"/>
      <c r="AC1015" s="70"/>
    </row>
    <row r="1016" spans="1:31" s="26" customFormat="1" x14ac:dyDescent="0.3">
      <c r="A1016" s="25" t="s">
        <v>5666</v>
      </c>
      <c r="B1016" s="25"/>
      <c r="C1016" s="26" t="s">
        <v>3005</v>
      </c>
      <c r="D1016" s="70"/>
      <c r="G1016" s="70" t="s">
        <v>941</v>
      </c>
      <c r="H1016" s="26">
        <v>-1</v>
      </c>
      <c r="I1016" s="70" t="s">
        <v>5667</v>
      </c>
      <c r="J1016" s="26" t="s">
        <v>5668</v>
      </c>
      <c r="K1016" s="26" t="s">
        <v>5669</v>
      </c>
      <c r="L1016" s="26" t="s">
        <v>10412</v>
      </c>
      <c r="M1016" s="76"/>
      <c r="N1016" s="76"/>
      <c r="O1016" s="76"/>
      <c r="P1016" s="76"/>
      <c r="Q1016" s="76"/>
      <c r="R1016" s="76"/>
      <c r="Z1016" s="70"/>
      <c r="AA1016" s="70"/>
      <c r="AB1016" s="70"/>
      <c r="AC1016" s="70"/>
    </row>
    <row r="1017" spans="1:31" s="26" customFormat="1" x14ac:dyDescent="0.3">
      <c r="A1017" s="25" t="s">
        <v>5670</v>
      </c>
      <c r="B1017" s="25"/>
      <c r="C1017" s="26" t="s">
        <v>3005</v>
      </c>
      <c r="D1017" s="70"/>
      <c r="G1017" s="70" t="s">
        <v>941</v>
      </c>
      <c r="H1017" s="26">
        <v>-1</v>
      </c>
      <c r="I1017" s="70" t="s">
        <v>5671</v>
      </c>
      <c r="J1017" s="26" t="s">
        <v>4771</v>
      </c>
      <c r="K1017" s="26" t="s">
        <v>4654</v>
      </c>
      <c r="M1017" s="76"/>
      <c r="N1017" s="76"/>
      <c r="O1017" s="76"/>
      <c r="P1017" s="76"/>
      <c r="Q1017" s="76"/>
      <c r="R1017" s="76"/>
      <c r="Z1017" s="70"/>
      <c r="AA1017" s="70"/>
      <c r="AB1017" s="70"/>
      <c r="AC1017" s="70"/>
    </row>
    <row r="1018" spans="1:31" s="26" customFormat="1" x14ac:dyDescent="0.3">
      <c r="A1018" s="25" t="s">
        <v>5672</v>
      </c>
      <c r="B1018" s="25"/>
      <c r="C1018" s="26" t="s">
        <v>3005</v>
      </c>
      <c r="D1018" s="70"/>
      <c r="G1018" s="70" t="s">
        <v>941</v>
      </c>
      <c r="H1018" s="26">
        <v>-1</v>
      </c>
      <c r="I1018" s="70" t="s">
        <v>5673</v>
      </c>
      <c r="J1018" s="26" t="s">
        <v>5674</v>
      </c>
      <c r="K1018" s="26" t="s">
        <v>5675</v>
      </c>
      <c r="L1018" s="26" t="s">
        <v>10413</v>
      </c>
      <c r="M1018" s="76"/>
      <c r="N1018" s="76"/>
      <c r="O1018" s="76"/>
      <c r="P1018" s="76"/>
      <c r="Q1018" s="76"/>
      <c r="R1018" s="76"/>
      <c r="Z1018" s="70"/>
      <c r="AA1018" s="70"/>
      <c r="AB1018" s="70"/>
      <c r="AC1018" s="70"/>
    </row>
    <row r="1019" spans="1:31" s="26" customFormat="1" x14ac:dyDescent="0.3">
      <c r="A1019" s="25" t="s">
        <v>5676</v>
      </c>
      <c r="B1019" s="25"/>
      <c r="C1019" s="26" t="s">
        <v>3005</v>
      </c>
      <c r="D1019" s="70"/>
      <c r="G1019" s="70" t="s">
        <v>941</v>
      </c>
      <c r="H1019" s="26">
        <v>-1</v>
      </c>
      <c r="I1019" s="70" t="s">
        <v>5677</v>
      </c>
      <c r="J1019" s="26" t="s">
        <v>5678</v>
      </c>
      <c r="K1019" s="26" t="s">
        <v>5679</v>
      </c>
      <c r="L1019" s="26" t="s">
        <v>10414</v>
      </c>
      <c r="M1019" s="76"/>
      <c r="N1019" s="76"/>
      <c r="O1019" s="76"/>
      <c r="P1019" s="76"/>
      <c r="Q1019" s="76"/>
      <c r="R1019" s="76"/>
      <c r="Z1019" s="70"/>
      <c r="AA1019" s="70"/>
      <c r="AB1019" s="70"/>
      <c r="AC1019" s="70"/>
    </row>
    <row r="1020" spans="1:31" s="26" customFormat="1" x14ac:dyDescent="0.3">
      <c r="A1020" s="25" t="s">
        <v>5680</v>
      </c>
      <c r="B1020" s="25"/>
      <c r="C1020" s="26" t="s">
        <v>3005</v>
      </c>
      <c r="D1020" s="70"/>
      <c r="G1020" s="70" t="s">
        <v>941</v>
      </c>
      <c r="H1020" s="26">
        <v>-1</v>
      </c>
      <c r="I1020" s="70" t="s">
        <v>5681</v>
      </c>
      <c r="J1020" s="26" t="s">
        <v>5682</v>
      </c>
      <c r="K1020" s="26" t="s">
        <v>3378</v>
      </c>
      <c r="L1020" s="26" t="s">
        <v>10415</v>
      </c>
      <c r="M1020" s="76"/>
      <c r="N1020" s="76"/>
      <c r="O1020" s="76"/>
      <c r="P1020" s="76"/>
      <c r="Q1020" s="76"/>
      <c r="R1020" s="76"/>
      <c r="Z1020" s="70"/>
      <c r="AA1020" s="70"/>
      <c r="AB1020" s="70"/>
      <c r="AC1020" s="70"/>
    </row>
    <row r="1021" spans="1:31" s="26" customFormat="1" x14ac:dyDescent="0.3">
      <c r="A1021" s="25" t="s">
        <v>5683</v>
      </c>
      <c r="B1021" s="25"/>
      <c r="C1021" s="26" t="s">
        <v>3005</v>
      </c>
      <c r="D1021" s="70"/>
      <c r="G1021" s="70" t="s">
        <v>941</v>
      </c>
      <c r="H1021" s="26">
        <v>-1</v>
      </c>
      <c r="I1021" s="70" t="s">
        <v>5684</v>
      </c>
      <c r="J1021" s="26" t="s">
        <v>4844</v>
      </c>
      <c r="K1021" s="26" t="s">
        <v>4676</v>
      </c>
      <c r="M1021" s="76"/>
      <c r="N1021" s="76"/>
      <c r="O1021" s="76"/>
      <c r="P1021" s="76"/>
      <c r="Q1021" s="76"/>
      <c r="R1021" s="76"/>
      <c r="Z1021" s="70"/>
      <c r="AA1021" s="70"/>
      <c r="AB1021" s="70"/>
      <c r="AC1021" s="70"/>
    </row>
    <row r="1022" spans="1:31" s="26" customFormat="1" x14ac:dyDescent="0.3">
      <c r="A1022" s="25" t="s">
        <v>5685</v>
      </c>
      <c r="B1022" s="25"/>
      <c r="C1022" s="26" t="s">
        <v>3005</v>
      </c>
      <c r="D1022" s="70"/>
      <c r="G1022" s="70" t="s">
        <v>941</v>
      </c>
      <c r="H1022" s="26">
        <v>-1</v>
      </c>
      <c r="I1022" s="70" t="s">
        <v>5686</v>
      </c>
      <c r="J1022" s="26" t="s">
        <v>5687</v>
      </c>
      <c r="K1022" s="26" t="s">
        <v>5688</v>
      </c>
      <c r="M1022" s="76"/>
      <c r="N1022" s="76"/>
      <c r="O1022" s="76"/>
      <c r="P1022" s="76"/>
      <c r="Q1022" s="76"/>
      <c r="R1022" s="76"/>
      <c r="Z1022" s="70"/>
      <c r="AA1022" s="70"/>
      <c r="AB1022" s="70"/>
      <c r="AC1022" s="70"/>
    </row>
    <row r="1023" spans="1:31" s="24" customFormat="1" x14ac:dyDescent="0.3">
      <c r="A1023" s="23">
        <v>314</v>
      </c>
      <c r="B1023" s="23">
        <v>310</v>
      </c>
      <c r="C1023" s="24" t="s">
        <v>2165</v>
      </c>
      <c r="D1023" s="69" t="s">
        <v>944</v>
      </c>
      <c r="E1023" s="24" t="s">
        <v>943</v>
      </c>
      <c r="F1023" s="24" t="s">
        <v>945</v>
      </c>
      <c r="G1023" s="69" t="s">
        <v>946</v>
      </c>
      <c r="H1023" s="24">
        <v>3</v>
      </c>
      <c r="I1023" s="69"/>
      <c r="J1023" s="24" t="s">
        <v>5181</v>
      </c>
      <c r="K1023" s="24" t="s">
        <v>68</v>
      </c>
      <c r="M1023" s="75" t="s">
        <v>65</v>
      </c>
      <c r="N1023" s="75" t="s">
        <v>2015</v>
      </c>
      <c r="O1023" s="75"/>
      <c r="P1023" s="75"/>
      <c r="Q1023" s="75"/>
      <c r="R1023" s="75"/>
      <c r="Z1023" s="69"/>
      <c r="AA1023" s="69"/>
      <c r="AB1023" s="69"/>
      <c r="AC1023" s="69"/>
    </row>
    <row r="1024" spans="1:31" s="26" customFormat="1" x14ac:dyDescent="0.3">
      <c r="A1024" s="25" t="s">
        <v>5689</v>
      </c>
      <c r="B1024" s="25"/>
      <c r="C1024" s="26" t="s">
        <v>3005</v>
      </c>
      <c r="D1024" s="70"/>
      <c r="G1024" s="70" t="s">
        <v>946</v>
      </c>
      <c r="H1024" s="26">
        <v>1</v>
      </c>
      <c r="I1024" s="70" t="s">
        <v>5690</v>
      </c>
      <c r="J1024" s="26" t="s">
        <v>5691</v>
      </c>
      <c r="K1024" s="26" t="s">
        <v>5692</v>
      </c>
      <c r="L1024" s="26" t="s">
        <v>10416</v>
      </c>
      <c r="M1024" s="76"/>
      <c r="N1024" s="76"/>
      <c r="O1024" s="76"/>
      <c r="P1024" s="76"/>
      <c r="Q1024" s="76"/>
      <c r="R1024" s="76"/>
      <c r="Z1024" s="70"/>
      <c r="AA1024" s="70"/>
      <c r="AB1024" s="70"/>
      <c r="AC1024" s="70"/>
    </row>
    <row r="1025" spans="1:31" s="26" customFormat="1" x14ac:dyDescent="0.3">
      <c r="A1025" s="25" t="s">
        <v>5693</v>
      </c>
      <c r="B1025" s="25"/>
      <c r="C1025" s="26" t="s">
        <v>3005</v>
      </c>
      <c r="D1025" s="70"/>
      <c r="G1025" s="70" t="s">
        <v>946</v>
      </c>
      <c r="H1025" s="26">
        <v>1</v>
      </c>
      <c r="I1025" s="70" t="s">
        <v>5694</v>
      </c>
      <c r="J1025" s="26" t="s">
        <v>5274</v>
      </c>
      <c r="K1025" s="26" t="s">
        <v>5695</v>
      </c>
      <c r="L1025" s="26" t="s">
        <v>10417</v>
      </c>
      <c r="M1025" s="76"/>
      <c r="N1025" s="76"/>
      <c r="O1025" s="76"/>
      <c r="P1025" s="76"/>
      <c r="Q1025" s="76"/>
      <c r="R1025" s="76"/>
      <c r="Z1025" s="70"/>
      <c r="AA1025" s="70"/>
      <c r="AB1025" s="70"/>
      <c r="AC1025" s="70"/>
    </row>
    <row r="1026" spans="1:31" s="26" customFormat="1" x14ac:dyDescent="0.3">
      <c r="A1026" s="25" t="s">
        <v>5696</v>
      </c>
      <c r="B1026" s="25"/>
      <c r="C1026" s="26" t="s">
        <v>3005</v>
      </c>
      <c r="D1026" s="70"/>
      <c r="G1026" s="70" t="s">
        <v>946</v>
      </c>
      <c r="H1026" s="26">
        <v>1</v>
      </c>
      <c r="I1026" s="70" t="s">
        <v>5697</v>
      </c>
      <c r="J1026" s="26" t="s">
        <v>5181</v>
      </c>
      <c r="K1026" s="26" t="s">
        <v>5698</v>
      </c>
      <c r="L1026" s="26" t="s">
        <v>10418</v>
      </c>
      <c r="M1026" s="76"/>
      <c r="N1026" s="76"/>
      <c r="O1026" s="76"/>
      <c r="P1026" s="76"/>
      <c r="Q1026" s="76"/>
      <c r="R1026" s="76"/>
      <c r="Z1026" s="70"/>
      <c r="AA1026" s="70"/>
      <c r="AB1026" s="70"/>
      <c r="AC1026" s="70"/>
    </row>
    <row r="1027" spans="1:31" s="24" customFormat="1" x14ac:dyDescent="0.3">
      <c r="A1027" s="23">
        <v>315</v>
      </c>
      <c r="B1027" s="23">
        <v>311</v>
      </c>
      <c r="C1027" s="24" t="s">
        <v>2165</v>
      </c>
      <c r="D1027" s="69" t="s">
        <v>944</v>
      </c>
      <c r="E1027" s="24" t="s">
        <v>943</v>
      </c>
      <c r="F1027" s="24" t="s">
        <v>947</v>
      </c>
      <c r="G1027" s="69" t="s">
        <v>948</v>
      </c>
      <c r="I1027" s="69"/>
      <c r="J1027" s="24" t="s">
        <v>5699</v>
      </c>
      <c r="K1027" s="24" t="s">
        <v>949</v>
      </c>
      <c r="L1027" s="24" t="s">
        <v>9800</v>
      </c>
      <c r="M1027" s="75" t="s">
        <v>65</v>
      </c>
      <c r="N1027" s="75" t="s">
        <v>2030</v>
      </c>
      <c r="O1027" s="75" t="s">
        <v>732</v>
      </c>
      <c r="P1027" s="75"/>
      <c r="Q1027" s="75" t="s">
        <v>66</v>
      </c>
      <c r="R1027" s="75"/>
      <c r="T1027" s="24" t="s">
        <v>2179</v>
      </c>
      <c r="V1027" s="24" t="s">
        <v>2558</v>
      </c>
      <c r="Z1027" s="69"/>
      <c r="AA1027" s="69"/>
      <c r="AB1027" s="69"/>
      <c r="AC1027" s="69"/>
      <c r="AE1027" s="24" t="s">
        <v>2559</v>
      </c>
    </row>
    <row r="1028" spans="1:31" s="24" customFormat="1" x14ac:dyDescent="0.3">
      <c r="A1028" s="23">
        <v>316</v>
      </c>
      <c r="B1028" s="23">
        <v>312</v>
      </c>
      <c r="C1028" s="24" t="s">
        <v>2165</v>
      </c>
      <c r="D1028" s="69" t="s">
        <v>951</v>
      </c>
      <c r="E1028" s="24" t="s">
        <v>950</v>
      </c>
      <c r="F1028" s="24" t="s">
        <v>952</v>
      </c>
      <c r="G1028" s="69" t="s">
        <v>953</v>
      </c>
      <c r="H1028" s="24">
        <v>1</v>
      </c>
      <c r="I1028" s="69"/>
      <c r="J1028" s="24" t="s">
        <v>3803</v>
      </c>
      <c r="K1028" s="24" t="s">
        <v>954</v>
      </c>
      <c r="M1028" s="75" t="s">
        <v>15</v>
      </c>
      <c r="N1028" s="75"/>
      <c r="O1028" s="75"/>
      <c r="P1028" s="75"/>
      <c r="Q1028" s="75"/>
      <c r="R1028" s="75"/>
      <c r="W1028" s="24" t="s">
        <v>2560</v>
      </c>
      <c r="Y1028" s="24" t="s">
        <v>2561</v>
      </c>
      <c r="Z1028" s="69"/>
      <c r="AA1028" s="69"/>
      <c r="AB1028" s="69"/>
      <c r="AC1028" s="69" t="s">
        <v>11389</v>
      </c>
    </row>
    <row r="1029" spans="1:31" s="26" customFormat="1" x14ac:dyDescent="0.3">
      <c r="A1029" s="25" t="s">
        <v>5700</v>
      </c>
      <c r="B1029" s="25"/>
      <c r="C1029" s="26" t="s">
        <v>3005</v>
      </c>
      <c r="D1029" s="70"/>
      <c r="G1029" s="70" t="s">
        <v>953</v>
      </c>
      <c r="H1029" s="26">
        <v>-1</v>
      </c>
      <c r="I1029" s="70" t="s">
        <v>5701</v>
      </c>
      <c r="J1029" s="26" t="s">
        <v>3615</v>
      </c>
      <c r="K1029" s="26" t="s">
        <v>5702</v>
      </c>
      <c r="L1029" s="26" t="s">
        <v>10419</v>
      </c>
      <c r="M1029" s="76"/>
      <c r="N1029" s="76"/>
      <c r="O1029" s="76"/>
      <c r="P1029" s="76"/>
      <c r="Q1029" s="76"/>
      <c r="R1029" s="76"/>
      <c r="Z1029" s="70"/>
      <c r="AA1029" s="70"/>
      <c r="AB1029" s="70"/>
      <c r="AC1029" s="70"/>
    </row>
    <row r="1030" spans="1:31" s="26" customFormat="1" x14ac:dyDescent="0.3">
      <c r="A1030" s="25" t="s">
        <v>5703</v>
      </c>
      <c r="B1030" s="25"/>
      <c r="C1030" s="26" t="s">
        <v>3005</v>
      </c>
      <c r="D1030" s="70"/>
      <c r="G1030" s="70" t="s">
        <v>953</v>
      </c>
      <c r="H1030" s="26">
        <v>-1</v>
      </c>
      <c r="I1030" s="70" t="s">
        <v>5704</v>
      </c>
      <c r="J1030" s="26" t="s">
        <v>5705</v>
      </c>
      <c r="K1030" s="26" t="s">
        <v>3840</v>
      </c>
      <c r="L1030" s="26" t="s">
        <v>10071</v>
      </c>
      <c r="M1030" s="76"/>
      <c r="N1030" s="76"/>
      <c r="O1030" s="76"/>
      <c r="P1030" s="76"/>
      <c r="Q1030" s="76"/>
      <c r="R1030" s="76"/>
      <c r="Z1030" s="70"/>
      <c r="AA1030" s="70"/>
      <c r="AB1030" s="70"/>
      <c r="AC1030" s="70"/>
    </row>
    <row r="1031" spans="1:31" s="26" customFormat="1" x14ac:dyDescent="0.3">
      <c r="A1031" s="25" t="s">
        <v>5706</v>
      </c>
      <c r="B1031" s="25"/>
      <c r="C1031" s="26" t="s">
        <v>3005</v>
      </c>
      <c r="D1031" s="70"/>
      <c r="G1031" s="70" t="s">
        <v>953</v>
      </c>
      <c r="H1031" s="26">
        <v>2</v>
      </c>
      <c r="I1031" s="70" t="s">
        <v>5707</v>
      </c>
      <c r="J1031" s="26" t="s">
        <v>3803</v>
      </c>
      <c r="K1031" s="26" t="s">
        <v>3699</v>
      </c>
      <c r="L1031" s="26" t="s">
        <v>10052</v>
      </c>
      <c r="M1031" s="76"/>
      <c r="N1031" s="76"/>
      <c r="O1031" s="76"/>
      <c r="P1031" s="76"/>
      <c r="Q1031" s="76"/>
      <c r="R1031" s="76"/>
      <c r="Z1031" s="70"/>
      <c r="AA1031" s="70"/>
      <c r="AB1031" s="70"/>
      <c r="AC1031" s="70"/>
    </row>
    <row r="1032" spans="1:31" s="26" customFormat="1" x14ac:dyDescent="0.3">
      <c r="A1032" s="25" t="s">
        <v>5708</v>
      </c>
      <c r="B1032" s="25"/>
      <c r="C1032" s="26" t="s">
        <v>3005</v>
      </c>
      <c r="D1032" s="70"/>
      <c r="G1032" s="70" t="s">
        <v>953</v>
      </c>
      <c r="H1032" s="26">
        <v>-1</v>
      </c>
      <c r="I1032" s="70" t="s">
        <v>5709</v>
      </c>
      <c r="J1032" s="26" t="s">
        <v>5710</v>
      </c>
      <c r="K1032" s="26" t="s">
        <v>5140</v>
      </c>
      <c r="L1032" s="26" t="s">
        <v>10420</v>
      </c>
      <c r="M1032" s="76"/>
      <c r="N1032" s="76"/>
      <c r="O1032" s="76"/>
      <c r="P1032" s="76"/>
      <c r="Q1032" s="76"/>
      <c r="R1032" s="76"/>
      <c r="Z1032" s="70"/>
      <c r="AA1032" s="70"/>
      <c r="AB1032" s="70"/>
      <c r="AC1032" s="70"/>
    </row>
    <row r="1033" spans="1:31" s="26" customFormat="1" x14ac:dyDescent="0.3">
      <c r="A1033" s="25" t="s">
        <v>5711</v>
      </c>
      <c r="B1033" s="25"/>
      <c r="C1033" s="26" t="s">
        <v>3005</v>
      </c>
      <c r="D1033" s="70"/>
      <c r="G1033" s="70" t="s">
        <v>953</v>
      </c>
      <c r="H1033" s="26">
        <v>-1</v>
      </c>
      <c r="I1033" s="70" t="s">
        <v>5712</v>
      </c>
      <c r="J1033" s="26" t="s">
        <v>5328</v>
      </c>
      <c r="K1033" s="26" t="s">
        <v>5713</v>
      </c>
      <c r="L1033" s="26" t="s">
        <v>10421</v>
      </c>
      <c r="M1033" s="76"/>
      <c r="N1033" s="76"/>
      <c r="O1033" s="76"/>
      <c r="P1033" s="76"/>
      <c r="Q1033" s="76"/>
      <c r="R1033" s="76"/>
      <c r="Z1033" s="70"/>
      <c r="AA1033" s="70"/>
      <c r="AB1033" s="70"/>
      <c r="AC1033" s="70"/>
    </row>
    <row r="1034" spans="1:31" s="24" customFormat="1" x14ac:dyDescent="0.3">
      <c r="A1034" s="23">
        <v>317</v>
      </c>
      <c r="B1034" s="23">
        <v>313</v>
      </c>
      <c r="C1034" s="24" t="s">
        <v>2165</v>
      </c>
      <c r="D1034" s="69" t="s">
        <v>951</v>
      </c>
      <c r="E1034" s="24" t="s">
        <v>950</v>
      </c>
      <c r="F1034" s="24" t="s">
        <v>955</v>
      </c>
      <c r="G1034" s="69" t="s">
        <v>956</v>
      </c>
      <c r="I1034" s="69"/>
      <c r="J1034" s="24" t="s">
        <v>5714</v>
      </c>
      <c r="K1034" s="24" t="s">
        <v>957</v>
      </c>
      <c r="M1034" s="75" t="s">
        <v>50</v>
      </c>
      <c r="N1034" s="75"/>
      <c r="O1034" s="75"/>
      <c r="P1034" s="75"/>
      <c r="Q1034" s="75"/>
      <c r="R1034" s="75" t="s">
        <v>2166</v>
      </c>
      <c r="T1034" s="24" t="s">
        <v>2179</v>
      </c>
      <c r="U1034" s="24" t="s">
        <v>2562</v>
      </c>
      <c r="W1034" s="24" t="s">
        <v>2563</v>
      </c>
      <c r="Z1034" s="69"/>
      <c r="AA1034" s="69"/>
      <c r="AB1034" s="69"/>
      <c r="AC1034" s="69"/>
      <c r="AD1034" s="24" t="s">
        <v>11332</v>
      </c>
      <c r="AE1034" s="24" t="s">
        <v>2564</v>
      </c>
    </row>
    <row r="1035" spans="1:31" s="26" customFormat="1" x14ac:dyDescent="0.3">
      <c r="A1035" s="25" t="s">
        <v>5715</v>
      </c>
      <c r="B1035" s="25"/>
      <c r="C1035" s="26" t="s">
        <v>3005</v>
      </c>
      <c r="D1035" s="70"/>
      <c r="G1035" s="70" t="s">
        <v>956</v>
      </c>
      <c r="H1035" s="26">
        <v>-1</v>
      </c>
      <c r="I1035" s="70" t="s">
        <v>5716</v>
      </c>
      <c r="J1035" s="26" t="s">
        <v>5714</v>
      </c>
      <c r="K1035" s="26" t="s">
        <v>5717</v>
      </c>
      <c r="L1035" s="26" t="s">
        <v>10422</v>
      </c>
      <c r="M1035" s="76"/>
      <c r="N1035" s="76"/>
      <c r="O1035" s="76"/>
      <c r="P1035" s="76"/>
      <c r="Q1035" s="76"/>
      <c r="R1035" s="76"/>
      <c r="U1035" s="26" t="s">
        <v>5718</v>
      </c>
      <c r="Z1035" s="70"/>
      <c r="AA1035" s="70"/>
      <c r="AB1035" s="70"/>
      <c r="AC1035" s="70"/>
    </row>
    <row r="1036" spans="1:31" s="26" customFormat="1" x14ac:dyDescent="0.3">
      <c r="A1036" s="25" t="s">
        <v>5719</v>
      </c>
      <c r="B1036" s="25"/>
      <c r="C1036" s="26" t="s">
        <v>3005</v>
      </c>
      <c r="D1036" s="70"/>
      <c r="G1036" s="70" t="s">
        <v>956</v>
      </c>
      <c r="H1036" s="26">
        <v>-1</v>
      </c>
      <c r="I1036" s="70" t="s">
        <v>5720</v>
      </c>
      <c r="J1036" s="26" t="s">
        <v>5721</v>
      </c>
      <c r="K1036" s="26" t="s">
        <v>5722</v>
      </c>
      <c r="L1036" s="26" t="s">
        <v>10423</v>
      </c>
      <c r="M1036" s="76"/>
      <c r="N1036" s="76"/>
      <c r="O1036" s="76"/>
      <c r="P1036" s="76"/>
      <c r="Q1036" s="76"/>
      <c r="R1036" s="76"/>
      <c r="Z1036" s="70"/>
      <c r="AA1036" s="70"/>
      <c r="AB1036" s="70"/>
      <c r="AC1036" s="70"/>
    </row>
    <row r="1037" spans="1:31" s="24" customFormat="1" x14ac:dyDescent="0.3">
      <c r="A1037" s="23">
        <v>318</v>
      </c>
      <c r="B1037" s="23">
        <v>314</v>
      </c>
      <c r="C1037" s="24" t="s">
        <v>2165</v>
      </c>
      <c r="D1037" s="69" t="s">
        <v>951</v>
      </c>
      <c r="E1037" s="24" t="s">
        <v>950</v>
      </c>
      <c r="F1037" s="24" t="s">
        <v>958</v>
      </c>
      <c r="G1037" s="69" t="s">
        <v>959</v>
      </c>
      <c r="H1037" s="24">
        <v>2</v>
      </c>
      <c r="I1037" s="69"/>
      <c r="J1037" s="24" t="s">
        <v>4187</v>
      </c>
      <c r="K1037" s="24" t="s">
        <v>960</v>
      </c>
      <c r="M1037" s="75" t="s">
        <v>15</v>
      </c>
      <c r="N1037" s="75"/>
      <c r="O1037" s="75"/>
      <c r="P1037" s="75"/>
      <c r="Q1037" s="75"/>
      <c r="R1037" s="75"/>
      <c r="Z1037" s="69"/>
      <c r="AA1037" s="69"/>
      <c r="AB1037" s="69"/>
      <c r="AC1037" s="69"/>
    </row>
    <row r="1038" spans="1:31" s="26" customFormat="1" x14ac:dyDescent="0.3">
      <c r="A1038" s="25" t="s">
        <v>5723</v>
      </c>
      <c r="B1038" s="25"/>
      <c r="C1038" s="26" t="s">
        <v>3005</v>
      </c>
      <c r="D1038" s="70"/>
      <c r="G1038" s="70" t="s">
        <v>959</v>
      </c>
      <c r="H1038" s="26">
        <v>-1</v>
      </c>
      <c r="I1038" s="70" t="s">
        <v>5724</v>
      </c>
      <c r="J1038" s="26" t="s">
        <v>5725</v>
      </c>
      <c r="K1038" s="26" t="s">
        <v>5726</v>
      </c>
      <c r="L1038" s="26" t="s">
        <v>10424</v>
      </c>
      <c r="M1038" s="76"/>
      <c r="N1038" s="76"/>
      <c r="O1038" s="76"/>
      <c r="P1038" s="76"/>
      <c r="Q1038" s="76"/>
      <c r="R1038" s="76"/>
      <c r="Z1038" s="70"/>
      <c r="AA1038" s="70"/>
      <c r="AB1038" s="70"/>
      <c r="AC1038" s="70"/>
    </row>
    <row r="1039" spans="1:31" s="26" customFormat="1" x14ac:dyDescent="0.3">
      <c r="A1039" s="25" t="s">
        <v>5727</v>
      </c>
      <c r="B1039" s="25"/>
      <c r="C1039" s="26" t="s">
        <v>3005</v>
      </c>
      <c r="D1039" s="70"/>
      <c r="G1039" s="70" t="s">
        <v>959</v>
      </c>
      <c r="H1039" s="26">
        <v>-1</v>
      </c>
      <c r="I1039" s="70" t="s">
        <v>5728</v>
      </c>
      <c r="J1039" s="26" t="s">
        <v>4972</v>
      </c>
      <c r="K1039" s="26" t="s">
        <v>5729</v>
      </c>
      <c r="L1039" s="26" t="s">
        <v>10425</v>
      </c>
      <c r="M1039" s="76"/>
      <c r="N1039" s="76"/>
      <c r="O1039" s="76"/>
      <c r="P1039" s="76"/>
      <c r="Q1039" s="76"/>
      <c r="R1039" s="76"/>
      <c r="Z1039" s="70"/>
      <c r="AA1039" s="70"/>
      <c r="AB1039" s="70"/>
      <c r="AC1039" s="70"/>
    </row>
    <row r="1040" spans="1:31" s="26" customFormat="1" x14ac:dyDescent="0.3">
      <c r="A1040" s="25" t="s">
        <v>5730</v>
      </c>
      <c r="B1040" s="25"/>
      <c r="C1040" s="26" t="s">
        <v>3005</v>
      </c>
      <c r="D1040" s="70"/>
      <c r="G1040" s="70" t="s">
        <v>959</v>
      </c>
      <c r="H1040" s="26">
        <v>-1</v>
      </c>
      <c r="I1040" s="70" t="s">
        <v>5731</v>
      </c>
      <c r="J1040" s="26" t="s">
        <v>4187</v>
      </c>
      <c r="K1040" s="26" t="s">
        <v>5732</v>
      </c>
      <c r="L1040" s="26" t="s">
        <v>5732</v>
      </c>
      <c r="M1040" s="76"/>
      <c r="N1040" s="76"/>
      <c r="O1040" s="76"/>
      <c r="P1040" s="76"/>
      <c r="Q1040" s="76"/>
      <c r="R1040" s="76"/>
      <c r="Z1040" s="70"/>
      <c r="AA1040" s="70"/>
      <c r="AB1040" s="70"/>
      <c r="AC1040" s="70"/>
    </row>
    <row r="1041" spans="1:31" s="26" customFormat="1" x14ac:dyDescent="0.3">
      <c r="A1041" s="25" t="s">
        <v>5733</v>
      </c>
      <c r="B1041" s="25"/>
      <c r="C1041" s="26" t="s">
        <v>3005</v>
      </c>
      <c r="D1041" s="70"/>
      <c r="G1041" s="70" t="s">
        <v>959</v>
      </c>
      <c r="H1041" s="26">
        <v>1</v>
      </c>
      <c r="I1041" s="70" t="s">
        <v>5420</v>
      </c>
      <c r="J1041" s="26" t="s">
        <v>5734</v>
      </c>
      <c r="K1041" s="26" t="s">
        <v>5735</v>
      </c>
      <c r="L1041" s="26" t="s">
        <v>10426</v>
      </c>
      <c r="M1041" s="76"/>
      <c r="N1041" s="76"/>
      <c r="O1041" s="76"/>
      <c r="P1041" s="76"/>
      <c r="Q1041" s="76"/>
      <c r="R1041" s="76"/>
      <c r="Z1041" s="70"/>
      <c r="AA1041" s="70"/>
      <c r="AB1041" s="70"/>
      <c r="AC1041" s="70"/>
    </row>
    <row r="1042" spans="1:31" s="26" customFormat="1" x14ac:dyDescent="0.3">
      <c r="A1042" s="25" t="s">
        <v>5736</v>
      </c>
      <c r="B1042" s="25"/>
      <c r="C1042" s="26" t="s">
        <v>3005</v>
      </c>
      <c r="D1042" s="70"/>
      <c r="G1042" s="70" t="s">
        <v>959</v>
      </c>
      <c r="H1042" s="26">
        <v>2</v>
      </c>
      <c r="I1042" s="70" t="s">
        <v>5737</v>
      </c>
      <c r="J1042" s="26" t="s">
        <v>5738</v>
      </c>
      <c r="K1042" s="26" t="s">
        <v>5290</v>
      </c>
      <c r="L1042" s="26" t="s">
        <v>10427</v>
      </c>
      <c r="M1042" s="76"/>
      <c r="N1042" s="76"/>
      <c r="O1042" s="76"/>
      <c r="P1042" s="76"/>
      <c r="Q1042" s="76"/>
      <c r="R1042" s="76"/>
      <c r="Z1042" s="70"/>
      <c r="AA1042" s="70"/>
      <c r="AB1042" s="70"/>
      <c r="AC1042" s="70"/>
    </row>
    <row r="1043" spans="1:31" s="26" customFormat="1" x14ac:dyDescent="0.3">
      <c r="A1043" s="25" t="s">
        <v>5739</v>
      </c>
      <c r="B1043" s="25"/>
      <c r="C1043" s="26" t="s">
        <v>3005</v>
      </c>
      <c r="D1043" s="70"/>
      <c r="G1043" s="70" t="s">
        <v>959</v>
      </c>
      <c r="H1043" s="26">
        <v>-1</v>
      </c>
      <c r="I1043" s="70" t="s">
        <v>5740</v>
      </c>
      <c r="J1043" s="26" t="s">
        <v>5741</v>
      </c>
      <c r="K1043" s="26" t="s">
        <v>5742</v>
      </c>
      <c r="L1043" s="26" t="s">
        <v>10428</v>
      </c>
      <c r="M1043" s="76"/>
      <c r="N1043" s="76"/>
      <c r="O1043" s="76"/>
      <c r="P1043" s="76"/>
      <c r="Q1043" s="76"/>
      <c r="R1043" s="76"/>
      <c r="Z1043" s="70"/>
      <c r="AA1043" s="70"/>
      <c r="AB1043" s="70"/>
      <c r="AC1043" s="70"/>
    </row>
    <row r="1044" spans="1:31" s="24" customFormat="1" x14ac:dyDescent="0.3">
      <c r="A1044" s="23">
        <v>319</v>
      </c>
      <c r="B1044" s="23">
        <v>315</v>
      </c>
      <c r="C1044" s="24" t="s">
        <v>2165</v>
      </c>
      <c r="D1044" s="69" t="s">
        <v>951</v>
      </c>
      <c r="E1044" s="24" t="s">
        <v>950</v>
      </c>
      <c r="F1044" s="24" t="s">
        <v>961</v>
      </c>
      <c r="G1044" s="69" t="s">
        <v>962</v>
      </c>
      <c r="I1044" s="69"/>
      <c r="J1044" s="24" t="s">
        <v>5743</v>
      </c>
      <c r="K1044" s="24" t="s">
        <v>68</v>
      </c>
      <c r="L1044" s="24" t="s">
        <v>9708</v>
      </c>
      <c r="M1044" s="75" t="s">
        <v>65</v>
      </c>
      <c r="N1044" s="75" t="s">
        <v>2015</v>
      </c>
      <c r="O1044" s="75"/>
      <c r="P1044" s="75"/>
      <c r="Q1044" s="75"/>
      <c r="R1044" s="75"/>
      <c r="Z1044" s="69"/>
      <c r="AA1044" s="69"/>
      <c r="AB1044" s="69"/>
      <c r="AC1044" s="69"/>
    </row>
    <row r="1045" spans="1:31" s="24" customFormat="1" x14ac:dyDescent="0.3">
      <c r="A1045" s="23">
        <v>320</v>
      </c>
      <c r="B1045" s="23">
        <v>316</v>
      </c>
      <c r="C1045" s="24" t="s">
        <v>2165</v>
      </c>
      <c r="D1045" s="69" t="s">
        <v>951</v>
      </c>
      <c r="E1045" s="24" t="s">
        <v>950</v>
      </c>
      <c r="F1045" s="24" t="s">
        <v>963</v>
      </c>
      <c r="G1045" s="69" t="s">
        <v>964</v>
      </c>
      <c r="H1045" s="24">
        <v>2</v>
      </c>
      <c r="I1045" s="69"/>
      <c r="J1045" s="24" t="s">
        <v>4187</v>
      </c>
      <c r="K1045" s="24" t="s">
        <v>43</v>
      </c>
      <c r="M1045" s="75" t="s">
        <v>15</v>
      </c>
      <c r="N1045" s="75"/>
      <c r="O1045" s="75"/>
      <c r="P1045" s="75"/>
      <c r="Q1045" s="75"/>
      <c r="R1045" s="75"/>
      <c r="Z1045" s="69"/>
      <c r="AA1045" s="69"/>
      <c r="AB1045" s="69"/>
      <c r="AC1045" s="69"/>
    </row>
    <row r="1046" spans="1:31" s="26" customFormat="1" x14ac:dyDescent="0.3">
      <c r="A1046" s="25" t="s">
        <v>5744</v>
      </c>
      <c r="B1046" s="25"/>
      <c r="C1046" s="26" t="s">
        <v>3005</v>
      </c>
      <c r="D1046" s="70"/>
      <c r="G1046" s="70" t="s">
        <v>964</v>
      </c>
      <c r="H1046" s="26">
        <v>-1</v>
      </c>
      <c r="I1046" s="70" t="s">
        <v>5745</v>
      </c>
      <c r="J1046" s="26" t="s">
        <v>5746</v>
      </c>
      <c r="K1046" s="26" t="s">
        <v>5747</v>
      </c>
      <c r="L1046" s="26" t="s">
        <v>10429</v>
      </c>
      <c r="M1046" s="76"/>
      <c r="N1046" s="76"/>
      <c r="O1046" s="76"/>
      <c r="P1046" s="76"/>
      <c r="Q1046" s="76"/>
      <c r="R1046" s="76"/>
      <c r="Z1046" s="70"/>
      <c r="AA1046" s="70"/>
      <c r="AB1046" s="70"/>
      <c r="AC1046" s="70"/>
    </row>
    <row r="1047" spans="1:31" s="26" customFormat="1" x14ac:dyDescent="0.3">
      <c r="A1047" s="25" t="s">
        <v>5748</v>
      </c>
      <c r="B1047" s="25"/>
      <c r="C1047" s="26" t="s">
        <v>3005</v>
      </c>
      <c r="D1047" s="70"/>
      <c r="G1047" s="70" t="s">
        <v>964</v>
      </c>
      <c r="H1047" s="26">
        <v>-1</v>
      </c>
      <c r="I1047" s="70" t="s">
        <v>5749</v>
      </c>
      <c r="J1047" s="26" t="s">
        <v>5750</v>
      </c>
      <c r="K1047" s="26" t="s">
        <v>5751</v>
      </c>
      <c r="L1047" s="26" t="s">
        <v>10430</v>
      </c>
      <c r="M1047" s="76"/>
      <c r="N1047" s="76"/>
      <c r="O1047" s="76"/>
      <c r="P1047" s="76"/>
      <c r="Q1047" s="76"/>
      <c r="R1047" s="76"/>
      <c r="Z1047" s="70"/>
      <c r="AA1047" s="70"/>
      <c r="AB1047" s="70"/>
      <c r="AC1047" s="70"/>
    </row>
    <row r="1048" spans="1:31" s="26" customFormat="1" x14ac:dyDescent="0.3">
      <c r="A1048" s="25" t="s">
        <v>5752</v>
      </c>
      <c r="B1048" s="25"/>
      <c r="C1048" s="26" t="s">
        <v>3005</v>
      </c>
      <c r="D1048" s="70"/>
      <c r="G1048" s="70" t="s">
        <v>964</v>
      </c>
      <c r="H1048" s="26">
        <v>-1</v>
      </c>
      <c r="I1048" s="70" t="s">
        <v>5753</v>
      </c>
      <c r="J1048" s="26" t="s">
        <v>5156</v>
      </c>
      <c r="K1048" s="26" t="s">
        <v>3757</v>
      </c>
      <c r="L1048" s="26" t="s">
        <v>3757</v>
      </c>
      <c r="M1048" s="76"/>
      <c r="N1048" s="76"/>
      <c r="O1048" s="76"/>
      <c r="P1048" s="76"/>
      <c r="Q1048" s="76"/>
      <c r="R1048" s="76"/>
      <c r="Z1048" s="70"/>
      <c r="AA1048" s="70"/>
      <c r="AB1048" s="70"/>
      <c r="AC1048" s="70"/>
    </row>
    <row r="1049" spans="1:31" s="26" customFormat="1" x14ac:dyDescent="0.3">
      <c r="A1049" s="25" t="s">
        <v>5754</v>
      </c>
      <c r="B1049" s="25"/>
      <c r="C1049" s="26" t="s">
        <v>3005</v>
      </c>
      <c r="D1049" s="70"/>
      <c r="G1049" s="70" t="s">
        <v>964</v>
      </c>
      <c r="H1049" s="26">
        <v>-1</v>
      </c>
      <c r="I1049" s="70" t="s">
        <v>3879</v>
      </c>
      <c r="J1049" s="26" t="s">
        <v>4187</v>
      </c>
      <c r="K1049" s="26" t="s">
        <v>5755</v>
      </c>
      <c r="L1049" s="26" t="s">
        <v>10431</v>
      </c>
      <c r="M1049" s="76"/>
      <c r="N1049" s="76"/>
      <c r="O1049" s="76"/>
      <c r="P1049" s="76"/>
      <c r="Q1049" s="76"/>
      <c r="R1049" s="76"/>
      <c r="T1049" s="26" t="s">
        <v>2200</v>
      </c>
      <c r="Z1049" s="70"/>
      <c r="AA1049" s="70"/>
      <c r="AB1049" s="70"/>
      <c r="AC1049" s="70"/>
      <c r="AE1049" s="26" t="s">
        <v>5756</v>
      </c>
    </row>
    <row r="1050" spans="1:31" s="26" customFormat="1" x14ac:dyDescent="0.3">
      <c r="A1050" s="25" t="s">
        <v>5757</v>
      </c>
      <c r="B1050" s="25"/>
      <c r="C1050" s="26" t="s">
        <v>3005</v>
      </c>
      <c r="D1050" s="70"/>
      <c r="G1050" s="70" t="s">
        <v>964</v>
      </c>
      <c r="H1050" s="26">
        <v>-1</v>
      </c>
      <c r="I1050" s="70" t="s">
        <v>5758</v>
      </c>
      <c r="J1050" s="26" t="s">
        <v>5759</v>
      </c>
      <c r="K1050" s="26" t="s">
        <v>5760</v>
      </c>
      <c r="L1050" s="26" t="s">
        <v>10432</v>
      </c>
      <c r="M1050" s="76"/>
      <c r="N1050" s="76"/>
      <c r="O1050" s="76"/>
      <c r="P1050" s="76"/>
      <c r="Q1050" s="76"/>
      <c r="R1050" s="76"/>
      <c r="Z1050" s="70"/>
      <c r="AA1050" s="70"/>
      <c r="AB1050" s="70"/>
      <c r="AC1050" s="70"/>
    </row>
    <row r="1051" spans="1:31" s="26" customFormat="1" x14ac:dyDescent="0.3">
      <c r="A1051" s="25" t="s">
        <v>5761</v>
      </c>
      <c r="B1051" s="25"/>
      <c r="C1051" s="26" t="s">
        <v>3005</v>
      </c>
      <c r="D1051" s="70"/>
      <c r="G1051" s="70" t="s">
        <v>964</v>
      </c>
      <c r="H1051" s="26">
        <v>2</v>
      </c>
      <c r="I1051" s="70" t="s">
        <v>5762</v>
      </c>
      <c r="J1051" s="26" t="s">
        <v>5743</v>
      </c>
      <c r="K1051" s="26" t="s">
        <v>3908</v>
      </c>
      <c r="L1051" s="26" t="s">
        <v>10433</v>
      </c>
      <c r="M1051" s="76"/>
      <c r="N1051" s="76"/>
      <c r="O1051" s="76"/>
      <c r="P1051" s="76"/>
      <c r="Q1051" s="76"/>
      <c r="R1051" s="76"/>
      <c r="Z1051" s="70"/>
      <c r="AA1051" s="70"/>
      <c r="AB1051" s="70"/>
      <c r="AC1051" s="70"/>
    </row>
    <row r="1052" spans="1:31" s="26" customFormat="1" x14ac:dyDescent="0.3">
      <c r="A1052" s="25" t="s">
        <v>5763</v>
      </c>
      <c r="B1052" s="25"/>
      <c r="C1052" s="26" t="s">
        <v>3005</v>
      </c>
      <c r="D1052" s="70"/>
      <c r="G1052" s="70" t="s">
        <v>964</v>
      </c>
      <c r="H1052" s="26">
        <v>3</v>
      </c>
      <c r="I1052" s="70" t="s">
        <v>5230</v>
      </c>
      <c r="J1052" s="26" t="s">
        <v>4248</v>
      </c>
      <c r="K1052" s="26" t="s">
        <v>5764</v>
      </c>
      <c r="L1052" s="26" t="s">
        <v>10434</v>
      </c>
      <c r="M1052" s="76"/>
      <c r="N1052" s="76"/>
      <c r="O1052" s="76"/>
      <c r="P1052" s="76"/>
      <c r="Q1052" s="76"/>
      <c r="R1052" s="76"/>
      <c r="Z1052" s="70"/>
      <c r="AA1052" s="70"/>
      <c r="AB1052" s="70"/>
      <c r="AC1052" s="70"/>
    </row>
    <row r="1053" spans="1:31" s="26" customFormat="1" x14ac:dyDescent="0.3">
      <c r="A1053" s="25" t="s">
        <v>5765</v>
      </c>
      <c r="B1053" s="25"/>
      <c r="C1053" s="26" t="s">
        <v>3005</v>
      </c>
      <c r="D1053" s="70"/>
      <c r="G1053" s="70" t="s">
        <v>964</v>
      </c>
      <c r="H1053" s="26">
        <v>-1</v>
      </c>
      <c r="I1053" s="70" t="s">
        <v>5766</v>
      </c>
      <c r="J1053" s="26" t="s">
        <v>5767</v>
      </c>
      <c r="K1053" s="26" t="s">
        <v>5768</v>
      </c>
      <c r="L1053" s="26" t="s">
        <v>10435</v>
      </c>
      <c r="M1053" s="76"/>
      <c r="N1053" s="76"/>
      <c r="O1053" s="76"/>
      <c r="P1053" s="76"/>
      <c r="Q1053" s="76"/>
      <c r="R1053" s="76"/>
      <c r="Z1053" s="70"/>
      <c r="AA1053" s="70"/>
      <c r="AB1053" s="70"/>
      <c r="AC1053" s="70"/>
    </row>
    <row r="1054" spans="1:31" s="24" customFormat="1" x14ac:dyDescent="0.3">
      <c r="A1054" s="23">
        <v>321</v>
      </c>
      <c r="B1054" s="23">
        <v>317</v>
      </c>
      <c r="C1054" s="24" t="s">
        <v>2165</v>
      </c>
      <c r="D1054" s="69" t="s">
        <v>966</v>
      </c>
      <c r="E1054" s="24" t="s">
        <v>965</v>
      </c>
      <c r="F1054" s="24" t="s">
        <v>967</v>
      </c>
      <c r="G1054" s="69" t="s">
        <v>968</v>
      </c>
      <c r="H1054" s="24">
        <v>1</v>
      </c>
      <c r="I1054" s="69"/>
      <c r="J1054" s="24" t="s">
        <v>5769</v>
      </c>
      <c r="K1054" s="24" t="s">
        <v>969</v>
      </c>
      <c r="M1054" s="75" t="s">
        <v>15</v>
      </c>
      <c r="N1054" s="75"/>
      <c r="O1054" s="75"/>
      <c r="P1054" s="75"/>
      <c r="Q1054" s="75"/>
      <c r="R1054" s="75" t="s">
        <v>2166</v>
      </c>
      <c r="W1054" s="24" t="s">
        <v>2565</v>
      </c>
      <c r="Z1054" s="69"/>
      <c r="AA1054" s="69"/>
      <c r="AB1054" s="69"/>
      <c r="AC1054" s="69"/>
    </row>
    <row r="1055" spans="1:31" s="26" customFormat="1" x14ac:dyDescent="0.3">
      <c r="A1055" s="25" t="s">
        <v>5770</v>
      </c>
      <c r="B1055" s="25"/>
      <c r="C1055" s="26" t="s">
        <v>3005</v>
      </c>
      <c r="D1055" s="70"/>
      <c r="G1055" s="70" t="s">
        <v>968</v>
      </c>
      <c r="H1055" s="26">
        <v>3</v>
      </c>
      <c r="I1055" s="70" t="s">
        <v>5378</v>
      </c>
      <c r="J1055" s="26" t="s">
        <v>5280</v>
      </c>
      <c r="K1055" s="26" t="s">
        <v>5771</v>
      </c>
      <c r="L1055" s="26" t="s">
        <v>10436</v>
      </c>
      <c r="M1055" s="76"/>
      <c r="N1055" s="76"/>
      <c r="O1055" s="76"/>
      <c r="P1055" s="76"/>
      <c r="Q1055" s="76"/>
      <c r="R1055" s="76"/>
      <c r="Z1055" s="70"/>
      <c r="AA1055" s="70"/>
      <c r="AB1055" s="70"/>
      <c r="AC1055" s="70"/>
    </row>
    <row r="1056" spans="1:31" s="26" customFormat="1" x14ac:dyDescent="0.3">
      <c r="A1056" s="25" t="s">
        <v>5772</v>
      </c>
      <c r="B1056" s="25"/>
      <c r="C1056" s="26" t="s">
        <v>3005</v>
      </c>
      <c r="D1056" s="70"/>
      <c r="G1056" s="70" t="s">
        <v>968</v>
      </c>
      <c r="H1056" s="26">
        <v>-1</v>
      </c>
      <c r="I1056" s="70" t="s">
        <v>5773</v>
      </c>
      <c r="J1056" s="26" t="s">
        <v>5774</v>
      </c>
      <c r="K1056" s="26" t="s">
        <v>5775</v>
      </c>
      <c r="L1056" s="26" t="s">
        <v>10437</v>
      </c>
      <c r="M1056" s="76"/>
      <c r="N1056" s="76"/>
      <c r="O1056" s="76"/>
      <c r="P1056" s="76"/>
      <c r="Q1056" s="76"/>
      <c r="R1056" s="76"/>
      <c r="Z1056" s="70"/>
      <c r="AA1056" s="70"/>
      <c r="AB1056" s="70"/>
      <c r="AC1056" s="70"/>
    </row>
    <row r="1057" spans="1:31" s="26" customFormat="1" x14ac:dyDescent="0.3">
      <c r="A1057" s="25" t="s">
        <v>5776</v>
      </c>
      <c r="B1057" s="25"/>
      <c r="C1057" s="26" t="s">
        <v>3005</v>
      </c>
      <c r="D1057" s="70"/>
      <c r="G1057" s="70" t="s">
        <v>968</v>
      </c>
      <c r="H1057" s="26">
        <v>-1</v>
      </c>
      <c r="I1057" s="70" t="s">
        <v>4887</v>
      </c>
      <c r="J1057" s="26" t="s">
        <v>5769</v>
      </c>
      <c r="K1057" s="26" t="s">
        <v>5777</v>
      </c>
      <c r="L1057" s="26" t="s">
        <v>10438</v>
      </c>
      <c r="M1057" s="76"/>
      <c r="N1057" s="76"/>
      <c r="O1057" s="76"/>
      <c r="P1057" s="76"/>
      <c r="Q1057" s="76"/>
      <c r="R1057" s="76"/>
      <c r="Z1057" s="70"/>
      <c r="AA1057" s="70"/>
      <c r="AB1057" s="70"/>
      <c r="AC1057" s="70"/>
    </row>
    <row r="1058" spans="1:31" s="26" customFormat="1" x14ac:dyDescent="0.3">
      <c r="A1058" s="25" t="s">
        <v>5778</v>
      </c>
      <c r="B1058" s="25"/>
      <c r="C1058" s="26" t="s">
        <v>3005</v>
      </c>
      <c r="D1058" s="70"/>
      <c r="G1058" s="70" t="s">
        <v>968</v>
      </c>
      <c r="H1058" s="26">
        <v>-1</v>
      </c>
      <c r="I1058" s="70" t="s">
        <v>5779</v>
      </c>
      <c r="J1058" s="26" t="s">
        <v>5780</v>
      </c>
      <c r="K1058" s="26" t="s">
        <v>3725</v>
      </c>
      <c r="L1058" s="26" t="s">
        <v>10439</v>
      </c>
      <c r="M1058" s="76"/>
      <c r="N1058" s="76"/>
      <c r="O1058" s="76"/>
      <c r="P1058" s="76"/>
      <c r="Q1058" s="76"/>
      <c r="R1058" s="76"/>
      <c r="Z1058" s="70"/>
      <c r="AA1058" s="70"/>
      <c r="AB1058" s="70"/>
      <c r="AC1058" s="70"/>
    </row>
    <row r="1059" spans="1:31" s="24" customFormat="1" x14ac:dyDescent="0.3">
      <c r="A1059" s="23">
        <v>322</v>
      </c>
      <c r="B1059" s="23">
        <v>318</v>
      </c>
      <c r="C1059" s="24" t="s">
        <v>2165</v>
      </c>
      <c r="D1059" s="69" t="s">
        <v>966</v>
      </c>
      <c r="E1059" s="24" t="s">
        <v>965</v>
      </c>
      <c r="F1059" s="24" t="s">
        <v>970</v>
      </c>
      <c r="G1059" s="69" t="s">
        <v>971</v>
      </c>
      <c r="H1059" s="24">
        <v>1</v>
      </c>
      <c r="I1059" s="69"/>
      <c r="J1059" s="24" t="s">
        <v>3829</v>
      </c>
      <c r="K1059" s="24" t="s">
        <v>972</v>
      </c>
      <c r="M1059" s="75" t="s">
        <v>15</v>
      </c>
      <c r="N1059" s="75"/>
      <c r="O1059" s="75"/>
      <c r="P1059" s="75"/>
      <c r="Q1059" s="75"/>
      <c r="R1059" s="75"/>
      <c r="Z1059" s="69"/>
      <c r="AA1059" s="69"/>
      <c r="AB1059" s="69"/>
      <c r="AC1059" s="69"/>
    </row>
    <row r="1060" spans="1:31" s="26" customFormat="1" x14ac:dyDescent="0.3">
      <c r="A1060" s="25" t="s">
        <v>5781</v>
      </c>
      <c r="B1060" s="25"/>
      <c r="C1060" s="26" t="s">
        <v>3005</v>
      </c>
      <c r="D1060" s="70"/>
      <c r="G1060" s="70" t="s">
        <v>971</v>
      </c>
      <c r="H1060" s="26">
        <v>-1</v>
      </c>
      <c r="I1060" s="70" t="s">
        <v>5782</v>
      </c>
      <c r="J1060" s="26" t="s">
        <v>3829</v>
      </c>
      <c r="K1060" s="26" t="s">
        <v>5783</v>
      </c>
      <c r="L1060" s="26" t="s">
        <v>10440</v>
      </c>
      <c r="M1060" s="76"/>
      <c r="N1060" s="76"/>
      <c r="O1060" s="76"/>
      <c r="P1060" s="76"/>
      <c r="Q1060" s="76"/>
      <c r="R1060" s="76"/>
      <c r="Z1060" s="70"/>
      <c r="AA1060" s="70"/>
      <c r="AB1060" s="70"/>
      <c r="AC1060" s="70"/>
    </row>
    <row r="1061" spans="1:31" s="26" customFormat="1" x14ac:dyDescent="0.3">
      <c r="A1061" s="25" t="s">
        <v>5784</v>
      </c>
      <c r="B1061" s="25"/>
      <c r="C1061" s="26" t="s">
        <v>3005</v>
      </c>
      <c r="D1061" s="70"/>
      <c r="G1061" s="70" t="s">
        <v>971</v>
      </c>
      <c r="H1061" s="26">
        <v>2</v>
      </c>
      <c r="I1061" s="70" t="s">
        <v>5296</v>
      </c>
      <c r="J1061" s="26" t="s">
        <v>5785</v>
      </c>
      <c r="K1061" s="26" t="s">
        <v>5786</v>
      </c>
      <c r="L1061" s="26" t="s">
        <v>10441</v>
      </c>
      <c r="M1061" s="76"/>
      <c r="N1061" s="76"/>
      <c r="O1061" s="76"/>
      <c r="P1061" s="76"/>
      <c r="Q1061" s="76"/>
      <c r="R1061" s="76"/>
      <c r="Z1061" s="70"/>
      <c r="AA1061" s="70"/>
      <c r="AB1061" s="70"/>
      <c r="AC1061" s="70"/>
    </row>
    <row r="1062" spans="1:31" s="24" customFormat="1" x14ac:dyDescent="0.3">
      <c r="A1062" s="23">
        <v>323</v>
      </c>
      <c r="B1062" s="23">
        <v>319</v>
      </c>
      <c r="C1062" s="24" t="s">
        <v>2165</v>
      </c>
      <c r="D1062" s="69" t="s">
        <v>974</v>
      </c>
      <c r="E1062" s="24" t="s">
        <v>973</v>
      </c>
      <c r="F1062" s="24" t="s">
        <v>975</v>
      </c>
      <c r="G1062" s="69" t="s">
        <v>976</v>
      </c>
      <c r="H1062" s="24">
        <v>2</v>
      </c>
      <c r="I1062" s="69"/>
      <c r="J1062" s="24" t="s">
        <v>5787</v>
      </c>
      <c r="K1062" s="24" t="s">
        <v>977</v>
      </c>
      <c r="M1062" s="75" t="s">
        <v>65</v>
      </c>
      <c r="N1062" s="75" t="s">
        <v>2015</v>
      </c>
      <c r="O1062" s="75" t="s">
        <v>732</v>
      </c>
      <c r="P1062" s="75"/>
      <c r="Q1062" s="75"/>
      <c r="R1062" s="75"/>
      <c r="T1062" s="24" t="s">
        <v>2179</v>
      </c>
      <c r="V1062" s="24" t="s">
        <v>2566</v>
      </c>
      <c r="W1062" s="24" t="s">
        <v>2567</v>
      </c>
      <c r="Y1062" s="24" t="s">
        <v>2566</v>
      </c>
      <c r="Z1062" s="69"/>
      <c r="AA1062" s="69"/>
      <c r="AB1062" s="69" t="s">
        <v>2568</v>
      </c>
      <c r="AC1062" s="69"/>
      <c r="AE1062" s="24" t="s">
        <v>2569</v>
      </c>
    </row>
    <row r="1063" spans="1:31" s="26" customFormat="1" x14ac:dyDescent="0.3">
      <c r="A1063" s="25" t="s">
        <v>5788</v>
      </c>
      <c r="B1063" s="25"/>
      <c r="C1063" s="26" t="s">
        <v>3005</v>
      </c>
      <c r="D1063" s="70"/>
      <c r="G1063" s="70" t="s">
        <v>976</v>
      </c>
      <c r="H1063" s="26">
        <v>1</v>
      </c>
      <c r="I1063" s="70" t="s">
        <v>5029</v>
      </c>
      <c r="J1063" s="26" t="s">
        <v>3010</v>
      </c>
      <c r="K1063" s="26" t="s">
        <v>5789</v>
      </c>
      <c r="L1063" s="26" t="s">
        <v>10442</v>
      </c>
      <c r="M1063" s="76"/>
      <c r="N1063" s="76"/>
      <c r="O1063" s="76"/>
      <c r="P1063" s="76"/>
      <c r="Q1063" s="76"/>
      <c r="R1063" s="76"/>
      <c r="Z1063" s="70"/>
      <c r="AA1063" s="70"/>
      <c r="AB1063" s="70"/>
      <c r="AC1063" s="70"/>
    </row>
    <row r="1064" spans="1:31" s="26" customFormat="1" x14ac:dyDescent="0.3">
      <c r="A1064" s="25" t="s">
        <v>5790</v>
      </c>
      <c r="B1064" s="25"/>
      <c r="C1064" s="26" t="s">
        <v>3005</v>
      </c>
      <c r="D1064" s="70"/>
      <c r="G1064" s="70" t="s">
        <v>976</v>
      </c>
      <c r="H1064" s="26">
        <v>1</v>
      </c>
      <c r="I1064" s="70" t="s">
        <v>5791</v>
      </c>
      <c r="J1064" s="26" t="s">
        <v>5787</v>
      </c>
      <c r="K1064" s="26" t="s">
        <v>5792</v>
      </c>
      <c r="L1064" s="26" t="s">
        <v>10443</v>
      </c>
      <c r="M1064" s="76"/>
      <c r="N1064" s="76"/>
      <c r="O1064" s="76"/>
      <c r="P1064" s="76"/>
      <c r="Q1064" s="76"/>
      <c r="R1064" s="76"/>
      <c r="Z1064" s="70"/>
      <c r="AA1064" s="70"/>
      <c r="AB1064" s="70"/>
      <c r="AC1064" s="70"/>
    </row>
    <row r="1065" spans="1:31" s="24" customFormat="1" x14ac:dyDescent="0.3">
      <c r="A1065" s="23">
        <v>324</v>
      </c>
      <c r="B1065" s="23">
        <v>320</v>
      </c>
      <c r="C1065" s="24" t="s">
        <v>2165</v>
      </c>
      <c r="D1065" s="69" t="s">
        <v>974</v>
      </c>
      <c r="E1065" s="24" t="s">
        <v>973</v>
      </c>
      <c r="F1065" s="24" t="s">
        <v>978</v>
      </c>
      <c r="G1065" s="69" t="s">
        <v>979</v>
      </c>
      <c r="H1065" s="24">
        <v>2</v>
      </c>
      <c r="I1065" s="69"/>
      <c r="J1065" s="24" t="s">
        <v>5793</v>
      </c>
      <c r="K1065" s="24" t="s">
        <v>977</v>
      </c>
      <c r="M1065" s="75" t="s">
        <v>65</v>
      </c>
      <c r="N1065" s="75" t="s">
        <v>2015</v>
      </c>
      <c r="O1065" s="75" t="s">
        <v>732</v>
      </c>
      <c r="P1065" s="75"/>
      <c r="Q1065" s="75"/>
      <c r="R1065" s="75"/>
      <c r="T1065" s="24" t="s">
        <v>2179</v>
      </c>
      <c r="V1065" s="24" t="s">
        <v>2566</v>
      </c>
      <c r="Z1065" s="69"/>
      <c r="AA1065" s="69"/>
      <c r="AB1065" s="69"/>
      <c r="AC1065" s="69"/>
      <c r="AE1065" s="24" t="s">
        <v>2570</v>
      </c>
    </row>
    <row r="1066" spans="1:31" s="26" customFormat="1" x14ac:dyDescent="0.3">
      <c r="A1066" s="25" t="s">
        <v>5794</v>
      </c>
      <c r="B1066" s="25"/>
      <c r="C1066" s="26" t="s">
        <v>3005</v>
      </c>
      <c r="D1066" s="70"/>
      <c r="G1066" s="70" t="s">
        <v>979</v>
      </c>
      <c r="H1066" s="26">
        <v>1</v>
      </c>
      <c r="I1066" s="70" t="s">
        <v>5795</v>
      </c>
      <c r="J1066" s="26" t="s">
        <v>5793</v>
      </c>
      <c r="K1066" s="26" t="s">
        <v>5262</v>
      </c>
      <c r="L1066" s="26" t="s">
        <v>10444</v>
      </c>
      <c r="M1066" s="76"/>
      <c r="N1066" s="76"/>
      <c r="O1066" s="76"/>
      <c r="P1066" s="76"/>
      <c r="Q1066" s="76"/>
      <c r="R1066" s="76"/>
      <c r="Z1066" s="70"/>
      <c r="AA1066" s="70"/>
      <c r="AB1066" s="70"/>
      <c r="AC1066" s="70"/>
    </row>
    <row r="1067" spans="1:31" s="26" customFormat="1" x14ac:dyDescent="0.3">
      <c r="A1067" s="25" t="s">
        <v>5796</v>
      </c>
      <c r="B1067" s="25"/>
      <c r="C1067" s="26" t="s">
        <v>3005</v>
      </c>
      <c r="D1067" s="70"/>
      <c r="G1067" s="70" t="s">
        <v>979</v>
      </c>
      <c r="H1067" s="26">
        <v>1</v>
      </c>
      <c r="I1067" s="70" t="s">
        <v>5797</v>
      </c>
      <c r="J1067" s="26" t="s">
        <v>5030</v>
      </c>
      <c r="K1067" s="26" t="s">
        <v>5798</v>
      </c>
      <c r="L1067" s="26" t="s">
        <v>10445</v>
      </c>
      <c r="M1067" s="76"/>
      <c r="N1067" s="76"/>
      <c r="O1067" s="76"/>
      <c r="P1067" s="76"/>
      <c r="Q1067" s="76"/>
      <c r="R1067" s="76"/>
      <c r="Z1067" s="70"/>
      <c r="AA1067" s="70"/>
      <c r="AB1067" s="70"/>
      <c r="AC1067" s="70"/>
    </row>
    <row r="1068" spans="1:31" s="24" customFormat="1" x14ac:dyDescent="0.3">
      <c r="A1068" s="23">
        <v>325</v>
      </c>
      <c r="B1068" s="23">
        <v>321</v>
      </c>
      <c r="C1068" s="24" t="s">
        <v>2165</v>
      </c>
      <c r="D1068" s="69" t="s">
        <v>974</v>
      </c>
      <c r="E1068" s="24" t="s">
        <v>973</v>
      </c>
      <c r="F1068" s="24" t="s">
        <v>980</v>
      </c>
      <c r="G1068" s="69" t="s">
        <v>981</v>
      </c>
      <c r="I1068" s="69"/>
      <c r="J1068" s="24" t="s">
        <v>5799</v>
      </c>
      <c r="K1068" s="24" t="s">
        <v>68</v>
      </c>
      <c r="L1068" s="24" t="s">
        <v>9801</v>
      </c>
      <c r="M1068" s="75" t="s">
        <v>65</v>
      </c>
      <c r="N1068" s="75" t="s">
        <v>2015</v>
      </c>
      <c r="O1068" s="75"/>
      <c r="P1068" s="75"/>
      <c r="Q1068" s="75"/>
      <c r="R1068" s="75"/>
      <c r="Z1068" s="69"/>
      <c r="AA1068" s="69"/>
      <c r="AB1068" s="69"/>
      <c r="AC1068" s="69"/>
    </row>
    <row r="1069" spans="1:31" s="24" customFormat="1" x14ac:dyDescent="0.3">
      <c r="A1069" s="23">
        <v>326</v>
      </c>
      <c r="B1069" s="23">
        <v>322</v>
      </c>
      <c r="C1069" s="24" t="s">
        <v>2165</v>
      </c>
      <c r="D1069" s="69" t="s">
        <v>974</v>
      </c>
      <c r="E1069" s="24" t="s">
        <v>973</v>
      </c>
      <c r="F1069" s="24" t="s">
        <v>982</v>
      </c>
      <c r="G1069" s="69" t="s">
        <v>983</v>
      </c>
      <c r="I1069" s="69"/>
      <c r="J1069" s="24" t="s">
        <v>5800</v>
      </c>
      <c r="K1069" s="24" t="s">
        <v>68</v>
      </c>
      <c r="L1069" s="24" t="s">
        <v>9802</v>
      </c>
      <c r="M1069" s="75" t="s">
        <v>65</v>
      </c>
      <c r="N1069" s="75" t="s">
        <v>2015</v>
      </c>
      <c r="O1069" s="75"/>
      <c r="P1069" s="75"/>
      <c r="Q1069" s="75"/>
      <c r="R1069" s="75"/>
      <c r="Z1069" s="69"/>
      <c r="AA1069" s="69"/>
      <c r="AB1069" s="69"/>
      <c r="AC1069" s="69" t="s">
        <v>11390</v>
      </c>
    </row>
    <row r="1070" spans="1:31" s="24" customFormat="1" x14ac:dyDescent="0.3">
      <c r="A1070" s="23">
        <v>327</v>
      </c>
      <c r="B1070" s="23">
        <v>323</v>
      </c>
      <c r="C1070" s="24" t="s">
        <v>2165</v>
      </c>
      <c r="D1070" s="69" t="s">
        <v>974</v>
      </c>
      <c r="E1070" s="24" t="s">
        <v>973</v>
      </c>
      <c r="F1070" s="24" t="s">
        <v>984</v>
      </c>
      <c r="G1070" s="69" t="s">
        <v>985</v>
      </c>
      <c r="H1070" s="24">
        <v>2</v>
      </c>
      <c r="I1070" s="69"/>
      <c r="J1070" s="24" t="s">
        <v>5801</v>
      </c>
      <c r="K1070" s="24" t="s">
        <v>68</v>
      </c>
      <c r="M1070" s="75" t="s">
        <v>65</v>
      </c>
      <c r="N1070" s="75" t="s">
        <v>2015</v>
      </c>
      <c r="O1070" s="75" t="s">
        <v>406</v>
      </c>
      <c r="P1070" s="75" t="s">
        <v>406</v>
      </c>
      <c r="Q1070" s="75"/>
      <c r="R1070" s="75" t="s">
        <v>2166</v>
      </c>
      <c r="Z1070" s="69"/>
      <c r="AA1070" s="69"/>
      <c r="AB1070" s="69"/>
      <c r="AC1070" s="69" t="s">
        <v>11391</v>
      </c>
    </row>
    <row r="1071" spans="1:31" s="26" customFormat="1" x14ac:dyDescent="0.3">
      <c r="A1071" s="25" t="s">
        <v>5802</v>
      </c>
      <c r="B1071" s="25"/>
      <c r="C1071" s="26" t="s">
        <v>3005</v>
      </c>
      <c r="D1071" s="70"/>
      <c r="G1071" s="70" t="s">
        <v>985</v>
      </c>
      <c r="H1071" s="26">
        <v>1</v>
      </c>
      <c r="I1071" s="70" t="s">
        <v>4235</v>
      </c>
      <c r="J1071" s="26" t="s">
        <v>5801</v>
      </c>
      <c r="K1071" s="26" t="s">
        <v>5803</v>
      </c>
      <c r="L1071" s="26" t="s">
        <v>10446</v>
      </c>
      <c r="M1071" s="76"/>
      <c r="N1071" s="76"/>
      <c r="O1071" s="76"/>
      <c r="P1071" s="76"/>
      <c r="Q1071" s="76"/>
      <c r="R1071" s="76"/>
      <c r="Z1071" s="70"/>
      <c r="AA1071" s="70"/>
      <c r="AB1071" s="70"/>
      <c r="AC1071" s="70"/>
    </row>
    <row r="1072" spans="1:31" s="26" customFormat="1" x14ac:dyDescent="0.3">
      <c r="A1072" s="25" t="s">
        <v>5804</v>
      </c>
      <c r="B1072" s="25"/>
      <c r="C1072" s="26" t="s">
        <v>3005</v>
      </c>
      <c r="D1072" s="70"/>
      <c r="G1072" s="70" t="s">
        <v>985</v>
      </c>
      <c r="H1072" s="26">
        <v>1</v>
      </c>
      <c r="I1072" s="70" t="s">
        <v>5805</v>
      </c>
      <c r="J1072" s="26" t="s">
        <v>5806</v>
      </c>
      <c r="K1072" s="26" t="s">
        <v>5807</v>
      </c>
      <c r="L1072" s="26" t="s">
        <v>10447</v>
      </c>
      <c r="M1072" s="76"/>
      <c r="N1072" s="76"/>
      <c r="O1072" s="76"/>
      <c r="P1072" s="76"/>
      <c r="Q1072" s="76"/>
      <c r="R1072" s="76"/>
      <c r="Z1072" s="70"/>
      <c r="AA1072" s="70"/>
      <c r="AB1072" s="70"/>
      <c r="AC1072" s="70"/>
    </row>
    <row r="1073" spans="1:31" s="24" customFormat="1" x14ac:dyDescent="0.3">
      <c r="A1073" s="23">
        <v>328</v>
      </c>
      <c r="B1073" s="23">
        <v>324</v>
      </c>
      <c r="C1073" s="24" t="s">
        <v>2165</v>
      </c>
      <c r="D1073" s="69" t="s">
        <v>974</v>
      </c>
      <c r="E1073" s="24" t="s">
        <v>973</v>
      </c>
      <c r="F1073" s="24" t="s">
        <v>986</v>
      </c>
      <c r="G1073" s="69" t="s">
        <v>987</v>
      </c>
      <c r="I1073" s="69"/>
      <c r="J1073" s="24" t="s">
        <v>5808</v>
      </c>
      <c r="K1073" s="24" t="s">
        <v>988</v>
      </c>
      <c r="M1073" s="75" t="s">
        <v>10</v>
      </c>
      <c r="N1073" s="75"/>
      <c r="O1073" s="75"/>
      <c r="P1073" s="75"/>
      <c r="Q1073" s="75"/>
      <c r="R1073" s="75" t="s">
        <v>2166</v>
      </c>
      <c r="Z1073" s="69"/>
      <c r="AA1073" s="69"/>
      <c r="AB1073" s="69"/>
      <c r="AC1073" s="69" t="s">
        <v>11392</v>
      </c>
    </row>
    <row r="1074" spans="1:31" s="26" customFormat="1" x14ac:dyDescent="0.3">
      <c r="A1074" s="25" t="s">
        <v>5809</v>
      </c>
      <c r="B1074" s="25"/>
      <c r="C1074" s="26" t="s">
        <v>3005</v>
      </c>
      <c r="D1074" s="70"/>
      <c r="G1074" s="70" t="s">
        <v>987</v>
      </c>
      <c r="H1074" s="26">
        <v>-1</v>
      </c>
      <c r="I1074" s="70" t="s">
        <v>5810</v>
      </c>
      <c r="J1074" s="26" t="s">
        <v>5800</v>
      </c>
      <c r="K1074" s="26" t="s">
        <v>5775</v>
      </c>
      <c r="L1074" s="26" t="s">
        <v>10448</v>
      </c>
      <c r="M1074" s="76"/>
      <c r="N1074" s="76"/>
      <c r="O1074" s="76"/>
      <c r="P1074" s="76"/>
      <c r="Q1074" s="76"/>
      <c r="R1074" s="76"/>
      <c r="Z1074" s="70"/>
      <c r="AA1074" s="70"/>
      <c r="AB1074" s="70"/>
      <c r="AC1074" s="70"/>
    </row>
    <row r="1075" spans="1:31" s="26" customFormat="1" x14ac:dyDescent="0.3">
      <c r="A1075" s="25" t="s">
        <v>5811</v>
      </c>
      <c r="B1075" s="25"/>
      <c r="C1075" s="26" t="s">
        <v>3005</v>
      </c>
      <c r="D1075" s="70"/>
      <c r="G1075" s="70" t="s">
        <v>987</v>
      </c>
      <c r="H1075" s="26">
        <v>-1</v>
      </c>
      <c r="I1075" s="70" t="s">
        <v>5812</v>
      </c>
      <c r="J1075" s="26" t="s">
        <v>5813</v>
      </c>
      <c r="K1075" s="26" t="s">
        <v>5814</v>
      </c>
      <c r="L1075" s="26" t="s">
        <v>10449</v>
      </c>
      <c r="M1075" s="76"/>
      <c r="N1075" s="76"/>
      <c r="O1075" s="76"/>
      <c r="P1075" s="76"/>
      <c r="Q1075" s="76"/>
      <c r="R1075" s="76"/>
      <c r="Z1075" s="70"/>
      <c r="AA1075" s="70"/>
      <c r="AB1075" s="70"/>
      <c r="AC1075" s="70"/>
    </row>
    <row r="1076" spans="1:31" s="26" customFormat="1" x14ac:dyDescent="0.3">
      <c r="A1076" s="25" t="s">
        <v>5815</v>
      </c>
      <c r="B1076" s="25"/>
      <c r="C1076" s="26" t="s">
        <v>3005</v>
      </c>
      <c r="D1076" s="70"/>
      <c r="G1076" s="70" t="s">
        <v>987</v>
      </c>
      <c r="H1076" s="26">
        <v>-1</v>
      </c>
      <c r="I1076" s="70" t="s">
        <v>5816</v>
      </c>
      <c r="J1076" s="26" t="s">
        <v>5817</v>
      </c>
      <c r="K1076" s="26" t="s">
        <v>5818</v>
      </c>
      <c r="L1076" s="26" t="s">
        <v>10450</v>
      </c>
      <c r="M1076" s="76"/>
      <c r="N1076" s="76"/>
      <c r="O1076" s="76"/>
      <c r="P1076" s="76"/>
      <c r="Q1076" s="76"/>
      <c r="R1076" s="76"/>
      <c r="Z1076" s="70"/>
      <c r="AA1076" s="70"/>
      <c r="AB1076" s="70"/>
      <c r="AC1076" s="70"/>
    </row>
    <row r="1077" spans="1:31" s="26" customFormat="1" x14ac:dyDescent="0.3">
      <c r="A1077" s="25" t="s">
        <v>5819</v>
      </c>
      <c r="B1077" s="25"/>
      <c r="C1077" s="26" t="s">
        <v>3005</v>
      </c>
      <c r="D1077" s="70"/>
      <c r="G1077" s="70" t="s">
        <v>987</v>
      </c>
      <c r="H1077" s="26">
        <v>2</v>
      </c>
      <c r="I1077" s="70" t="s">
        <v>5820</v>
      </c>
      <c r="J1077" s="26" t="s">
        <v>5808</v>
      </c>
      <c r="K1077" s="26" t="s">
        <v>3215</v>
      </c>
      <c r="L1077" s="26" t="s">
        <v>10451</v>
      </c>
      <c r="M1077" s="76"/>
      <c r="N1077" s="76"/>
      <c r="O1077" s="76"/>
      <c r="P1077" s="76"/>
      <c r="Q1077" s="76"/>
      <c r="R1077" s="76"/>
      <c r="Z1077" s="70"/>
      <c r="AA1077" s="70"/>
      <c r="AB1077" s="70"/>
      <c r="AC1077" s="70"/>
    </row>
    <row r="1078" spans="1:31" s="24" customFormat="1" x14ac:dyDescent="0.3">
      <c r="A1078" s="23">
        <v>329</v>
      </c>
      <c r="B1078" s="23">
        <v>325</v>
      </c>
      <c r="C1078" s="24" t="s">
        <v>2165</v>
      </c>
      <c r="D1078" s="69" t="s">
        <v>974</v>
      </c>
      <c r="E1078" s="24" t="s">
        <v>973</v>
      </c>
      <c r="F1078" s="24" t="s">
        <v>989</v>
      </c>
      <c r="G1078" s="69" t="s">
        <v>990</v>
      </c>
      <c r="H1078" s="24">
        <v>2</v>
      </c>
      <c r="I1078" s="69"/>
      <c r="J1078" s="24" t="s">
        <v>5806</v>
      </c>
      <c r="K1078" s="24" t="s">
        <v>68</v>
      </c>
      <c r="M1078" s="75" t="s">
        <v>65</v>
      </c>
      <c r="N1078" s="75" t="s">
        <v>2015</v>
      </c>
      <c r="O1078" s="75" t="s">
        <v>732</v>
      </c>
      <c r="P1078" s="75"/>
      <c r="Q1078" s="75"/>
      <c r="R1078" s="75"/>
      <c r="T1078" s="24" t="s">
        <v>2179</v>
      </c>
      <c r="V1078" s="24" t="s">
        <v>2571</v>
      </c>
      <c r="Z1078" s="69"/>
      <c r="AA1078" s="69"/>
      <c r="AB1078" s="69"/>
      <c r="AC1078" s="69"/>
      <c r="AE1078" s="24" t="s">
        <v>2572</v>
      </c>
    </row>
    <row r="1079" spans="1:31" s="26" customFormat="1" x14ac:dyDescent="0.3">
      <c r="A1079" s="25" t="s">
        <v>5821</v>
      </c>
      <c r="B1079" s="25"/>
      <c r="C1079" s="26" t="s">
        <v>3005</v>
      </c>
      <c r="D1079" s="70"/>
      <c r="G1079" s="70" t="s">
        <v>990</v>
      </c>
      <c r="H1079" s="26">
        <v>1</v>
      </c>
      <c r="I1079" s="70" t="s">
        <v>5822</v>
      </c>
      <c r="J1079" s="26" t="s">
        <v>5806</v>
      </c>
      <c r="K1079" s="26" t="s">
        <v>5823</v>
      </c>
      <c r="L1079" s="26" t="s">
        <v>10452</v>
      </c>
      <c r="M1079" s="76"/>
      <c r="N1079" s="76"/>
      <c r="O1079" s="76"/>
      <c r="P1079" s="76"/>
      <c r="Q1079" s="76"/>
      <c r="R1079" s="76"/>
      <c r="Z1079" s="70"/>
      <c r="AA1079" s="70"/>
      <c r="AB1079" s="70"/>
      <c r="AC1079" s="70"/>
    </row>
    <row r="1080" spans="1:31" s="26" customFormat="1" x14ac:dyDescent="0.3">
      <c r="A1080" s="25" t="s">
        <v>5824</v>
      </c>
      <c r="B1080" s="25"/>
      <c r="C1080" s="26" t="s">
        <v>3005</v>
      </c>
      <c r="D1080" s="70"/>
      <c r="G1080" s="70" t="s">
        <v>990</v>
      </c>
      <c r="H1080" s="26">
        <v>1</v>
      </c>
      <c r="I1080" s="70" t="s">
        <v>3694</v>
      </c>
      <c r="J1080" s="26" t="s">
        <v>4795</v>
      </c>
      <c r="K1080" s="26" t="s">
        <v>2016</v>
      </c>
      <c r="L1080" s="26" t="s">
        <v>9788</v>
      </c>
      <c r="M1080" s="76"/>
      <c r="N1080" s="76"/>
      <c r="O1080" s="76"/>
      <c r="P1080" s="76"/>
      <c r="Q1080" s="76"/>
      <c r="R1080" s="76"/>
      <c r="T1080" s="26" t="s">
        <v>2200</v>
      </c>
      <c r="Z1080" s="70"/>
      <c r="AA1080" s="70"/>
      <c r="AB1080" s="70"/>
      <c r="AC1080" s="70"/>
      <c r="AE1080" s="26" t="s">
        <v>5825</v>
      </c>
    </row>
    <row r="1081" spans="1:31" s="24" customFormat="1" x14ac:dyDescent="0.3">
      <c r="A1081" s="23">
        <v>330</v>
      </c>
      <c r="B1081" s="23">
        <v>326</v>
      </c>
      <c r="C1081" s="24" t="s">
        <v>2165</v>
      </c>
      <c r="D1081" s="69" t="s">
        <v>974</v>
      </c>
      <c r="E1081" s="24" t="s">
        <v>973</v>
      </c>
      <c r="F1081" s="24" t="s">
        <v>991</v>
      </c>
      <c r="G1081" s="69" t="s">
        <v>992</v>
      </c>
      <c r="I1081" s="69"/>
      <c r="J1081" s="24" t="s">
        <v>5826</v>
      </c>
      <c r="K1081" s="24" t="s">
        <v>822</v>
      </c>
      <c r="M1081" s="75" t="s">
        <v>10</v>
      </c>
      <c r="N1081" s="75"/>
      <c r="O1081" s="75"/>
      <c r="P1081" s="75"/>
      <c r="Q1081" s="75"/>
      <c r="R1081" s="75" t="s">
        <v>2166</v>
      </c>
      <c r="Z1081" s="69"/>
      <c r="AA1081" s="69"/>
      <c r="AB1081" s="69"/>
      <c r="AC1081" s="69" t="s">
        <v>11393</v>
      </c>
    </row>
    <row r="1082" spans="1:31" s="26" customFormat="1" x14ac:dyDescent="0.3">
      <c r="A1082" s="25" t="s">
        <v>5827</v>
      </c>
      <c r="B1082" s="25"/>
      <c r="C1082" s="26" t="s">
        <v>3005</v>
      </c>
      <c r="D1082" s="70"/>
      <c r="G1082" s="70" t="s">
        <v>992</v>
      </c>
      <c r="H1082" s="26">
        <v>-1</v>
      </c>
      <c r="I1082" s="70" t="s">
        <v>5828</v>
      </c>
      <c r="J1082" s="26" t="s">
        <v>5826</v>
      </c>
      <c r="K1082" s="26" t="s">
        <v>5829</v>
      </c>
      <c r="L1082" s="26" t="s">
        <v>10453</v>
      </c>
      <c r="M1082" s="76"/>
      <c r="N1082" s="76"/>
      <c r="O1082" s="76"/>
      <c r="P1082" s="76"/>
      <c r="Q1082" s="76"/>
      <c r="R1082" s="76"/>
      <c r="Z1082" s="70"/>
      <c r="AA1082" s="70"/>
      <c r="AB1082" s="70"/>
      <c r="AC1082" s="70"/>
    </row>
    <row r="1083" spans="1:31" s="26" customFormat="1" x14ac:dyDescent="0.3">
      <c r="A1083" s="25" t="s">
        <v>5830</v>
      </c>
      <c r="B1083" s="25"/>
      <c r="C1083" s="26" t="s">
        <v>3005</v>
      </c>
      <c r="D1083" s="70"/>
      <c r="G1083" s="70" t="s">
        <v>992</v>
      </c>
      <c r="H1083" s="26">
        <v>1</v>
      </c>
      <c r="I1083" s="70" t="s">
        <v>5831</v>
      </c>
      <c r="J1083" s="26" t="s">
        <v>5832</v>
      </c>
      <c r="K1083" s="26" t="s">
        <v>5833</v>
      </c>
      <c r="L1083" s="26" t="s">
        <v>10454</v>
      </c>
      <c r="M1083" s="76"/>
      <c r="N1083" s="76"/>
      <c r="O1083" s="76"/>
      <c r="P1083" s="76"/>
      <c r="Q1083" s="76"/>
      <c r="R1083" s="76"/>
      <c r="Z1083" s="70"/>
      <c r="AA1083" s="70"/>
      <c r="AB1083" s="70"/>
      <c r="AC1083" s="70"/>
    </row>
    <row r="1084" spans="1:31" s="26" customFormat="1" x14ac:dyDescent="0.3">
      <c r="A1084" s="25" t="s">
        <v>5834</v>
      </c>
      <c r="B1084" s="25"/>
      <c r="C1084" s="26" t="s">
        <v>3005</v>
      </c>
      <c r="D1084" s="70"/>
      <c r="G1084" s="70" t="s">
        <v>992</v>
      </c>
      <c r="H1084" s="26">
        <v>-1</v>
      </c>
      <c r="I1084" s="70" t="s">
        <v>5835</v>
      </c>
      <c r="J1084" s="26" t="s">
        <v>5836</v>
      </c>
      <c r="K1084" s="26" t="s">
        <v>5837</v>
      </c>
      <c r="L1084" s="26" t="s">
        <v>10455</v>
      </c>
      <c r="M1084" s="76"/>
      <c r="N1084" s="76"/>
      <c r="O1084" s="76"/>
      <c r="P1084" s="76"/>
      <c r="Q1084" s="76"/>
      <c r="R1084" s="76"/>
      <c r="Z1084" s="70"/>
      <c r="AA1084" s="70"/>
      <c r="AB1084" s="70"/>
      <c r="AC1084" s="70"/>
    </row>
    <row r="1085" spans="1:31" s="24" customFormat="1" x14ac:dyDescent="0.3">
      <c r="A1085" s="23">
        <v>331</v>
      </c>
      <c r="B1085" s="23">
        <v>327</v>
      </c>
      <c r="C1085" s="24" t="s">
        <v>2165</v>
      </c>
      <c r="D1085" s="69" t="s">
        <v>974</v>
      </c>
      <c r="E1085" s="24" t="s">
        <v>973</v>
      </c>
      <c r="F1085" s="24" t="s">
        <v>993</v>
      </c>
      <c r="G1085" s="69" t="s">
        <v>994</v>
      </c>
      <c r="H1085" s="24">
        <v>1</v>
      </c>
      <c r="I1085" s="69"/>
      <c r="J1085" s="24" t="s">
        <v>5838</v>
      </c>
      <c r="K1085" s="24" t="s">
        <v>995</v>
      </c>
      <c r="M1085" s="75" t="s">
        <v>15</v>
      </c>
      <c r="N1085" s="75"/>
      <c r="O1085" s="75"/>
      <c r="P1085" s="75"/>
      <c r="Q1085" s="75"/>
      <c r="R1085" s="75"/>
      <c r="V1085" s="24" t="s">
        <v>2573</v>
      </c>
      <c r="Y1085" s="24" t="s">
        <v>2573</v>
      </c>
      <c r="Z1085" s="69"/>
      <c r="AA1085" s="69"/>
      <c r="AB1085" s="69" t="s">
        <v>2574</v>
      </c>
      <c r="AC1085" s="69"/>
    </row>
    <row r="1086" spans="1:31" s="26" customFormat="1" x14ac:dyDescent="0.3">
      <c r="A1086" s="25" t="s">
        <v>5839</v>
      </c>
      <c r="B1086" s="25"/>
      <c r="C1086" s="26" t="s">
        <v>3005</v>
      </c>
      <c r="D1086" s="70"/>
      <c r="G1086" s="70" t="s">
        <v>994</v>
      </c>
      <c r="H1086" s="26">
        <v>2</v>
      </c>
      <c r="I1086" s="70" t="s">
        <v>5840</v>
      </c>
      <c r="J1086" s="26" t="s">
        <v>5838</v>
      </c>
      <c r="K1086" s="26" t="s">
        <v>5841</v>
      </c>
      <c r="L1086" s="26" t="s">
        <v>10456</v>
      </c>
      <c r="M1086" s="76"/>
      <c r="N1086" s="76"/>
      <c r="O1086" s="76"/>
      <c r="P1086" s="76"/>
      <c r="Q1086" s="76"/>
      <c r="R1086" s="76"/>
      <c r="Z1086" s="70"/>
      <c r="AA1086" s="70"/>
      <c r="AB1086" s="70"/>
      <c r="AC1086" s="70"/>
    </row>
    <row r="1087" spans="1:31" s="26" customFormat="1" x14ac:dyDescent="0.3">
      <c r="A1087" s="25" t="s">
        <v>5842</v>
      </c>
      <c r="B1087" s="25"/>
      <c r="C1087" s="26" t="s">
        <v>3005</v>
      </c>
      <c r="D1087" s="70"/>
      <c r="G1087" s="70" t="s">
        <v>994</v>
      </c>
      <c r="H1087" s="26">
        <v>-1</v>
      </c>
      <c r="I1087" s="70" t="s">
        <v>5843</v>
      </c>
      <c r="J1087" s="26" t="s">
        <v>5800</v>
      </c>
      <c r="K1087" s="26" t="s">
        <v>5844</v>
      </c>
      <c r="L1087" s="26" t="s">
        <v>10457</v>
      </c>
      <c r="M1087" s="76"/>
      <c r="N1087" s="76"/>
      <c r="O1087" s="76"/>
      <c r="P1087" s="76"/>
      <c r="Q1087" s="76"/>
      <c r="R1087" s="76"/>
      <c r="Z1087" s="70"/>
      <c r="AA1087" s="70"/>
      <c r="AB1087" s="70"/>
      <c r="AC1087" s="70"/>
    </row>
    <row r="1088" spans="1:31" s="24" customFormat="1" x14ac:dyDescent="0.3">
      <c r="A1088" s="23">
        <v>332</v>
      </c>
      <c r="B1088" s="23">
        <v>328</v>
      </c>
      <c r="C1088" s="24" t="s">
        <v>2165</v>
      </c>
      <c r="D1088" s="69" t="s">
        <v>974</v>
      </c>
      <c r="E1088" s="24" t="s">
        <v>973</v>
      </c>
      <c r="F1088" s="24" t="s">
        <v>996</v>
      </c>
      <c r="G1088" s="69" t="s">
        <v>997</v>
      </c>
      <c r="I1088" s="69"/>
      <c r="J1088" s="24" t="s">
        <v>5518</v>
      </c>
      <c r="K1088" s="24" t="s">
        <v>998</v>
      </c>
      <c r="L1088" s="24" t="s">
        <v>9803</v>
      </c>
      <c r="M1088" s="75" t="s">
        <v>65</v>
      </c>
      <c r="N1088" s="75" t="s">
        <v>2015</v>
      </c>
      <c r="O1088" s="75" t="s">
        <v>58</v>
      </c>
      <c r="P1088" s="75" t="s">
        <v>58</v>
      </c>
      <c r="Q1088" s="75" t="s">
        <v>66</v>
      </c>
      <c r="R1088" s="75"/>
      <c r="V1088" s="24" t="s">
        <v>2575</v>
      </c>
      <c r="W1088" s="24" t="s">
        <v>2576</v>
      </c>
      <c r="Y1088" s="24" t="s">
        <v>2577</v>
      </c>
      <c r="Z1088" s="69"/>
      <c r="AA1088" s="69"/>
      <c r="AB1088" s="69"/>
      <c r="AC1088" s="69"/>
    </row>
    <row r="1089" spans="1:31" s="24" customFormat="1" x14ac:dyDescent="0.3">
      <c r="A1089" s="23">
        <v>333</v>
      </c>
      <c r="B1089" s="23">
        <v>329</v>
      </c>
      <c r="C1089" s="24" t="s">
        <v>2165</v>
      </c>
      <c r="D1089" s="69" t="s">
        <v>974</v>
      </c>
      <c r="E1089" s="24" t="s">
        <v>973</v>
      </c>
      <c r="F1089" s="24" t="s">
        <v>999</v>
      </c>
      <c r="G1089" s="69" t="s">
        <v>1000</v>
      </c>
      <c r="I1089" s="69"/>
      <c r="J1089" s="24" t="s">
        <v>5845</v>
      </c>
      <c r="K1089" s="24" t="s">
        <v>1001</v>
      </c>
      <c r="M1089" s="75" t="s">
        <v>19</v>
      </c>
      <c r="N1089" s="75"/>
      <c r="O1089" s="75"/>
      <c r="P1089" s="75"/>
      <c r="Q1089" s="75"/>
      <c r="R1089" s="75" t="s">
        <v>2166</v>
      </c>
      <c r="U1089" s="24" t="s">
        <v>2186</v>
      </c>
      <c r="V1089" s="24" t="s">
        <v>2171</v>
      </c>
      <c r="Z1089" s="69"/>
      <c r="AA1089" s="69"/>
      <c r="AB1089" s="69"/>
      <c r="AC1089" s="69"/>
      <c r="AD1089" s="24" t="s">
        <v>11333</v>
      </c>
    </row>
    <row r="1090" spans="1:31" s="26" customFormat="1" x14ac:dyDescent="0.3">
      <c r="A1090" s="25" t="s">
        <v>5846</v>
      </c>
      <c r="B1090" s="25"/>
      <c r="C1090" s="26" t="s">
        <v>3005</v>
      </c>
      <c r="D1090" s="70"/>
      <c r="G1090" s="70" t="s">
        <v>1000</v>
      </c>
      <c r="H1090" s="26">
        <v>-1</v>
      </c>
      <c r="I1090" s="70" t="s">
        <v>5847</v>
      </c>
      <c r="J1090" s="26" t="s">
        <v>5845</v>
      </c>
      <c r="K1090" s="26" t="s">
        <v>5848</v>
      </c>
      <c r="L1090" s="26" t="s">
        <v>10458</v>
      </c>
      <c r="M1090" s="76"/>
      <c r="N1090" s="76"/>
      <c r="O1090" s="76"/>
      <c r="P1090" s="76"/>
      <c r="Q1090" s="76"/>
      <c r="R1090" s="76"/>
      <c r="U1090" s="26" t="s">
        <v>4417</v>
      </c>
      <c r="Z1090" s="70"/>
      <c r="AA1090" s="70"/>
      <c r="AB1090" s="70"/>
      <c r="AC1090" s="70"/>
    </row>
    <row r="1091" spans="1:31" s="26" customFormat="1" x14ac:dyDescent="0.3">
      <c r="A1091" s="25" t="s">
        <v>5849</v>
      </c>
      <c r="B1091" s="25"/>
      <c r="C1091" s="26" t="s">
        <v>3005</v>
      </c>
      <c r="D1091" s="70"/>
      <c r="G1091" s="70" t="s">
        <v>1000</v>
      </c>
      <c r="H1091" s="26">
        <v>-1</v>
      </c>
      <c r="I1091" s="70" t="s">
        <v>5850</v>
      </c>
      <c r="J1091" s="26" t="s">
        <v>4259</v>
      </c>
      <c r="K1091" s="26" t="s">
        <v>5851</v>
      </c>
      <c r="L1091" s="26" t="s">
        <v>10459</v>
      </c>
      <c r="M1091" s="76"/>
      <c r="N1091" s="76"/>
      <c r="O1091" s="76"/>
      <c r="P1091" s="76"/>
      <c r="Q1091" s="76"/>
      <c r="R1091" s="76"/>
      <c r="Z1091" s="70"/>
      <c r="AA1091" s="70"/>
      <c r="AB1091" s="70"/>
      <c r="AC1091" s="70"/>
    </row>
    <row r="1092" spans="1:31" s="24" customFormat="1" x14ac:dyDescent="0.3">
      <c r="A1092" s="23">
        <v>334</v>
      </c>
      <c r="B1092" s="23">
        <v>330</v>
      </c>
      <c r="C1092" s="24" t="s">
        <v>2165</v>
      </c>
      <c r="D1092" s="69" t="s">
        <v>974</v>
      </c>
      <c r="E1092" s="24" t="s">
        <v>973</v>
      </c>
      <c r="F1092" s="24" t="s">
        <v>1002</v>
      </c>
      <c r="G1092" s="69" t="s">
        <v>1003</v>
      </c>
      <c r="H1092" s="24">
        <v>1</v>
      </c>
      <c r="I1092" s="69"/>
      <c r="J1092" s="24" t="s">
        <v>5852</v>
      </c>
      <c r="K1092" s="24" t="s">
        <v>43</v>
      </c>
      <c r="M1092" s="75" t="s">
        <v>15</v>
      </c>
      <c r="N1092" s="75"/>
      <c r="O1092" s="75"/>
      <c r="P1092" s="75"/>
      <c r="Q1092" s="75"/>
      <c r="R1092" s="75"/>
      <c r="Z1092" s="69"/>
      <c r="AA1092" s="69"/>
      <c r="AB1092" s="69"/>
      <c r="AC1092" s="69"/>
    </row>
    <row r="1093" spans="1:31" s="26" customFormat="1" x14ac:dyDescent="0.3">
      <c r="A1093" s="25" t="s">
        <v>5853</v>
      </c>
      <c r="B1093" s="25"/>
      <c r="C1093" s="26" t="s">
        <v>3005</v>
      </c>
      <c r="D1093" s="70"/>
      <c r="G1093" s="70" t="s">
        <v>1003</v>
      </c>
      <c r="H1093" s="26">
        <v>-1</v>
      </c>
      <c r="I1093" s="70" t="s">
        <v>3831</v>
      </c>
      <c r="J1093" s="26" t="s">
        <v>5283</v>
      </c>
      <c r="K1093" s="26" t="s">
        <v>5854</v>
      </c>
      <c r="L1093" s="26" t="s">
        <v>10460</v>
      </c>
      <c r="M1093" s="76"/>
      <c r="N1093" s="76"/>
      <c r="O1093" s="76"/>
      <c r="P1093" s="76"/>
      <c r="Q1093" s="76"/>
      <c r="R1093" s="76"/>
      <c r="Z1093" s="70"/>
      <c r="AA1093" s="70"/>
      <c r="AB1093" s="70"/>
      <c r="AC1093" s="70"/>
    </row>
    <row r="1094" spans="1:31" s="26" customFormat="1" x14ac:dyDescent="0.3">
      <c r="A1094" s="25" t="s">
        <v>5855</v>
      </c>
      <c r="B1094" s="25"/>
      <c r="C1094" s="26" t="s">
        <v>3005</v>
      </c>
      <c r="D1094" s="70"/>
      <c r="G1094" s="70" t="s">
        <v>1003</v>
      </c>
      <c r="H1094" s="26">
        <v>1</v>
      </c>
      <c r="I1094" s="70" t="s">
        <v>5856</v>
      </c>
      <c r="J1094" s="26" t="s">
        <v>5852</v>
      </c>
      <c r="K1094" s="26" t="s">
        <v>5857</v>
      </c>
      <c r="L1094" s="26" t="s">
        <v>10461</v>
      </c>
      <c r="M1094" s="76"/>
      <c r="N1094" s="76"/>
      <c r="O1094" s="76"/>
      <c r="P1094" s="76"/>
      <c r="Q1094" s="76"/>
      <c r="R1094" s="76"/>
      <c r="Z1094" s="70"/>
      <c r="AA1094" s="70"/>
      <c r="AB1094" s="70"/>
      <c r="AC1094" s="70"/>
    </row>
    <row r="1095" spans="1:31" s="24" customFormat="1" x14ac:dyDescent="0.3">
      <c r="A1095" s="23">
        <v>335</v>
      </c>
      <c r="B1095" s="23">
        <v>331</v>
      </c>
      <c r="C1095" s="24" t="s">
        <v>2165</v>
      </c>
      <c r="D1095" s="69" t="s">
        <v>974</v>
      </c>
      <c r="E1095" s="24" t="s">
        <v>973</v>
      </c>
      <c r="F1095" s="24" t="s">
        <v>1004</v>
      </c>
      <c r="G1095" s="69" t="s">
        <v>1005</v>
      </c>
      <c r="I1095" s="69"/>
      <c r="J1095" s="24" t="s">
        <v>5858</v>
      </c>
      <c r="K1095" s="24" t="s">
        <v>1006</v>
      </c>
      <c r="L1095" s="24" t="s">
        <v>9804</v>
      </c>
      <c r="M1095" s="75" t="s">
        <v>15</v>
      </c>
      <c r="N1095" s="75"/>
      <c r="O1095" s="75"/>
      <c r="P1095" s="75"/>
      <c r="Q1095" s="75"/>
      <c r="R1095" s="75"/>
      <c r="Z1095" s="69"/>
      <c r="AA1095" s="69"/>
      <c r="AB1095" s="69"/>
      <c r="AC1095" s="69"/>
    </row>
    <row r="1096" spans="1:31" s="24" customFormat="1" x14ac:dyDescent="0.3">
      <c r="A1096" s="23">
        <v>336</v>
      </c>
      <c r="B1096" s="23">
        <v>332</v>
      </c>
      <c r="C1096" s="24" t="s">
        <v>2165</v>
      </c>
      <c r="D1096" s="69" t="s">
        <v>974</v>
      </c>
      <c r="E1096" s="24" t="s">
        <v>973</v>
      </c>
      <c r="F1096" s="24" t="s">
        <v>1007</v>
      </c>
      <c r="G1096" s="69" t="s">
        <v>1008</v>
      </c>
      <c r="H1096" s="24">
        <v>1</v>
      </c>
      <c r="I1096" s="69"/>
      <c r="J1096" s="24" t="s">
        <v>5859</v>
      </c>
      <c r="K1096" s="24" t="s">
        <v>43</v>
      </c>
      <c r="M1096" s="75" t="s">
        <v>15</v>
      </c>
      <c r="N1096" s="75"/>
      <c r="O1096" s="75"/>
      <c r="P1096" s="75"/>
      <c r="Q1096" s="75"/>
      <c r="R1096" s="75"/>
      <c r="V1096" s="24" t="s">
        <v>2578</v>
      </c>
      <c r="W1096" s="24" t="s">
        <v>2578</v>
      </c>
      <c r="Y1096" s="24" t="s">
        <v>2579</v>
      </c>
      <c r="Z1096" s="69"/>
      <c r="AA1096" s="69"/>
      <c r="AB1096" s="69"/>
      <c r="AC1096" s="69"/>
    </row>
    <row r="1097" spans="1:31" s="26" customFormat="1" x14ac:dyDescent="0.3">
      <c r="A1097" s="25" t="s">
        <v>5860</v>
      </c>
      <c r="B1097" s="25"/>
      <c r="C1097" s="26" t="s">
        <v>3005</v>
      </c>
      <c r="D1097" s="70"/>
      <c r="G1097" s="70" t="s">
        <v>1008</v>
      </c>
      <c r="H1097" s="26">
        <v>-1</v>
      </c>
      <c r="I1097" s="70" t="s">
        <v>5861</v>
      </c>
      <c r="J1097" s="26" t="s">
        <v>5859</v>
      </c>
      <c r="K1097" s="26" t="s">
        <v>5862</v>
      </c>
      <c r="L1097" s="26" t="s">
        <v>5862</v>
      </c>
      <c r="M1097" s="76"/>
      <c r="N1097" s="76"/>
      <c r="O1097" s="76"/>
      <c r="P1097" s="76"/>
      <c r="Q1097" s="76"/>
      <c r="R1097" s="76"/>
      <c r="Z1097" s="70"/>
      <c r="AA1097" s="70"/>
      <c r="AB1097" s="70"/>
      <c r="AC1097" s="70"/>
    </row>
    <row r="1098" spans="1:31" s="26" customFormat="1" x14ac:dyDescent="0.3">
      <c r="A1098" s="25" t="s">
        <v>5863</v>
      </c>
      <c r="B1098" s="25"/>
      <c r="C1098" s="26" t="s">
        <v>3005</v>
      </c>
      <c r="D1098" s="70"/>
      <c r="G1098" s="70" t="s">
        <v>1008</v>
      </c>
      <c r="H1098" s="26">
        <v>-1</v>
      </c>
      <c r="I1098" s="70" t="s">
        <v>5864</v>
      </c>
      <c r="J1098" s="26" t="s">
        <v>5858</v>
      </c>
      <c r="K1098" s="26" t="s">
        <v>5865</v>
      </c>
      <c r="L1098" s="26" t="s">
        <v>10462</v>
      </c>
      <c r="M1098" s="76"/>
      <c r="N1098" s="76"/>
      <c r="O1098" s="76"/>
      <c r="P1098" s="76"/>
      <c r="Q1098" s="76"/>
      <c r="R1098" s="76"/>
      <c r="Z1098" s="70"/>
      <c r="AA1098" s="70"/>
      <c r="AB1098" s="70"/>
      <c r="AC1098" s="70"/>
    </row>
    <row r="1099" spans="1:31" s="26" customFormat="1" x14ac:dyDescent="0.3">
      <c r="A1099" s="25" t="s">
        <v>5866</v>
      </c>
      <c r="B1099" s="25"/>
      <c r="C1099" s="26" t="s">
        <v>3005</v>
      </c>
      <c r="D1099" s="70"/>
      <c r="G1099" s="70" t="s">
        <v>1008</v>
      </c>
      <c r="H1099" s="26">
        <v>-1</v>
      </c>
      <c r="I1099" s="70" t="s">
        <v>4232</v>
      </c>
      <c r="J1099" s="26" t="s">
        <v>5867</v>
      </c>
      <c r="K1099" s="26" t="s">
        <v>5732</v>
      </c>
      <c r="L1099" s="26" t="s">
        <v>5732</v>
      </c>
      <c r="M1099" s="76"/>
      <c r="N1099" s="76"/>
      <c r="O1099" s="76"/>
      <c r="P1099" s="76"/>
      <c r="Q1099" s="76"/>
      <c r="R1099" s="76"/>
      <c r="Z1099" s="70"/>
      <c r="AA1099" s="70"/>
      <c r="AB1099" s="70"/>
      <c r="AC1099" s="70"/>
    </row>
    <row r="1100" spans="1:31" s="26" customFormat="1" x14ac:dyDescent="0.3">
      <c r="A1100" s="25" t="s">
        <v>5868</v>
      </c>
      <c r="B1100" s="25"/>
      <c r="C1100" s="26" t="s">
        <v>3005</v>
      </c>
      <c r="D1100" s="70"/>
      <c r="G1100" s="70" t="s">
        <v>1008</v>
      </c>
      <c r="H1100" s="26">
        <v>1</v>
      </c>
      <c r="I1100" s="70" t="s">
        <v>5869</v>
      </c>
      <c r="J1100" s="26" t="s">
        <v>5870</v>
      </c>
      <c r="K1100" s="26" t="s">
        <v>5516</v>
      </c>
      <c r="L1100" s="26" t="s">
        <v>9660</v>
      </c>
      <c r="M1100" s="76"/>
      <c r="N1100" s="76"/>
      <c r="O1100" s="76"/>
      <c r="P1100" s="76"/>
      <c r="Q1100" s="76"/>
      <c r="R1100" s="76"/>
      <c r="Z1100" s="70"/>
      <c r="AA1100" s="70"/>
      <c r="AB1100" s="70"/>
      <c r="AC1100" s="70"/>
    </row>
    <row r="1101" spans="1:31" s="24" customFormat="1" x14ac:dyDescent="0.3">
      <c r="A1101" s="23">
        <v>337</v>
      </c>
      <c r="B1101" s="23">
        <v>333</v>
      </c>
      <c r="C1101" s="24" t="s">
        <v>2165</v>
      </c>
      <c r="D1101" s="69" t="s">
        <v>974</v>
      </c>
      <c r="E1101" s="24" t="s">
        <v>973</v>
      </c>
      <c r="F1101" s="24" t="s">
        <v>1009</v>
      </c>
      <c r="G1101" s="69" t="s">
        <v>1010</v>
      </c>
      <c r="I1101" s="69"/>
      <c r="J1101" s="24" t="s">
        <v>5845</v>
      </c>
      <c r="K1101" s="24" t="s">
        <v>1011</v>
      </c>
      <c r="M1101" s="75" t="s">
        <v>317</v>
      </c>
      <c r="N1101" s="75"/>
      <c r="O1101" s="75"/>
      <c r="P1101" s="75"/>
      <c r="Q1101" s="75"/>
      <c r="R1101" s="75"/>
      <c r="T1101" s="24" t="s">
        <v>2174</v>
      </c>
      <c r="U1101" s="24" t="s">
        <v>2336</v>
      </c>
      <c r="V1101" s="24" t="s">
        <v>2580</v>
      </c>
      <c r="Z1101" s="69"/>
      <c r="AA1101" s="69"/>
      <c r="AB1101" s="69"/>
      <c r="AC1101" s="69"/>
      <c r="AD1101" s="24" t="s">
        <v>123</v>
      </c>
      <c r="AE1101" s="24" t="s">
        <v>2581</v>
      </c>
    </row>
    <row r="1102" spans="1:31" s="26" customFormat="1" x14ac:dyDescent="0.3">
      <c r="A1102" s="25" t="s">
        <v>5871</v>
      </c>
      <c r="B1102" s="25"/>
      <c r="C1102" s="26" t="s">
        <v>3005</v>
      </c>
      <c r="D1102" s="70"/>
      <c r="G1102" s="70" t="s">
        <v>1010</v>
      </c>
      <c r="H1102" s="26">
        <v>-1</v>
      </c>
      <c r="I1102" s="70" t="s">
        <v>5872</v>
      </c>
      <c r="J1102" s="26" t="s">
        <v>5845</v>
      </c>
      <c r="K1102" s="26" t="s">
        <v>5873</v>
      </c>
      <c r="L1102" s="26" t="s">
        <v>10463</v>
      </c>
      <c r="M1102" s="76"/>
      <c r="N1102" s="76"/>
      <c r="O1102" s="76"/>
      <c r="P1102" s="76"/>
      <c r="Q1102" s="76"/>
      <c r="R1102" s="76"/>
      <c r="U1102" s="26" t="s">
        <v>5874</v>
      </c>
      <c r="Z1102" s="70"/>
      <c r="AA1102" s="70"/>
      <c r="AB1102" s="70"/>
      <c r="AC1102" s="70"/>
    </row>
    <row r="1103" spans="1:31" s="26" customFormat="1" x14ac:dyDescent="0.3">
      <c r="A1103" s="25" t="s">
        <v>5875</v>
      </c>
      <c r="B1103" s="25"/>
      <c r="C1103" s="26" t="s">
        <v>3005</v>
      </c>
      <c r="D1103" s="70"/>
      <c r="G1103" s="70" t="s">
        <v>1010</v>
      </c>
      <c r="H1103" s="26">
        <v>-1</v>
      </c>
      <c r="I1103" s="70" t="s">
        <v>5876</v>
      </c>
      <c r="J1103" s="26" t="s">
        <v>5877</v>
      </c>
      <c r="K1103" s="26" t="s">
        <v>5878</v>
      </c>
      <c r="M1103" s="76"/>
      <c r="N1103" s="76"/>
      <c r="O1103" s="76"/>
      <c r="P1103" s="76"/>
      <c r="Q1103" s="76"/>
      <c r="R1103" s="76"/>
      <c r="U1103" s="26" t="s">
        <v>5879</v>
      </c>
      <c r="Z1103" s="70"/>
      <c r="AA1103" s="70"/>
      <c r="AB1103" s="70"/>
      <c r="AC1103" s="70"/>
      <c r="AE1103" s="26" t="s">
        <v>5880</v>
      </c>
    </row>
    <row r="1104" spans="1:31" s="24" customFormat="1" x14ac:dyDescent="0.3">
      <c r="A1104" s="23">
        <v>338</v>
      </c>
      <c r="B1104" s="23">
        <v>334</v>
      </c>
      <c r="C1104" s="24" t="s">
        <v>2165</v>
      </c>
      <c r="D1104" s="69" t="s">
        <v>974</v>
      </c>
      <c r="E1104" s="24" t="s">
        <v>973</v>
      </c>
      <c r="F1104" s="24" t="s">
        <v>1012</v>
      </c>
      <c r="G1104" s="69" t="s">
        <v>1013</v>
      </c>
      <c r="H1104" s="24">
        <v>1</v>
      </c>
      <c r="I1104" s="69"/>
      <c r="J1104" s="24" t="s">
        <v>4259</v>
      </c>
      <c r="K1104" s="24" t="s">
        <v>1014</v>
      </c>
      <c r="M1104" s="75" t="s">
        <v>15</v>
      </c>
      <c r="N1104" s="75"/>
      <c r="O1104" s="75"/>
      <c r="P1104" s="75"/>
      <c r="Q1104" s="75"/>
      <c r="R1104" s="75"/>
      <c r="Z1104" s="69"/>
      <c r="AA1104" s="69"/>
      <c r="AB1104" s="69"/>
      <c r="AC1104" s="69"/>
    </row>
    <row r="1105" spans="1:31" s="26" customFormat="1" x14ac:dyDescent="0.3">
      <c r="A1105" s="25" t="s">
        <v>5881</v>
      </c>
      <c r="B1105" s="25"/>
      <c r="C1105" s="26" t="s">
        <v>3005</v>
      </c>
      <c r="D1105" s="70"/>
      <c r="G1105" s="70" t="s">
        <v>1013</v>
      </c>
      <c r="H1105" s="26">
        <v>2</v>
      </c>
      <c r="I1105" s="70" t="s">
        <v>5130</v>
      </c>
      <c r="J1105" s="26" t="s">
        <v>4259</v>
      </c>
      <c r="K1105" s="26" t="s">
        <v>5882</v>
      </c>
      <c r="L1105" s="26" t="s">
        <v>10464</v>
      </c>
      <c r="M1105" s="76"/>
      <c r="N1105" s="76"/>
      <c r="O1105" s="76"/>
      <c r="P1105" s="76"/>
      <c r="Q1105" s="76"/>
      <c r="R1105" s="76"/>
      <c r="Z1105" s="70"/>
      <c r="AA1105" s="70"/>
      <c r="AB1105" s="70"/>
      <c r="AC1105" s="70"/>
    </row>
    <row r="1106" spans="1:31" s="26" customFormat="1" x14ac:dyDescent="0.3">
      <c r="A1106" s="25" t="s">
        <v>5883</v>
      </c>
      <c r="B1106" s="25"/>
      <c r="C1106" s="26" t="s">
        <v>3005</v>
      </c>
      <c r="D1106" s="70"/>
      <c r="G1106" s="70" t="s">
        <v>1013</v>
      </c>
      <c r="H1106" s="26">
        <v>-1</v>
      </c>
      <c r="I1106" s="70" t="s">
        <v>5884</v>
      </c>
      <c r="J1106" s="26" t="s">
        <v>5236</v>
      </c>
      <c r="K1106" s="26" t="s">
        <v>5885</v>
      </c>
      <c r="L1106" s="26" t="s">
        <v>10465</v>
      </c>
      <c r="M1106" s="76"/>
      <c r="N1106" s="76"/>
      <c r="O1106" s="76"/>
      <c r="P1106" s="76"/>
      <c r="Q1106" s="76"/>
      <c r="R1106" s="76"/>
      <c r="Z1106" s="70"/>
      <c r="AA1106" s="70"/>
      <c r="AB1106" s="70"/>
      <c r="AC1106" s="70"/>
    </row>
    <row r="1107" spans="1:31" s="26" customFormat="1" x14ac:dyDescent="0.3">
      <c r="A1107" s="25" t="s">
        <v>5886</v>
      </c>
      <c r="B1107" s="25"/>
      <c r="C1107" s="26" t="s">
        <v>3005</v>
      </c>
      <c r="D1107" s="70"/>
      <c r="G1107" s="70" t="s">
        <v>1013</v>
      </c>
      <c r="H1107" s="26">
        <v>-1</v>
      </c>
      <c r="I1107" s="70" t="s">
        <v>5887</v>
      </c>
      <c r="J1107" s="26" t="s">
        <v>5888</v>
      </c>
      <c r="K1107" s="26" t="s">
        <v>5732</v>
      </c>
      <c r="L1107" s="26" t="s">
        <v>5732</v>
      </c>
      <c r="M1107" s="76"/>
      <c r="N1107" s="76"/>
      <c r="O1107" s="76"/>
      <c r="P1107" s="76"/>
      <c r="Q1107" s="76"/>
      <c r="R1107" s="76"/>
      <c r="Z1107" s="70"/>
      <c r="AA1107" s="70"/>
      <c r="AB1107" s="70"/>
      <c r="AC1107" s="70"/>
    </row>
    <row r="1108" spans="1:31" s="26" customFormat="1" x14ac:dyDescent="0.3">
      <c r="A1108" s="25" t="s">
        <v>5889</v>
      </c>
      <c r="B1108" s="25"/>
      <c r="C1108" s="26" t="s">
        <v>3005</v>
      </c>
      <c r="D1108" s="70"/>
      <c r="G1108" s="70" t="s">
        <v>1013</v>
      </c>
      <c r="H1108" s="26">
        <v>-1</v>
      </c>
      <c r="I1108" s="70" t="s">
        <v>5890</v>
      </c>
      <c r="J1108" s="26" t="s">
        <v>5891</v>
      </c>
      <c r="K1108" s="26" t="s">
        <v>3757</v>
      </c>
      <c r="L1108" s="26" t="s">
        <v>3757</v>
      </c>
      <c r="M1108" s="76"/>
      <c r="N1108" s="76"/>
      <c r="O1108" s="76"/>
      <c r="P1108" s="76"/>
      <c r="Q1108" s="76"/>
      <c r="R1108" s="76"/>
      <c r="Z1108" s="70"/>
      <c r="AA1108" s="70"/>
      <c r="AB1108" s="70"/>
      <c r="AC1108" s="70"/>
    </row>
    <row r="1109" spans="1:31" s="24" customFormat="1" x14ac:dyDescent="0.3">
      <c r="A1109" s="23">
        <v>339</v>
      </c>
      <c r="B1109" s="23">
        <v>335</v>
      </c>
      <c r="C1109" s="24" t="s">
        <v>2165</v>
      </c>
      <c r="D1109" s="69" t="s">
        <v>1016</v>
      </c>
      <c r="E1109" s="24" t="s">
        <v>1015</v>
      </c>
      <c r="F1109" s="24" t="s">
        <v>1017</v>
      </c>
      <c r="G1109" s="69" t="s">
        <v>1018</v>
      </c>
      <c r="H1109" s="24">
        <v>5</v>
      </c>
      <c r="I1109" s="69"/>
      <c r="J1109" s="24" t="s">
        <v>5892</v>
      </c>
      <c r="K1109" s="24" t="s">
        <v>68</v>
      </c>
      <c r="M1109" s="75" t="s">
        <v>65</v>
      </c>
      <c r="N1109" s="75" t="s">
        <v>2015</v>
      </c>
      <c r="O1109" s="75"/>
      <c r="P1109" s="75"/>
      <c r="Q1109" s="75"/>
      <c r="R1109" s="75"/>
      <c r="Z1109" s="69"/>
      <c r="AA1109" s="69"/>
      <c r="AB1109" s="69"/>
      <c r="AC1109" s="69"/>
    </row>
    <row r="1110" spans="1:31" s="26" customFormat="1" x14ac:dyDescent="0.3">
      <c r="A1110" s="25" t="s">
        <v>5893</v>
      </c>
      <c r="B1110" s="25"/>
      <c r="C1110" s="26" t="s">
        <v>3005</v>
      </c>
      <c r="D1110" s="70"/>
      <c r="G1110" s="70" t="s">
        <v>1018</v>
      </c>
      <c r="H1110" s="26">
        <v>1</v>
      </c>
      <c r="I1110" s="70" t="s">
        <v>5894</v>
      </c>
      <c r="J1110" s="26" t="s">
        <v>5895</v>
      </c>
      <c r="K1110" s="26" t="s">
        <v>5896</v>
      </c>
      <c r="L1110" s="26" t="s">
        <v>10466</v>
      </c>
      <c r="M1110" s="76"/>
      <c r="N1110" s="76"/>
      <c r="O1110" s="76"/>
      <c r="P1110" s="76"/>
      <c r="Q1110" s="76"/>
      <c r="R1110" s="76"/>
      <c r="Z1110" s="70"/>
      <c r="AA1110" s="70"/>
      <c r="AB1110" s="70"/>
      <c r="AC1110" s="70"/>
    </row>
    <row r="1111" spans="1:31" s="26" customFormat="1" x14ac:dyDescent="0.3">
      <c r="A1111" s="25" t="s">
        <v>5897</v>
      </c>
      <c r="B1111" s="25"/>
      <c r="C1111" s="26" t="s">
        <v>3005</v>
      </c>
      <c r="D1111" s="70"/>
      <c r="G1111" s="70" t="s">
        <v>1018</v>
      </c>
      <c r="H1111" s="26">
        <v>1</v>
      </c>
      <c r="I1111" s="70" t="s">
        <v>5898</v>
      </c>
      <c r="J1111" s="26" t="s">
        <v>5899</v>
      </c>
      <c r="K1111" s="26" t="s">
        <v>5900</v>
      </c>
      <c r="L1111" s="26" t="s">
        <v>10467</v>
      </c>
      <c r="M1111" s="76"/>
      <c r="N1111" s="76"/>
      <c r="O1111" s="76"/>
      <c r="P1111" s="76"/>
      <c r="Q1111" s="76"/>
      <c r="R1111" s="76"/>
      <c r="Z1111" s="70"/>
      <c r="AA1111" s="70"/>
      <c r="AB1111" s="70"/>
      <c r="AC1111" s="70"/>
    </row>
    <row r="1112" spans="1:31" s="26" customFormat="1" x14ac:dyDescent="0.3">
      <c r="A1112" s="25" t="s">
        <v>5901</v>
      </c>
      <c r="B1112" s="25"/>
      <c r="C1112" s="26" t="s">
        <v>3005</v>
      </c>
      <c r="D1112" s="70"/>
      <c r="G1112" s="70" t="s">
        <v>1018</v>
      </c>
      <c r="H1112" s="26">
        <v>1</v>
      </c>
      <c r="I1112" s="70" t="s">
        <v>3576</v>
      </c>
      <c r="J1112" s="26" t="s">
        <v>5902</v>
      </c>
      <c r="K1112" s="26" t="s">
        <v>5903</v>
      </c>
      <c r="L1112" s="26" t="s">
        <v>10468</v>
      </c>
      <c r="M1112" s="76"/>
      <c r="N1112" s="76"/>
      <c r="O1112" s="76"/>
      <c r="P1112" s="76"/>
      <c r="Q1112" s="76"/>
      <c r="R1112" s="76"/>
      <c r="Z1112" s="70"/>
      <c r="AA1112" s="70"/>
      <c r="AB1112" s="70"/>
      <c r="AC1112" s="70"/>
    </row>
    <row r="1113" spans="1:31" s="26" customFormat="1" x14ac:dyDescent="0.3">
      <c r="A1113" s="25" t="s">
        <v>5904</v>
      </c>
      <c r="B1113" s="25"/>
      <c r="C1113" s="26" t="s">
        <v>3005</v>
      </c>
      <c r="D1113" s="70"/>
      <c r="G1113" s="70" t="s">
        <v>1018</v>
      </c>
      <c r="H1113" s="26">
        <v>1</v>
      </c>
      <c r="I1113" s="70" t="s">
        <v>5905</v>
      </c>
      <c r="J1113" s="26" t="s">
        <v>5906</v>
      </c>
      <c r="K1113" s="26" t="s">
        <v>5907</v>
      </c>
      <c r="L1113" s="26" t="s">
        <v>10469</v>
      </c>
      <c r="M1113" s="76"/>
      <c r="N1113" s="76"/>
      <c r="O1113" s="76"/>
      <c r="P1113" s="76"/>
      <c r="Q1113" s="76"/>
      <c r="R1113" s="76"/>
      <c r="Z1113" s="70"/>
      <c r="AA1113" s="70"/>
      <c r="AB1113" s="70"/>
      <c r="AC1113" s="70"/>
    </row>
    <row r="1114" spans="1:31" s="26" customFormat="1" x14ac:dyDescent="0.3">
      <c r="A1114" s="25" t="s">
        <v>5908</v>
      </c>
      <c r="B1114" s="25"/>
      <c r="C1114" s="26" t="s">
        <v>3005</v>
      </c>
      <c r="D1114" s="70"/>
      <c r="G1114" s="70" t="s">
        <v>1018</v>
      </c>
      <c r="H1114" s="26">
        <v>1</v>
      </c>
      <c r="I1114" s="70" t="s">
        <v>5909</v>
      </c>
      <c r="J1114" s="26" t="s">
        <v>5892</v>
      </c>
      <c r="K1114" s="26" t="s">
        <v>5910</v>
      </c>
      <c r="L1114" s="26" t="s">
        <v>9808</v>
      </c>
      <c r="M1114" s="76"/>
      <c r="N1114" s="76"/>
      <c r="O1114" s="76"/>
      <c r="P1114" s="76"/>
      <c r="Q1114" s="76"/>
      <c r="R1114" s="76"/>
      <c r="Z1114" s="70"/>
      <c r="AA1114" s="70"/>
      <c r="AB1114" s="70"/>
      <c r="AC1114" s="70"/>
    </row>
    <row r="1115" spans="1:31" s="24" customFormat="1" x14ac:dyDescent="0.3">
      <c r="A1115" s="23">
        <v>340</v>
      </c>
      <c r="B1115" s="23">
        <v>336</v>
      </c>
      <c r="C1115" s="24" t="s">
        <v>2165</v>
      </c>
      <c r="D1115" s="69" t="s">
        <v>1020</v>
      </c>
      <c r="E1115" s="24" t="s">
        <v>1019</v>
      </c>
      <c r="F1115" s="24" t="s">
        <v>1021</v>
      </c>
      <c r="G1115" s="69" t="s">
        <v>1022</v>
      </c>
      <c r="H1115" s="24">
        <v>1</v>
      </c>
      <c r="I1115" s="69"/>
      <c r="J1115" s="24" t="s">
        <v>3174</v>
      </c>
      <c r="K1115" s="24" t="s">
        <v>1023</v>
      </c>
      <c r="M1115" s="75" t="s">
        <v>15</v>
      </c>
      <c r="N1115" s="75"/>
      <c r="O1115" s="75"/>
      <c r="P1115" s="75"/>
      <c r="Q1115" s="75"/>
      <c r="R1115" s="75"/>
      <c r="V1115" s="24" t="s">
        <v>2582</v>
      </c>
      <c r="W1115" s="24" t="s">
        <v>2582</v>
      </c>
      <c r="Z1115" s="69"/>
      <c r="AA1115" s="69"/>
      <c r="AB1115" s="69"/>
      <c r="AC1115" s="69"/>
    </row>
    <row r="1116" spans="1:31" s="26" customFormat="1" x14ac:dyDescent="0.3">
      <c r="A1116" s="25" t="s">
        <v>5911</v>
      </c>
      <c r="B1116" s="25"/>
      <c r="C1116" s="26" t="s">
        <v>3005</v>
      </c>
      <c r="D1116" s="70"/>
      <c r="G1116" s="70" t="s">
        <v>1022</v>
      </c>
      <c r="H1116" s="26">
        <v>-1</v>
      </c>
      <c r="I1116" s="70" t="s">
        <v>5912</v>
      </c>
      <c r="J1116" s="26" t="s">
        <v>4903</v>
      </c>
      <c r="K1116" s="26" t="s">
        <v>5913</v>
      </c>
      <c r="L1116" s="26" t="s">
        <v>10470</v>
      </c>
      <c r="M1116" s="76"/>
      <c r="N1116" s="76"/>
      <c r="O1116" s="76"/>
      <c r="P1116" s="76"/>
      <c r="Q1116" s="76"/>
      <c r="R1116" s="76"/>
      <c r="T1116" s="26" t="s">
        <v>2200</v>
      </c>
      <c r="U1116" s="26" t="s">
        <v>5914</v>
      </c>
      <c r="Z1116" s="70"/>
      <c r="AA1116" s="70"/>
      <c r="AB1116" s="70"/>
      <c r="AC1116" s="70"/>
      <c r="AE1116" s="26" t="s">
        <v>5915</v>
      </c>
    </row>
    <row r="1117" spans="1:31" s="26" customFormat="1" x14ac:dyDescent="0.3">
      <c r="A1117" s="25" t="s">
        <v>5916</v>
      </c>
      <c r="B1117" s="25"/>
      <c r="C1117" s="26" t="s">
        <v>3005</v>
      </c>
      <c r="D1117" s="70"/>
      <c r="G1117" s="70" t="s">
        <v>1022</v>
      </c>
      <c r="H1117" s="26">
        <v>2</v>
      </c>
      <c r="I1117" s="70" t="s">
        <v>3681</v>
      </c>
      <c r="J1117" s="26" t="s">
        <v>3174</v>
      </c>
      <c r="K1117" s="26" t="s">
        <v>5917</v>
      </c>
      <c r="L1117" s="26" t="s">
        <v>10471</v>
      </c>
      <c r="M1117" s="76"/>
      <c r="N1117" s="76"/>
      <c r="O1117" s="76"/>
      <c r="P1117" s="76"/>
      <c r="Q1117" s="76"/>
      <c r="R1117" s="76"/>
      <c r="Z1117" s="70"/>
      <c r="AA1117" s="70"/>
      <c r="AB1117" s="70"/>
      <c r="AC1117" s="70"/>
    </row>
    <row r="1118" spans="1:31" s="26" customFormat="1" x14ac:dyDescent="0.3">
      <c r="A1118" s="25" t="s">
        <v>5918</v>
      </c>
      <c r="B1118" s="25"/>
      <c r="C1118" s="26" t="s">
        <v>3005</v>
      </c>
      <c r="D1118" s="70"/>
      <c r="G1118" s="70" t="s">
        <v>1022</v>
      </c>
      <c r="H1118" s="26">
        <v>-1</v>
      </c>
      <c r="I1118" s="70" t="s">
        <v>5919</v>
      </c>
      <c r="J1118" s="26" t="s">
        <v>3939</v>
      </c>
      <c r="K1118" s="26" t="s">
        <v>3840</v>
      </c>
      <c r="L1118" s="26" t="s">
        <v>10472</v>
      </c>
      <c r="M1118" s="76"/>
      <c r="N1118" s="76"/>
      <c r="O1118" s="76"/>
      <c r="P1118" s="76"/>
      <c r="Q1118" s="76"/>
      <c r="R1118" s="76"/>
      <c r="Z1118" s="70"/>
      <c r="AA1118" s="70"/>
      <c r="AB1118" s="70"/>
      <c r="AC1118" s="70"/>
    </row>
    <row r="1119" spans="1:31" s="26" customFormat="1" x14ac:dyDescent="0.3">
      <c r="A1119" s="25" t="s">
        <v>5920</v>
      </c>
      <c r="B1119" s="25"/>
      <c r="C1119" s="26" t="s">
        <v>3005</v>
      </c>
      <c r="D1119" s="70"/>
      <c r="G1119" s="70" t="s">
        <v>1022</v>
      </c>
      <c r="H1119" s="26">
        <v>-1</v>
      </c>
      <c r="I1119" s="70" t="s">
        <v>5921</v>
      </c>
      <c r="J1119" s="26" t="s">
        <v>5280</v>
      </c>
      <c r="K1119" s="26" t="s">
        <v>5922</v>
      </c>
      <c r="L1119" s="26" t="s">
        <v>10473</v>
      </c>
      <c r="M1119" s="76"/>
      <c r="N1119" s="76"/>
      <c r="O1119" s="76"/>
      <c r="P1119" s="76"/>
      <c r="Q1119" s="76"/>
      <c r="R1119" s="76"/>
      <c r="Z1119" s="70"/>
      <c r="AA1119" s="70"/>
      <c r="AB1119" s="70"/>
      <c r="AC1119" s="70"/>
    </row>
    <row r="1120" spans="1:31" s="26" customFormat="1" x14ac:dyDescent="0.3">
      <c r="A1120" s="25" t="s">
        <v>5923</v>
      </c>
      <c r="B1120" s="25"/>
      <c r="C1120" s="26" t="s">
        <v>3005</v>
      </c>
      <c r="D1120" s="70"/>
      <c r="G1120" s="70" t="s">
        <v>1022</v>
      </c>
      <c r="H1120" s="26">
        <v>-1</v>
      </c>
      <c r="I1120" s="70" t="s">
        <v>5924</v>
      </c>
      <c r="J1120" s="26" t="s">
        <v>5925</v>
      </c>
      <c r="K1120" s="26" t="s">
        <v>3736</v>
      </c>
      <c r="L1120" s="26" t="s">
        <v>3736</v>
      </c>
      <c r="M1120" s="76"/>
      <c r="N1120" s="76"/>
      <c r="O1120" s="76"/>
      <c r="P1120" s="76"/>
      <c r="Q1120" s="76"/>
      <c r="R1120" s="76"/>
      <c r="Z1120" s="70"/>
      <c r="AA1120" s="70"/>
      <c r="AB1120" s="70"/>
      <c r="AC1120" s="70"/>
    </row>
    <row r="1121" spans="1:29" s="26" customFormat="1" x14ac:dyDescent="0.3">
      <c r="A1121" s="25" t="s">
        <v>5926</v>
      </c>
      <c r="B1121" s="25"/>
      <c r="C1121" s="26" t="s">
        <v>3005</v>
      </c>
      <c r="D1121" s="70"/>
      <c r="G1121" s="70" t="s">
        <v>1022</v>
      </c>
      <c r="H1121" s="26">
        <v>-1</v>
      </c>
      <c r="I1121" s="70" t="s">
        <v>5927</v>
      </c>
      <c r="J1121" s="26" t="s">
        <v>5710</v>
      </c>
      <c r="K1121" s="26" t="s">
        <v>5140</v>
      </c>
      <c r="L1121" s="26" t="s">
        <v>10474</v>
      </c>
      <c r="M1121" s="76"/>
      <c r="N1121" s="76"/>
      <c r="O1121" s="76"/>
      <c r="P1121" s="76"/>
      <c r="Q1121" s="76"/>
      <c r="R1121" s="76"/>
      <c r="Z1121" s="70"/>
      <c r="AA1121" s="70"/>
      <c r="AB1121" s="70"/>
      <c r="AC1121" s="70"/>
    </row>
    <row r="1122" spans="1:29" s="26" customFormat="1" x14ac:dyDescent="0.3">
      <c r="A1122" s="25" t="s">
        <v>5928</v>
      </c>
      <c r="B1122" s="25"/>
      <c r="C1122" s="26" t="s">
        <v>3005</v>
      </c>
      <c r="D1122" s="70"/>
      <c r="G1122" s="70" t="s">
        <v>1022</v>
      </c>
      <c r="H1122" s="26">
        <v>-1</v>
      </c>
      <c r="I1122" s="70" t="s">
        <v>5872</v>
      </c>
      <c r="J1122" s="26" t="s">
        <v>5845</v>
      </c>
      <c r="K1122" s="26" t="s">
        <v>5929</v>
      </c>
      <c r="L1122" s="26" t="s">
        <v>10475</v>
      </c>
      <c r="M1122" s="76"/>
      <c r="N1122" s="76"/>
      <c r="O1122" s="76"/>
      <c r="P1122" s="76"/>
      <c r="Q1122" s="76"/>
      <c r="R1122" s="76"/>
      <c r="Z1122" s="70"/>
      <c r="AA1122" s="70"/>
      <c r="AB1122" s="70"/>
      <c r="AC1122" s="70"/>
    </row>
    <row r="1123" spans="1:29" s="26" customFormat="1" x14ac:dyDescent="0.3">
      <c r="A1123" s="25" t="s">
        <v>5930</v>
      </c>
      <c r="B1123" s="25"/>
      <c r="C1123" s="26" t="s">
        <v>3005</v>
      </c>
      <c r="D1123" s="70"/>
      <c r="G1123" s="70" t="s">
        <v>1022</v>
      </c>
      <c r="H1123" s="26">
        <v>-1</v>
      </c>
      <c r="I1123" s="70" t="s">
        <v>5931</v>
      </c>
      <c r="J1123" s="26" t="s">
        <v>5932</v>
      </c>
      <c r="K1123" s="26" t="s">
        <v>5933</v>
      </c>
      <c r="L1123" s="26" t="s">
        <v>10476</v>
      </c>
      <c r="M1123" s="76"/>
      <c r="N1123" s="76"/>
      <c r="O1123" s="76"/>
      <c r="P1123" s="76"/>
      <c r="Q1123" s="76"/>
      <c r="R1123" s="76"/>
      <c r="Z1123" s="70"/>
      <c r="AA1123" s="70"/>
      <c r="AB1123" s="70"/>
      <c r="AC1123" s="70"/>
    </row>
    <row r="1124" spans="1:29" s="26" customFormat="1" x14ac:dyDescent="0.3">
      <c r="A1124" s="25" t="s">
        <v>5934</v>
      </c>
      <c r="B1124" s="25"/>
      <c r="C1124" s="26" t="s">
        <v>3005</v>
      </c>
      <c r="D1124" s="70"/>
      <c r="G1124" s="70" t="s">
        <v>1022</v>
      </c>
      <c r="H1124" s="26">
        <v>-1</v>
      </c>
      <c r="I1124" s="70" t="s">
        <v>3380</v>
      </c>
      <c r="J1124" s="26" t="s">
        <v>5935</v>
      </c>
      <c r="K1124" s="26" t="s">
        <v>5394</v>
      </c>
      <c r="L1124" s="26" t="s">
        <v>10348</v>
      </c>
      <c r="M1124" s="76"/>
      <c r="N1124" s="76"/>
      <c r="O1124" s="76"/>
      <c r="P1124" s="76"/>
      <c r="Q1124" s="76"/>
      <c r="R1124" s="76"/>
      <c r="Z1124" s="70"/>
      <c r="AA1124" s="70"/>
      <c r="AB1124" s="70"/>
      <c r="AC1124" s="70"/>
    </row>
    <row r="1125" spans="1:29" s="26" customFormat="1" x14ac:dyDescent="0.3">
      <c r="A1125" s="25" t="s">
        <v>5936</v>
      </c>
      <c r="B1125" s="25"/>
      <c r="C1125" s="26" t="s">
        <v>3005</v>
      </c>
      <c r="D1125" s="70"/>
      <c r="G1125" s="70" t="s">
        <v>1022</v>
      </c>
      <c r="H1125" s="26">
        <v>-1</v>
      </c>
      <c r="I1125" s="70" t="s">
        <v>3483</v>
      </c>
      <c r="J1125" s="26" t="s">
        <v>3939</v>
      </c>
      <c r="K1125" s="26" t="s">
        <v>3363</v>
      </c>
      <c r="L1125" s="26" t="s">
        <v>10477</v>
      </c>
      <c r="M1125" s="76"/>
      <c r="N1125" s="76"/>
      <c r="O1125" s="76"/>
      <c r="P1125" s="76"/>
      <c r="Q1125" s="76"/>
      <c r="R1125" s="76"/>
      <c r="Z1125" s="70"/>
      <c r="AA1125" s="70"/>
      <c r="AB1125" s="70"/>
      <c r="AC1125" s="70"/>
    </row>
    <row r="1126" spans="1:29" s="24" customFormat="1" x14ac:dyDescent="0.3">
      <c r="A1126" s="23">
        <v>341</v>
      </c>
      <c r="B1126" s="23">
        <v>337</v>
      </c>
      <c r="C1126" s="24" t="s">
        <v>2165</v>
      </c>
      <c r="D1126" s="69" t="s">
        <v>1025</v>
      </c>
      <c r="E1126" s="24" t="s">
        <v>1024</v>
      </c>
      <c r="F1126" s="24" t="s">
        <v>1026</v>
      </c>
      <c r="G1126" s="69" t="s">
        <v>1027</v>
      </c>
      <c r="H1126" s="24">
        <v>2</v>
      </c>
      <c r="I1126" s="69"/>
      <c r="J1126" s="24" t="s">
        <v>3803</v>
      </c>
      <c r="K1126" s="24" t="s">
        <v>68</v>
      </c>
      <c r="M1126" s="75" t="s">
        <v>65</v>
      </c>
      <c r="N1126" s="75" t="s">
        <v>2015</v>
      </c>
      <c r="O1126" s="75"/>
      <c r="P1126" s="75"/>
      <c r="Q1126" s="75"/>
      <c r="R1126" s="75"/>
      <c r="V1126" s="24" t="s">
        <v>2583</v>
      </c>
      <c r="W1126" s="24" t="s">
        <v>2584</v>
      </c>
      <c r="Y1126" s="24" t="s">
        <v>2584</v>
      </c>
      <c r="Z1126" s="69"/>
      <c r="AA1126" s="69"/>
      <c r="AB1126" s="69"/>
      <c r="AC1126" s="69"/>
    </row>
    <row r="1127" spans="1:29" s="26" customFormat="1" x14ac:dyDescent="0.3">
      <c r="A1127" s="25" t="s">
        <v>5937</v>
      </c>
      <c r="B1127" s="25"/>
      <c r="C1127" s="26" t="s">
        <v>3005</v>
      </c>
      <c r="D1127" s="70"/>
      <c r="G1127" s="70" t="s">
        <v>1027</v>
      </c>
      <c r="H1127" s="26">
        <v>1</v>
      </c>
      <c r="I1127" s="70" t="s">
        <v>5938</v>
      </c>
      <c r="J1127" s="26" t="s">
        <v>3803</v>
      </c>
      <c r="K1127" s="26" t="s">
        <v>5939</v>
      </c>
      <c r="L1127" s="26" t="s">
        <v>9782</v>
      </c>
      <c r="M1127" s="76"/>
      <c r="N1127" s="76"/>
      <c r="O1127" s="76"/>
      <c r="P1127" s="76"/>
      <c r="Q1127" s="76"/>
      <c r="R1127" s="76"/>
      <c r="Z1127" s="70"/>
      <c r="AA1127" s="70"/>
      <c r="AB1127" s="70"/>
      <c r="AC1127" s="70"/>
    </row>
    <row r="1128" spans="1:29" s="26" customFormat="1" x14ac:dyDescent="0.3">
      <c r="A1128" s="25" t="s">
        <v>5940</v>
      </c>
      <c r="B1128" s="25"/>
      <c r="C1128" s="26" t="s">
        <v>3005</v>
      </c>
      <c r="D1128" s="70"/>
      <c r="G1128" s="70" t="s">
        <v>1027</v>
      </c>
      <c r="H1128" s="26">
        <v>1</v>
      </c>
      <c r="I1128" s="70" t="s">
        <v>5941</v>
      </c>
      <c r="J1128" s="26" t="s">
        <v>5942</v>
      </c>
      <c r="K1128" s="26" t="s">
        <v>5943</v>
      </c>
      <c r="L1128" s="26" t="s">
        <v>10478</v>
      </c>
      <c r="M1128" s="76"/>
      <c r="N1128" s="76"/>
      <c r="O1128" s="76"/>
      <c r="P1128" s="76"/>
      <c r="Q1128" s="76"/>
      <c r="R1128" s="76"/>
      <c r="Z1128" s="70"/>
      <c r="AA1128" s="70"/>
      <c r="AB1128" s="70"/>
      <c r="AC1128" s="70"/>
    </row>
    <row r="1129" spans="1:29" s="24" customFormat="1" x14ac:dyDescent="0.3">
      <c r="A1129" s="23">
        <v>342</v>
      </c>
      <c r="B1129" s="23">
        <v>338</v>
      </c>
      <c r="C1129" s="24" t="s">
        <v>2165</v>
      </c>
      <c r="D1129" s="69" t="s">
        <v>1025</v>
      </c>
      <c r="E1129" s="24" t="s">
        <v>1024</v>
      </c>
      <c r="F1129" s="24" t="s">
        <v>2587</v>
      </c>
      <c r="G1129" s="69" t="s">
        <v>1029</v>
      </c>
      <c r="I1129" s="69"/>
      <c r="J1129" s="24" t="s">
        <v>5328</v>
      </c>
      <c r="K1129" s="24" t="s">
        <v>68</v>
      </c>
      <c r="L1129" s="24" t="s">
        <v>9805</v>
      </c>
      <c r="M1129" s="75" t="s">
        <v>65</v>
      </c>
      <c r="N1129" s="75" t="s">
        <v>2025</v>
      </c>
      <c r="O1129" s="75" t="s">
        <v>66</v>
      </c>
      <c r="P1129" s="75" t="s">
        <v>66</v>
      </c>
      <c r="Q1129" s="75" t="s">
        <v>66</v>
      </c>
      <c r="R1129" s="75"/>
      <c r="V1129" s="24" t="s">
        <v>2585</v>
      </c>
      <c r="W1129" s="24" t="s">
        <v>2586</v>
      </c>
      <c r="X1129" s="24" t="s">
        <v>1028</v>
      </c>
      <c r="Y1129" s="24" t="s">
        <v>2586</v>
      </c>
      <c r="Z1129" s="69"/>
      <c r="AA1129" s="69"/>
      <c r="AB1129" s="69"/>
      <c r="AC1129" s="69"/>
    </row>
    <row r="1130" spans="1:29" s="24" customFormat="1" x14ac:dyDescent="0.3">
      <c r="A1130" s="23">
        <v>343</v>
      </c>
      <c r="B1130" s="23">
        <v>339</v>
      </c>
      <c r="C1130" s="24" t="s">
        <v>2165</v>
      </c>
      <c r="D1130" s="69" t="s">
        <v>1025</v>
      </c>
      <c r="E1130" s="24" t="s">
        <v>1024</v>
      </c>
      <c r="F1130" s="24" t="s">
        <v>1030</v>
      </c>
      <c r="G1130" s="69" t="s">
        <v>1031</v>
      </c>
      <c r="H1130" s="24">
        <v>2</v>
      </c>
      <c r="I1130" s="69"/>
      <c r="J1130" s="24" t="s">
        <v>3174</v>
      </c>
      <c r="K1130" s="24" t="s">
        <v>43</v>
      </c>
      <c r="M1130" s="75" t="s">
        <v>15</v>
      </c>
      <c r="N1130" s="75"/>
      <c r="O1130" s="75"/>
      <c r="P1130" s="75"/>
      <c r="Q1130" s="75"/>
      <c r="R1130" s="75"/>
      <c r="Z1130" s="69"/>
      <c r="AA1130" s="69"/>
      <c r="AB1130" s="69"/>
      <c r="AC1130" s="69" t="s">
        <v>11394</v>
      </c>
    </row>
    <row r="1131" spans="1:29" s="26" customFormat="1" x14ac:dyDescent="0.3">
      <c r="A1131" s="25" t="s">
        <v>5944</v>
      </c>
      <c r="B1131" s="25"/>
      <c r="C1131" s="26" t="s">
        <v>3005</v>
      </c>
      <c r="D1131" s="70"/>
      <c r="G1131" s="70" t="s">
        <v>1031</v>
      </c>
      <c r="H1131" s="26">
        <v>-1</v>
      </c>
      <c r="I1131" s="70" t="s">
        <v>3259</v>
      </c>
      <c r="J1131" s="26" t="s">
        <v>3174</v>
      </c>
      <c r="K1131" s="26" t="s">
        <v>5945</v>
      </c>
      <c r="L1131" s="26" t="s">
        <v>10479</v>
      </c>
      <c r="M1131" s="76"/>
      <c r="N1131" s="76"/>
      <c r="O1131" s="76"/>
      <c r="P1131" s="76"/>
      <c r="Q1131" s="76"/>
      <c r="R1131" s="76"/>
      <c r="Z1131" s="70"/>
      <c r="AA1131" s="70"/>
      <c r="AB1131" s="70"/>
      <c r="AC1131" s="70"/>
    </row>
    <row r="1132" spans="1:29" s="26" customFormat="1" x14ac:dyDescent="0.3">
      <c r="A1132" s="25" t="s">
        <v>5946</v>
      </c>
      <c r="B1132" s="25"/>
      <c r="C1132" s="26" t="s">
        <v>3005</v>
      </c>
      <c r="D1132" s="70"/>
      <c r="G1132" s="70" t="s">
        <v>1031</v>
      </c>
      <c r="H1132" s="26">
        <v>-1</v>
      </c>
      <c r="I1132" s="70" t="s">
        <v>5947</v>
      </c>
      <c r="J1132" s="26" t="s">
        <v>5948</v>
      </c>
      <c r="K1132" s="26" t="s">
        <v>3750</v>
      </c>
      <c r="L1132" s="26" t="s">
        <v>10061</v>
      </c>
      <c r="M1132" s="76"/>
      <c r="N1132" s="76"/>
      <c r="O1132" s="76"/>
      <c r="P1132" s="76"/>
      <c r="Q1132" s="76"/>
      <c r="R1132" s="76"/>
      <c r="Z1132" s="70"/>
      <c r="AA1132" s="70"/>
      <c r="AB1132" s="70"/>
      <c r="AC1132" s="70"/>
    </row>
    <row r="1133" spans="1:29" s="26" customFormat="1" x14ac:dyDescent="0.3">
      <c r="A1133" s="25" t="s">
        <v>5949</v>
      </c>
      <c r="B1133" s="25"/>
      <c r="C1133" s="26" t="s">
        <v>3005</v>
      </c>
      <c r="D1133" s="70"/>
      <c r="G1133" s="70" t="s">
        <v>1031</v>
      </c>
      <c r="H1133" s="26">
        <v>-1</v>
      </c>
      <c r="I1133" s="70" t="s">
        <v>3546</v>
      </c>
      <c r="J1133" s="26" t="s">
        <v>5950</v>
      </c>
      <c r="K1133" s="26" t="s">
        <v>3182</v>
      </c>
      <c r="L1133" s="26" t="s">
        <v>9974</v>
      </c>
      <c r="M1133" s="76"/>
      <c r="N1133" s="76"/>
      <c r="O1133" s="76"/>
      <c r="P1133" s="76"/>
      <c r="Q1133" s="76"/>
      <c r="R1133" s="76"/>
      <c r="Z1133" s="70"/>
      <c r="AA1133" s="70"/>
      <c r="AB1133" s="70"/>
      <c r="AC1133" s="70"/>
    </row>
    <row r="1134" spans="1:29" s="26" customFormat="1" x14ac:dyDescent="0.3">
      <c r="A1134" s="25" t="s">
        <v>5951</v>
      </c>
      <c r="B1134" s="25"/>
      <c r="C1134" s="26" t="s">
        <v>3005</v>
      </c>
      <c r="D1134" s="70"/>
      <c r="G1134" s="70" t="s">
        <v>1031</v>
      </c>
      <c r="H1134" s="26">
        <v>-1</v>
      </c>
      <c r="I1134" s="70" t="s">
        <v>5596</v>
      </c>
      <c r="J1134" s="26" t="s">
        <v>5952</v>
      </c>
      <c r="K1134" s="26" t="s">
        <v>5953</v>
      </c>
      <c r="L1134" s="26" t="s">
        <v>10480</v>
      </c>
      <c r="M1134" s="76"/>
      <c r="N1134" s="76"/>
      <c r="O1134" s="76"/>
      <c r="P1134" s="76"/>
      <c r="Q1134" s="76"/>
      <c r="R1134" s="76"/>
      <c r="Z1134" s="70"/>
      <c r="AA1134" s="70"/>
      <c r="AB1134" s="70"/>
      <c r="AC1134" s="70"/>
    </row>
    <row r="1135" spans="1:29" s="26" customFormat="1" x14ac:dyDescent="0.3">
      <c r="A1135" s="25" t="s">
        <v>5954</v>
      </c>
      <c r="B1135" s="25"/>
      <c r="C1135" s="26" t="s">
        <v>3005</v>
      </c>
      <c r="D1135" s="70"/>
      <c r="G1135" s="70" t="s">
        <v>1031</v>
      </c>
      <c r="H1135" s="26">
        <v>-1</v>
      </c>
      <c r="I1135" s="70" t="s">
        <v>5955</v>
      </c>
      <c r="J1135" s="26" t="s">
        <v>5952</v>
      </c>
      <c r="K1135" s="26" t="s">
        <v>5956</v>
      </c>
      <c r="L1135" s="26" t="s">
        <v>10481</v>
      </c>
      <c r="M1135" s="76"/>
      <c r="N1135" s="76"/>
      <c r="O1135" s="76"/>
      <c r="P1135" s="76"/>
      <c r="Q1135" s="76"/>
      <c r="R1135" s="76"/>
      <c r="Z1135" s="70"/>
      <c r="AA1135" s="70"/>
      <c r="AB1135" s="70"/>
      <c r="AC1135" s="70"/>
    </row>
    <row r="1136" spans="1:29" s="26" customFormat="1" x14ac:dyDescent="0.3">
      <c r="A1136" s="25" t="s">
        <v>5957</v>
      </c>
      <c r="B1136" s="25"/>
      <c r="C1136" s="26" t="s">
        <v>3005</v>
      </c>
      <c r="D1136" s="70"/>
      <c r="G1136" s="70" t="s">
        <v>1031</v>
      </c>
      <c r="H1136" s="26">
        <v>-1</v>
      </c>
      <c r="I1136" s="70" t="s">
        <v>5958</v>
      </c>
      <c r="J1136" s="26" t="s">
        <v>5959</v>
      </c>
      <c r="K1136" s="26" t="s">
        <v>5960</v>
      </c>
      <c r="L1136" s="26" t="s">
        <v>10482</v>
      </c>
      <c r="M1136" s="76"/>
      <c r="N1136" s="76"/>
      <c r="O1136" s="76"/>
      <c r="P1136" s="76"/>
      <c r="Q1136" s="76"/>
      <c r="R1136" s="76"/>
      <c r="Z1136" s="70"/>
      <c r="AA1136" s="70"/>
      <c r="AB1136" s="70"/>
      <c r="AC1136" s="70"/>
    </row>
    <row r="1137" spans="1:29" s="26" customFormat="1" x14ac:dyDescent="0.3">
      <c r="A1137" s="25" t="s">
        <v>5961</v>
      </c>
      <c r="B1137" s="25"/>
      <c r="C1137" s="26" t="s">
        <v>3005</v>
      </c>
      <c r="D1137" s="70"/>
      <c r="G1137" s="70" t="s">
        <v>1031</v>
      </c>
      <c r="H1137" s="26">
        <v>-1</v>
      </c>
      <c r="I1137" s="70" t="s">
        <v>5962</v>
      </c>
      <c r="J1137" s="26" t="s">
        <v>3787</v>
      </c>
      <c r="K1137" s="26" t="s">
        <v>5140</v>
      </c>
      <c r="L1137" s="26" t="s">
        <v>10420</v>
      </c>
      <c r="M1137" s="76"/>
      <c r="N1137" s="76"/>
      <c r="O1137" s="76"/>
      <c r="P1137" s="76"/>
      <c r="Q1137" s="76"/>
      <c r="R1137" s="76"/>
      <c r="Z1137" s="70"/>
      <c r="AA1137" s="70"/>
      <c r="AB1137" s="70"/>
      <c r="AC1137" s="70"/>
    </row>
    <row r="1138" spans="1:29" s="26" customFormat="1" x14ac:dyDescent="0.3">
      <c r="A1138" s="25" t="s">
        <v>5963</v>
      </c>
      <c r="B1138" s="25"/>
      <c r="C1138" s="26" t="s">
        <v>3005</v>
      </c>
      <c r="D1138" s="70"/>
      <c r="G1138" s="70" t="s">
        <v>1031</v>
      </c>
      <c r="H1138" s="26">
        <v>-1</v>
      </c>
      <c r="I1138" s="70" t="s">
        <v>5964</v>
      </c>
      <c r="J1138" s="26" t="s">
        <v>3787</v>
      </c>
      <c r="K1138" s="26" t="s">
        <v>5965</v>
      </c>
      <c r="L1138" s="26" t="s">
        <v>10483</v>
      </c>
      <c r="M1138" s="76"/>
      <c r="N1138" s="76"/>
      <c r="O1138" s="76"/>
      <c r="P1138" s="76"/>
      <c r="Q1138" s="76"/>
      <c r="R1138" s="76"/>
      <c r="Z1138" s="70"/>
      <c r="AA1138" s="70"/>
      <c r="AB1138" s="70"/>
      <c r="AC1138" s="70"/>
    </row>
    <row r="1139" spans="1:29" s="26" customFormat="1" x14ac:dyDescent="0.3">
      <c r="A1139" s="25" t="s">
        <v>5966</v>
      </c>
      <c r="B1139" s="25"/>
      <c r="C1139" s="26" t="s">
        <v>3005</v>
      </c>
      <c r="D1139" s="70"/>
      <c r="G1139" s="70" t="s">
        <v>1031</v>
      </c>
      <c r="H1139" s="26">
        <v>-1</v>
      </c>
      <c r="I1139" s="70" t="s">
        <v>5967</v>
      </c>
      <c r="J1139" s="26" t="s">
        <v>5968</v>
      </c>
      <c r="K1139" s="26" t="s">
        <v>2679</v>
      </c>
      <c r="L1139" s="26" t="s">
        <v>2679</v>
      </c>
      <c r="M1139" s="76"/>
      <c r="N1139" s="76"/>
      <c r="O1139" s="76"/>
      <c r="P1139" s="76"/>
      <c r="Q1139" s="76"/>
      <c r="R1139" s="76"/>
      <c r="Z1139" s="70"/>
      <c r="AA1139" s="70"/>
      <c r="AB1139" s="70"/>
      <c r="AC1139" s="70"/>
    </row>
    <row r="1140" spans="1:29" s="26" customFormat="1" x14ac:dyDescent="0.3">
      <c r="A1140" s="25" t="s">
        <v>5969</v>
      </c>
      <c r="B1140" s="25"/>
      <c r="C1140" s="26" t="s">
        <v>3005</v>
      </c>
      <c r="D1140" s="70"/>
      <c r="G1140" s="70" t="s">
        <v>1031</v>
      </c>
      <c r="H1140" s="26">
        <v>-1</v>
      </c>
      <c r="I1140" s="70" t="s">
        <v>5970</v>
      </c>
      <c r="J1140" s="26" t="s">
        <v>3323</v>
      </c>
      <c r="K1140" s="26" t="s">
        <v>3215</v>
      </c>
      <c r="L1140" s="26" t="s">
        <v>3215</v>
      </c>
      <c r="M1140" s="76"/>
      <c r="N1140" s="76"/>
      <c r="O1140" s="76"/>
      <c r="P1140" s="76"/>
      <c r="Q1140" s="76"/>
      <c r="R1140" s="76"/>
      <c r="Z1140" s="70"/>
      <c r="AA1140" s="70"/>
      <c r="AB1140" s="70"/>
      <c r="AC1140" s="70"/>
    </row>
    <row r="1141" spans="1:29" s="26" customFormat="1" x14ac:dyDescent="0.3">
      <c r="A1141" s="25" t="s">
        <v>5971</v>
      </c>
      <c r="B1141" s="25"/>
      <c r="C1141" s="26" t="s">
        <v>3005</v>
      </c>
      <c r="D1141" s="70"/>
      <c r="G1141" s="70" t="s">
        <v>1031</v>
      </c>
      <c r="H1141" s="26">
        <v>-1</v>
      </c>
      <c r="I1141" s="70" t="s">
        <v>5972</v>
      </c>
      <c r="J1141" s="26" t="s">
        <v>5952</v>
      </c>
      <c r="K1141" s="26" t="s">
        <v>5973</v>
      </c>
      <c r="L1141" s="26" t="s">
        <v>10484</v>
      </c>
      <c r="M1141" s="76"/>
      <c r="N1141" s="76"/>
      <c r="O1141" s="76"/>
      <c r="P1141" s="76"/>
      <c r="Q1141" s="76"/>
      <c r="R1141" s="76"/>
      <c r="Z1141" s="70"/>
      <c r="AA1141" s="70"/>
      <c r="AB1141" s="70"/>
      <c r="AC1141" s="70"/>
    </row>
    <row r="1142" spans="1:29" s="26" customFormat="1" x14ac:dyDescent="0.3">
      <c r="A1142" s="25" t="s">
        <v>5974</v>
      </c>
      <c r="B1142" s="25"/>
      <c r="C1142" s="26" t="s">
        <v>3005</v>
      </c>
      <c r="D1142" s="70"/>
      <c r="G1142" s="70" t="s">
        <v>1031</v>
      </c>
      <c r="H1142" s="26">
        <v>2</v>
      </c>
      <c r="I1142" s="70" t="s">
        <v>5975</v>
      </c>
      <c r="J1142" s="26" t="s">
        <v>5952</v>
      </c>
      <c r="K1142" s="26" t="s">
        <v>5976</v>
      </c>
      <c r="L1142" s="26" t="s">
        <v>10485</v>
      </c>
      <c r="M1142" s="76"/>
      <c r="N1142" s="76"/>
      <c r="O1142" s="76"/>
      <c r="P1142" s="76"/>
      <c r="Q1142" s="76"/>
      <c r="R1142" s="76"/>
      <c r="Z1142" s="70"/>
      <c r="AA1142" s="70"/>
      <c r="AB1142" s="70"/>
      <c r="AC1142" s="70"/>
    </row>
    <row r="1143" spans="1:29" s="26" customFormat="1" x14ac:dyDescent="0.3">
      <c r="A1143" s="25" t="s">
        <v>5977</v>
      </c>
      <c r="B1143" s="25"/>
      <c r="C1143" s="26" t="s">
        <v>3005</v>
      </c>
      <c r="D1143" s="70"/>
      <c r="G1143" s="70" t="s">
        <v>1031</v>
      </c>
      <c r="H1143" s="26">
        <v>2</v>
      </c>
      <c r="I1143" s="70" t="s">
        <v>5978</v>
      </c>
      <c r="J1143" s="26" t="s">
        <v>5979</v>
      </c>
      <c r="K1143" s="26" t="s">
        <v>3912</v>
      </c>
      <c r="L1143" s="26" t="s">
        <v>9807</v>
      </c>
      <c r="M1143" s="76"/>
      <c r="N1143" s="76"/>
      <c r="O1143" s="76"/>
      <c r="P1143" s="76"/>
      <c r="Q1143" s="76"/>
      <c r="R1143" s="76"/>
      <c r="Z1143" s="70"/>
      <c r="AA1143" s="70"/>
      <c r="AB1143" s="70"/>
      <c r="AC1143" s="70"/>
    </row>
    <row r="1144" spans="1:29" s="24" customFormat="1" x14ac:dyDescent="0.3">
      <c r="A1144" s="23">
        <v>344</v>
      </c>
      <c r="B1144" s="23">
        <v>340</v>
      </c>
      <c r="C1144" s="24" t="s">
        <v>2165</v>
      </c>
      <c r="D1144" s="69" t="s">
        <v>1025</v>
      </c>
      <c r="E1144" s="24" t="s">
        <v>1024</v>
      </c>
      <c r="F1144" s="24" t="s">
        <v>1032</v>
      </c>
      <c r="G1144" s="69" t="s">
        <v>1033</v>
      </c>
      <c r="H1144" s="24">
        <v>2</v>
      </c>
      <c r="I1144" s="69"/>
      <c r="J1144" s="24" t="s">
        <v>3334</v>
      </c>
      <c r="K1144" s="24" t="s">
        <v>215</v>
      </c>
      <c r="M1144" s="75" t="s">
        <v>236</v>
      </c>
      <c r="N1144" s="75"/>
      <c r="O1144" s="75"/>
      <c r="P1144" s="75"/>
      <c r="Q1144" s="75"/>
      <c r="R1144" s="75"/>
      <c r="Z1144" s="69"/>
      <c r="AA1144" s="69"/>
      <c r="AB1144" s="69"/>
      <c r="AC1144" s="69"/>
    </row>
    <row r="1145" spans="1:29" s="26" customFormat="1" x14ac:dyDescent="0.3">
      <c r="A1145" s="25" t="s">
        <v>5980</v>
      </c>
      <c r="B1145" s="25"/>
      <c r="C1145" s="26" t="s">
        <v>3005</v>
      </c>
      <c r="D1145" s="70"/>
      <c r="G1145" s="70" t="s">
        <v>1033</v>
      </c>
      <c r="H1145" s="26">
        <v>-1</v>
      </c>
      <c r="I1145" s="70" t="s">
        <v>5981</v>
      </c>
      <c r="J1145" s="26" t="s">
        <v>3334</v>
      </c>
      <c r="K1145" s="26" t="s">
        <v>5982</v>
      </c>
      <c r="L1145" s="26" t="s">
        <v>10486</v>
      </c>
      <c r="M1145" s="76"/>
      <c r="N1145" s="76"/>
      <c r="O1145" s="76"/>
      <c r="P1145" s="76"/>
      <c r="Q1145" s="76"/>
      <c r="R1145" s="76"/>
      <c r="U1145" s="26" t="s">
        <v>5983</v>
      </c>
      <c r="Z1145" s="70"/>
      <c r="AA1145" s="70"/>
      <c r="AB1145" s="70"/>
      <c r="AC1145" s="70"/>
    </row>
    <row r="1146" spans="1:29" s="26" customFormat="1" x14ac:dyDescent="0.3">
      <c r="A1146" s="25" t="s">
        <v>5984</v>
      </c>
      <c r="B1146" s="25"/>
      <c r="C1146" s="26" t="s">
        <v>3005</v>
      </c>
      <c r="D1146" s="70"/>
      <c r="G1146" s="70" t="s">
        <v>1033</v>
      </c>
      <c r="H1146" s="26">
        <v>2</v>
      </c>
      <c r="I1146" s="70" t="s">
        <v>5296</v>
      </c>
      <c r="J1146" s="26" t="s">
        <v>5985</v>
      </c>
      <c r="K1146" s="26" t="s">
        <v>5986</v>
      </c>
      <c r="L1146" s="26" t="s">
        <v>10487</v>
      </c>
      <c r="M1146" s="76"/>
      <c r="N1146" s="76"/>
      <c r="O1146" s="76"/>
      <c r="P1146" s="76"/>
      <c r="Q1146" s="76"/>
      <c r="R1146" s="76"/>
      <c r="U1146" s="26" t="s">
        <v>5987</v>
      </c>
      <c r="Z1146" s="70"/>
      <c r="AA1146" s="70"/>
      <c r="AB1146" s="70"/>
      <c r="AC1146" s="70"/>
    </row>
    <row r="1147" spans="1:29" s="26" customFormat="1" x14ac:dyDescent="0.3">
      <c r="A1147" s="25" t="s">
        <v>5988</v>
      </c>
      <c r="B1147" s="25"/>
      <c r="C1147" s="26" t="s">
        <v>3005</v>
      </c>
      <c r="D1147" s="70"/>
      <c r="G1147" s="70" t="s">
        <v>1033</v>
      </c>
      <c r="H1147" s="26">
        <v>2</v>
      </c>
      <c r="I1147" s="70" t="s">
        <v>4865</v>
      </c>
      <c r="J1147" s="26" t="s">
        <v>5989</v>
      </c>
      <c r="K1147" s="26" t="s">
        <v>5990</v>
      </c>
      <c r="L1147" s="26" t="s">
        <v>10488</v>
      </c>
      <c r="M1147" s="76"/>
      <c r="N1147" s="76"/>
      <c r="O1147" s="76"/>
      <c r="P1147" s="76"/>
      <c r="Q1147" s="76"/>
      <c r="R1147" s="76"/>
      <c r="U1147" s="26" t="s">
        <v>5991</v>
      </c>
      <c r="Z1147" s="70"/>
      <c r="AA1147" s="70"/>
      <c r="AB1147" s="70"/>
      <c r="AC1147" s="70"/>
    </row>
    <row r="1148" spans="1:29" s="26" customFormat="1" x14ac:dyDescent="0.3">
      <c r="A1148" s="25" t="s">
        <v>5992</v>
      </c>
      <c r="B1148" s="25"/>
      <c r="C1148" s="26" t="s">
        <v>3005</v>
      </c>
      <c r="D1148" s="70"/>
      <c r="G1148" s="70" t="s">
        <v>1033</v>
      </c>
      <c r="H1148" s="26">
        <v>-1</v>
      </c>
      <c r="I1148" s="70" t="s">
        <v>5993</v>
      </c>
      <c r="J1148" s="26" t="s">
        <v>5989</v>
      </c>
      <c r="K1148" s="26" t="s">
        <v>3750</v>
      </c>
      <c r="L1148" s="26" t="s">
        <v>10489</v>
      </c>
      <c r="M1148" s="76"/>
      <c r="N1148" s="76"/>
      <c r="O1148" s="76"/>
      <c r="P1148" s="76"/>
      <c r="Q1148" s="76"/>
      <c r="R1148" s="76"/>
      <c r="Z1148" s="70"/>
      <c r="AA1148" s="70"/>
      <c r="AB1148" s="70"/>
      <c r="AC1148" s="70"/>
    </row>
    <row r="1149" spans="1:29" s="26" customFormat="1" x14ac:dyDescent="0.3">
      <c r="A1149" s="25" t="s">
        <v>5994</v>
      </c>
      <c r="B1149" s="25"/>
      <c r="C1149" s="26" t="s">
        <v>3005</v>
      </c>
      <c r="D1149" s="70"/>
      <c r="G1149" s="70" t="s">
        <v>1033</v>
      </c>
      <c r="H1149" s="26">
        <v>-1</v>
      </c>
      <c r="I1149" s="70" t="s">
        <v>3576</v>
      </c>
      <c r="J1149" s="26" t="s">
        <v>5985</v>
      </c>
      <c r="K1149" s="26" t="s">
        <v>5995</v>
      </c>
      <c r="L1149" s="26" t="s">
        <v>10490</v>
      </c>
      <c r="M1149" s="76"/>
      <c r="N1149" s="76"/>
      <c r="O1149" s="76"/>
      <c r="P1149" s="76"/>
      <c r="Q1149" s="76"/>
      <c r="R1149" s="76"/>
      <c r="Z1149" s="70"/>
      <c r="AA1149" s="70"/>
      <c r="AB1149" s="70"/>
      <c r="AC1149" s="70"/>
    </row>
    <row r="1150" spans="1:29" s="26" customFormat="1" x14ac:dyDescent="0.3">
      <c r="A1150" s="25" t="s">
        <v>5996</v>
      </c>
      <c r="B1150" s="25"/>
      <c r="C1150" s="26" t="s">
        <v>3005</v>
      </c>
      <c r="D1150" s="70"/>
      <c r="G1150" s="70" t="s">
        <v>1033</v>
      </c>
      <c r="H1150" s="26">
        <v>3</v>
      </c>
      <c r="I1150" s="70" t="s">
        <v>5905</v>
      </c>
      <c r="J1150" s="26" t="s">
        <v>5997</v>
      </c>
      <c r="K1150" s="26" t="s">
        <v>5998</v>
      </c>
      <c r="L1150" s="26" t="s">
        <v>9788</v>
      </c>
      <c r="M1150" s="76"/>
      <c r="N1150" s="76"/>
      <c r="O1150" s="76"/>
      <c r="P1150" s="76"/>
      <c r="Q1150" s="76"/>
      <c r="R1150" s="76"/>
      <c r="Z1150" s="70"/>
      <c r="AA1150" s="70"/>
      <c r="AB1150" s="70"/>
      <c r="AC1150" s="70"/>
    </row>
    <row r="1151" spans="1:29" s="26" customFormat="1" x14ac:dyDescent="0.3">
      <c r="A1151" s="25" t="s">
        <v>5999</v>
      </c>
      <c r="B1151" s="25"/>
      <c r="C1151" s="26" t="s">
        <v>3005</v>
      </c>
      <c r="D1151" s="70"/>
      <c r="G1151" s="70" t="s">
        <v>1033</v>
      </c>
      <c r="H1151" s="26">
        <v>2</v>
      </c>
      <c r="I1151" s="70" t="s">
        <v>6000</v>
      </c>
      <c r="J1151" s="26" t="s">
        <v>5997</v>
      </c>
      <c r="K1151" s="26" t="s">
        <v>6001</v>
      </c>
      <c r="L1151" s="26" t="s">
        <v>10491</v>
      </c>
      <c r="M1151" s="76"/>
      <c r="N1151" s="76"/>
      <c r="O1151" s="76"/>
      <c r="P1151" s="76"/>
      <c r="Q1151" s="76"/>
      <c r="R1151" s="76"/>
      <c r="Z1151" s="70"/>
      <c r="AA1151" s="70"/>
      <c r="AB1151" s="70"/>
      <c r="AC1151" s="70"/>
    </row>
    <row r="1152" spans="1:29" s="26" customFormat="1" x14ac:dyDescent="0.3">
      <c r="A1152" s="25" t="s">
        <v>6002</v>
      </c>
      <c r="B1152" s="25"/>
      <c r="C1152" s="26" t="s">
        <v>3005</v>
      </c>
      <c r="D1152" s="70"/>
      <c r="G1152" s="70" t="s">
        <v>1033</v>
      </c>
      <c r="H1152" s="26">
        <v>-1</v>
      </c>
      <c r="I1152" s="70" t="s">
        <v>4531</v>
      </c>
      <c r="J1152" s="26" t="s">
        <v>4014</v>
      </c>
      <c r="K1152" s="26" t="s">
        <v>6003</v>
      </c>
      <c r="L1152" s="26" t="s">
        <v>10492</v>
      </c>
      <c r="M1152" s="76"/>
      <c r="N1152" s="76"/>
      <c r="O1152" s="76"/>
      <c r="P1152" s="76"/>
      <c r="Q1152" s="76"/>
      <c r="R1152" s="76"/>
      <c r="Z1152" s="70"/>
      <c r="AA1152" s="70"/>
      <c r="AB1152" s="70"/>
      <c r="AC1152" s="70"/>
    </row>
    <row r="1153" spans="1:31" s="26" customFormat="1" x14ac:dyDescent="0.3">
      <c r="A1153" s="25" t="s">
        <v>6004</v>
      </c>
      <c r="B1153" s="25"/>
      <c r="C1153" s="26" t="s">
        <v>3005</v>
      </c>
      <c r="D1153" s="70"/>
      <c r="G1153" s="70" t="s">
        <v>1033</v>
      </c>
      <c r="H1153" s="26">
        <v>-1</v>
      </c>
      <c r="I1153" s="70" t="s">
        <v>6005</v>
      </c>
      <c r="J1153" s="26" t="s">
        <v>6006</v>
      </c>
      <c r="K1153" s="26" t="s">
        <v>6007</v>
      </c>
      <c r="L1153" s="26" t="s">
        <v>10493</v>
      </c>
      <c r="M1153" s="76"/>
      <c r="N1153" s="76"/>
      <c r="O1153" s="76"/>
      <c r="P1153" s="76"/>
      <c r="Q1153" s="76"/>
      <c r="R1153" s="76"/>
      <c r="Z1153" s="70"/>
      <c r="AA1153" s="70"/>
      <c r="AB1153" s="70"/>
      <c r="AC1153" s="70"/>
    </row>
    <row r="1154" spans="1:31" s="26" customFormat="1" x14ac:dyDescent="0.3">
      <c r="A1154" s="25" t="s">
        <v>6008</v>
      </c>
      <c r="B1154" s="25"/>
      <c r="C1154" s="26" t="s">
        <v>3005</v>
      </c>
      <c r="D1154" s="70"/>
      <c r="G1154" s="70" t="s">
        <v>1033</v>
      </c>
      <c r="H1154" s="26">
        <v>-1</v>
      </c>
      <c r="I1154" s="70" t="s">
        <v>6009</v>
      </c>
      <c r="J1154" s="26" t="s">
        <v>3884</v>
      </c>
      <c r="K1154" s="26" t="s">
        <v>6010</v>
      </c>
      <c r="L1154" s="26" t="s">
        <v>10494</v>
      </c>
      <c r="M1154" s="76"/>
      <c r="N1154" s="76"/>
      <c r="O1154" s="76"/>
      <c r="P1154" s="76"/>
      <c r="Q1154" s="76"/>
      <c r="R1154" s="76"/>
      <c r="Z1154" s="70"/>
      <c r="AA1154" s="70"/>
      <c r="AB1154" s="70"/>
      <c r="AC1154" s="70"/>
    </row>
    <row r="1155" spans="1:31" s="24" customFormat="1" x14ac:dyDescent="0.3">
      <c r="A1155" s="23">
        <v>345</v>
      </c>
      <c r="B1155" s="23">
        <v>341</v>
      </c>
      <c r="C1155" s="24" t="s">
        <v>2165</v>
      </c>
      <c r="D1155" s="69" t="s">
        <v>1025</v>
      </c>
      <c r="E1155" s="24" t="s">
        <v>1024</v>
      </c>
      <c r="F1155" s="24" t="s">
        <v>1034</v>
      </c>
      <c r="G1155" s="69" t="s">
        <v>1035</v>
      </c>
      <c r="H1155" s="24">
        <v>1</v>
      </c>
      <c r="I1155" s="69"/>
      <c r="J1155" s="24" t="s">
        <v>3016</v>
      </c>
      <c r="K1155" s="24" t="s">
        <v>1036</v>
      </c>
      <c r="M1155" s="75" t="s">
        <v>15</v>
      </c>
      <c r="N1155" s="75"/>
      <c r="O1155" s="75"/>
      <c r="P1155" s="75"/>
      <c r="Q1155" s="75"/>
      <c r="R1155" s="75"/>
      <c r="Z1155" s="69"/>
      <c r="AA1155" s="69"/>
      <c r="AB1155" s="69" t="s">
        <v>2588</v>
      </c>
      <c r="AC1155" s="69"/>
    </row>
    <row r="1156" spans="1:31" s="26" customFormat="1" x14ac:dyDescent="0.3">
      <c r="A1156" s="25" t="s">
        <v>6011</v>
      </c>
      <c r="B1156" s="25"/>
      <c r="C1156" s="26" t="s">
        <v>3005</v>
      </c>
      <c r="D1156" s="70"/>
      <c r="G1156" s="70" t="s">
        <v>1035</v>
      </c>
      <c r="H1156" s="26">
        <v>-1</v>
      </c>
      <c r="I1156" s="70" t="s">
        <v>6012</v>
      </c>
      <c r="J1156" s="26" t="s">
        <v>3016</v>
      </c>
      <c r="K1156" s="26" t="s">
        <v>6013</v>
      </c>
      <c r="L1156" s="26" t="s">
        <v>10495</v>
      </c>
      <c r="M1156" s="76"/>
      <c r="N1156" s="76"/>
      <c r="O1156" s="76"/>
      <c r="P1156" s="76"/>
      <c r="Q1156" s="76"/>
      <c r="R1156" s="76"/>
      <c r="Z1156" s="70"/>
      <c r="AA1156" s="70"/>
      <c r="AB1156" s="70"/>
      <c r="AC1156" s="70"/>
    </row>
    <row r="1157" spans="1:31" s="26" customFormat="1" x14ac:dyDescent="0.3">
      <c r="A1157" s="25" t="s">
        <v>6014</v>
      </c>
      <c r="B1157" s="25"/>
      <c r="C1157" s="26" t="s">
        <v>3005</v>
      </c>
      <c r="D1157" s="70"/>
      <c r="G1157" s="70" t="s">
        <v>1035</v>
      </c>
      <c r="H1157" s="26">
        <v>-1</v>
      </c>
      <c r="I1157" s="70" t="s">
        <v>4159</v>
      </c>
      <c r="J1157" s="26" t="s">
        <v>3323</v>
      </c>
      <c r="K1157" s="26" t="s">
        <v>6015</v>
      </c>
      <c r="L1157" s="26" t="s">
        <v>10496</v>
      </c>
      <c r="M1157" s="76"/>
      <c r="N1157" s="76"/>
      <c r="O1157" s="76"/>
      <c r="P1157" s="76"/>
      <c r="Q1157" s="76"/>
      <c r="R1157" s="76"/>
      <c r="Z1157" s="70"/>
      <c r="AA1157" s="70"/>
      <c r="AB1157" s="70"/>
      <c r="AC1157" s="70"/>
    </row>
    <row r="1158" spans="1:31" s="26" customFormat="1" x14ac:dyDescent="0.3">
      <c r="A1158" s="25" t="s">
        <v>6016</v>
      </c>
      <c r="B1158" s="25"/>
      <c r="C1158" s="26" t="s">
        <v>3005</v>
      </c>
      <c r="D1158" s="70"/>
      <c r="G1158" s="70" t="s">
        <v>1035</v>
      </c>
      <c r="H1158" s="26">
        <v>-1</v>
      </c>
      <c r="I1158" s="70" t="s">
        <v>6017</v>
      </c>
      <c r="J1158" s="26" t="s">
        <v>6018</v>
      </c>
      <c r="K1158" s="26" t="s">
        <v>6019</v>
      </c>
      <c r="L1158" s="26" t="s">
        <v>10497</v>
      </c>
      <c r="M1158" s="76"/>
      <c r="N1158" s="76"/>
      <c r="O1158" s="76"/>
      <c r="P1158" s="76"/>
      <c r="Q1158" s="76"/>
      <c r="R1158" s="76"/>
      <c r="Z1158" s="70"/>
      <c r="AA1158" s="70"/>
      <c r="AB1158" s="70"/>
      <c r="AC1158" s="70"/>
    </row>
    <row r="1159" spans="1:31" s="26" customFormat="1" x14ac:dyDescent="0.3">
      <c r="A1159" s="25" t="s">
        <v>6020</v>
      </c>
      <c r="B1159" s="25"/>
      <c r="C1159" s="26" t="s">
        <v>3005</v>
      </c>
      <c r="D1159" s="70"/>
      <c r="G1159" s="70" t="s">
        <v>1035</v>
      </c>
      <c r="H1159" s="26">
        <v>-1</v>
      </c>
      <c r="I1159" s="70" t="s">
        <v>6021</v>
      </c>
      <c r="J1159" s="26" t="s">
        <v>5950</v>
      </c>
      <c r="K1159" s="26" t="s">
        <v>3750</v>
      </c>
      <c r="L1159" s="26" t="s">
        <v>10061</v>
      </c>
      <c r="M1159" s="76"/>
      <c r="N1159" s="76"/>
      <c r="O1159" s="76"/>
      <c r="P1159" s="76"/>
      <c r="Q1159" s="76"/>
      <c r="R1159" s="76"/>
      <c r="Z1159" s="70"/>
      <c r="AA1159" s="70"/>
      <c r="AB1159" s="70"/>
      <c r="AC1159" s="70"/>
    </row>
    <row r="1160" spans="1:31" s="26" customFormat="1" x14ac:dyDescent="0.3">
      <c r="A1160" s="25" t="s">
        <v>6022</v>
      </c>
      <c r="B1160" s="25"/>
      <c r="C1160" s="26" t="s">
        <v>3005</v>
      </c>
      <c r="D1160" s="70"/>
      <c r="G1160" s="70" t="s">
        <v>1035</v>
      </c>
      <c r="H1160" s="26">
        <v>-1</v>
      </c>
      <c r="I1160" s="70" t="s">
        <v>6023</v>
      </c>
      <c r="J1160" s="26" t="s">
        <v>6024</v>
      </c>
      <c r="K1160" s="26" t="s">
        <v>6025</v>
      </c>
      <c r="L1160" s="26" t="s">
        <v>10498</v>
      </c>
      <c r="M1160" s="76"/>
      <c r="N1160" s="76"/>
      <c r="O1160" s="76"/>
      <c r="P1160" s="76"/>
      <c r="Q1160" s="76"/>
      <c r="R1160" s="76"/>
      <c r="Z1160" s="70"/>
      <c r="AA1160" s="70"/>
      <c r="AB1160" s="70"/>
      <c r="AC1160" s="70"/>
    </row>
    <row r="1161" spans="1:31" s="26" customFormat="1" x14ac:dyDescent="0.3">
      <c r="A1161" s="25" t="s">
        <v>6026</v>
      </c>
      <c r="B1161" s="25"/>
      <c r="C1161" s="26" t="s">
        <v>3005</v>
      </c>
      <c r="D1161" s="70"/>
      <c r="G1161" s="70" t="s">
        <v>1035</v>
      </c>
      <c r="H1161" s="26">
        <v>2</v>
      </c>
      <c r="I1161" s="70" t="s">
        <v>3870</v>
      </c>
      <c r="J1161" s="26" t="s">
        <v>6027</v>
      </c>
      <c r="K1161" s="26" t="s">
        <v>2015</v>
      </c>
      <c r="M1161" s="76"/>
      <c r="N1161" s="76"/>
      <c r="O1161" s="76"/>
      <c r="P1161" s="76"/>
      <c r="Q1161" s="76"/>
      <c r="R1161" s="76"/>
      <c r="T1161" s="26" t="s">
        <v>2254</v>
      </c>
      <c r="Y1161" s="26" t="s">
        <v>1034</v>
      </c>
      <c r="Z1161" s="70"/>
      <c r="AA1161" s="70"/>
      <c r="AB1161" s="70" t="s">
        <v>2588</v>
      </c>
      <c r="AC1161" s="70"/>
      <c r="AE1161" s="26" t="s">
        <v>6028</v>
      </c>
    </row>
    <row r="1162" spans="1:31" s="24" customFormat="1" x14ac:dyDescent="0.3">
      <c r="A1162" s="23">
        <v>346</v>
      </c>
      <c r="B1162" s="23">
        <v>342</v>
      </c>
      <c r="C1162" s="24" t="s">
        <v>2165</v>
      </c>
      <c r="D1162" s="69" t="s">
        <v>1025</v>
      </c>
      <c r="E1162" s="24" t="s">
        <v>1024</v>
      </c>
      <c r="F1162" s="24" t="s">
        <v>1037</v>
      </c>
      <c r="G1162" s="69" t="s">
        <v>1038</v>
      </c>
      <c r="I1162" s="69"/>
      <c r="J1162" s="24" t="s">
        <v>3323</v>
      </c>
      <c r="K1162" s="24" t="s">
        <v>1039</v>
      </c>
      <c r="L1162" s="24" t="s">
        <v>9806</v>
      </c>
      <c r="M1162" s="75" t="s">
        <v>15</v>
      </c>
      <c r="N1162" s="75"/>
      <c r="O1162" s="75"/>
      <c r="P1162" s="75"/>
      <c r="Q1162" s="75"/>
      <c r="R1162" s="75" t="s">
        <v>2166</v>
      </c>
      <c r="U1162" s="24" t="s">
        <v>2209</v>
      </c>
      <c r="Z1162" s="69"/>
      <c r="AA1162" s="69"/>
      <c r="AB1162" s="69"/>
      <c r="AC1162" s="69"/>
    </row>
    <row r="1163" spans="1:31" s="24" customFormat="1" x14ac:dyDescent="0.3">
      <c r="A1163" s="23">
        <v>347</v>
      </c>
      <c r="B1163" s="23">
        <v>343</v>
      </c>
      <c r="C1163" s="24" t="s">
        <v>2165</v>
      </c>
      <c r="D1163" s="69" t="s">
        <v>1025</v>
      </c>
      <c r="E1163" s="24" t="s">
        <v>1024</v>
      </c>
      <c r="F1163" s="24" t="s">
        <v>2589</v>
      </c>
      <c r="G1163" s="69" t="s">
        <v>1041</v>
      </c>
      <c r="H1163" s="24">
        <v>5</v>
      </c>
      <c r="I1163" s="69"/>
      <c r="J1163" s="24" t="s">
        <v>5085</v>
      </c>
      <c r="K1163" s="24" t="s">
        <v>68</v>
      </c>
      <c r="M1163" s="75" t="s">
        <v>65</v>
      </c>
      <c r="N1163" s="75" t="s">
        <v>2015</v>
      </c>
      <c r="O1163" s="75" t="s">
        <v>66</v>
      </c>
      <c r="P1163" s="75" t="s">
        <v>66</v>
      </c>
      <c r="Q1163" s="75" t="s">
        <v>66</v>
      </c>
      <c r="R1163" s="75"/>
      <c r="X1163" s="24" t="s">
        <v>1040</v>
      </c>
      <c r="Z1163" s="69"/>
      <c r="AA1163" s="69"/>
      <c r="AB1163" s="69"/>
      <c r="AC1163" s="69" t="s">
        <v>11395</v>
      </c>
    </row>
    <row r="1164" spans="1:31" s="26" customFormat="1" x14ac:dyDescent="0.3">
      <c r="A1164" s="25" t="s">
        <v>6029</v>
      </c>
      <c r="B1164" s="25"/>
      <c r="C1164" s="26" t="s">
        <v>3005</v>
      </c>
      <c r="D1164" s="70"/>
      <c r="G1164" s="70" t="s">
        <v>1041</v>
      </c>
      <c r="H1164" s="26">
        <v>1</v>
      </c>
      <c r="I1164" s="70" t="s">
        <v>4243</v>
      </c>
      <c r="J1164" s="26" t="s">
        <v>6030</v>
      </c>
      <c r="K1164" s="26" t="s">
        <v>6031</v>
      </c>
      <c r="L1164" s="26" t="s">
        <v>10499</v>
      </c>
      <c r="M1164" s="76"/>
      <c r="N1164" s="76"/>
      <c r="O1164" s="76"/>
      <c r="P1164" s="76"/>
      <c r="Q1164" s="76"/>
      <c r="R1164" s="76"/>
      <c r="Z1164" s="70"/>
      <c r="AA1164" s="70"/>
      <c r="AB1164" s="70"/>
      <c r="AC1164" s="70"/>
    </row>
    <row r="1165" spans="1:31" s="26" customFormat="1" x14ac:dyDescent="0.3">
      <c r="A1165" s="25" t="s">
        <v>6032</v>
      </c>
      <c r="B1165" s="25"/>
      <c r="C1165" s="26" t="s">
        <v>3005</v>
      </c>
      <c r="D1165" s="70"/>
      <c r="G1165" s="70" t="s">
        <v>1041</v>
      </c>
      <c r="H1165" s="26">
        <v>1</v>
      </c>
      <c r="I1165" s="70" t="s">
        <v>6033</v>
      </c>
      <c r="J1165" s="26" t="s">
        <v>6034</v>
      </c>
      <c r="K1165" s="26" t="s">
        <v>6035</v>
      </c>
      <c r="L1165" s="26" t="s">
        <v>10500</v>
      </c>
      <c r="M1165" s="76"/>
      <c r="N1165" s="76"/>
      <c r="O1165" s="76"/>
      <c r="P1165" s="76"/>
      <c r="Q1165" s="76"/>
      <c r="R1165" s="76"/>
      <c r="Z1165" s="70"/>
      <c r="AA1165" s="70"/>
      <c r="AB1165" s="70"/>
      <c r="AC1165" s="70"/>
    </row>
    <row r="1166" spans="1:31" s="26" customFormat="1" x14ac:dyDescent="0.3">
      <c r="A1166" s="25" t="s">
        <v>6036</v>
      </c>
      <c r="B1166" s="25"/>
      <c r="C1166" s="26" t="s">
        <v>3005</v>
      </c>
      <c r="D1166" s="70"/>
      <c r="G1166" s="70" t="s">
        <v>1041</v>
      </c>
      <c r="H1166" s="26">
        <v>1</v>
      </c>
      <c r="I1166" s="70" t="s">
        <v>5230</v>
      </c>
      <c r="J1166" s="26" t="s">
        <v>6034</v>
      </c>
      <c r="K1166" s="26" t="s">
        <v>5764</v>
      </c>
      <c r="L1166" s="26" t="s">
        <v>9990</v>
      </c>
      <c r="M1166" s="76"/>
      <c r="N1166" s="76"/>
      <c r="O1166" s="76"/>
      <c r="P1166" s="76"/>
      <c r="Q1166" s="76"/>
      <c r="R1166" s="76"/>
      <c r="Z1166" s="70"/>
      <c r="AA1166" s="70"/>
      <c r="AB1166" s="70"/>
      <c r="AC1166" s="70"/>
    </row>
    <row r="1167" spans="1:31" s="26" customFormat="1" x14ac:dyDescent="0.3">
      <c r="A1167" s="25" t="s">
        <v>6037</v>
      </c>
      <c r="B1167" s="25"/>
      <c r="C1167" s="26" t="s">
        <v>3005</v>
      </c>
      <c r="D1167" s="70"/>
      <c r="G1167" s="70" t="s">
        <v>1041</v>
      </c>
      <c r="H1167" s="26">
        <v>1</v>
      </c>
      <c r="I1167" s="70" t="s">
        <v>6038</v>
      </c>
      <c r="J1167" s="26" t="s">
        <v>5085</v>
      </c>
      <c r="K1167" s="26" t="s">
        <v>6039</v>
      </c>
      <c r="L1167" s="26" t="s">
        <v>10501</v>
      </c>
      <c r="M1167" s="76"/>
      <c r="N1167" s="76"/>
      <c r="O1167" s="76"/>
      <c r="P1167" s="76"/>
      <c r="Q1167" s="76"/>
      <c r="R1167" s="76"/>
      <c r="Z1167" s="70"/>
      <c r="AA1167" s="70"/>
      <c r="AB1167" s="70"/>
      <c r="AC1167" s="70"/>
    </row>
    <row r="1168" spans="1:31" s="26" customFormat="1" x14ac:dyDescent="0.3">
      <c r="A1168" s="25" t="s">
        <v>6040</v>
      </c>
      <c r="B1168" s="25"/>
      <c r="C1168" s="26" t="s">
        <v>3005</v>
      </c>
      <c r="D1168" s="70"/>
      <c r="G1168" s="70" t="s">
        <v>1041</v>
      </c>
      <c r="H1168" s="26">
        <v>1</v>
      </c>
      <c r="I1168" s="70" t="s">
        <v>6041</v>
      </c>
      <c r="J1168" s="26" t="s">
        <v>6042</v>
      </c>
      <c r="K1168" s="26" t="s">
        <v>6043</v>
      </c>
      <c r="L1168" s="26" t="s">
        <v>10502</v>
      </c>
      <c r="M1168" s="76"/>
      <c r="N1168" s="76"/>
      <c r="O1168" s="76"/>
      <c r="P1168" s="76"/>
      <c r="Q1168" s="76"/>
      <c r="R1168" s="76"/>
      <c r="Z1168" s="70"/>
      <c r="AA1168" s="70"/>
      <c r="AB1168" s="70"/>
      <c r="AC1168" s="70"/>
    </row>
    <row r="1169" spans="1:31" s="24" customFormat="1" x14ac:dyDescent="0.3">
      <c r="A1169" s="23">
        <v>348</v>
      </c>
      <c r="B1169" s="23">
        <v>344</v>
      </c>
      <c r="C1169" s="24" t="s">
        <v>2165</v>
      </c>
      <c r="D1169" s="69" t="s">
        <v>1025</v>
      </c>
      <c r="E1169" s="24" t="s">
        <v>1024</v>
      </c>
      <c r="F1169" s="24" t="s">
        <v>1042</v>
      </c>
      <c r="G1169" s="69" t="s">
        <v>1043</v>
      </c>
      <c r="H1169" s="24">
        <v>1</v>
      </c>
      <c r="I1169" s="69"/>
      <c r="J1169" s="24" t="s">
        <v>3323</v>
      </c>
      <c r="K1169" s="24" t="s">
        <v>1044</v>
      </c>
      <c r="M1169" s="75" t="s">
        <v>15</v>
      </c>
      <c r="N1169" s="75"/>
      <c r="O1169" s="75"/>
      <c r="P1169" s="75"/>
      <c r="Q1169" s="75"/>
      <c r="R1169" s="75"/>
      <c r="T1169" s="24" t="s">
        <v>2590</v>
      </c>
      <c r="V1169" s="24" t="s">
        <v>2591</v>
      </c>
      <c r="Z1169" s="69"/>
      <c r="AA1169" s="69"/>
      <c r="AB1169" s="69"/>
      <c r="AC1169" s="69" t="s">
        <v>11396</v>
      </c>
      <c r="AE1169" s="24" t="s">
        <v>2592</v>
      </c>
    </row>
    <row r="1170" spans="1:31" s="26" customFormat="1" x14ac:dyDescent="0.3">
      <c r="A1170" s="25" t="s">
        <v>6044</v>
      </c>
      <c r="B1170" s="25"/>
      <c r="C1170" s="26" t="s">
        <v>3005</v>
      </c>
      <c r="D1170" s="70"/>
      <c r="G1170" s="70" t="s">
        <v>1043</v>
      </c>
      <c r="H1170" s="26">
        <v>-1</v>
      </c>
      <c r="I1170" s="70" t="s">
        <v>6045</v>
      </c>
      <c r="J1170" s="26" t="s">
        <v>6046</v>
      </c>
      <c r="K1170" s="26" t="s">
        <v>6047</v>
      </c>
      <c r="M1170" s="76"/>
      <c r="N1170" s="76"/>
      <c r="O1170" s="76"/>
      <c r="P1170" s="76"/>
      <c r="Q1170" s="76"/>
      <c r="R1170" s="76"/>
      <c r="Z1170" s="70"/>
      <c r="AA1170" s="70"/>
      <c r="AB1170" s="70"/>
      <c r="AC1170" s="70"/>
    </row>
    <row r="1171" spans="1:31" s="26" customFormat="1" x14ac:dyDescent="0.3">
      <c r="A1171" s="25" t="s">
        <v>6048</v>
      </c>
      <c r="B1171" s="25"/>
      <c r="C1171" s="26" t="s">
        <v>3005</v>
      </c>
      <c r="D1171" s="70"/>
      <c r="G1171" s="70" t="s">
        <v>1043</v>
      </c>
      <c r="H1171" s="26">
        <v>-1</v>
      </c>
      <c r="I1171" s="70" t="s">
        <v>6049</v>
      </c>
      <c r="J1171" s="26" t="s">
        <v>6050</v>
      </c>
      <c r="K1171" s="26" t="s">
        <v>6051</v>
      </c>
      <c r="M1171" s="76"/>
      <c r="N1171" s="76"/>
      <c r="O1171" s="76"/>
      <c r="P1171" s="76"/>
      <c r="Q1171" s="76"/>
      <c r="R1171" s="76"/>
      <c r="Z1171" s="70"/>
      <c r="AA1171" s="70"/>
      <c r="AB1171" s="70"/>
      <c r="AC1171" s="70"/>
    </row>
    <row r="1172" spans="1:31" s="26" customFormat="1" x14ac:dyDescent="0.3">
      <c r="A1172" s="25" t="s">
        <v>6052</v>
      </c>
      <c r="B1172" s="25"/>
      <c r="C1172" s="26" t="s">
        <v>3005</v>
      </c>
      <c r="D1172" s="70"/>
      <c r="G1172" s="70" t="s">
        <v>1043</v>
      </c>
      <c r="H1172" s="26">
        <v>-1</v>
      </c>
      <c r="I1172" s="70" t="s">
        <v>6053</v>
      </c>
      <c r="J1172" s="26" t="s">
        <v>5550</v>
      </c>
      <c r="K1172" s="26" t="s">
        <v>6054</v>
      </c>
      <c r="L1172" s="26" t="s">
        <v>10503</v>
      </c>
      <c r="M1172" s="76"/>
      <c r="N1172" s="76"/>
      <c r="O1172" s="76"/>
      <c r="P1172" s="76"/>
      <c r="Q1172" s="76"/>
      <c r="R1172" s="76"/>
      <c r="Z1172" s="70"/>
      <c r="AA1172" s="70"/>
      <c r="AB1172" s="70"/>
      <c r="AC1172" s="70"/>
    </row>
    <row r="1173" spans="1:31" s="26" customFormat="1" x14ac:dyDescent="0.3">
      <c r="A1173" s="25" t="s">
        <v>6055</v>
      </c>
      <c r="B1173" s="25"/>
      <c r="C1173" s="26" t="s">
        <v>3005</v>
      </c>
      <c r="D1173" s="70"/>
      <c r="G1173" s="70" t="s">
        <v>1043</v>
      </c>
      <c r="H1173" s="26">
        <v>-1</v>
      </c>
      <c r="I1173" s="70" t="s">
        <v>3748</v>
      </c>
      <c r="J1173" s="26" t="s">
        <v>5550</v>
      </c>
      <c r="K1173" s="26" t="s">
        <v>6056</v>
      </c>
      <c r="L1173" s="26" t="s">
        <v>10504</v>
      </c>
      <c r="M1173" s="76"/>
      <c r="N1173" s="76"/>
      <c r="O1173" s="76"/>
      <c r="P1173" s="76"/>
      <c r="Q1173" s="76"/>
      <c r="R1173" s="76"/>
      <c r="Z1173" s="70"/>
      <c r="AA1173" s="70"/>
      <c r="AB1173" s="70"/>
      <c r="AC1173" s="70"/>
    </row>
    <row r="1174" spans="1:31" s="26" customFormat="1" x14ac:dyDescent="0.3">
      <c r="A1174" s="25" t="s">
        <v>6057</v>
      </c>
      <c r="B1174" s="25"/>
      <c r="C1174" s="26" t="s">
        <v>3005</v>
      </c>
      <c r="D1174" s="70"/>
      <c r="G1174" s="70" t="s">
        <v>1043</v>
      </c>
      <c r="H1174" s="26">
        <v>-1</v>
      </c>
      <c r="I1174" s="70" t="s">
        <v>5096</v>
      </c>
      <c r="J1174" s="26" t="s">
        <v>6058</v>
      </c>
      <c r="K1174" s="26" t="s">
        <v>3182</v>
      </c>
      <c r="M1174" s="76"/>
      <c r="N1174" s="76"/>
      <c r="O1174" s="76"/>
      <c r="P1174" s="76"/>
      <c r="Q1174" s="76"/>
      <c r="R1174" s="76"/>
      <c r="Z1174" s="70"/>
      <c r="AA1174" s="70"/>
      <c r="AB1174" s="70"/>
      <c r="AC1174" s="70"/>
    </row>
    <row r="1175" spans="1:31" s="26" customFormat="1" x14ac:dyDescent="0.3">
      <c r="A1175" s="25" t="s">
        <v>6059</v>
      </c>
      <c r="B1175" s="25"/>
      <c r="C1175" s="26" t="s">
        <v>3005</v>
      </c>
      <c r="D1175" s="70"/>
      <c r="G1175" s="70" t="s">
        <v>1043</v>
      </c>
      <c r="H1175" s="26">
        <v>-1</v>
      </c>
      <c r="I1175" s="70" t="s">
        <v>6060</v>
      </c>
      <c r="J1175" s="26" t="s">
        <v>5550</v>
      </c>
      <c r="K1175" s="26" t="s">
        <v>6061</v>
      </c>
      <c r="L1175" s="26" t="s">
        <v>10505</v>
      </c>
      <c r="M1175" s="76"/>
      <c r="N1175" s="76"/>
      <c r="O1175" s="76"/>
      <c r="P1175" s="76"/>
      <c r="Q1175" s="76"/>
      <c r="R1175" s="76"/>
      <c r="Z1175" s="70"/>
      <c r="AA1175" s="70"/>
      <c r="AB1175" s="70"/>
      <c r="AC1175" s="70"/>
    </row>
    <row r="1176" spans="1:31" s="26" customFormat="1" x14ac:dyDescent="0.3">
      <c r="A1176" s="25" t="s">
        <v>6062</v>
      </c>
      <c r="B1176" s="25"/>
      <c r="C1176" s="26" t="s">
        <v>3005</v>
      </c>
      <c r="D1176" s="70"/>
      <c r="G1176" s="70" t="s">
        <v>1043</v>
      </c>
      <c r="H1176" s="26">
        <v>-1</v>
      </c>
      <c r="I1176" s="70" t="s">
        <v>6063</v>
      </c>
      <c r="J1176" s="26" t="s">
        <v>5550</v>
      </c>
      <c r="K1176" s="26" t="s">
        <v>6064</v>
      </c>
      <c r="L1176" s="26" t="s">
        <v>10506</v>
      </c>
      <c r="M1176" s="76"/>
      <c r="N1176" s="76"/>
      <c r="O1176" s="76"/>
      <c r="P1176" s="76"/>
      <c r="Q1176" s="76"/>
      <c r="R1176" s="76"/>
      <c r="Z1176" s="70"/>
      <c r="AA1176" s="70"/>
      <c r="AB1176" s="70"/>
      <c r="AC1176" s="70"/>
    </row>
    <row r="1177" spans="1:31" s="26" customFormat="1" x14ac:dyDescent="0.3">
      <c r="A1177" s="25" t="s">
        <v>6065</v>
      </c>
      <c r="B1177" s="25"/>
      <c r="C1177" s="26" t="s">
        <v>3005</v>
      </c>
      <c r="D1177" s="70"/>
      <c r="G1177" s="70" t="s">
        <v>1043</v>
      </c>
      <c r="H1177" s="26">
        <v>-1</v>
      </c>
      <c r="I1177" s="70" t="s">
        <v>6066</v>
      </c>
      <c r="J1177" s="26" t="s">
        <v>6067</v>
      </c>
      <c r="K1177" s="26" t="s">
        <v>6068</v>
      </c>
      <c r="L1177" s="26" t="s">
        <v>10507</v>
      </c>
      <c r="M1177" s="76"/>
      <c r="N1177" s="76"/>
      <c r="O1177" s="76"/>
      <c r="P1177" s="76"/>
      <c r="Q1177" s="76"/>
      <c r="R1177" s="76"/>
      <c r="Z1177" s="70"/>
      <c r="AA1177" s="70"/>
      <c r="AB1177" s="70"/>
      <c r="AC1177" s="70"/>
    </row>
    <row r="1178" spans="1:31" s="26" customFormat="1" x14ac:dyDescent="0.3">
      <c r="A1178" s="25" t="s">
        <v>6069</v>
      </c>
      <c r="B1178" s="25"/>
      <c r="C1178" s="26" t="s">
        <v>3005</v>
      </c>
      <c r="D1178" s="70"/>
      <c r="G1178" s="70" t="s">
        <v>1043</v>
      </c>
      <c r="H1178" s="26">
        <v>-1</v>
      </c>
      <c r="I1178" s="70" t="s">
        <v>6070</v>
      </c>
      <c r="J1178" s="26" t="s">
        <v>6071</v>
      </c>
      <c r="K1178" s="26" t="s">
        <v>6072</v>
      </c>
      <c r="L1178" s="26" t="s">
        <v>10508</v>
      </c>
      <c r="M1178" s="76"/>
      <c r="N1178" s="76"/>
      <c r="O1178" s="76"/>
      <c r="P1178" s="76"/>
      <c r="Q1178" s="76"/>
      <c r="R1178" s="76"/>
      <c r="Z1178" s="70"/>
      <c r="AA1178" s="70"/>
      <c r="AB1178" s="70"/>
      <c r="AC1178" s="70"/>
    </row>
    <row r="1179" spans="1:31" s="26" customFormat="1" x14ac:dyDescent="0.3">
      <c r="A1179" s="25" t="s">
        <v>6073</v>
      </c>
      <c r="B1179" s="25"/>
      <c r="C1179" s="26" t="s">
        <v>3005</v>
      </c>
      <c r="D1179" s="70"/>
      <c r="G1179" s="70" t="s">
        <v>1043</v>
      </c>
      <c r="H1179" s="26">
        <v>-1</v>
      </c>
      <c r="I1179" s="70" t="s">
        <v>6074</v>
      </c>
      <c r="J1179" s="26" t="s">
        <v>6071</v>
      </c>
      <c r="K1179" s="26" t="s">
        <v>6075</v>
      </c>
      <c r="L1179" s="26" t="s">
        <v>10509</v>
      </c>
      <c r="M1179" s="76"/>
      <c r="N1179" s="76"/>
      <c r="O1179" s="76"/>
      <c r="P1179" s="76"/>
      <c r="Q1179" s="76"/>
      <c r="R1179" s="76"/>
      <c r="Z1179" s="70"/>
      <c r="AA1179" s="70"/>
      <c r="AB1179" s="70"/>
      <c r="AC1179" s="70"/>
    </row>
    <row r="1180" spans="1:31" s="26" customFormat="1" x14ac:dyDescent="0.3">
      <c r="A1180" s="25" t="s">
        <v>6076</v>
      </c>
      <c r="B1180" s="25"/>
      <c r="C1180" s="26" t="s">
        <v>3005</v>
      </c>
      <c r="D1180" s="70"/>
      <c r="G1180" s="70" t="s">
        <v>1043</v>
      </c>
      <c r="H1180" s="26">
        <v>-1</v>
      </c>
      <c r="I1180" s="70" t="s">
        <v>6077</v>
      </c>
      <c r="J1180" s="26" t="s">
        <v>6071</v>
      </c>
      <c r="K1180" s="26" t="s">
        <v>6078</v>
      </c>
      <c r="L1180" s="26" t="s">
        <v>10510</v>
      </c>
      <c r="M1180" s="76"/>
      <c r="N1180" s="76"/>
      <c r="O1180" s="76"/>
      <c r="P1180" s="76"/>
      <c r="Q1180" s="76"/>
      <c r="R1180" s="76"/>
      <c r="Z1180" s="70"/>
      <c r="AA1180" s="70"/>
      <c r="AB1180" s="70"/>
      <c r="AC1180" s="70"/>
    </row>
    <row r="1181" spans="1:31" s="26" customFormat="1" x14ac:dyDescent="0.3">
      <c r="A1181" s="25" t="s">
        <v>6079</v>
      </c>
      <c r="B1181" s="25"/>
      <c r="C1181" s="26" t="s">
        <v>3005</v>
      </c>
      <c r="D1181" s="70"/>
      <c r="G1181" s="70" t="s">
        <v>1043</v>
      </c>
      <c r="H1181" s="26">
        <v>2</v>
      </c>
      <c r="I1181" s="70" t="s">
        <v>6080</v>
      </c>
      <c r="J1181" s="26" t="s">
        <v>3158</v>
      </c>
      <c r="K1181" s="26" t="s">
        <v>2015</v>
      </c>
      <c r="L1181" s="26" t="s">
        <v>10511</v>
      </c>
      <c r="M1181" s="76"/>
      <c r="N1181" s="76"/>
      <c r="O1181" s="76"/>
      <c r="P1181" s="76"/>
      <c r="Q1181" s="76"/>
      <c r="R1181" s="76"/>
      <c r="Z1181" s="70"/>
      <c r="AA1181" s="70"/>
      <c r="AB1181" s="70"/>
      <c r="AC1181" s="70"/>
    </row>
    <row r="1182" spans="1:31" s="26" customFormat="1" x14ac:dyDescent="0.3">
      <c r="A1182" s="25" t="s">
        <v>6081</v>
      </c>
      <c r="B1182" s="25"/>
      <c r="C1182" s="26" t="s">
        <v>3005</v>
      </c>
      <c r="D1182" s="70"/>
      <c r="G1182" s="70" t="s">
        <v>1043</v>
      </c>
      <c r="H1182" s="26">
        <v>-1</v>
      </c>
      <c r="I1182" s="70" t="s">
        <v>6082</v>
      </c>
      <c r="J1182" s="26" t="s">
        <v>3323</v>
      </c>
      <c r="K1182" s="26" t="s">
        <v>6083</v>
      </c>
      <c r="L1182" s="26" t="s">
        <v>10512</v>
      </c>
      <c r="M1182" s="76"/>
      <c r="N1182" s="76"/>
      <c r="O1182" s="76"/>
      <c r="P1182" s="76"/>
      <c r="Q1182" s="76"/>
      <c r="R1182" s="76"/>
      <c r="Z1182" s="70"/>
      <c r="AA1182" s="70"/>
      <c r="AB1182" s="70"/>
      <c r="AC1182" s="70"/>
    </row>
    <row r="1183" spans="1:31" s="26" customFormat="1" x14ac:dyDescent="0.3">
      <c r="A1183" s="25" t="s">
        <v>6084</v>
      </c>
      <c r="B1183" s="25"/>
      <c r="C1183" s="26" t="s">
        <v>3005</v>
      </c>
      <c r="D1183" s="70"/>
      <c r="G1183" s="70" t="s">
        <v>1043</v>
      </c>
      <c r="H1183" s="26">
        <v>-1</v>
      </c>
      <c r="I1183" s="70" t="s">
        <v>6085</v>
      </c>
      <c r="J1183" s="26" t="s">
        <v>6086</v>
      </c>
      <c r="K1183" s="26" t="s">
        <v>6087</v>
      </c>
      <c r="L1183" s="26" t="s">
        <v>10513</v>
      </c>
      <c r="M1183" s="76"/>
      <c r="N1183" s="76"/>
      <c r="O1183" s="76"/>
      <c r="P1183" s="76"/>
      <c r="Q1183" s="76"/>
      <c r="R1183" s="76"/>
      <c r="Z1183" s="70"/>
      <c r="AA1183" s="70"/>
      <c r="AB1183" s="70"/>
      <c r="AC1183" s="70"/>
    </row>
    <row r="1184" spans="1:31" s="24" customFormat="1" x14ac:dyDescent="0.3">
      <c r="A1184" s="23">
        <v>349</v>
      </c>
      <c r="B1184" s="23">
        <v>345</v>
      </c>
      <c r="C1184" s="24" t="s">
        <v>2165</v>
      </c>
      <c r="D1184" s="69" t="s">
        <v>1025</v>
      </c>
      <c r="E1184" s="24" t="s">
        <v>1024</v>
      </c>
      <c r="F1184" s="24" t="s">
        <v>1045</v>
      </c>
      <c r="G1184" s="69" t="s">
        <v>1046</v>
      </c>
      <c r="I1184" s="69"/>
      <c r="J1184" s="24" t="s">
        <v>6088</v>
      </c>
      <c r="K1184" s="24" t="s">
        <v>1047</v>
      </c>
      <c r="M1184" s="75" t="s">
        <v>19</v>
      </c>
      <c r="N1184" s="75"/>
      <c r="O1184" s="75"/>
      <c r="P1184" s="75"/>
      <c r="Q1184" s="75"/>
      <c r="R1184" s="75" t="s">
        <v>2166</v>
      </c>
      <c r="U1184" s="24" t="s">
        <v>2593</v>
      </c>
      <c r="V1184" s="24" t="s">
        <v>2171</v>
      </c>
      <c r="Z1184" s="69"/>
      <c r="AA1184" s="69"/>
      <c r="AB1184" s="69"/>
      <c r="AC1184" s="69"/>
      <c r="AD1184" s="24" t="s">
        <v>11334</v>
      </c>
    </row>
    <row r="1185" spans="1:30" s="26" customFormat="1" x14ac:dyDescent="0.3">
      <c r="A1185" s="25" t="s">
        <v>6089</v>
      </c>
      <c r="B1185" s="25"/>
      <c r="C1185" s="26" t="s">
        <v>3005</v>
      </c>
      <c r="D1185" s="70"/>
      <c r="G1185" s="70" t="s">
        <v>1046</v>
      </c>
      <c r="H1185" s="26">
        <v>-1</v>
      </c>
      <c r="I1185" s="70" t="s">
        <v>6090</v>
      </c>
      <c r="J1185" s="26" t="s">
        <v>6088</v>
      </c>
      <c r="K1185" s="26" t="s">
        <v>6091</v>
      </c>
      <c r="M1185" s="76"/>
      <c r="N1185" s="76"/>
      <c r="O1185" s="76"/>
      <c r="P1185" s="76"/>
      <c r="Q1185" s="76"/>
      <c r="R1185" s="76"/>
      <c r="U1185" s="26" t="s">
        <v>6092</v>
      </c>
      <c r="Z1185" s="70"/>
      <c r="AA1185" s="70"/>
      <c r="AB1185" s="70"/>
      <c r="AC1185" s="70"/>
    </row>
    <row r="1186" spans="1:30" s="26" customFormat="1" x14ac:dyDescent="0.3">
      <c r="A1186" s="25" t="s">
        <v>6093</v>
      </c>
      <c r="B1186" s="25"/>
      <c r="C1186" s="26" t="s">
        <v>3005</v>
      </c>
      <c r="D1186" s="70"/>
      <c r="G1186" s="70" t="s">
        <v>1046</v>
      </c>
      <c r="H1186" s="26">
        <v>-1</v>
      </c>
      <c r="I1186" s="70" t="s">
        <v>6094</v>
      </c>
      <c r="J1186" s="26" t="s">
        <v>6095</v>
      </c>
      <c r="K1186" s="26" t="s">
        <v>6096</v>
      </c>
      <c r="M1186" s="76"/>
      <c r="N1186" s="76"/>
      <c r="O1186" s="76"/>
      <c r="P1186" s="76"/>
      <c r="Q1186" s="76"/>
      <c r="R1186" s="76"/>
      <c r="Z1186" s="70"/>
      <c r="AA1186" s="70"/>
      <c r="AB1186" s="70"/>
      <c r="AC1186" s="70"/>
    </row>
    <row r="1187" spans="1:30" s="26" customFormat="1" x14ac:dyDescent="0.3">
      <c r="A1187" s="25" t="s">
        <v>6097</v>
      </c>
      <c r="B1187" s="25"/>
      <c r="C1187" s="26" t="s">
        <v>3005</v>
      </c>
      <c r="D1187" s="70"/>
      <c r="G1187" s="70" t="s">
        <v>1046</v>
      </c>
      <c r="H1187" s="26">
        <v>-1</v>
      </c>
      <c r="I1187" s="70" t="s">
        <v>6098</v>
      </c>
      <c r="J1187" s="26" t="s">
        <v>6099</v>
      </c>
      <c r="K1187" s="26" t="s">
        <v>6100</v>
      </c>
      <c r="M1187" s="76"/>
      <c r="N1187" s="76"/>
      <c r="O1187" s="76"/>
      <c r="P1187" s="76"/>
      <c r="Q1187" s="76"/>
      <c r="R1187" s="76"/>
      <c r="Z1187" s="70"/>
      <c r="AA1187" s="70"/>
      <c r="AB1187" s="70"/>
      <c r="AC1187" s="70"/>
    </row>
    <row r="1188" spans="1:30" s="26" customFormat="1" x14ac:dyDescent="0.3">
      <c r="A1188" s="25" t="s">
        <v>6101</v>
      </c>
      <c r="B1188" s="25"/>
      <c r="C1188" s="26" t="s">
        <v>3005</v>
      </c>
      <c r="D1188" s="70"/>
      <c r="G1188" s="70" t="s">
        <v>1046</v>
      </c>
      <c r="H1188" s="26">
        <v>-1</v>
      </c>
      <c r="I1188" s="70" t="s">
        <v>6102</v>
      </c>
      <c r="J1188" s="26" t="s">
        <v>6103</v>
      </c>
      <c r="K1188" s="26" t="s">
        <v>3244</v>
      </c>
      <c r="M1188" s="76"/>
      <c r="N1188" s="76"/>
      <c r="O1188" s="76"/>
      <c r="P1188" s="76"/>
      <c r="Q1188" s="76"/>
      <c r="R1188" s="76"/>
      <c r="Z1188" s="70"/>
      <c r="AA1188" s="70"/>
      <c r="AB1188" s="70"/>
      <c r="AC1188" s="70"/>
    </row>
    <row r="1189" spans="1:30" s="26" customFormat="1" x14ac:dyDescent="0.3">
      <c r="A1189" s="25" t="s">
        <v>6104</v>
      </c>
      <c r="B1189" s="25"/>
      <c r="C1189" s="26" t="s">
        <v>3005</v>
      </c>
      <c r="D1189" s="70"/>
      <c r="G1189" s="70" t="s">
        <v>1046</v>
      </c>
      <c r="H1189" s="26">
        <v>-1</v>
      </c>
      <c r="I1189" s="70" t="s">
        <v>6105</v>
      </c>
      <c r="J1189" s="26" t="s">
        <v>6106</v>
      </c>
      <c r="K1189" s="26" t="s">
        <v>6107</v>
      </c>
      <c r="M1189" s="76"/>
      <c r="N1189" s="76"/>
      <c r="O1189" s="76"/>
      <c r="P1189" s="76"/>
      <c r="Q1189" s="76"/>
      <c r="R1189" s="76"/>
      <c r="Z1189" s="70"/>
      <c r="AA1189" s="70"/>
      <c r="AB1189" s="70"/>
      <c r="AC1189" s="70"/>
    </row>
    <row r="1190" spans="1:30" s="24" customFormat="1" x14ac:dyDescent="0.3">
      <c r="A1190" s="23">
        <v>350</v>
      </c>
      <c r="B1190" s="23">
        <v>346</v>
      </c>
      <c r="C1190" s="24" t="s">
        <v>2165</v>
      </c>
      <c r="D1190" s="69" t="s">
        <v>1025</v>
      </c>
      <c r="E1190" s="24" t="s">
        <v>1024</v>
      </c>
      <c r="F1190" s="24" t="s">
        <v>1048</v>
      </c>
      <c r="G1190" s="69" t="s">
        <v>1049</v>
      </c>
      <c r="H1190" s="24">
        <v>1</v>
      </c>
      <c r="I1190" s="69"/>
      <c r="J1190" s="24" t="s">
        <v>4187</v>
      </c>
      <c r="K1190" s="24" t="s">
        <v>43</v>
      </c>
      <c r="M1190" s="75" t="s">
        <v>15</v>
      </c>
      <c r="N1190" s="75"/>
      <c r="O1190" s="75"/>
      <c r="P1190" s="75"/>
      <c r="Q1190" s="75"/>
      <c r="R1190" s="75"/>
      <c r="Z1190" s="69"/>
      <c r="AA1190" s="69"/>
      <c r="AB1190" s="69"/>
      <c r="AC1190" s="69"/>
      <c r="AD1190" s="24" t="s">
        <v>123</v>
      </c>
    </row>
    <row r="1191" spans="1:30" s="26" customFormat="1" x14ac:dyDescent="0.3">
      <c r="A1191" s="25" t="s">
        <v>6108</v>
      </c>
      <c r="B1191" s="25"/>
      <c r="C1191" s="26" t="s">
        <v>3005</v>
      </c>
      <c r="D1191" s="70"/>
      <c r="G1191" s="70" t="s">
        <v>1049</v>
      </c>
      <c r="H1191" s="26">
        <v>-1</v>
      </c>
      <c r="I1191" s="70" t="s">
        <v>6109</v>
      </c>
      <c r="J1191" s="26" t="s">
        <v>6110</v>
      </c>
      <c r="K1191" s="26" t="s">
        <v>6111</v>
      </c>
      <c r="L1191" s="26" t="s">
        <v>10514</v>
      </c>
      <c r="M1191" s="76"/>
      <c r="N1191" s="76"/>
      <c r="O1191" s="76"/>
      <c r="P1191" s="76"/>
      <c r="Q1191" s="76"/>
      <c r="R1191" s="76"/>
      <c r="Z1191" s="70"/>
      <c r="AA1191" s="70"/>
      <c r="AB1191" s="70"/>
      <c r="AC1191" s="70"/>
    </row>
    <row r="1192" spans="1:30" s="26" customFormat="1" x14ac:dyDescent="0.3">
      <c r="A1192" s="25" t="s">
        <v>6112</v>
      </c>
      <c r="B1192" s="25"/>
      <c r="C1192" s="26" t="s">
        <v>3005</v>
      </c>
      <c r="D1192" s="70"/>
      <c r="G1192" s="70" t="s">
        <v>1049</v>
      </c>
      <c r="H1192" s="26">
        <v>-1</v>
      </c>
      <c r="I1192" s="70" t="s">
        <v>6113</v>
      </c>
      <c r="J1192" s="26" t="s">
        <v>6114</v>
      </c>
      <c r="K1192" s="26" t="s">
        <v>3715</v>
      </c>
      <c r="L1192" s="26" t="s">
        <v>10515</v>
      </c>
      <c r="M1192" s="76"/>
      <c r="N1192" s="76"/>
      <c r="O1192" s="76"/>
      <c r="P1192" s="76"/>
      <c r="Q1192" s="76"/>
      <c r="R1192" s="76"/>
      <c r="Z1192" s="70"/>
      <c r="AA1192" s="70"/>
      <c r="AB1192" s="70"/>
      <c r="AC1192" s="70"/>
    </row>
    <row r="1193" spans="1:30" s="26" customFormat="1" x14ac:dyDescent="0.3">
      <c r="A1193" s="25" t="s">
        <v>6115</v>
      </c>
      <c r="B1193" s="25"/>
      <c r="C1193" s="26" t="s">
        <v>3005</v>
      </c>
      <c r="D1193" s="70"/>
      <c r="G1193" s="70" t="s">
        <v>1049</v>
      </c>
      <c r="H1193" s="26">
        <v>-1</v>
      </c>
      <c r="I1193" s="70" t="s">
        <v>6116</v>
      </c>
      <c r="J1193" s="26" t="s">
        <v>6110</v>
      </c>
      <c r="K1193" s="26" t="s">
        <v>6117</v>
      </c>
      <c r="L1193" s="26" t="s">
        <v>10516</v>
      </c>
      <c r="M1193" s="76"/>
      <c r="N1193" s="76"/>
      <c r="O1193" s="76"/>
      <c r="P1193" s="76"/>
      <c r="Q1193" s="76"/>
      <c r="R1193" s="76"/>
      <c r="Z1193" s="70"/>
      <c r="AA1193" s="70"/>
      <c r="AB1193" s="70"/>
      <c r="AC1193" s="70"/>
    </row>
    <row r="1194" spans="1:30" s="26" customFormat="1" x14ac:dyDescent="0.3">
      <c r="A1194" s="25" t="s">
        <v>6118</v>
      </c>
      <c r="B1194" s="25"/>
      <c r="C1194" s="26" t="s">
        <v>3005</v>
      </c>
      <c r="D1194" s="70"/>
      <c r="G1194" s="70" t="s">
        <v>1049</v>
      </c>
      <c r="H1194" s="26">
        <v>-1</v>
      </c>
      <c r="I1194" s="70" t="s">
        <v>6119</v>
      </c>
      <c r="J1194" s="26" t="s">
        <v>6120</v>
      </c>
      <c r="K1194" s="26" t="s">
        <v>3750</v>
      </c>
      <c r="L1194" s="26" t="s">
        <v>10061</v>
      </c>
      <c r="M1194" s="76"/>
      <c r="N1194" s="76"/>
      <c r="O1194" s="76"/>
      <c r="P1194" s="76"/>
      <c r="Q1194" s="76"/>
      <c r="R1194" s="76"/>
      <c r="Z1194" s="70"/>
      <c r="AA1194" s="70"/>
      <c r="AB1194" s="70"/>
      <c r="AC1194" s="70"/>
    </row>
    <row r="1195" spans="1:30" s="26" customFormat="1" x14ac:dyDescent="0.3">
      <c r="A1195" s="25" t="s">
        <v>6121</v>
      </c>
      <c r="B1195" s="25"/>
      <c r="C1195" s="26" t="s">
        <v>3005</v>
      </c>
      <c r="D1195" s="70"/>
      <c r="G1195" s="70" t="s">
        <v>1049</v>
      </c>
      <c r="H1195" s="26">
        <v>2</v>
      </c>
      <c r="I1195" s="70" t="s">
        <v>6122</v>
      </c>
      <c r="J1195" s="26" t="s">
        <v>4187</v>
      </c>
      <c r="K1195" s="26" t="s">
        <v>6123</v>
      </c>
      <c r="L1195" s="26" t="s">
        <v>10517</v>
      </c>
      <c r="M1195" s="76"/>
      <c r="N1195" s="76"/>
      <c r="O1195" s="76"/>
      <c r="P1195" s="76"/>
      <c r="Q1195" s="76"/>
      <c r="R1195" s="76"/>
      <c r="Z1195" s="70"/>
      <c r="AA1195" s="70"/>
      <c r="AB1195" s="70"/>
      <c r="AC1195" s="70"/>
    </row>
    <row r="1196" spans="1:30" s="24" customFormat="1" x14ac:dyDescent="0.3">
      <c r="A1196" s="23">
        <v>351</v>
      </c>
      <c r="B1196" s="23">
        <v>347</v>
      </c>
      <c r="C1196" s="24" t="s">
        <v>2165</v>
      </c>
      <c r="D1196" s="69" t="s">
        <v>1025</v>
      </c>
      <c r="E1196" s="24" t="s">
        <v>1024</v>
      </c>
      <c r="F1196" s="24" t="s">
        <v>1050</v>
      </c>
      <c r="G1196" s="69" t="s">
        <v>1051</v>
      </c>
      <c r="I1196" s="69"/>
      <c r="J1196" s="24" t="s">
        <v>3016</v>
      </c>
      <c r="K1196" s="24" t="s">
        <v>1052</v>
      </c>
      <c r="M1196" s="75" t="s">
        <v>50</v>
      </c>
      <c r="N1196" s="75"/>
      <c r="O1196" s="75"/>
      <c r="P1196" s="75"/>
      <c r="Q1196" s="75"/>
      <c r="R1196" s="75"/>
      <c r="Z1196" s="69"/>
      <c r="AA1196" s="69"/>
      <c r="AB1196" s="69"/>
      <c r="AC1196" s="69"/>
    </row>
    <row r="1197" spans="1:30" s="26" customFormat="1" x14ac:dyDescent="0.3">
      <c r="A1197" s="25" t="s">
        <v>6124</v>
      </c>
      <c r="B1197" s="25"/>
      <c r="C1197" s="26" t="s">
        <v>3005</v>
      </c>
      <c r="D1197" s="70"/>
      <c r="G1197" s="70" t="s">
        <v>1051</v>
      </c>
      <c r="H1197" s="26">
        <v>-1</v>
      </c>
      <c r="I1197" s="70" t="s">
        <v>6125</v>
      </c>
      <c r="J1197" s="26" t="s">
        <v>3110</v>
      </c>
      <c r="K1197" s="26" t="s">
        <v>6126</v>
      </c>
      <c r="L1197" s="26" t="s">
        <v>10518</v>
      </c>
      <c r="M1197" s="76"/>
      <c r="N1197" s="76"/>
      <c r="O1197" s="76"/>
      <c r="P1197" s="76"/>
      <c r="Q1197" s="76"/>
      <c r="R1197" s="76"/>
      <c r="U1197" s="26" t="s">
        <v>6127</v>
      </c>
      <c r="Z1197" s="70"/>
      <c r="AA1197" s="70"/>
      <c r="AB1197" s="70"/>
      <c r="AC1197" s="70"/>
    </row>
    <row r="1198" spans="1:30" s="26" customFormat="1" x14ac:dyDescent="0.3">
      <c r="A1198" s="25" t="s">
        <v>6128</v>
      </c>
      <c r="B1198" s="25"/>
      <c r="C1198" s="26" t="s">
        <v>3005</v>
      </c>
      <c r="D1198" s="70"/>
      <c r="G1198" s="70" t="s">
        <v>1051</v>
      </c>
      <c r="H1198" s="26">
        <v>-1</v>
      </c>
      <c r="I1198" s="70" t="s">
        <v>6129</v>
      </c>
      <c r="J1198" s="26" t="s">
        <v>3016</v>
      </c>
      <c r="K1198" s="26" t="s">
        <v>6130</v>
      </c>
      <c r="L1198" s="26" t="s">
        <v>10519</v>
      </c>
      <c r="M1198" s="76"/>
      <c r="N1198" s="76"/>
      <c r="O1198" s="76"/>
      <c r="P1198" s="76"/>
      <c r="Q1198" s="76"/>
      <c r="R1198" s="76"/>
      <c r="Z1198" s="70"/>
      <c r="AA1198" s="70"/>
      <c r="AB1198" s="70"/>
      <c r="AC1198" s="70"/>
    </row>
    <row r="1199" spans="1:30" s="26" customFormat="1" x14ac:dyDescent="0.3">
      <c r="A1199" s="25" t="s">
        <v>6131</v>
      </c>
      <c r="B1199" s="25"/>
      <c r="C1199" s="26" t="s">
        <v>3005</v>
      </c>
      <c r="D1199" s="70"/>
      <c r="G1199" s="70" t="s">
        <v>1051</v>
      </c>
      <c r="H1199" s="26">
        <v>-1</v>
      </c>
      <c r="I1199" s="70" t="s">
        <v>4262</v>
      </c>
      <c r="J1199" s="26" t="s">
        <v>6132</v>
      </c>
      <c r="K1199" s="26" t="s">
        <v>6133</v>
      </c>
      <c r="L1199" s="26" t="s">
        <v>10520</v>
      </c>
      <c r="M1199" s="76"/>
      <c r="N1199" s="76"/>
      <c r="O1199" s="76"/>
      <c r="P1199" s="76"/>
      <c r="Q1199" s="76"/>
      <c r="R1199" s="76"/>
      <c r="U1199" s="26" t="s">
        <v>6134</v>
      </c>
      <c r="Z1199" s="70"/>
      <c r="AA1199" s="70"/>
      <c r="AB1199" s="70"/>
      <c r="AC1199" s="70"/>
    </row>
    <row r="1200" spans="1:30" s="26" customFormat="1" x14ac:dyDescent="0.3">
      <c r="A1200" s="25" t="s">
        <v>6135</v>
      </c>
      <c r="B1200" s="25"/>
      <c r="C1200" s="26" t="s">
        <v>3005</v>
      </c>
      <c r="D1200" s="70"/>
      <c r="G1200" s="70" t="s">
        <v>1051</v>
      </c>
      <c r="H1200" s="26">
        <v>-1</v>
      </c>
      <c r="I1200" s="70" t="s">
        <v>6136</v>
      </c>
      <c r="J1200" s="26" t="s">
        <v>6137</v>
      </c>
      <c r="K1200" s="26" t="s">
        <v>6138</v>
      </c>
      <c r="L1200" s="26" t="s">
        <v>10082</v>
      </c>
      <c r="M1200" s="76"/>
      <c r="N1200" s="76"/>
      <c r="O1200" s="76"/>
      <c r="P1200" s="76"/>
      <c r="Q1200" s="76"/>
      <c r="R1200" s="76"/>
      <c r="Z1200" s="70"/>
      <c r="AA1200" s="70"/>
      <c r="AB1200" s="70"/>
      <c r="AC1200" s="70"/>
    </row>
    <row r="1201" spans="1:31" s="26" customFormat="1" x14ac:dyDescent="0.3">
      <c r="A1201" s="25" t="s">
        <v>6139</v>
      </c>
      <c r="B1201" s="25"/>
      <c r="C1201" s="26" t="s">
        <v>3005</v>
      </c>
      <c r="D1201" s="70"/>
      <c r="G1201" s="70" t="s">
        <v>1051</v>
      </c>
      <c r="H1201" s="26">
        <v>-1</v>
      </c>
      <c r="I1201" s="70" t="s">
        <v>5972</v>
      </c>
      <c r="J1201" s="26" t="s">
        <v>6140</v>
      </c>
      <c r="K1201" s="26" t="s">
        <v>3453</v>
      </c>
      <c r="L1201" s="26" t="s">
        <v>10521</v>
      </c>
      <c r="M1201" s="76"/>
      <c r="N1201" s="76"/>
      <c r="O1201" s="76"/>
      <c r="P1201" s="76"/>
      <c r="Q1201" s="76"/>
      <c r="R1201" s="76"/>
      <c r="Z1201" s="70"/>
      <c r="AA1201" s="70"/>
      <c r="AB1201" s="70"/>
      <c r="AC1201" s="70"/>
    </row>
    <row r="1202" spans="1:31" s="26" customFormat="1" x14ac:dyDescent="0.3">
      <c r="A1202" s="25" t="s">
        <v>6141</v>
      </c>
      <c r="B1202" s="25"/>
      <c r="C1202" s="26" t="s">
        <v>3005</v>
      </c>
      <c r="D1202" s="70"/>
      <c r="G1202" s="70" t="s">
        <v>1051</v>
      </c>
      <c r="H1202" s="26">
        <v>-1</v>
      </c>
      <c r="I1202" s="70" t="s">
        <v>6142</v>
      </c>
      <c r="J1202" s="26" t="s">
        <v>6143</v>
      </c>
      <c r="K1202" s="26" t="s">
        <v>6144</v>
      </c>
      <c r="L1202" s="26" t="s">
        <v>10522</v>
      </c>
      <c r="M1202" s="76"/>
      <c r="N1202" s="76"/>
      <c r="O1202" s="76"/>
      <c r="P1202" s="76"/>
      <c r="Q1202" s="76"/>
      <c r="R1202" s="76"/>
      <c r="Z1202" s="70"/>
      <c r="AA1202" s="70"/>
      <c r="AB1202" s="70"/>
      <c r="AC1202" s="70"/>
    </row>
    <row r="1203" spans="1:31" s="26" customFormat="1" x14ac:dyDescent="0.3">
      <c r="A1203" s="25" t="s">
        <v>6145</v>
      </c>
      <c r="B1203" s="25"/>
      <c r="C1203" s="26" t="s">
        <v>3005</v>
      </c>
      <c r="D1203" s="70"/>
      <c r="G1203" s="70" t="s">
        <v>1051</v>
      </c>
      <c r="H1203" s="26">
        <v>-1</v>
      </c>
      <c r="I1203" s="70" t="s">
        <v>6146</v>
      </c>
      <c r="J1203" s="26" t="s">
        <v>6147</v>
      </c>
      <c r="K1203" s="26" t="s">
        <v>3363</v>
      </c>
      <c r="L1203" s="26" t="s">
        <v>10523</v>
      </c>
      <c r="M1203" s="76"/>
      <c r="N1203" s="76"/>
      <c r="O1203" s="76"/>
      <c r="P1203" s="76"/>
      <c r="Q1203" s="76"/>
      <c r="R1203" s="76"/>
      <c r="Z1203" s="70"/>
      <c r="AA1203" s="70"/>
      <c r="AB1203" s="70"/>
      <c r="AC1203" s="70"/>
    </row>
    <row r="1204" spans="1:31" s="24" customFormat="1" x14ac:dyDescent="0.3">
      <c r="A1204" s="23">
        <v>352</v>
      </c>
      <c r="B1204" s="23">
        <v>348</v>
      </c>
      <c r="C1204" s="24" t="s">
        <v>2165</v>
      </c>
      <c r="D1204" s="69" t="s">
        <v>1025</v>
      </c>
      <c r="E1204" s="24" t="s">
        <v>1024</v>
      </c>
      <c r="F1204" s="24" t="s">
        <v>1053</v>
      </c>
      <c r="G1204" s="69" t="s">
        <v>1054</v>
      </c>
      <c r="H1204" s="24">
        <v>1</v>
      </c>
      <c r="I1204" s="69"/>
      <c r="J1204" s="24" t="s">
        <v>3016</v>
      </c>
      <c r="K1204" s="24" t="s">
        <v>43</v>
      </c>
      <c r="M1204" s="75" t="s">
        <v>15</v>
      </c>
      <c r="N1204" s="75"/>
      <c r="O1204" s="75"/>
      <c r="P1204" s="75"/>
      <c r="Q1204" s="75"/>
      <c r="R1204" s="75"/>
      <c r="T1204" s="24" t="s">
        <v>2254</v>
      </c>
      <c r="V1204" s="24" t="s">
        <v>2594</v>
      </c>
      <c r="W1204" s="24" t="s">
        <v>2595</v>
      </c>
      <c r="Y1204" s="24" t="s">
        <v>2596</v>
      </c>
      <c r="Z1204" s="69" t="s">
        <v>2597</v>
      </c>
      <c r="AA1204" s="69"/>
      <c r="AB1204" s="69"/>
      <c r="AC1204" s="69"/>
      <c r="AE1204" s="24" t="s">
        <v>2598</v>
      </c>
    </row>
    <row r="1205" spans="1:31" s="26" customFormat="1" x14ac:dyDescent="0.3">
      <c r="A1205" s="25" t="s">
        <v>6148</v>
      </c>
      <c r="B1205" s="25"/>
      <c r="C1205" s="26" t="s">
        <v>3005</v>
      </c>
      <c r="D1205" s="70"/>
      <c r="G1205" s="70" t="s">
        <v>1054</v>
      </c>
      <c r="H1205" s="26">
        <v>-1</v>
      </c>
      <c r="I1205" s="70" t="s">
        <v>6149</v>
      </c>
      <c r="J1205" s="26" t="s">
        <v>3016</v>
      </c>
      <c r="K1205" s="26" t="s">
        <v>6150</v>
      </c>
      <c r="L1205" s="26" t="s">
        <v>10524</v>
      </c>
      <c r="M1205" s="76"/>
      <c r="N1205" s="76"/>
      <c r="O1205" s="76"/>
      <c r="P1205" s="76"/>
      <c r="Q1205" s="76"/>
      <c r="R1205" s="76"/>
      <c r="Z1205" s="70"/>
      <c r="AA1205" s="70"/>
      <c r="AB1205" s="70"/>
      <c r="AC1205" s="70"/>
    </row>
    <row r="1206" spans="1:31" s="26" customFormat="1" x14ac:dyDescent="0.3">
      <c r="A1206" s="25" t="s">
        <v>6151</v>
      </c>
      <c r="B1206" s="25"/>
      <c r="C1206" s="26" t="s">
        <v>3005</v>
      </c>
      <c r="D1206" s="70"/>
      <c r="G1206" s="70" t="s">
        <v>1054</v>
      </c>
      <c r="H1206" s="26">
        <v>-1</v>
      </c>
      <c r="I1206" s="70" t="s">
        <v>6152</v>
      </c>
      <c r="J1206" s="26" t="s">
        <v>3794</v>
      </c>
      <c r="K1206" s="26" t="s">
        <v>3904</v>
      </c>
      <c r="L1206" s="26" t="s">
        <v>10525</v>
      </c>
      <c r="M1206" s="76"/>
      <c r="N1206" s="76"/>
      <c r="O1206" s="76"/>
      <c r="P1206" s="76"/>
      <c r="Q1206" s="76"/>
      <c r="R1206" s="76"/>
      <c r="Z1206" s="70"/>
      <c r="AA1206" s="70"/>
      <c r="AB1206" s="70"/>
      <c r="AC1206" s="70"/>
    </row>
    <row r="1207" spans="1:31" s="26" customFormat="1" x14ac:dyDescent="0.3">
      <c r="A1207" s="25" t="s">
        <v>6153</v>
      </c>
      <c r="B1207" s="25"/>
      <c r="C1207" s="26" t="s">
        <v>3005</v>
      </c>
      <c r="D1207" s="70"/>
      <c r="G1207" s="70" t="s">
        <v>1054</v>
      </c>
      <c r="H1207" s="26">
        <v>2</v>
      </c>
      <c r="I1207" s="70" t="s">
        <v>6154</v>
      </c>
      <c r="J1207" s="26" t="s">
        <v>6155</v>
      </c>
      <c r="K1207" s="26" t="s">
        <v>6156</v>
      </c>
      <c r="L1207" s="26" t="s">
        <v>10526</v>
      </c>
      <c r="M1207" s="76"/>
      <c r="N1207" s="76"/>
      <c r="O1207" s="76"/>
      <c r="P1207" s="76"/>
      <c r="Q1207" s="76"/>
      <c r="R1207" s="76"/>
      <c r="Z1207" s="70"/>
      <c r="AA1207" s="70"/>
      <c r="AB1207" s="70"/>
      <c r="AC1207" s="70"/>
    </row>
    <row r="1208" spans="1:31" s="24" customFormat="1" x14ac:dyDescent="0.3">
      <c r="A1208" s="23">
        <v>353</v>
      </c>
      <c r="B1208" s="23">
        <v>349</v>
      </c>
      <c r="C1208" s="24" t="s">
        <v>2165</v>
      </c>
      <c r="D1208" s="69" t="s">
        <v>1025</v>
      </c>
      <c r="E1208" s="24" t="s">
        <v>1024</v>
      </c>
      <c r="F1208" s="24" t="s">
        <v>1055</v>
      </c>
      <c r="G1208" s="69" t="s">
        <v>1056</v>
      </c>
      <c r="H1208" s="24">
        <v>3</v>
      </c>
      <c r="I1208" s="69"/>
      <c r="J1208" s="24" t="s">
        <v>6157</v>
      </c>
      <c r="K1208" s="24" t="s">
        <v>68</v>
      </c>
      <c r="M1208" s="75" t="s">
        <v>65</v>
      </c>
      <c r="N1208" s="75" t="s">
        <v>2015</v>
      </c>
      <c r="O1208" s="75" t="s">
        <v>66</v>
      </c>
      <c r="P1208" s="75" t="s">
        <v>66</v>
      </c>
      <c r="Q1208" s="75" t="s">
        <v>66</v>
      </c>
      <c r="R1208" s="75"/>
      <c r="V1208" s="24" t="s">
        <v>2599</v>
      </c>
      <c r="W1208" s="24" t="s">
        <v>2599</v>
      </c>
      <c r="Y1208" s="24" t="s">
        <v>2600</v>
      </c>
      <c r="Z1208" s="69"/>
      <c r="AA1208" s="69"/>
      <c r="AB1208" s="69"/>
      <c r="AC1208" s="69"/>
    </row>
    <row r="1209" spans="1:31" s="26" customFormat="1" x14ac:dyDescent="0.3">
      <c r="A1209" s="25" t="s">
        <v>6158</v>
      </c>
      <c r="B1209" s="25"/>
      <c r="C1209" s="26" t="s">
        <v>3005</v>
      </c>
      <c r="D1209" s="70"/>
      <c r="G1209" s="70" t="s">
        <v>1056</v>
      </c>
      <c r="H1209" s="26">
        <v>1</v>
      </c>
      <c r="I1209" s="70" t="s">
        <v>6159</v>
      </c>
      <c r="J1209" s="26" t="s">
        <v>6157</v>
      </c>
      <c r="K1209" s="26" t="s">
        <v>6160</v>
      </c>
      <c r="M1209" s="76"/>
      <c r="N1209" s="76"/>
      <c r="O1209" s="76"/>
      <c r="P1209" s="76"/>
      <c r="Q1209" s="76"/>
      <c r="R1209" s="76"/>
      <c r="Z1209" s="70"/>
      <c r="AA1209" s="70"/>
      <c r="AB1209" s="70"/>
      <c r="AC1209" s="70"/>
    </row>
    <row r="1210" spans="1:31" s="26" customFormat="1" x14ac:dyDescent="0.3">
      <c r="A1210" s="25" t="s">
        <v>6161</v>
      </c>
      <c r="B1210" s="25"/>
      <c r="C1210" s="26" t="s">
        <v>3005</v>
      </c>
      <c r="D1210" s="70"/>
      <c r="G1210" s="70" t="s">
        <v>1056</v>
      </c>
      <c r="H1210" s="26">
        <v>1</v>
      </c>
      <c r="I1210" s="70" t="s">
        <v>6162</v>
      </c>
      <c r="J1210" s="26" t="s">
        <v>5942</v>
      </c>
      <c r="K1210" s="26" t="s">
        <v>6163</v>
      </c>
      <c r="M1210" s="76"/>
      <c r="N1210" s="76"/>
      <c r="O1210" s="76"/>
      <c r="P1210" s="76"/>
      <c r="Q1210" s="76"/>
      <c r="R1210" s="76"/>
      <c r="Z1210" s="70"/>
      <c r="AA1210" s="70"/>
      <c r="AB1210" s="70"/>
      <c r="AC1210" s="70"/>
    </row>
    <row r="1211" spans="1:31" s="26" customFormat="1" x14ac:dyDescent="0.3">
      <c r="A1211" s="25" t="s">
        <v>6164</v>
      </c>
      <c r="B1211" s="25"/>
      <c r="C1211" s="26" t="s">
        <v>3005</v>
      </c>
      <c r="D1211" s="70"/>
      <c r="G1211" s="70" t="s">
        <v>1056</v>
      </c>
      <c r="H1211" s="26">
        <v>1</v>
      </c>
      <c r="I1211" s="70" t="s">
        <v>5230</v>
      </c>
      <c r="J1211" s="26" t="s">
        <v>5942</v>
      </c>
      <c r="K1211" s="26" t="s">
        <v>6165</v>
      </c>
      <c r="M1211" s="76"/>
      <c r="N1211" s="76"/>
      <c r="O1211" s="76"/>
      <c r="P1211" s="76"/>
      <c r="Q1211" s="76"/>
      <c r="R1211" s="76"/>
      <c r="Y1211" s="26" t="s">
        <v>6166</v>
      </c>
      <c r="Z1211" s="70"/>
      <c r="AA1211" s="70"/>
      <c r="AB1211" s="70" t="s">
        <v>6167</v>
      </c>
      <c r="AC1211" s="70"/>
    </row>
    <row r="1212" spans="1:31" s="24" customFormat="1" x14ac:dyDescent="0.3">
      <c r="A1212" s="23">
        <v>354</v>
      </c>
      <c r="B1212" s="23">
        <v>350</v>
      </c>
      <c r="C1212" s="24" t="s">
        <v>2165</v>
      </c>
      <c r="D1212" s="69" t="s">
        <v>1025</v>
      </c>
      <c r="E1212" s="24" t="s">
        <v>1024</v>
      </c>
      <c r="F1212" s="24" t="s">
        <v>1057</v>
      </c>
      <c r="G1212" s="69" t="s">
        <v>1058</v>
      </c>
      <c r="I1212" s="69"/>
      <c r="J1212" s="24" t="s">
        <v>6168</v>
      </c>
      <c r="K1212" s="24" t="s">
        <v>1059</v>
      </c>
      <c r="L1212" s="24" t="s">
        <v>9807</v>
      </c>
      <c r="M1212" s="75" t="s">
        <v>65</v>
      </c>
      <c r="N1212" s="75" t="s">
        <v>2015</v>
      </c>
      <c r="O1212" s="75"/>
      <c r="P1212" s="75"/>
      <c r="Q1212" s="75" t="s">
        <v>130</v>
      </c>
      <c r="R1212" s="75"/>
      <c r="T1212" s="24" t="s">
        <v>2179</v>
      </c>
      <c r="V1212" s="24" t="s">
        <v>2601</v>
      </c>
      <c r="W1212" s="24" t="s">
        <v>2602</v>
      </c>
      <c r="Y1212" s="24" t="s">
        <v>2603</v>
      </c>
      <c r="Z1212" s="69"/>
      <c r="AA1212" s="69"/>
      <c r="AB1212" s="69"/>
      <c r="AC1212" s="69"/>
      <c r="AE1212" s="24" t="s">
        <v>2604</v>
      </c>
    </row>
    <row r="1213" spans="1:31" s="24" customFormat="1" x14ac:dyDescent="0.3">
      <c r="A1213" s="23">
        <v>355</v>
      </c>
      <c r="B1213" s="23">
        <v>351</v>
      </c>
      <c r="C1213" s="24" t="s">
        <v>2165</v>
      </c>
      <c r="D1213" s="69" t="s">
        <v>1025</v>
      </c>
      <c r="E1213" s="24" t="s">
        <v>1024</v>
      </c>
      <c r="F1213" s="24" t="s">
        <v>1060</v>
      </c>
      <c r="G1213" s="69" t="s">
        <v>1061</v>
      </c>
      <c r="H1213" s="24">
        <v>2</v>
      </c>
      <c r="I1213" s="69"/>
      <c r="J1213" s="24" t="s">
        <v>6169</v>
      </c>
      <c r="K1213" s="24" t="s">
        <v>68</v>
      </c>
      <c r="M1213" s="75" t="s">
        <v>65</v>
      </c>
      <c r="N1213" s="75" t="s">
        <v>2015</v>
      </c>
      <c r="O1213" s="75"/>
      <c r="P1213" s="75"/>
      <c r="Q1213" s="75" t="s">
        <v>85</v>
      </c>
      <c r="R1213" s="75"/>
      <c r="T1213" s="24" t="s">
        <v>2330</v>
      </c>
      <c r="Y1213" s="24" t="s">
        <v>2605</v>
      </c>
      <c r="Z1213" s="69"/>
      <c r="AA1213" s="69"/>
      <c r="AB1213" s="69"/>
      <c r="AC1213" s="69" t="s">
        <v>11397</v>
      </c>
      <c r="AE1213" s="24" t="s">
        <v>2606</v>
      </c>
    </row>
    <row r="1214" spans="1:31" s="26" customFormat="1" x14ac:dyDescent="0.3">
      <c r="A1214" s="25" t="s">
        <v>6170</v>
      </c>
      <c r="B1214" s="25"/>
      <c r="C1214" s="26" t="s">
        <v>3005</v>
      </c>
      <c r="D1214" s="70"/>
      <c r="G1214" s="70" t="s">
        <v>1061</v>
      </c>
      <c r="H1214" s="26">
        <v>1</v>
      </c>
      <c r="I1214" s="70" t="s">
        <v>6171</v>
      </c>
      <c r="J1214" s="26" t="s">
        <v>6169</v>
      </c>
      <c r="K1214" s="26" t="s">
        <v>6172</v>
      </c>
      <c r="M1214" s="76"/>
      <c r="N1214" s="76"/>
      <c r="O1214" s="76"/>
      <c r="P1214" s="76"/>
      <c r="Q1214" s="76"/>
      <c r="R1214" s="76"/>
      <c r="Z1214" s="70"/>
      <c r="AA1214" s="70"/>
      <c r="AB1214" s="70"/>
      <c r="AC1214" s="70"/>
    </row>
    <row r="1215" spans="1:31" s="26" customFormat="1" x14ac:dyDescent="0.3">
      <c r="A1215" s="25" t="s">
        <v>6173</v>
      </c>
      <c r="B1215" s="25"/>
      <c r="C1215" s="26" t="s">
        <v>3005</v>
      </c>
      <c r="D1215" s="70"/>
      <c r="G1215" s="70" t="s">
        <v>1061</v>
      </c>
      <c r="H1215" s="26">
        <v>1</v>
      </c>
      <c r="I1215" s="70" t="s">
        <v>6174</v>
      </c>
      <c r="J1215" s="26" t="s">
        <v>5274</v>
      </c>
      <c r="K1215" s="26" t="s">
        <v>6175</v>
      </c>
      <c r="M1215" s="76"/>
      <c r="N1215" s="76"/>
      <c r="O1215" s="76"/>
      <c r="P1215" s="76"/>
      <c r="Q1215" s="76"/>
      <c r="R1215" s="76"/>
      <c r="Y1215" s="26" t="s">
        <v>6176</v>
      </c>
      <c r="Z1215" s="70"/>
      <c r="AA1215" s="70"/>
      <c r="AB1215" s="70" t="s">
        <v>6177</v>
      </c>
      <c r="AC1215" s="70"/>
    </row>
    <row r="1216" spans="1:31" s="24" customFormat="1" x14ac:dyDescent="0.3">
      <c r="A1216" s="23">
        <v>356</v>
      </c>
      <c r="B1216" s="23">
        <v>352</v>
      </c>
      <c r="C1216" s="24" t="s">
        <v>2165</v>
      </c>
      <c r="D1216" s="69" t="s">
        <v>1025</v>
      </c>
      <c r="E1216" s="24" t="s">
        <v>1024</v>
      </c>
      <c r="F1216" s="24" t="s">
        <v>1062</v>
      </c>
      <c r="G1216" s="69" t="s">
        <v>1063</v>
      </c>
      <c r="I1216" s="69"/>
      <c r="J1216" s="24" t="s">
        <v>5181</v>
      </c>
      <c r="K1216" s="24" t="s">
        <v>1064</v>
      </c>
      <c r="L1216" s="24" t="s">
        <v>9808</v>
      </c>
      <c r="M1216" s="75" t="s">
        <v>65</v>
      </c>
      <c r="N1216" s="75" t="s">
        <v>2020</v>
      </c>
      <c r="O1216" s="75" t="s">
        <v>58</v>
      </c>
      <c r="P1216" s="75" t="s">
        <v>58</v>
      </c>
      <c r="Q1216" s="75" t="s">
        <v>66</v>
      </c>
      <c r="R1216" s="75"/>
      <c r="V1216" s="24" t="s">
        <v>2607</v>
      </c>
      <c r="W1216" s="24" t="s">
        <v>2608</v>
      </c>
      <c r="Z1216" s="69"/>
      <c r="AA1216" s="69"/>
      <c r="AB1216" s="69"/>
      <c r="AC1216" s="69"/>
    </row>
    <row r="1217" spans="1:31" s="24" customFormat="1" x14ac:dyDescent="0.3">
      <c r="A1217" s="23">
        <v>357</v>
      </c>
      <c r="B1217" s="23">
        <v>353</v>
      </c>
      <c r="C1217" s="24" t="s">
        <v>2165</v>
      </c>
      <c r="D1217" s="69" t="s">
        <v>1025</v>
      </c>
      <c r="E1217" s="24" t="s">
        <v>1024</v>
      </c>
      <c r="F1217" s="24" t="s">
        <v>1065</v>
      </c>
      <c r="G1217" s="69" t="s">
        <v>1066</v>
      </c>
      <c r="I1217" s="69"/>
      <c r="J1217" s="24" t="s">
        <v>5942</v>
      </c>
      <c r="K1217" s="24" t="s">
        <v>1067</v>
      </c>
      <c r="L1217" s="24" t="s">
        <v>9809</v>
      </c>
      <c r="M1217" s="75" t="s">
        <v>65</v>
      </c>
      <c r="N1217" s="75" t="s">
        <v>2020</v>
      </c>
      <c r="O1217" s="75" t="s">
        <v>58</v>
      </c>
      <c r="P1217" s="75" t="s">
        <v>58</v>
      </c>
      <c r="Q1217" s="75" t="s">
        <v>66</v>
      </c>
      <c r="R1217" s="75"/>
      <c r="T1217" s="24" t="s">
        <v>2179</v>
      </c>
      <c r="V1217" s="24" t="s">
        <v>2607</v>
      </c>
      <c r="W1217" s="24" t="s">
        <v>2609</v>
      </c>
      <c r="Z1217" s="69" t="s">
        <v>2610</v>
      </c>
      <c r="AA1217" s="69"/>
      <c r="AB1217" s="69"/>
      <c r="AC1217" s="69" t="s">
        <v>11398</v>
      </c>
      <c r="AE1217" s="24" t="s">
        <v>2611</v>
      </c>
    </row>
    <row r="1218" spans="1:31" s="24" customFormat="1" x14ac:dyDescent="0.3">
      <c r="A1218" s="23">
        <v>358</v>
      </c>
      <c r="B1218" s="23">
        <v>354</v>
      </c>
      <c r="C1218" s="24" t="s">
        <v>2165</v>
      </c>
      <c r="D1218" s="69" t="s">
        <v>1069</v>
      </c>
      <c r="E1218" s="24" t="s">
        <v>1068</v>
      </c>
      <c r="F1218" s="24" t="s">
        <v>1070</v>
      </c>
      <c r="G1218" s="69" t="s">
        <v>1071</v>
      </c>
      <c r="I1218" s="69"/>
      <c r="J1218" s="24" t="s">
        <v>6178</v>
      </c>
      <c r="K1218" s="24" t="s">
        <v>1072</v>
      </c>
      <c r="L1218" s="24" t="s">
        <v>9810</v>
      </c>
      <c r="M1218" s="75" t="s">
        <v>15</v>
      </c>
      <c r="N1218" s="75"/>
      <c r="O1218" s="75"/>
      <c r="P1218" s="75"/>
      <c r="Q1218" s="75"/>
      <c r="R1218" s="75"/>
      <c r="T1218" s="24" t="s">
        <v>2200</v>
      </c>
      <c r="U1218" s="24" t="s">
        <v>2612</v>
      </c>
      <c r="Z1218" s="69"/>
      <c r="AA1218" s="69"/>
      <c r="AB1218" s="69"/>
      <c r="AC1218" s="69"/>
      <c r="AE1218" s="24" t="s">
        <v>2613</v>
      </c>
    </row>
    <row r="1219" spans="1:31" s="24" customFormat="1" x14ac:dyDescent="0.3">
      <c r="A1219" s="23">
        <v>359</v>
      </c>
      <c r="B1219" s="23">
        <v>355</v>
      </c>
      <c r="C1219" s="24" t="s">
        <v>2165</v>
      </c>
      <c r="D1219" s="69" t="s">
        <v>1069</v>
      </c>
      <c r="E1219" s="24" t="s">
        <v>1068</v>
      </c>
      <c r="F1219" s="24" t="s">
        <v>1073</v>
      </c>
      <c r="G1219" s="69" t="s">
        <v>1074</v>
      </c>
      <c r="H1219" s="24">
        <v>1</v>
      </c>
      <c r="I1219" s="69"/>
      <c r="J1219" s="24" t="s">
        <v>3110</v>
      </c>
      <c r="K1219" s="24" t="s">
        <v>1075</v>
      </c>
      <c r="L1219" s="24" t="s">
        <v>9811</v>
      </c>
      <c r="M1219" s="75" t="s">
        <v>15</v>
      </c>
      <c r="N1219" s="75"/>
      <c r="O1219" s="75"/>
      <c r="P1219" s="75"/>
      <c r="Q1219" s="75"/>
      <c r="R1219" s="75"/>
      <c r="Y1219" s="24" t="s">
        <v>2614</v>
      </c>
      <c r="Z1219" s="69"/>
      <c r="AA1219" s="69"/>
      <c r="AB1219" s="69" t="s">
        <v>2615</v>
      </c>
      <c r="AC1219" s="69"/>
    </row>
    <row r="1220" spans="1:31" s="26" customFormat="1" x14ac:dyDescent="0.3">
      <c r="A1220" s="25" t="s">
        <v>6179</v>
      </c>
      <c r="B1220" s="25"/>
      <c r="C1220" s="26" t="s">
        <v>3005</v>
      </c>
      <c r="D1220" s="70"/>
      <c r="G1220" s="70" t="s">
        <v>1074</v>
      </c>
      <c r="H1220" s="26">
        <v>-1</v>
      </c>
      <c r="I1220" s="70" t="s">
        <v>5300</v>
      </c>
      <c r="J1220" s="26" t="s">
        <v>3110</v>
      </c>
      <c r="K1220" s="26" t="s">
        <v>6180</v>
      </c>
      <c r="M1220" s="76"/>
      <c r="N1220" s="76"/>
      <c r="O1220" s="76"/>
      <c r="P1220" s="76"/>
      <c r="Q1220" s="76"/>
      <c r="R1220" s="76"/>
      <c r="Z1220" s="70"/>
      <c r="AA1220" s="70"/>
      <c r="AB1220" s="70"/>
      <c r="AC1220" s="70"/>
    </row>
    <row r="1221" spans="1:31" s="26" customFormat="1" x14ac:dyDescent="0.3">
      <c r="A1221" s="25" t="s">
        <v>6181</v>
      </c>
      <c r="B1221" s="25"/>
      <c r="C1221" s="26" t="s">
        <v>3005</v>
      </c>
      <c r="D1221" s="70"/>
      <c r="G1221" s="70" t="s">
        <v>1074</v>
      </c>
      <c r="H1221" s="26">
        <v>2</v>
      </c>
      <c r="I1221" s="70" t="s">
        <v>4682</v>
      </c>
      <c r="J1221" s="26" t="s">
        <v>6182</v>
      </c>
      <c r="K1221" s="26" t="s">
        <v>2015</v>
      </c>
      <c r="M1221" s="76"/>
      <c r="N1221" s="76"/>
      <c r="O1221" s="76"/>
      <c r="P1221" s="76"/>
      <c r="Q1221" s="76"/>
      <c r="R1221" s="76"/>
      <c r="T1221" s="26" t="s">
        <v>2254</v>
      </c>
      <c r="Y1221" s="26" t="s">
        <v>2614</v>
      </c>
      <c r="Z1221" s="70"/>
      <c r="AA1221" s="70"/>
      <c r="AB1221" s="70" t="s">
        <v>2615</v>
      </c>
      <c r="AC1221" s="70"/>
      <c r="AE1221" s="26" t="s">
        <v>6183</v>
      </c>
    </row>
    <row r="1222" spans="1:31" s="24" customFormat="1" x14ac:dyDescent="0.3">
      <c r="A1222" s="23">
        <v>360</v>
      </c>
      <c r="B1222" s="23">
        <v>356</v>
      </c>
      <c r="C1222" s="24" t="s">
        <v>2165</v>
      </c>
      <c r="D1222" s="69" t="s">
        <v>1077</v>
      </c>
      <c r="E1222" s="24" t="s">
        <v>1076</v>
      </c>
      <c r="F1222" s="24" t="s">
        <v>1078</v>
      </c>
      <c r="G1222" s="69" t="s">
        <v>1079</v>
      </c>
      <c r="I1222" s="69"/>
      <c r="J1222" s="24" t="s">
        <v>3110</v>
      </c>
      <c r="K1222" s="24" t="s">
        <v>488</v>
      </c>
      <c r="M1222" s="75" t="s">
        <v>19</v>
      </c>
      <c r="N1222" s="75"/>
      <c r="O1222" s="75"/>
      <c r="P1222" s="75"/>
      <c r="Q1222" s="75"/>
      <c r="R1222" s="75" t="s">
        <v>2166</v>
      </c>
      <c r="V1222" s="24" t="s">
        <v>2616</v>
      </c>
      <c r="Y1222" s="24" t="s">
        <v>2617</v>
      </c>
      <c r="Z1222" s="69"/>
      <c r="AA1222" s="69"/>
      <c r="AB1222" s="69"/>
      <c r="AC1222" s="69"/>
    </row>
    <row r="1223" spans="1:31" s="26" customFormat="1" x14ac:dyDescent="0.3">
      <c r="A1223" s="25" t="s">
        <v>6184</v>
      </c>
      <c r="B1223" s="25"/>
      <c r="C1223" s="26" t="s">
        <v>3005</v>
      </c>
      <c r="D1223" s="70"/>
      <c r="G1223" s="70" t="s">
        <v>1079</v>
      </c>
      <c r="H1223" s="26">
        <v>-1</v>
      </c>
      <c r="I1223" s="70" t="s">
        <v>6185</v>
      </c>
      <c r="J1223" s="26" t="s">
        <v>3110</v>
      </c>
      <c r="K1223" s="26" t="s">
        <v>6186</v>
      </c>
      <c r="L1223" s="26" t="s">
        <v>10527</v>
      </c>
      <c r="M1223" s="76"/>
      <c r="N1223" s="76"/>
      <c r="O1223" s="76"/>
      <c r="P1223" s="76"/>
      <c r="Q1223" s="76"/>
      <c r="R1223" s="76"/>
      <c r="Z1223" s="70"/>
      <c r="AA1223" s="70"/>
      <c r="AB1223" s="70"/>
      <c r="AC1223" s="70"/>
    </row>
    <row r="1224" spans="1:31" s="26" customFormat="1" x14ac:dyDescent="0.3">
      <c r="A1224" s="25" t="s">
        <v>6187</v>
      </c>
      <c r="B1224" s="25"/>
      <c r="C1224" s="26" t="s">
        <v>3005</v>
      </c>
      <c r="D1224" s="70"/>
      <c r="G1224" s="70" t="s">
        <v>1079</v>
      </c>
      <c r="H1224" s="26">
        <v>-1</v>
      </c>
      <c r="I1224" s="70" t="s">
        <v>3713</v>
      </c>
      <c r="J1224" s="26" t="s">
        <v>6188</v>
      </c>
      <c r="K1224" s="26" t="s">
        <v>6189</v>
      </c>
      <c r="L1224" s="26" t="s">
        <v>10528</v>
      </c>
      <c r="M1224" s="76"/>
      <c r="N1224" s="76"/>
      <c r="O1224" s="76"/>
      <c r="P1224" s="76"/>
      <c r="Q1224" s="76"/>
      <c r="R1224" s="76"/>
      <c r="Z1224" s="70"/>
      <c r="AA1224" s="70"/>
      <c r="AB1224" s="70"/>
      <c r="AC1224" s="70"/>
    </row>
    <row r="1225" spans="1:31" s="26" customFormat="1" x14ac:dyDescent="0.3">
      <c r="A1225" s="25" t="s">
        <v>6190</v>
      </c>
      <c r="B1225" s="25"/>
      <c r="C1225" s="26" t="s">
        <v>3005</v>
      </c>
      <c r="D1225" s="70"/>
      <c r="G1225" s="70" t="s">
        <v>1079</v>
      </c>
      <c r="H1225" s="26">
        <v>-1</v>
      </c>
      <c r="I1225" s="70" t="s">
        <v>6191</v>
      </c>
      <c r="J1225" s="26" t="s">
        <v>6192</v>
      </c>
      <c r="K1225" s="26" t="s">
        <v>6193</v>
      </c>
      <c r="L1225" s="26" t="s">
        <v>10529</v>
      </c>
      <c r="M1225" s="76"/>
      <c r="N1225" s="76"/>
      <c r="O1225" s="76"/>
      <c r="P1225" s="76"/>
      <c r="Q1225" s="76"/>
      <c r="R1225" s="76"/>
      <c r="Z1225" s="70"/>
      <c r="AA1225" s="70"/>
      <c r="AB1225" s="70"/>
      <c r="AC1225" s="70"/>
    </row>
    <row r="1226" spans="1:31" s="26" customFormat="1" x14ac:dyDescent="0.3">
      <c r="A1226" s="25" t="s">
        <v>6194</v>
      </c>
      <c r="B1226" s="25"/>
      <c r="C1226" s="26" t="s">
        <v>3005</v>
      </c>
      <c r="D1226" s="70"/>
      <c r="G1226" s="70" t="s">
        <v>1079</v>
      </c>
      <c r="H1226" s="26">
        <v>-1</v>
      </c>
      <c r="I1226" s="70" t="s">
        <v>5296</v>
      </c>
      <c r="J1226" s="26" t="s">
        <v>6195</v>
      </c>
      <c r="K1226" s="26" t="s">
        <v>6196</v>
      </c>
      <c r="L1226" s="26" t="s">
        <v>10530</v>
      </c>
      <c r="M1226" s="76"/>
      <c r="N1226" s="76"/>
      <c r="O1226" s="76"/>
      <c r="P1226" s="76"/>
      <c r="Q1226" s="76"/>
      <c r="R1226" s="76"/>
      <c r="Z1226" s="70"/>
      <c r="AA1226" s="70"/>
      <c r="AB1226" s="70"/>
      <c r="AC1226" s="70"/>
    </row>
    <row r="1227" spans="1:31" s="26" customFormat="1" x14ac:dyDescent="0.3">
      <c r="A1227" s="25" t="s">
        <v>6197</v>
      </c>
      <c r="B1227" s="25"/>
      <c r="C1227" s="26" t="s">
        <v>3005</v>
      </c>
      <c r="D1227" s="70"/>
      <c r="G1227" s="70" t="s">
        <v>1079</v>
      </c>
      <c r="H1227" s="26">
        <v>-1</v>
      </c>
      <c r="I1227" s="70" t="s">
        <v>6198</v>
      </c>
      <c r="J1227" s="26" t="s">
        <v>6199</v>
      </c>
      <c r="K1227" s="26" t="s">
        <v>6200</v>
      </c>
      <c r="L1227" s="26" t="s">
        <v>10531</v>
      </c>
      <c r="M1227" s="76"/>
      <c r="N1227" s="76"/>
      <c r="O1227" s="76"/>
      <c r="P1227" s="76"/>
      <c r="Q1227" s="76"/>
      <c r="R1227" s="76"/>
      <c r="Z1227" s="70"/>
      <c r="AA1227" s="70"/>
      <c r="AB1227" s="70"/>
      <c r="AC1227" s="70"/>
    </row>
    <row r="1228" spans="1:31" s="26" customFormat="1" x14ac:dyDescent="0.3">
      <c r="A1228" s="25" t="s">
        <v>6201</v>
      </c>
      <c r="B1228" s="25"/>
      <c r="C1228" s="26" t="s">
        <v>3005</v>
      </c>
      <c r="D1228" s="70"/>
      <c r="G1228" s="70" t="s">
        <v>1079</v>
      </c>
      <c r="H1228" s="26">
        <v>-1</v>
      </c>
      <c r="I1228" s="70" t="s">
        <v>6202</v>
      </c>
      <c r="J1228" s="26" t="s">
        <v>6203</v>
      </c>
      <c r="K1228" s="26" t="s">
        <v>6204</v>
      </c>
      <c r="L1228" s="26" t="s">
        <v>10532</v>
      </c>
      <c r="M1228" s="76"/>
      <c r="N1228" s="76"/>
      <c r="O1228" s="76"/>
      <c r="P1228" s="76"/>
      <c r="Q1228" s="76"/>
      <c r="R1228" s="76"/>
      <c r="Z1228" s="70"/>
      <c r="AA1228" s="70"/>
      <c r="AB1228" s="70"/>
      <c r="AC1228" s="70"/>
    </row>
    <row r="1229" spans="1:31" s="24" customFormat="1" x14ac:dyDescent="0.3">
      <c r="A1229" s="23">
        <v>361</v>
      </c>
      <c r="B1229" s="23">
        <v>357</v>
      </c>
      <c r="C1229" s="24" t="s">
        <v>2165</v>
      </c>
      <c r="D1229" s="69" t="s">
        <v>1081</v>
      </c>
      <c r="E1229" s="24" t="s">
        <v>1080</v>
      </c>
      <c r="F1229" s="24" t="s">
        <v>1082</v>
      </c>
      <c r="G1229" s="69" t="s">
        <v>1083</v>
      </c>
      <c r="H1229" s="24">
        <v>3</v>
      </c>
      <c r="I1229" s="69"/>
      <c r="J1229" s="24" t="s">
        <v>3509</v>
      </c>
      <c r="K1229" s="24" t="s">
        <v>68</v>
      </c>
      <c r="M1229" s="75" t="s">
        <v>65</v>
      </c>
      <c r="N1229" s="75" t="s">
        <v>2015</v>
      </c>
      <c r="O1229" s="75" t="s">
        <v>66</v>
      </c>
      <c r="P1229" s="75" t="s">
        <v>66</v>
      </c>
      <c r="Q1229" s="75" t="s">
        <v>67</v>
      </c>
      <c r="R1229" s="75"/>
      <c r="Y1229" s="24" t="s">
        <v>2618</v>
      </c>
      <c r="Z1229" s="69"/>
      <c r="AA1229" s="69"/>
      <c r="AB1229" s="69"/>
      <c r="AC1229" s="69"/>
    </row>
    <row r="1230" spans="1:31" s="26" customFormat="1" x14ac:dyDescent="0.3">
      <c r="A1230" s="25" t="s">
        <v>6205</v>
      </c>
      <c r="B1230" s="25"/>
      <c r="C1230" s="26" t="s">
        <v>3005</v>
      </c>
      <c r="D1230" s="70"/>
      <c r="G1230" s="70" t="s">
        <v>1083</v>
      </c>
      <c r="H1230" s="26">
        <v>1</v>
      </c>
      <c r="I1230" s="70" t="s">
        <v>6206</v>
      </c>
      <c r="J1230" s="26" t="s">
        <v>3509</v>
      </c>
      <c r="K1230" s="26" t="s">
        <v>6207</v>
      </c>
      <c r="M1230" s="76"/>
      <c r="N1230" s="76"/>
      <c r="O1230" s="76"/>
      <c r="P1230" s="76"/>
      <c r="Q1230" s="76"/>
      <c r="R1230" s="76"/>
      <c r="Z1230" s="70"/>
      <c r="AA1230" s="70"/>
      <c r="AB1230" s="70"/>
      <c r="AC1230" s="70"/>
    </row>
    <row r="1231" spans="1:31" s="26" customFormat="1" x14ac:dyDescent="0.3">
      <c r="A1231" s="25" t="s">
        <v>6208</v>
      </c>
      <c r="B1231" s="25"/>
      <c r="C1231" s="26" t="s">
        <v>3005</v>
      </c>
      <c r="D1231" s="70"/>
      <c r="G1231" s="70" t="s">
        <v>1083</v>
      </c>
      <c r="H1231" s="26">
        <v>1</v>
      </c>
      <c r="I1231" s="70" t="s">
        <v>6209</v>
      </c>
      <c r="J1231" s="26" t="s">
        <v>3137</v>
      </c>
      <c r="K1231" s="26" t="s">
        <v>6210</v>
      </c>
      <c r="L1231" s="26" t="s">
        <v>10533</v>
      </c>
      <c r="M1231" s="76"/>
      <c r="N1231" s="76"/>
      <c r="O1231" s="76"/>
      <c r="P1231" s="76"/>
      <c r="Q1231" s="76"/>
      <c r="R1231" s="76"/>
      <c r="Z1231" s="70"/>
      <c r="AA1231" s="70"/>
      <c r="AB1231" s="70"/>
      <c r="AC1231" s="70"/>
    </row>
    <row r="1232" spans="1:31" s="26" customFormat="1" x14ac:dyDescent="0.3">
      <c r="A1232" s="25" t="s">
        <v>6211</v>
      </c>
      <c r="B1232" s="25"/>
      <c r="C1232" s="26" t="s">
        <v>3005</v>
      </c>
      <c r="D1232" s="70"/>
      <c r="G1232" s="70" t="s">
        <v>1083</v>
      </c>
      <c r="H1232" s="26">
        <v>1</v>
      </c>
      <c r="I1232" s="70" t="s">
        <v>5230</v>
      </c>
      <c r="J1232" s="26" t="s">
        <v>5181</v>
      </c>
      <c r="K1232" s="26" t="s">
        <v>5290</v>
      </c>
      <c r="L1232" s="26" t="s">
        <v>10534</v>
      </c>
      <c r="M1232" s="76"/>
      <c r="N1232" s="76"/>
      <c r="O1232" s="76"/>
      <c r="P1232" s="76"/>
      <c r="Q1232" s="76"/>
      <c r="R1232" s="76"/>
      <c r="Y1232" s="26" t="s">
        <v>6212</v>
      </c>
      <c r="Z1232" s="70"/>
      <c r="AA1232" s="70"/>
      <c r="AB1232" s="70" t="s">
        <v>6213</v>
      </c>
      <c r="AC1232" s="70"/>
    </row>
    <row r="1233" spans="1:31" s="24" customFormat="1" x14ac:dyDescent="0.3">
      <c r="A1233" s="23">
        <v>362</v>
      </c>
      <c r="B1233" s="23">
        <v>358</v>
      </c>
      <c r="C1233" s="24" t="s">
        <v>2165</v>
      </c>
      <c r="D1233" s="69" t="s">
        <v>1081</v>
      </c>
      <c r="E1233" s="24" t="s">
        <v>1080</v>
      </c>
      <c r="F1233" s="24" t="s">
        <v>1084</v>
      </c>
      <c r="G1233" s="69" t="s">
        <v>1085</v>
      </c>
      <c r="I1233" s="69"/>
      <c r="J1233" s="24" t="s">
        <v>6214</v>
      </c>
      <c r="K1233" s="24" t="s">
        <v>68</v>
      </c>
      <c r="L1233" s="24" t="s">
        <v>9812</v>
      </c>
      <c r="M1233" s="75" t="s">
        <v>65</v>
      </c>
      <c r="N1233" s="75" t="s">
        <v>2030</v>
      </c>
      <c r="O1233" s="75" t="s">
        <v>66</v>
      </c>
      <c r="P1233" s="75" t="s">
        <v>66</v>
      </c>
      <c r="Q1233" s="75" t="s">
        <v>66</v>
      </c>
      <c r="R1233" s="75"/>
      <c r="Z1233" s="69"/>
      <c r="AA1233" s="69"/>
      <c r="AB1233" s="69"/>
      <c r="AC1233" s="69"/>
    </row>
    <row r="1234" spans="1:31" s="24" customFormat="1" x14ac:dyDescent="0.3">
      <c r="A1234" s="23">
        <v>363</v>
      </c>
      <c r="B1234" s="23">
        <v>359</v>
      </c>
      <c r="C1234" s="24" t="s">
        <v>2165</v>
      </c>
      <c r="D1234" s="69" t="s">
        <v>1081</v>
      </c>
      <c r="E1234" s="24" t="s">
        <v>1080</v>
      </c>
      <c r="F1234" s="24" t="s">
        <v>1086</v>
      </c>
      <c r="G1234" s="69" t="s">
        <v>1087</v>
      </c>
      <c r="I1234" s="69"/>
      <c r="J1234" s="24" t="s">
        <v>6215</v>
      </c>
      <c r="K1234" s="24" t="s">
        <v>1088</v>
      </c>
      <c r="L1234" s="24" t="s">
        <v>9813</v>
      </c>
      <c r="M1234" s="75" t="s">
        <v>65</v>
      </c>
      <c r="N1234" s="75" t="s">
        <v>2029</v>
      </c>
      <c r="O1234" s="75" t="s">
        <v>85</v>
      </c>
      <c r="P1234" s="75" t="s">
        <v>85</v>
      </c>
      <c r="Q1234" s="75" t="s">
        <v>85</v>
      </c>
      <c r="R1234" s="75"/>
      <c r="Z1234" s="69"/>
      <c r="AA1234" s="69"/>
      <c r="AB1234" s="69"/>
      <c r="AC1234" s="69"/>
    </row>
    <row r="1235" spans="1:31" s="24" customFormat="1" x14ac:dyDescent="0.3">
      <c r="A1235" s="23">
        <v>364</v>
      </c>
      <c r="B1235" s="23">
        <v>360</v>
      </c>
      <c r="C1235" s="24" t="s">
        <v>2165</v>
      </c>
      <c r="D1235" s="69" t="s">
        <v>1081</v>
      </c>
      <c r="E1235" s="24" t="s">
        <v>1080</v>
      </c>
      <c r="F1235" s="24" t="s">
        <v>1089</v>
      </c>
      <c r="G1235" s="69" t="s">
        <v>1090</v>
      </c>
      <c r="I1235" s="69"/>
      <c r="J1235" s="24" t="s">
        <v>5085</v>
      </c>
      <c r="K1235" s="24" t="s">
        <v>68</v>
      </c>
      <c r="L1235" s="24" t="s">
        <v>9814</v>
      </c>
      <c r="M1235" s="75" t="s">
        <v>65</v>
      </c>
      <c r="N1235" s="75" t="s">
        <v>2022</v>
      </c>
      <c r="O1235" s="75" t="s">
        <v>85</v>
      </c>
      <c r="P1235" s="75" t="s">
        <v>85</v>
      </c>
      <c r="Q1235" s="75" t="s">
        <v>85</v>
      </c>
      <c r="R1235" s="75" t="s">
        <v>2166</v>
      </c>
      <c r="W1235" s="24" t="s">
        <v>2619</v>
      </c>
      <c r="Y1235" s="24" t="s">
        <v>2620</v>
      </c>
      <c r="Z1235" s="69"/>
      <c r="AA1235" s="69"/>
      <c r="AB1235" s="69"/>
      <c r="AC1235" s="69"/>
      <c r="AD1235" s="24" t="s">
        <v>123</v>
      </c>
    </row>
    <row r="1236" spans="1:31" s="24" customFormat="1" x14ac:dyDescent="0.3">
      <c r="A1236" s="23">
        <v>365</v>
      </c>
      <c r="B1236" s="23">
        <v>361</v>
      </c>
      <c r="C1236" s="24" t="s">
        <v>2165</v>
      </c>
      <c r="D1236" s="69" t="s">
        <v>1081</v>
      </c>
      <c r="E1236" s="24" t="s">
        <v>1080</v>
      </c>
      <c r="F1236" s="24" t="s">
        <v>1091</v>
      </c>
      <c r="G1236" s="69" t="s">
        <v>1092</v>
      </c>
      <c r="I1236" s="69"/>
      <c r="J1236" s="24" t="s">
        <v>4576</v>
      </c>
      <c r="K1236" s="24" t="s">
        <v>68</v>
      </c>
      <c r="L1236" s="24" t="s">
        <v>9815</v>
      </c>
      <c r="M1236" s="75" t="s">
        <v>65</v>
      </c>
      <c r="N1236" s="75" t="s">
        <v>2020</v>
      </c>
      <c r="O1236" s="75" t="s">
        <v>58</v>
      </c>
      <c r="P1236" s="75" t="s">
        <v>58</v>
      </c>
      <c r="Q1236" s="75" t="s">
        <v>66</v>
      </c>
      <c r="R1236" s="75"/>
      <c r="Z1236" s="69"/>
      <c r="AA1236" s="69"/>
      <c r="AB1236" s="69"/>
      <c r="AC1236" s="69"/>
      <c r="AD1236" s="24" t="s">
        <v>123</v>
      </c>
    </row>
    <row r="1237" spans="1:31" s="24" customFormat="1" x14ac:dyDescent="0.3">
      <c r="A1237" s="23">
        <v>366</v>
      </c>
      <c r="B1237" s="23">
        <v>362</v>
      </c>
      <c r="C1237" s="24" t="s">
        <v>2165</v>
      </c>
      <c r="D1237" s="69" t="s">
        <v>1081</v>
      </c>
      <c r="E1237" s="24" t="s">
        <v>1080</v>
      </c>
      <c r="F1237" s="24" t="s">
        <v>1093</v>
      </c>
      <c r="G1237" s="69" t="s">
        <v>1094</v>
      </c>
      <c r="H1237" s="24">
        <v>2</v>
      </c>
      <c r="I1237" s="69"/>
      <c r="J1237" s="24" t="s">
        <v>3323</v>
      </c>
      <c r="K1237" s="24" t="s">
        <v>1095</v>
      </c>
      <c r="L1237" s="24" t="s">
        <v>9816</v>
      </c>
      <c r="M1237" s="75" t="s">
        <v>65</v>
      </c>
      <c r="N1237" s="75" t="s">
        <v>2019</v>
      </c>
      <c r="O1237" s="75"/>
      <c r="P1237" s="75"/>
      <c r="Q1237" s="75" t="s">
        <v>66</v>
      </c>
      <c r="R1237" s="75"/>
      <c r="T1237" s="24" t="s">
        <v>2179</v>
      </c>
      <c r="V1237" s="24" t="s">
        <v>2621</v>
      </c>
      <c r="Z1237" s="69"/>
      <c r="AA1237" s="69"/>
      <c r="AB1237" s="69"/>
      <c r="AC1237" s="69"/>
      <c r="AE1237" s="24" t="s">
        <v>2622</v>
      </c>
    </row>
    <row r="1238" spans="1:31" s="26" customFormat="1" x14ac:dyDescent="0.3">
      <c r="A1238" s="25" t="s">
        <v>6216</v>
      </c>
      <c r="B1238" s="25"/>
      <c r="C1238" s="26" t="s">
        <v>3005</v>
      </c>
      <c r="D1238" s="70"/>
      <c r="G1238" s="70" t="s">
        <v>1094</v>
      </c>
      <c r="H1238" s="26">
        <v>1</v>
      </c>
      <c r="I1238" s="70" t="s">
        <v>6217</v>
      </c>
      <c r="J1238" s="26" t="s">
        <v>3323</v>
      </c>
      <c r="K1238" s="26" t="s">
        <v>6218</v>
      </c>
      <c r="M1238" s="76"/>
      <c r="N1238" s="76"/>
      <c r="O1238" s="76"/>
      <c r="P1238" s="76"/>
      <c r="Q1238" s="76"/>
      <c r="R1238" s="76"/>
      <c r="Z1238" s="70"/>
      <c r="AA1238" s="70"/>
      <c r="AB1238" s="70"/>
      <c r="AC1238" s="70"/>
    </row>
    <row r="1239" spans="1:31" s="26" customFormat="1" x14ac:dyDescent="0.3">
      <c r="A1239" s="25" t="s">
        <v>6219</v>
      </c>
      <c r="B1239" s="25"/>
      <c r="C1239" s="26" t="s">
        <v>3005</v>
      </c>
      <c r="D1239" s="70"/>
      <c r="G1239" s="70" t="s">
        <v>1094</v>
      </c>
      <c r="H1239" s="26">
        <v>1</v>
      </c>
      <c r="I1239" s="70" t="s">
        <v>6220</v>
      </c>
      <c r="J1239" s="26" t="s">
        <v>6221</v>
      </c>
      <c r="K1239" s="26" t="s">
        <v>6222</v>
      </c>
      <c r="M1239" s="76"/>
      <c r="N1239" s="76"/>
      <c r="O1239" s="76"/>
      <c r="P1239" s="76"/>
      <c r="Q1239" s="76"/>
      <c r="R1239" s="76"/>
      <c r="Z1239" s="70"/>
      <c r="AA1239" s="70"/>
      <c r="AB1239" s="70"/>
      <c r="AC1239" s="70"/>
    </row>
    <row r="1240" spans="1:31" s="24" customFormat="1" x14ac:dyDescent="0.3">
      <c r="A1240" s="23">
        <v>367</v>
      </c>
      <c r="B1240" s="23">
        <v>363</v>
      </c>
      <c r="C1240" s="24" t="s">
        <v>2165</v>
      </c>
      <c r="D1240" s="69" t="s">
        <v>1081</v>
      </c>
      <c r="E1240" s="24" t="s">
        <v>1080</v>
      </c>
      <c r="F1240" s="24" t="s">
        <v>1096</v>
      </c>
      <c r="G1240" s="69" t="s">
        <v>1097</v>
      </c>
      <c r="I1240" s="69"/>
      <c r="J1240" s="24" t="s">
        <v>5942</v>
      </c>
      <c r="K1240" s="24" t="s">
        <v>1098</v>
      </c>
      <c r="L1240" s="24" t="s">
        <v>9817</v>
      </c>
      <c r="M1240" s="75" t="s">
        <v>65</v>
      </c>
      <c r="N1240" s="75" t="s">
        <v>2021</v>
      </c>
      <c r="O1240" s="75" t="s">
        <v>67</v>
      </c>
      <c r="P1240" s="75" t="s">
        <v>67</v>
      </c>
      <c r="Q1240" s="75" t="s">
        <v>67</v>
      </c>
      <c r="R1240" s="75"/>
      <c r="T1240" s="24" t="s">
        <v>2179</v>
      </c>
      <c r="V1240" s="24" t="s">
        <v>2621</v>
      </c>
      <c r="Z1240" s="69"/>
      <c r="AA1240" s="69"/>
      <c r="AB1240" s="69"/>
      <c r="AC1240" s="69"/>
      <c r="AE1240" s="24" t="s">
        <v>2623</v>
      </c>
    </row>
    <row r="1241" spans="1:31" s="24" customFormat="1" x14ac:dyDescent="0.3">
      <c r="A1241" s="23">
        <v>368</v>
      </c>
      <c r="B1241" s="23">
        <v>364</v>
      </c>
      <c r="C1241" s="24" t="s">
        <v>2165</v>
      </c>
      <c r="D1241" s="69" t="s">
        <v>1081</v>
      </c>
      <c r="E1241" s="24" t="s">
        <v>1080</v>
      </c>
      <c r="F1241" s="24" t="s">
        <v>1099</v>
      </c>
      <c r="G1241" s="69" t="s">
        <v>1100</v>
      </c>
      <c r="H1241" s="24">
        <v>2</v>
      </c>
      <c r="I1241" s="69"/>
      <c r="J1241" s="24" t="s">
        <v>5181</v>
      </c>
      <c r="K1241" s="24" t="s">
        <v>998</v>
      </c>
      <c r="M1241" s="75" t="s">
        <v>65</v>
      </c>
      <c r="N1241" s="75" t="s">
        <v>2020</v>
      </c>
      <c r="O1241" s="75"/>
      <c r="P1241" s="75"/>
      <c r="Q1241" s="75" t="s">
        <v>67</v>
      </c>
      <c r="R1241" s="75"/>
      <c r="T1241" s="24" t="s">
        <v>2179</v>
      </c>
      <c r="V1241" s="24" t="s">
        <v>2621</v>
      </c>
      <c r="Z1241" s="69"/>
      <c r="AA1241" s="69"/>
      <c r="AB1241" s="69"/>
      <c r="AC1241" s="69"/>
      <c r="AE1241" s="24" t="s">
        <v>2624</v>
      </c>
    </row>
    <row r="1242" spans="1:31" s="26" customFormat="1" x14ac:dyDescent="0.3">
      <c r="A1242" s="25" t="s">
        <v>6223</v>
      </c>
      <c r="B1242" s="25"/>
      <c r="C1242" s="26" t="s">
        <v>3005</v>
      </c>
      <c r="D1242" s="70"/>
      <c r="G1242" s="70" t="s">
        <v>1100</v>
      </c>
      <c r="H1242" s="26">
        <v>1</v>
      </c>
      <c r="I1242" s="70" t="s">
        <v>3879</v>
      </c>
      <c r="J1242" s="26" t="s">
        <v>5181</v>
      </c>
      <c r="K1242" s="26" t="s">
        <v>6224</v>
      </c>
      <c r="L1242" s="26" t="s">
        <v>9787</v>
      </c>
      <c r="M1242" s="76"/>
      <c r="N1242" s="76"/>
      <c r="O1242" s="76"/>
      <c r="P1242" s="76"/>
      <c r="Q1242" s="76"/>
      <c r="R1242" s="76"/>
      <c r="Z1242" s="70"/>
      <c r="AA1242" s="70"/>
      <c r="AB1242" s="70"/>
      <c r="AC1242" s="70"/>
    </row>
    <row r="1243" spans="1:31" s="26" customFormat="1" x14ac:dyDescent="0.3">
      <c r="A1243" s="25" t="s">
        <v>6225</v>
      </c>
      <c r="B1243" s="25"/>
      <c r="C1243" s="26" t="s">
        <v>3005</v>
      </c>
      <c r="D1243" s="70"/>
      <c r="G1243" s="70" t="s">
        <v>1100</v>
      </c>
      <c r="H1243" s="26">
        <v>1</v>
      </c>
      <c r="I1243" s="70" t="s">
        <v>6226</v>
      </c>
      <c r="J1243" s="26" t="s">
        <v>5942</v>
      </c>
      <c r="K1243" s="26" t="s">
        <v>5077</v>
      </c>
      <c r="L1243" s="26" t="s">
        <v>10501</v>
      </c>
      <c r="M1243" s="76"/>
      <c r="N1243" s="76"/>
      <c r="O1243" s="76"/>
      <c r="P1243" s="76"/>
      <c r="Q1243" s="76"/>
      <c r="R1243" s="76"/>
      <c r="Z1243" s="70"/>
      <c r="AA1243" s="70"/>
      <c r="AB1243" s="70"/>
      <c r="AC1243" s="70"/>
    </row>
    <row r="1244" spans="1:31" s="24" customFormat="1" x14ac:dyDescent="0.3">
      <c r="A1244" s="23">
        <v>369</v>
      </c>
      <c r="B1244" s="23">
        <v>365</v>
      </c>
      <c r="C1244" s="24" t="s">
        <v>2165</v>
      </c>
      <c r="D1244" s="69" t="s">
        <v>1081</v>
      </c>
      <c r="E1244" s="24" t="s">
        <v>1080</v>
      </c>
      <c r="F1244" s="24" t="s">
        <v>1101</v>
      </c>
      <c r="G1244" s="69" t="s">
        <v>1102</v>
      </c>
      <c r="I1244" s="69"/>
      <c r="J1244" s="24" t="s">
        <v>5942</v>
      </c>
      <c r="K1244" s="24" t="s">
        <v>1103</v>
      </c>
      <c r="L1244" s="24" t="s">
        <v>9818</v>
      </c>
      <c r="M1244" s="75" t="s">
        <v>65</v>
      </c>
      <c r="N1244" s="75" t="s">
        <v>2020</v>
      </c>
      <c r="O1244" s="75"/>
      <c r="P1244" s="75"/>
      <c r="Q1244" s="75" t="s">
        <v>67</v>
      </c>
      <c r="R1244" s="75"/>
      <c r="T1244" s="24" t="s">
        <v>2179</v>
      </c>
      <c r="V1244" s="24" t="s">
        <v>2621</v>
      </c>
      <c r="Z1244" s="69"/>
      <c r="AA1244" s="69"/>
      <c r="AB1244" s="69"/>
      <c r="AC1244" s="69"/>
      <c r="AE1244" s="24" t="s">
        <v>2625</v>
      </c>
    </row>
    <row r="1245" spans="1:31" s="24" customFormat="1" x14ac:dyDescent="0.3">
      <c r="A1245" s="23">
        <v>370</v>
      </c>
      <c r="B1245" s="23">
        <v>366</v>
      </c>
      <c r="C1245" s="24" t="s">
        <v>2165</v>
      </c>
      <c r="D1245" s="69" t="s">
        <v>1081</v>
      </c>
      <c r="E1245" s="24" t="s">
        <v>1080</v>
      </c>
      <c r="F1245" s="24" t="s">
        <v>1104</v>
      </c>
      <c r="G1245" s="69" t="s">
        <v>1105</v>
      </c>
      <c r="H1245" s="24">
        <v>2</v>
      </c>
      <c r="I1245" s="69"/>
      <c r="J1245" s="24" t="s">
        <v>3323</v>
      </c>
      <c r="K1245" s="24" t="s">
        <v>68</v>
      </c>
      <c r="M1245" s="75" t="s">
        <v>65</v>
      </c>
      <c r="N1245" s="75" t="s">
        <v>2022</v>
      </c>
      <c r="O1245" s="75" t="s">
        <v>67</v>
      </c>
      <c r="P1245" s="75" t="s">
        <v>67</v>
      </c>
      <c r="Q1245" s="75" t="s">
        <v>85</v>
      </c>
      <c r="R1245" s="75"/>
      <c r="T1245" s="24" t="s">
        <v>2174</v>
      </c>
      <c r="V1245" s="24" t="s">
        <v>2621</v>
      </c>
      <c r="Z1245" s="69"/>
      <c r="AA1245" s="69"/>
      <c r="AB1245" s="69"/>
      <c r="AC1245" s="69"/>
      <c r="AE1245" s="24" t="s">
        <v>2626</v>
      </c>
    </row>
    <row r="1246" spans="1:31" s="26" customFormat="1" x14ac:dyDescent="0.3">
      <c r="A1246" s="25" t="s">
        <v>6227</v>
      </c>
      <c r="B1246" s="25"/>
      <c r="C1246" s="26" t="s">
        <v>3005</v>
      </c>
      <c r="D1246" s="70"/>
      <c r="G1246" s="70" t="s">
        <v>1105</v>
      </c>
      <c r="H1246" s="26">
        <v>1</v>
      </c>
      <c r="I1246" s="70" t="s">
        <v>6228</v>
      </c>
      <c r="J1246" s="26" t="s">
        <v>5030</v>
      </c>
      <c r="K1246" s="26" t="s">
        <v>6229</v>
      </c>
      <c r="L1246" s="26" t="s">
        <v>10535</v>
      </c>
      <c r="M1246" s="76"/>
      <c r="N1246" s="76"/>
      <c r="O1246" s="76"/>
      <c r="P1246" s="76"/>
      <c r="Q1246" s="76"/>
      <c r="R1246" s="76"/>
      <c r="Z1246" s="70"/>
      <c r="AA1246" s="70"/>
      <c r="AB1246" s="70"/>
      <c r="AC1246" s="70"/>
    </row>
    <row r="1247" spans="1:31" s="26" customFormat="1" x14ac:dyDescent="0.3">
      <c r="A1247" s="25" t="s">
        <v>6230</v>
      </c>
      <c r="B1247" s="25"/>
      <c r="C1247" s="26" t="s">
        <v>3005</v>
      </c>
      <c r="D1247" s="70"/>
      <c r="G1247" s="70" t="s">
        <v>1105</v>
      </c>
      <c r="H1247" s="26">
        <v>1</v>
      </c>
      <c r="I1247" s="70" t="s">
        <v>6231</v>
      </c>
      <c r="J1247" s="26" t="s">
        <v>3323</v>
      </c>
      <c r="K1247" s="26" t="s">
        <v>6232</v>
      </c>
      <c r="L1247" s="26" t="s">
        <v>10536</v>
      </c>
      <c r="M1247" s="76"/>
      <c r="N1247" s="76"/>
      <c r="O1247" s="76"/>
      <c r="P1247" s="76"/>
      <c r="Q1247" s="76"/>
      <c r="R1247" s="76"/>
      <c r="Z1247" s="70"/>
      <c r="AA1247" s="70"/>
      <c r="AB1247" s="70"/>
      <c r="AC1247" s="70"/>
    </row>
    <row r="1248" spans="1:31" s="24" customFormat="1" x14ac:dyDescent="0.3">
      <c r="A1248" s="23">
        <v>371</v>
      </c>
      <c r="B1248" s="23">
        <v>367</v>
      </c>
      <c r="C1248" s="24" t="s">
        <v>2165</v>
      </c>
      <c r="D1248" s="69" t="s">
        <v>1107</v>
      </c>
      <c r="E1248" s="24" t="s">
        <v>1106</v>
      </c>
      <c r="F1248" s="24" t="s">
        <v>1108</v>
      </c>
      <c r="G1248" s="69" t="s">
        <v>1109</v>
      </c>
      <c r="H1248" s="24">
        <v>6</v>
      </c>
      <c r="I1248" s="69"/>
      <c r="J1248" s="24" t="s">
        <v>5660</v>
      </c>
      <c r="K1248" s="24" t="s">
        <v>43</v>
      </c>
      <c r="M1248" s="75" t="s">
        <v>15</v>
      </c>
      <c r="N1248" s="75"/>
      <c r="O1248" s="75"/>
      <c r="P1248" s="75"/>
      <c r="Q1248" s="75"/>
      <c r="R1248" s="75"/>
      <c r="Z1248" s="69"/>
      <c r="AA1248" s="69" t="s">
        <v>2627</v>
      </c>
      <c r="AB1248" s="69"/>
      <c r="AC1248" s="69"/>
    </row>
    <row r="1249" spans="1:31" s="26" customFormat="1" x14ac:dyDescent="0.3">
      <c r="A1249" s="25" t="s">
        <v>6233</v>
      </c>
      <c r="B1249" s="25"/>
      <c r="C1249" s="26" t="s">
        <v>3005</v>
      </c>
      <c r="D1249" s="70"/>
      <c r="G1249" s="70" t="s">
        <v>1109</v>
      </c>
      <c r="H1249" s="26">
        <v>-1</v>
      </c>
      <c r="I1249" s="70" t="s">
        <v>3831</v>
      </c>
      <c r="J1249" s="26" t="s">
        <v>3334</v>
      </c>
      <c r="K1249" s="26" t="s">
        <v>6234</v>
      </c>
      <c r="L1249" s="26" t="s">
        <v>10537</v>
      </c>
      <c r="M1249" s="76"/>
      <c r="N1249" s="76"/>
      <c r="O1249" s="76"/>
      <c r="P1249" s="76"/>
      <c r="Q1249" s="76"/>
      <c r="R1249" s="76"/>
      <c r="Z1249" s="70"/>
      <c r="AA1249" s="70"/>
      <c r="AB1249" s="70"/>
      <c r="AC1249" s="70"/>
    </row>
    <row r="1250" spans="1:31" s="26" customFormat="1" x14ac:dyDescent="0.3">
      <c r="A1250" s="25" t="s">
        <v>6235</v>
      </c>
      <c r="B1250" s="25"/>
      <c r="C1250" s="26" t="s">
        <v>3005</v>
      </c>
      <c r="D1250" s="70"/>
      <c r="G1250" s="70" t="s">
        <v>1109</v>
      </c>
      <c r="H1250" s="26">
        <v>-1</v>
      </c>
      <c r="I1250" s="70" t="s">
        <v>6236</v>
      </c>
      <c r="J1250" s="26" t="s">
        <v>5332</v>
      </c>
      <c r="K1250" s="26" t="s">
        <v>3846</v>
      </c>
      <c r="L1250" s="26" t="s">
        <v>3846</v>
      </c>
      <c r="M1250" s="76"/>
      <c r="N1250" s="76"/>
      <c r="O1250" s="76"/>
      <c r="P1250" s="76"/>
      <c r="Q1250" s="76"/>
      <c r="R1250" s="76"/>
      <c r="Z1250" s="70"/>
      <c r="AA1250" s="70"/>
      <c r="AB1250" s="70"/>
      <c r="AC1250" s="70"/>
    </row>
    <row r="1251" spans="1:31" s="26" customFormat="1" x14ac:dyDescent="0.3">
      <c r="A1251" s="25" t="s">
        <v>6237</v>
      </c>
      <c r="B1251" s="25"/>
      <c r="C1251" s="26" t="s">
        <v>3005</v>
      </c>
      <c r="D1251" s="70"/>
      <c r="G1251" s="70" t="s">
        <v>1109</v>
      </c>
      <c r="H1251" s="26">
        <v>-1</v>
      </c>
      <c r="I1251" s="70" t="s">
        <v>6238</v>
      </c>
      <c r="J1251" s="26" t="s">
        <v>6239</v>
      </c>
      <c r="K1251" s="26" t="s">
        <v>5732</v>
      </c>
      <c r="L1251" s="26" t="s">
        <v>5732</v>
      </c>
      <c r="M1251" s="76"/>
      <c r="N1251" s="76"/>
      <c r="O1251" s="76"/>
      <c r="P1251" s="76"/>
      <c r="Q1251" s="76"/>
      <c r="R1251" s="76"/>
      <c r="Z1251" s="70"/>
      <c r="AA1251" s="70"/>
      <c r="AB1251" s="70"/>
      <c r="AC1251" s="70"/>
    </row>
    <row r="1252" spans="1:31" s="26" customFormat="1" x14ac:dyDescent="0.3">
      <c r="A1252" s="25" t="s">
        <v>6240</v>
      </c>
      <c r="B1252" s="25"/>
      <c r="C1252" s="26" t="s">
        <v>3005</v>
      </c>
      <c r="D1252" s="70"/>
      <c r="G1252" s="70" t="s">
        <v>1109</v>
      </c>
      <c r="H1252" s="26">
        <v>4</v>
      </c>
      <c r="I1252" s="70" t="s">
        <v>6241</v>
      </c>
      <c r="J1252" s="26" t="s">
        <v>5660</v>
      </c>
      <c r="K1252" s="26" t="s">
        <v>6242</v>
      </c>
      <c r="L1252" s="26" t="s">
        <v>9843</v>
      </c>
      <c r="M1252" s="76"/>
      <c r="N1252" s="76"/>
      <c r="O1252" s="76"/>
      <c r="P1252" s="76"/>
      <c r="Q1252" s="76"/>
      <c r="R1252" s="76"/>
      <c r="Z1252" s="70"/>
      <c r="AA1252" s="70"/>
      <c r="AB1252" s="70"/>
      <c r="AC1252" s="70"/>
    </row>
    <row r="1253" spans="1:31" s="26" customFormat="1" x14ac:dyDescent="0.3">
      <c r="A1253" s="25" t="s">
        <v>6243</v>
      </c>
      <c r="B1253" s="25"/>
      <c r="C1253" s="26" t="s">
        <v>3005</v>
      </c>
      <c r="D1253" s="70"/>
      <c r="G1253" s="70" t="s">
        <v>1109</v>
      </c>
      <c r="H1253" s="26">
        <v>5</v>
      </c>
      <c r="I1253" s="70" t="s">
        <v>4239</v>
      </c>
      <c r="J1253" s="26" t="s">
        <v>6244</v>
      </c>
      <c r="K1253" s="26" t="s">
        <v>6245</v>
      </c>
      <c r="L1253" s="26" t="s">
        <v>10538</v>
      </c>
      <c r="M1253" s="76"/>
      <c r="N1253" s="76"/>
      <c r="O1253" s="76"/>
      <c r="P1253" s="76"/>
      <c r="Q1253" s="76"/>
      <c r="R1253" s="76"/>
      <c r="Z1253" s="70"/>
      <c r="AA1253" s="70"/>
      <c r="AB1253" s="70"/>
      <c r="AC1253" s="70"/>
    </row>
    <row r="1254" spans="1:31" s="26" customFormat="1" x14ac:dyDescent="0.3">
      <c r="A1254" s="25" t="s">
        <v>6246</v>
      </c>
      <c r="B1254" s="25"/>
      <c r="C1254" s="26" t="s">
        <v>3005</v>
      </c>
      <c r="D1254" s="70"/>
      <c r="G1254" s="70" t="s">
        <v>1109</v>
      </c>
      <c r="H1254" s="26">
        <v>3</v>
      </c>
      <c r="I1254" s="70" t="s">
        <v>5230</v>
      </c>
      <c r="J1254" s="26" t="s">
        <v>3272</v>
      </c>
      <c r="K1254" s="26" t="s">
        <v>5764</v>
      </c>
      <c r="L1254" s="26" t="s">
        <v>9990</v>
      </c>
      <c r="M1254" s="76"/>
      <c r="N1254" s="76"/>
      <c r="O1254" s="76"/>
      <c r="P1254" s="76"/>
      <c r="Q1254" s="76"/>
      <c r="R1254" s="76"/>
      <c r="Z1254" s="70"/>
      <c r="AA1254" s="70"/>
      <c r="AB1254" s="70"/>
      <c r="AC1254" s="70"/>
    </row>
    <row r="1255" spans="1:31" s="26" customFormat="1" x14ac:dyDescent="0.3">
      <c r="A1255" s="25" t="s">
        <v>6247</v>
      </c>
      <c r="B1255" s="25"/>
      <c r="C1255" s="26" t="s">
        <v>3005</v>
      </c>
      <c r="D1255" s="70"/>
      <c r="G1255" s="70" t="s">
        <v>1109</v>
      </c>
      <c r="H1255" s="26">
        <v>5</v>
      </c>
      <c r="I1255" s="70" t="s">
        <v>3966</v>
      </c>
      <c r="J1255" s="26" t="s">
        <v>6248</v>
      </c>
      <c r="K1255" s="26" t="s">
        <v>6249</v>
      </c>
      <c r="L1255" s="26" t="s">
        <v>10539</v>
      </c>
      <c r="M1255" s="76"/>
      <c r="N1255" s="76"/>
      <c r="O1255" s="76"/>
      <c r="P1255" s="76"/>
      <c r="Q1255" s="76"/>
      <c r="R1255" s="76"/>
      <c r="Z1255" s="70"/>
      <c r="AA1255" s="70"/>
      <c r="AB1255" s="70"/>
      <c r="AC1255" s="70"/>
    </row>
    <row r="1256" spans="1:31" s="26" customFormat="1" x14ac:dyDescent="0.3">
      <c r="A1256" s="25" t="s">
        <v>6250</v>
      </c>
      <c r="B1256" s="25"/>
      <c r="C1256" s="26" t="s">
        <v>3005</v>
      </c>
      <c r="D1256" s="70"/>
      <c r="G1256" s="70" t="s">
        <v>1109</v>
      </c>
      <c r="H1256" s="26">
        <v>3</v>
      </c>
      <c r="I1256" s="70" t="s">
        <v>6251</v>
      </c>
      <c r="J1256" s="26" t="s">
        <v>6252</v>
      </c>
      <c r="K1256" s="26" t="s">
        <v>5112</v>
      </c>
      <c r="L1256" s="26" t="s">
        <v>10540</v>
      </c>
      <c r="M1256" s="76"/>
      <c r="N1256" s="76"/>
      <c r="O1256" s="76"/>
      <c r="P1256" s="76"/>
      <c r="Q1256" s="76"/>
      <c r="R1256" s="76"/>
      <c r="Z1256" s="70"/>
      <c r="AA1256" s="70"/>
      <c r="AB1256" s="70"/>
      <c r="AC1256" s="70"/>
    </row>
    <row r="1257" spans="1:31" s="26" customFormat="1" x14ac:dyDescent="0.3">
      <c r="A1257" s="25" t="s">
        <v>6253</v>
      </c>
      <c r="B1257" s="25"/>
      <c r="C1257" s="26" t="s">
        <v>3005</v>
      </c>
      <c r="D1257" s="70"/>
      <c r="G1257" s="70" t="s">
        <v>1109</v>
      </c>
      <c r="H1257" s="26">
        <v>5</v>
      </c>
      <c r="I1257" s="70" t="s">
        <v>6254</v>
      </c>
      <c r="J1257" s="26" t="s">
        <v>6252</v>
      </c>
      <c r="K1257" s="26" t="s">
        <v>6255</v>
      </c>
      <c r="L1257" s="26" t="s">
        <v>10541</v>
      </c>
      <c r="M1257" s="76"/>
      <c r="N1257" s="76"/>
      <c r="O1257" s="76"/>
      <c r="P1257" s="76"/>
      <c r="Q1257" s="76"/>
      <c r="R1257" s="76"/>
      <c r="Z1257" s="70"/>
      <c r="AA1257" s="70"/>
      <c r="AB1257" s="70"/>
      <c r="AC1257" s="70"/>
    </row>
    <row r="1258" spans="1:31" s="24" customFormat="1" x14ac:dyDescent="0.3">
      <c r="A1258" s="23">
        <v>372</v>
      </c>
      <c r="B1258" s="23">
        <v>368</v>
      </c>
      <c r="C1258" s="24" t="s">
        <v>2165</v>
      </c>
      <c r="D1258" s="69" t="s">
        <v>1111</v>
      </c>
      <c r="E1258" s="24" t="s">
        <v>1110</v>
      </c>
      <c r="F1258" s="24" t="s">
        <v>1112</v>
      </c>
      <c r="G1258" s="69" t="s">
        <v>1113</v>
      </c>
      <c r="H1258" s="24">
        <v>3</v>
      </c>
      <c r="I1258" s="69"/>
      <c r="J1258" s="24" t="s">
        <v>3158</v>
      </c>
      <c r="K1258" s="24" t="s">
        <v>68</v>
      </c>
      <c r="M1258" s="75" t="s">
        <v>65</v>
      </c>
      <c r="N1258" s="75" t="s">
        <v>2015</v>
      </c>
      <c r="O1258" s="75"/>
      <c r="P1258" s="75"/>
      <c r="Q1258" s="75"/>
      <c r="R1258" s="75"/>
      <c r="W1258" s="24" t="s">
        <v>2628</v>
      </c>
      <c r="Z1258" s="69"/>
      <c r="AA1258" s="69" t="s">
        <v>2629</v>
      </c>
      <c r="AB1258" s="69" t="s">
        <v>2630</v>
      </c>
      <c r="AC1258" s="69"/>
    </row>
    <row r="1259" spans="1:31" s="26" customFormat="1" x14ac:dyDescent="0.3">
      <c r="A1259" s="25" t="s">
        <v>6256</v>
      </c>
      <c r="B1259" s="25"/>
      <c r="C1259" s="26" t="s">
        <v>3005</v>
      </c>
      <c r="D1259" s="70"/>
      <c r="G1259" s="70" t="s">
        <v>1113</v>
      </c>
      <c r="H1259" s="26">
        <v>1</v>
      </c>
      <c r="I1259" s="70" t="s">
        <v>6257</v>
      </c>
      <c r="J1259" s="26" t="s">
        <v>5236</v>
      </c>
      <c r="K1259" s="26" t="s">
        <v>5976</v>
      </c>
      <c r="L1259" s="26" t="s">
        <v>10542</v>
      </c>
      <c r="M1259" s="76"/>
      <c r="N1259" s="76"/>
      <c r="O1259" s="76"/>
      <c r="P1259" s="76"/>
      <c r="Q1259" s="76"/>
      <c r="R1259" s="76"/>
      <c r="Z1259" s="70"/>
      <c r="AA1259" s="70"/>
      <c r="AB1259" s="70"/>
      <c r="AC1259" s="70"/>
    </row>
    <row r="1260" spans="1:31" s="26" customFormat="1" x14ac:dyDescent="0.3">
      <c r="A1260" s="25" t="s">
        <v>6258</v>
      </c>
      <c r="B1260" s="25"/>
      <c r="C1260" s="26" t="s">
        <v>3005</v>
      </c>
      <c r="D1260" s="70"/>
      <c r="G1260" s="70" t="s">
        <v>1113</v>
      </c>
      <c r="H1260" s="26">
        <v>1</v>
      </c>
      <c r="I1260" s="70" t="s">
        <v>6259</v>
      </c>
      <c r="J1260" s="26" t="s">
        <v>6260</v>
      </c>
      <c r="K1260" s="26" t="s">
        <v>6261</v>
      </c>
      <c r="L1260" s="26" t="s">
        <v>10543</v>
      </c>
      <c r="M1260" s="76"/>
      <c r="N1260" s="76"/>
      <c r="O1260" s="76"/>
      <c r="P1260" s="76"/>
      <c r="Q1260" s="76"/>
      <c r="R1260" s="76"/>
      <c r="T1260" s="26" t="s">
        <v>2200</v>
      </c>
      <c r="Z1260" s="70"/>
      <c r="AA1260" s="70"/>
      <c r="AB1260" s="70"/>
      <c r="AC1260" s="70"/>
      <c r="AE1260" s="26" t="s">
        <v>6262</v>
      </c>
    </row>
    <row r="1261" spans="1:31" s="26" customFormat="1" x14ac:dyDescent="0.3">
      <c r="A1261" s="25" t="s">
        <v>6263</v>
      </c>
      <c r="B1261" s="25"/>
      <c r="C1261" s="26" t="s">
        <v>3005</v>
      </c>
      <c r="D1261" s="70"/>
      <c r="G1261" s="70" t="s">
        <v>1113</v>
      </c>
      <c r="H1261" s="26">
        <v>1</v>
      </c>
      <c r="I1261" s="70" t="s">
        <v>6264</v>
      </c>
      <c r="J1261" s="26" t="s">
        <v>3158</v>
      </c>
      <c r="K1261" s="26" t="s">
        <v>6265</v>
      </c>
      <c r="L1261" s="26" t="s">
        <v>10544</v>
      </c>
      <c r="M1261" s="76"/>
      <c r="N1261" s="76"/>
      <c r="O1261" s="76"/>
      <c r="P1261" s="76"/>
      <c r="Q1261" s="76"/>
      <c r="R1261" s="76"/>
      <c r="T1261" s="26" t="s">
        <v>2200</v>
      </c>
      <c r="Z1261" s="70"/>
      <c r="AA1261" s="70"/>
      <c r="AB1261" s="70"/>
      <c r="AC1261" s="70"/>
      <c r="AE1261" s="26" t="s">
        <v>6266</v>
      </c>
    </row>
    <row r="1262" spans="1:31" s="24" customFormat="1" x14ac:dyDescent="0.3">
      <c r="A1262" s="23">
        <v>373</v>
      </c>
      <c r="B1262" s="23">
        <v>369</v>
      </c>
      <c r="C1262" s="24" t="s">
        <v>2165</v>
      </c>
      <c r="D1262" s="69" t="s">
        <v>1111</v>
      </c>
      <c r="E1262" s="24" t="s">
        <v>1110</v>
      </c>
      <c r="F1262" s="24" t="s">
        <v>1114</v>
      </c>
      <c r="G1262" s="69" t="s">
        <v>1115</v>
      </c>
      <c r="I1262" s="69"/>
      <c r="J1262" s="24" t="s">
        <v>6260</v>
      </c>
      <c r="K1262" s="24" t="s">
        <v>939</v>
      </c>
      <c r="L1262" s="24" t="s">
        <v>9819</v>
      </c>
      <c r="M1262" s="75" t="s">
        <v>65</v>
      </c>
      <c r="N1262" s="75" t="s">
        <v>2029</v>
      </c>
      <c r="O1262" s="75" t="s">
        <v>66</v>
      </c>
      <c r="P1262" s="75" t="s">
        <v>66</v>
      </c>
      <c r="Q1262" s="75" t="s">
        <v>66</v>
      </c>
      <c r="R1262" s="75"/>
      <c r="T1262" s="24" t="s">
        <v>2631</v>
      </c>
      <c r="V1262" s="24" t="s">
        <v>1112</v>
      </c>
      <c r="W1262" s="24" t="s">
        <v>2632</v>
      </c>
      <c r="Z1262" s="69"/>
      <c r="AA1262" s="69" t="s">
        <v>2633</v>
      </c>
      <c r="AB1262" s="69" t="s">
        <v>2634</v>
      </c>
      <c r="AC1262" s="69"/>
      <c r="AE1262" s="24" t="s">
        <v>2635</v>
      </c>
    </row>
    <row r="1263" spans="1:31" s="24" customFormat="1" x14ac:dyDescent="0.3">
      <c r="A1263" s="23">
        <v>374</v>
      </c>
      <c r="B1263" s="23">
        <v>370</v>
      </c>
      <c r="C1263" s="24" t="s">
        <v>2165</v>
      </c>
      <c r="D1263" s="69" t="s">
        <v>1111</v>
      </c>
      <c r="E1263" s="24" t="s">
        <v>1110</v>
      </c>
      <c r="F1263" s="24" t="s">
        <v>1116</v>
      </c>
      <c r="G1263" s="69" t="s">
        <v>1117</v>
      </c>
      <c r="H1263" s="24">
        <v>9</v>
      </c>
      <c r="I1263" s="69"/>
      <c r="J1263" s="24" t="s">
        <v>3447</v>
      </c>
      <c r="K1263" s="24" t="s">
        <v>43</v>
      </c>
      <c r="M1263" s="75" t="s">
        <v>15</v>
      </c>
      <c r="N1263" s="75"/>
      <c r="O1263" s="75"/>
      <c r="P1263" s="75"/>
      <c r="Q1263" s="75"/>
      <c r="R1263" s="75"/>
      <c r="Z1263" s="69"/>
      <c r="AA1263" s="69"/>
      <c r="AB1263" s="69"/>
      <c r="AC1263" s="69"/>
    </row>
    <row r="1264" spans="1:31" s="26" customFormat="1" x14ac:dyDescent="0.3">
      <c r="A1264" s="25" t="s">
        <v>6267</v>
      </c>
      <c r="B1264" s="25"/>
      <c r="C1264" s="26" t="s">
        <v>3005</v>
      </c>
      <c r="D1264" s="70"/>
      <c r="G1264" s="70" t="s">
        <v>1117</v>
      </c>
      <c r="H1264" s="26">
        <v>-1</v>
      </c>
      <c r="I1264" s="70" t="s">
        <v>6268</v>
      </c>
      <c r="J1264" s="26" t="s">
        <v>6269</v>
      </c>
      <c r="K1264" s="26" t="s">
        <v>2998</v>
      </c>
      <c r="L1264" s="26" t="s">
        <v>10067</v>
      </c>
      <c r="M1264" s="76"/>
      <c r="N1264" s="76"/>
      <c r="O1264" s="76"/>
      <c r="P1264" s="76"/>
      <c r="Q1264" s="76"/>
      <c r="R1264" s="76"/>
      <c r="Z1264" s="70"/>
      <c r="AA1264" s="70"/>
      <c r="AB1264" s="70"/>
      <c r="AC1264" s="70"/>
    </row>
    <row r="1265" spans="1:31" s="26" customFormat="1" x14ac:dyDescent="0.3">
      <c r="A1265" s="25" t="s">
        <v>6270</v>
      </c>
      <c r="B1265" s="25"/>
      <c r="C1265" s="26" t="s">
        <v>3005</v>
      </c>
      <c r="D1265" s="70"/>
      <c r="G1265" s="70" t="s">
        <v>1117</v>
      </c>
      <c r="H1265" s="26">
        <v>-1</v>
      </c>
      <c r="I1265" s="70" t="s">
        <v>6271</v>
      </c>
      <c r="J1265" s="26" t="s">
        <v>6272</v>
      </c>
      <c r="K1265" s="26" t="s">
        <v>6273</v>
      </c>
      <c r="L1265" s="26" t="s">
        <v>10545</v>
      </c>
      <c r="M1265" s="76"/>
      <c r="N1265" s="76"/>
      <c r="O1265" s="76"/>
      <c r="P1265" s="76"/>
      <c r="Q1265" s="76"/>
      <c r="R1265" s="76"/>
      <c r="Z1265" s="70"/>
      <c r="AA1265" s="70"/>
      <c r="AB1265" s="70"/>
      <c r="AC1265" s="70"/>
    </row>
    <row r="1266" spans="1:31" s="26" customFormat="1" x14ac:dyDescent="0.3">
      <c r="A1266" s="25" t="s">
        <v>6274</v>
      </c>
      <c r="B1266" s="25"/>
      <c r="C1266" s="26" t="s">
        <v>3005</v>
      </c>
      <c r="D1266" s="70"/>
      <c r="G1266" s="70" t="s">
        <v>1117</v>
      </c>
      <c r="H1266" s="26">
        <v>-1</v>
      </c>
      <c r="I1266" s="70" t="s">
        <v>6275</v>
      </c>
      <c r="J1266" s="26" t="s">
        <v>6276</v>
      </c>
      <c r="K1266" s="26" t="s">
        <v>6277</v>
      </c>
      <c r="L1266" s="26" t="s">
        <v>10546</v>
      </c>
      <c r="M1266" s="76"/>
      <c r="N1266" s="76"/>
      <c r="O1266" s="76"/>
      <c r="P1266" s="76"/>
      <c r="Q1266" s="76"/>
      <c r="R1266" s="76"/>
      <c r="Z1266" s="70"/>
      <c r="AA1266" s="70"/>
      <c r="AB1266" s="70"/>
      <c r="AC1266" s="70"/>
    </row>
    <row r="1267" spans="1:31" s="26" customFormat="1" x14ac:dyDescent="0.3">
      <c r="A1267" s="25" t="s">
        <v>6278</v>
      </c>
      <c r="B1267" s="25"/>
      <c r="C1267" s="26" t="s">
        <v>3005</v>
      </c>
      <c r="D1267" s="70"/>
      <c r="G1267" s="70" t="s">
        <v>1117</v>
      </c>
      <c r="H1267" s="26">
        <v>-1</v>
      </c>
      <c r="I1267" s="70" t="s">
        <v>6279</v>
      </c>
      <c r="J1267" s="26" t="s">
        <v>6280</v>
      </c>
      <c r="K1267" s="26" t="s">
        <v>6281</v>
      </c>
      <c r="L1267" s="26" t="s">
        <v>10547</v>
      </c>
      <c r="M1267" s="76"/>
      <c r="N1267" s="76"/>
      <c r="O1267" s="76"/>
      <c r="P1267" s="76"/>
      <c r="Q1267" s="76"/>
      <c r="R1267" s="76"/>
      <c r="Z1267" s="70"/>
      <c r="AA1267" s="70"/>
      <c r="AB1267" s="70"/>
      <c r="AC1267" s="70"/>
    </row>
    <row r="1268" spans="1:31" s="26" customFormat="1" x14ac:dyDescent="0.3">
      <c r="A1268" s="25" t="s">
        <v>6282</v>
      </c>
      <c r="B1268" s="25"/>
      <c r="C1268" s="26" t="s">
        <v>3005</v>
      </c>
      <c r="D1268" s="70"/>
      <c r="G1268" s="70" t="s">
        <v>1117</v>
      </c>
      <c r="H1268" s="26">
        <v>-1</v>
      </c>
      <c r="I1268" s="70" t="s">
        <v>6283</v>
      </c>
      <c r="J1268" s="26" t="s">
        <v>3447</v>
      </c>
      <c r="K1268" s="26" t="s">
        <v>6284</v>
      </c>
      <c r="L1268" s="26" t="s">
        <v>10548</v>
      </c>
      <c r="M1268" s="76"/>
      <c r="N1268" s="76"/>
      <c r="O1268" s="76"/>
      <c r="P1268" s="76"/>
      <c r="Q1268" s="76"/>
      <c r="R1268" s="76"/>
      <c r="Z1268" s="70"/>
      <c r="AA1268" s="70"/>
      <c r="AB1268" s="70"/>
      <c r="AC1268" s="70"/>
    </row>
    <row r="1269" spans="1:31" s="26" customFormat="1" x14ac:dyDescent="0.3">
      <c r="A1269" s="25" t="s">
        <v>6285</v>
      </c>
      <c r="B1269" s="25"/>
      <c r="C1269" s="26" t="s">
        <v>3005</v>
      </c>
      <c r="D1269" s="70"/>
      <c r="G1269" s="70" t="s">
        <v>1117</v>
      </c>
      <c r="H1269" s="26">
        <v>-1</v>
      </c>
      <c r="I1269" s="70" t="s">
        <v>6286</v>
      </c>
      <c r="J1269" s="26" t="s">
        <v>6287</v>
      </c>
      <c r="K1269" s="26" t="s">
        <v>5140</v>
      </c>
      <c r="L1269" s="26" t="s">
        <v>10420</v>
      </c>
      <c r="M1269" s="76"/>
      <c r="N1269" s="76"/>
      <c r="O1269" s="76"/>
      <c r="P1269" s="76"/>
      <c r="Q1269" s="76"/>
      <c r="R1269" s="76"/>
      <c r="Z1269" s="70"/>
      <c r="AA1269" s="70"/>
      <c r="AB1269" s="70"/>
      <c r="AC1269" s="70"/>
    </row>
    <row r="1270" spans="1:31" s="26" customFormat="1" x14ac:dyDescent="0.3">
      <c r="A1270" s="25" t="s">
        <v>6288</v>
      </c>
      <c r="B1270" s="25"/>
      <c r="C1270" s="26" t="s">
        <v>3005</v>
      </c>
      <c r="D1270" s="70"/>
      <c r="G1270" s="70" t="s">
        <v>1117</v>
      </c>
      <c r="H1270" s="26">
        <v>3</v>
      </c>
      <c r="I1270" s="70" t="s">
        <v>6289</v>
      </c>
      <c r="J1270" s="26" t="s">
        <v>6290</v>
      </c>
      <c r="K1270" s="26" t="s">
        <v>6291</v>
      </c>
      <c r="L1270" s="26" t="s">
        <v>9788</v>
      </c>
      <c r="M1270" s="76"/>
      <c r="N1270" s="76"/>
      <c r="O1270" s="76"/>
      <c r="P1270" s="76"/>
      <c r="Q1270" s="76"/>
      <c r="R1270" s="76"/>
      <c r="Z1270" s="70"/>
      <c r="AA1270" s="70"/>
      <c r="AB1270" s="70"/>
      <c r="AC1270" s="70"/>
    </row>
    <row r="1271" spans="1:31" s="26" customFormat="1" x14ac:dyDescent="0.3">
      <c r="A1271" s="25" t="s">
        <v>6292</v>
      </c>
      <c r="B1271" s="25"/>
      <c r="C1271" s="26" t="s">
        <v>3005</v>
      </c>
      <c r="D1271" s="70"/>
      <c r="G1271" s="70" t="s">
        <v>1117</v>
      </c>
      <c r="H1271" s="26">
        <v>3</v>
      </c>
      <c r="I1271" s="70" t="s">
        <v>6293</v>
      </c>
      <c r="J1271" s="26" t="s">
        <v>6294</v>
      </c>
      <c r="K1271" s="26" t="s">
        <v>6295</v>
      </c>
      <c r="M1271" s="76"/>
      <c r="N1271" s="76"/>
      <c r="O1271" s="76"/>
      <c r="P1271" s="76"/>
      <c r="Q1271" s="76"/>
      <c r="R1271" s="76"/>
      <c r="Z1271" s="70"/>
      <c r="AA1271" s="70"/>
      <c r="AB1271" s="70"/>
      <c r="AC1271" s="70"/>
    </row>
    <row r="1272" spans="1:31" s="26" customFormat="1" x14ac:dyDescent="0.3">
      <c r="A1272" s="25" t="s">
        <v>6296</v>
      </c>
      <c r="B1272" s="25"/>
      <c r="C1272" s="26" t="s">
        <v>3005</v>
      </c>
      <c r="D1272" s="70"/>
      <c r="G1272" s="70" t="s">
        <v>1117</v>
      </c>
      <c r="H1272" s="26">
        <v>3</v>
      </c>
      <c r="I1272" s="70" t="s">
        <v>3906</v>
      </c>
      <c r="J1272" s="26" t="s">
        <v>6297</v>
      </c>
      <c r="K1272" s="26" t="s">
        <v>6298</v>
      </c>
      <c r="L1272" s="26" t="s">
        <v>6846</v>
      </c>
      <c r="M1272" s="76"/>
      <c r="N1272" s="76"/>
      <c r="O1272" s="76"/>
      <c r="P1272" s="76"/>
      <c r="Q1272" s="76"/>
      <c r="R1272" s="76"/>
      <c r="Z1272" s="70"/>
      <c r="AA1272" s="70"/>
      <c r="AB1272" s="70"/>
      <c r="AC1272" s="70"/>
    </row>
    <row r="1273" spans="1:31" s="26" customFormat="1" x14ac:dyDescent="0.3">
      <c r="A1273" s="25" t="s">
        <v>6299</v>
      </c>
      <c r="B1273" s="25"/>
      <c r="C1273" s="26" t="s">
        <v>3005</v>
      </c>
      <c r="D1273" s="70"/>
      <c r="G1273" s="70" t="s">
        <v>1117</v>
      </c>
      <c r="H1273" s="26">
        <v>5</v>
      </c>
      <c r="I1273" s="70" t="s">
        <v>6300</v>
      </c>
      <c r="J1273" s="26" t="s">
        <v>6301</v>
      </c>
      <c r="K1273" s="26" t="s">
        <v>6302</v>
      </c>
      <c r="L1273" s="26" t="s">
        <v>10549</v>
      </c>
      <c r="M1273" s="76"/>
      <c r="N1273" s="76"/>
      <c r="O1273" s="76"/>
      <c r="P1273" s="76"/>
      <c r="Q1273" s="76"/>
      <c r="R1273" s="76"/>
      <c r="Z1273" s="70"/>
      <c r="AA1273" s="70"/>
      <c r="AB1273" s="70"/>
      <c r="AC1273" s="70"/>
    </row>
    <row r="1274" spans="1:31" s="26" customFormat="1" x14ac:dyDescent="0.3">
      <c r="A1274" s="25" t="s">
        <v>6303</v>
      </c>
      <c r="B1274" s="25"/>
      <c r="C1274" s="26" t="s">
        <v>3005</v>
      </c>
      <c r="D1274" s="70"/>
      <c r="G1274" s="70" t="s">
        <v>1117</v>
      </c>
      <c r="H1274" s="26">
        <v>6</v>
      </c>
      <c r="I1274" s="70" t="s">
        <v>6304</v>
      </c>
      <c r="J1274" s="26" t="s">
        <v>6305</v>
      </c>
      <c r="K1274" s="26" t="s">
        <v>6306</v>
      </c>
      <c r="L1274" s="26" t="s">
        <v>9808</v>
      </c>
      <c r="M1274" s="76"/>
      <c r="N1274" s="76"/>
      <c r="O1274" s="76"/>
      <c r="P1274" s="76"/>
      <c r="Q1274" s="76"/>
      <c r="R1274" s="76"/>
      <c r="Z1274" s="70"/>
      <c r="AA1274" s="70"/>
      <c r="AB1274" s="70"/>
      <c r="AC1274" s="70"/>
    </row>
    <row r="1275" spans="1:31" s="26" customFormat="1" x14ac:dyDescent="0.3">
      <c r="A1275" s="25" t="s">
        <v>6307</v>
      </c>
      <c r="B1275" s="25"/>
      <c r="C1275" s="26" t="s">
        <v>3005</v>
      </c>
      <c r="D1275" s="70"/>
      <c r="G1275" s="70" t="s">
        <v>1117</v>
      </c>
      <c r="H1275" s="26">
        <v>3</v>
      </c>
      <c r="I1275" s="70" t="s">
        <v>4247</v>
      </c>
      <c r="J1275" s="26" t="s">
        <v>6308</v>
      </c>
      <c r="K1275" s="26" t="s">
        <v>4249</v>
      </c>
      <c r="L1275" s="26" t="s">
        <v>9831</v>
      </c>
      <c r="M1275" s="76"/>
      <c r="N1275" s="76"/>
      <c r="O1275" s="76"/>
      <c r="P1275" s="76"/>
      <c r="Q1275" s="76"/>
      <c r="R1275" s="76"/>
      <c r="Z1275" s="70"/>
      <c r="AA1275" s="70"/>
      <c r="AB1275" s="70"/>
      <c r="AC1275" s="70"/>
    </row>
    <row r="1276" spans="1:31" s="26" customFormat="1" x14ac:dyDescent="0.3">
      <c r="A1276" s="25" t="s">
        <v>6309</v>
      </c>
      <c r="B1276" s="25"/>
      <c r="C1276" s="26" t="s">
        <v>3005</v>
      </c>
      <c r="D1276" s="70"/>
      <c r="G1276" s="70" t="s">
        <v>1117</v>
      </c>
      <c r="H1276" s="26">
        <v>6</v>
      </c>
      <c r="I1276" s="70" t="s">
        <v>5319</v>
      </c>
      <c r="J1276" s="26" t="s">
        <v>5303</v>
      </c>
      <c r="K1276" s="26" t="s">
        <v>6310</v>
      </c>
      <c r="L1276" s="26" t="s">
        <v>10550</v>
      </c>
      <c r="M1276" s="76"/>
      <c r="N1276" s="76"/>
      <c r="O1276" s="76"/>
      <c r="P1276" s="76"/>
      <c r="Q1276" s="76"/>
      <c r="R1276" s="76"/>
      <c r="Z1276" s="70"/>
      <c r="AA1276" s="70"/>
      <c r="AB1276" s="70"/>
      <c r="AC1276" s="70"/>
    </row>
    <row r="1277" spans="1:31" s="26" customFormat="1" x14ac:dyDescent="0.3">
      <c r="A1277" s="25" t="s">
        <v>6311</v>
      </c>
      <c r="B1277" s="25"/>
      <c r="C1277" s="26" t="s">
        <v>3005</v>
      </c>
      <c r="D1277" s="70"/>
      <c r="G1277" s="70" t="s">
        <v>1117</v>
      </c>
      <c r="H1277" s="26">
        <v>3</v>
      </c>
      <c r="I1277" s="70" t="s">
        <v>6251</v>
      </c>
      <c r="J1277" s="26" t="s">
        <v>6312</v>
      </c>
      <c r="K1277" s="26" t="s">
        <v>6313</v>
      </c>
      <c r="L1277" s="26" t="s">
        <v>10551</v>
      </c>
      <c r="M1277" s="76"/>
      <c r="N1277" s="76"/>
      <c r="O1277" s="76"/>
      <c r="P1277" s="76"/>
      <c r="Q1277" s="76"/>
      <c r="R1277" s="76"/>
      <c r="Z1277" s="70"/>
      <c r="AA1277" s="70"/>
      <c r="AB1277" s="70"/>
      <c r="AC1277" s="70"/>
    </row>
    <row r="1278" spans="1:31" s="26" customFormat="1" x14ac:dyDescent="0.3">
      <c r="A1278" s="25" t="s">
        <v>6314</v>
      </c>
      <c r="B1278" s="25"/>
      <c r="C1278" s="26" t="s">
        <v>3005</v>
      </c>
      <c r="D1278" s="70"/>
      <c r="G1278" s="70" t="s">
        <v>1117</v>
      </c>
      <c r="H1278" s="26">
        <v>3</v>
      </c>
      <c r="I1278" s="70" t="s">
        <v>5302</v>
      </c>
      <c r="J1278" s="26" t="s">
        <v>5303</v>
      </c>
      <c r="K1278" s="26" t="s">
        <v>6315</v>
      </c>
      <c r="L1278" s="26" t="s">
        <v>10552</v>
      </c>
      <c r="M1278" s="76"/>
      <c r="N1278" s="76"/>
      <c r="O1278" s="76"/>
      <c r="P1278" s="76"/>
      <c r="Q1278" s="76"/>
      <c r="R1278" s="76"/>
      <c r="Z1278" s="70"/>
      <c r="AA1278" s="70"/>
      <c r="AB1278" s="70"/>
      <c r="AC1278" s="70"/>
    </row>
    <row r="1279" spans="1:31" s="24" customFormat="1" x14ac:dyDescent="0.3">
      <c r="A1279" s="23">
        <v>375</v>
      </c>
      <c r="B1279" s="23">
        <v>371</v>
      </c>
      <c r="C1279" s="24" t="s">
        <v>2165</v>
      </c>
      <c r="D1279" s="69" t="s">
        <v>1111</v>
      </c>
      <c r="E1279" s="24" t="s">
        <v>1110</v>
      </c>
      <c r="F1279" s="24" t="s">
        <v>1118</v>
      </c>
      <c r="G1279" s="69" t="s">
        <v>1119</v>
      </c>
      <c r="I1279" s="69"/>
      <c r="J1279" s="24" t="s">
        <v>6301</v>
      </c>
      <c r="K1279" s="24" t="s">
        <v>1120</v>
      </c>
      <c r="L1279" s="24" t="s">
        <v>9820</v>
      </c>
      <c r="M1279" s="75" t="s">
        <v>65</v>
      </c>
      <c r="N1279" s="75" t="s">
        <v>2030</v>
      </c>
      <c r="O1279" s="75" t="s">
        <v>58</v>
      </c>
      <c r="P1279" s="75" t="s">
        <v>58</v>
      </c>
      <c r="Q1279" s="75" t="s">
        <v>130</v>
      </c>
      <c r="R1279" s="75"/>
      <c r="T1279" s="24" t="s">
        <v>2179</v>
      </c>
      <c r="V1279" s="24" t="s">
        <v>2636</v>
      </c>
      <c r="Z1279" s="69"/>
      <c r="AA1279" s="69"/>
      <c r="AB1279" s="69"/>
      <c r="AC1279" s="69"/>
      <c r="AE1279" s="24" t="s">
        <v>2637</v>
      </c>
    </row>
    <row r="1280" spans="1:31" s="24" customFormat="1" x14ac:dyDescent="0.3">
      <c r="A1280" s="23">
        <v>376</v>
      </c>
      <c r="B1280" s="23">
        <v>372</v>
      </c>
      <c r="C1280" s="24" t="s">
        <v>2165</v>
      </c>
      <c r="D1280" s="69" t="s">
        <v>1111</v>
      </c>
      <c r="E1280" s="24" t="s">
        <v>1110</v>
      </c>
      <c r="F1280" s="24" t="s">
        <v>1121</v>
      </c>
      <c r="G1280" s="69" t="s">
        <v>1122</v>
      </c>
      <c r="H1280" s="24">
        <v>3</v>
      </c>
      <c r="I1280" s="69"/>
      <c r="J1280" s="24" t="s">
        <v>3158</v>
      </c>
      <c r="K1280" s="24" t="s">
        <v>1123</v>
      </c>
      <c r="M1280" s="75" t="s">
        <v>65</v>
      </c>
      <c r="N1280" s="75" t="s">
        <v>2020</v>
      </c>
      <c r="O1280" s="75"/>
      <c r="P1280" s="75"/>
      <c r="Q1280" s="75"/>
      <c r="R1280" s="75"/>
      <c r="T1280" s="24" t="s">
        <v>2174</v>
      </c>
      <c r="V1280" s="24" t="s">
        <v>2638</v>
      </c>
      <c r="Z1280" s="69"/>
      <c r="AA1280" s="69"/>
      <c r="AB1280" s="69"/>
      <c r="AC1280" s="69"/>
      <c r="AE1280" s="24" t="s">
        <v>2639</v>
      </c>
    </row>
    <row r="1281" spans="1:31" s="26" customFormat="1" x14ac:dyDescent="0.3">
      <c r="A1281" s="25" t="s">
        <v>6316</v>
      </c>
      <c r="B1281" s="25"/>
      <c r="C1281" s="26" t="s">
        <v>3005</v>
      </c>
      <c r="D1281" s="70"/>
      <c r="G1281" s="70" t="s">
        <v>1122</v>
      </c>
      <c r="H1281" s="26">
        <v>1</v>
      </c>
      <c r="I1281" s="70" t="s">
        <v>6317</v>
      </c>
      <c r="J1281" s="26" t="s">
        <v>6318</v>
      </c>
      <c r="K1281" s="26" t="s">
        <v>6319</v>
      </c>
      <c r="L1281" s="26" t="s">
        <v>10553</v>
      </c>
      <c r="M1281" s="76"/>
      <c r="N1281" s="76"/>
      <c r="O1281" s="76"/>
      <c r="P1281" s="76"/>
      <c r="Q1281" s="76"/>
      <c r="R1281" s="76"/>
      <c r="Z1281" s="70"/>
      <c r="AA1281" s="70"/>
      <c r="AB1281" s="70"/>
      <c r="AC1281" s="70"/>
    </row>
    <row r="1282" spans="1:31" s="26" customFormat="1" x14ac:dyDescent="0.3">
      <c r="A1282" s="25" t="s">
        <v>6320</v>
      </c>
      <c r="B1282" s="25"/>
      <c r="C1282" s="26" t="s">
        <v>3005</v>
      </c>
      <c r="D1282" s="70"/>
      <c r="G1282" s="70" t="s">
        <v>1122</v>
      </c>
      <c r="H1282" s="26">
        <v>1</v>
      </c>
      <c r="I1282" s="70" t="s">
        <v>6321</v>
      </c>
      <c r="J1282" s="26" t="s">
        <v>6322</v>
      </c>
      <c r="K1282" s="26" t="s">
        <v>5764</v>
      </c>
      <c r="L1282" s="26" t="s">
        <v>10554</v>
      </c>
      <c r="M1282" s="76"/>
      <c r="N1282" s="76"/>
      <c r="O1282" s="76"/>
      <c r="P1282" s="76"/>
      <c r="Q1282" s="76"/>
      <c r="R1282" s="76"/>
      <c r="Z1282" s="70"/>
      <c r="AA1282" s="70"/>
      <c r="AB1282" s="70"/>
      <c r="AC1282" s="70"/>
    </row>
    <row r="1283" spans="1:31" s="26" customFormat="1" x14ac:dyDescent="0.3">
      <c r="A1283" s="25" t="s">
        <v>6323</v>
      </c>
      <c r="B1283" s="25"/>
      <c r="C1283" s="26" t="s">
        <v>3005</v>
      </c>
      <c r="D1283" s="70"/>
      <c r="G1283" s="70" t="s">
        <v>1122</v>
      </c>
      <c r="H1283" s="26">
        <v>1</v>
      </c>
      <c r="I1283" s="70" t="s">
        <v>6324</v>
      </c>
      <c r="J1283" s="26" t="s">
        <v>3158</v>
      </c>
      <c r="K1283" s="26" t="s">
        <v>6325</v>
      </c>
      <c r="L1283" s="26" t="s">
        <v>10555</v>
      </c>
      <c r="M1283" s="76"/>
      <c r="N1283" s="76"/>
      <c r="O1283" s="76"/>
      <c r="P1283" s="76"/>
      <c r="Q1283" s="76"/>
      <c r="R1283" s="76"/>
      <c r="Z1283" s="70"/>
      <c r="AA1283" s="70"/>
      <c r="AB1283" s="70"/>
      <c r="AC1283" s="70"/>
    </row>
    <row r="1284" spans="1:31" s="24" customFormat="1" x14ac:dyDescent="0.3">
      <c r="A1284" s="23">
        <v>377</v>
      </c>
      <c r="B1284" s="23">
        <v>373</v>
      </c>
      <c r="C1284" s="24" t="s">
        <v>2165</v>
      </c>
      <c r="D1284" s="69" t="s">
        <v>1111</v>
      </c>
      <c r="E1284" s="24" t="s">
        <v>1110</v>
      </c>
      <c r="F1284" s="24" t="s">
        <v>1124</v>
      </c>
      <c r="G1284" s="69" t="s">
        <v>1125</v>
      </c>
      <c r="I1284" s="69"/>
      <c r="J1284" s="24" t="s">
        <v>6326</v>
      </c>
      <c r="K1284" s="24" t="s">
        <v>1095</v>
      </c>
      <c r="L1284" s="24" t="s">
        <v>9821</v>
      </c>
      <c r="M1284" s="75" t="s">
        <v>65</v>
      </c>
      <c r="N1284" s="75" t="s">
        <v>2019</v>
      </c>
      <c r="O1284" s="75"/>
      <c r="P1284" s="75"/>
      <c r="Q1284" s="75"/>
      <c r="R1284" s="75"/>
      <c r="T1284" s="24" t="s">
        <v>2179</v>
      </c>
      <c r="V1284" s="24" t="s">
        <v>2638</v>
      </c>
      <c r="Z1284" s="69"/>
      <c r="AA1284" s="69"/>
      <c r="AB1284" s="69"/>
      <c r="AC1284" s="69"/>
      <c r="AE1284" s="24" t="s">
        <v>2640</v>
      </c>
    </row>
    <row r="1285" spans="1:31" s="24" customFormat="1" x14ac:dyDescent="0.3">
      <c r="A1285" s="23">
        <v>378</v>
      </c>
      <c r="B1285" s="23">
        <v>374</v>
      </c>
      <c r="C1285" s="24" t="s">
        <v>2165</v>
      </c>
      <c r="D1285" s="69" t="s">
        <v>1111</v>
      </c>
      <c r="E1285" s="24" t="s">
        <v>1110</v>
      </c>
      <c r="F1285" s="24" t="s">
        <v>1126</v>
      </c>
      <c r="G1285" s="69" t="s">
        <v>1127</v>
      </c>
      <c r="I1285" s="69"/>
      <c r="J1285" s="24" t="s">
        <v>6327</v>
      </c>
      <c r="K1285" s="24" t="s">
        <v>1128</v>
      </c>
      <c r="L1285" s="24" t="s">
        <v>9822</v>
      </c>
      <c r="M1285" s="75" t="s">
        <v>65</v>
      </c>
      <c r="N1285" s="75" t="s">
        <v>2022</v>
      </c>
      <c r="O1285" s="75" t="s">
        <v>67</v>
      </c>
      <c r="P1285" s="75" t="s">
        <v>67</v>
      </c>
      <c r="Q1285" s="75" t="s">
        <v>67</v>
      </c>
      <c r="R1285" s="75"/>
      <c r="T1285" s="24" t="s">
        <v>2179</v>
      </c>
      <c r="V1285" s="24" t="s">
        <v>2638</v>
      </c>
      <c r="Z1285" s="69"/>
      <c r="AA1285" s="69"/>
      <c r="AB1285" s="69"/>
      <c r="AC1285" s="69"/>
      <c r="AE1285" s="24" t="s">
        <v>2641</v>
      </c>
    </row>
    <row r="1286" spans="1:31" s="24" customFormat="1" x14ac:dyDescent="0.3">
      <c r="A1286" s="23">
        <v>379</v>
      </c>
      <c r="B1286" s="23">
        <v>375</v>
      </c>
      <c r="C1286" s="24" t="s">
        <v>2165</v>
      </c>
      <c r="D1286" s="69" t="s">
        <v>1111</v>
      </c>
      <c r="E1286" s="24" t="s">
        <v>1110</v>
      </c>
      <c r="F1286" s="24" t="s">
        <v>1129</v>
      </c>
      <c r="G1286" s="69" t="s">
        <v>1130</v>
      </c>
      <c r="I1286" s="69"/>
      <c r="J1286" s="24" t="s">
        <v>5475</v>
      </c>
      <c r="K1286" s="24" t="s">
        <v>1131</v>
      </c>
      <c r="L1286" s="24" t="s">
        <v>9823</v>
      </c>
      <c r="M1286" s="75" t="s">
        <v>65</v>
      </c>
      <c r="N1286" s="75" t="s">
        <v>2016</v>
      </c>
      <c r="O1286" s="75" t="s">
        <v>67</v>
      </c>
      <c r="P1286" s="75" t="s">
        <v>67</v>
      </c>
      <c r="Q1286" s="75" t="s">
        <v>67</v>
      </c>
      <c r="R1286" s="75"/>
      <c r="T1286" s="24" t="s">
        <v>2179</v>
      </c>
      <c r="V1286" s="24" t="s">
        <v>2638</v>
      </c>
      <c r="Z1286" s="69"/>
      <c r="AA1286" s="69"/>
      <c r="AB1286" s="69"/>
      <c r="AC1286" s="69"/>
      <c r="AE1286" s="24" t="s">
        <v>2642</v>
      </c>
    </row>
    <row r="1287" spans="1:31" s="24" customFormat="1" x14ac:dyDescent="0.3">
      <c r="A1287" s="23">
        <v>380</v>
      </c>
      <c r="B1287" s="23">
        <v>376</v>
      </c>
      <c r="C1287" s="24" t="s">
        <v>2165</v>
      </c>
      <c r="D1287" s="69" t="s">
        <v>1111</v>
      </c>
      <c r="E1287" s="24" t="s">
        <v>1110</v>
      </c>
      <c r="F1287" s="24" t="s">
        <v>1132</v>
      </c>
      <c r="G1287" s="69" t="s">
        <v>1133</v>
      </c>
      <c r="H1287" s="24">
        <v>2</v>
      </c>
      <c r="I1287" s="69"/>
      <c r="J1287" s="24" t="s">
        <v>6328</v>
      </c>
      <c r="K1287" s="24" t="s">
        <v>68</v>
      </c>
      <c r="M1287" s="75" t="s">
        <v>65</v>
      </c>
      <c r="N1287" s="75" t="s">
        <v>2015</v>
      </c>
      <c r="O1287" s="75" t="s">
        <v>58</v>
      </c>
      <c r="P1287" s="75" t="s">
        <v>58</v>
      </c>
      <c r="Q1287" s="75"/>
      <c r="R1287" s="75"/>
      <c r="W1287" s="24" t="s">
        <v>2643</v>
      </c>
      <c r="Y1287" s="24" t="s">
        <v>2644</v>
      </c>
      <c r="Z1287" s="69"/>
      <c r="AA1287" s="69"/>
      <c r="AB1287" s="69"/>
      <c r="AC1287" s="69"/>
    </row>
    <row r="1288" spans="1:31" s="26" customFormat="1" x14ac:dyDescent="0.3">
      <c r="A1288" s="25" t="s">
        <v>6329</v>
      </c>
      <c r="B1288" s="25"/>
      <c r="C1288" s="26" t="s">
        <v>3005</v>
      </c>
      <c r="D1288" s="70"/>
      <c r="G1288" s="70" t="s">
        <v>1133</v>
      </c>
      <c r="H1288" s="26">
        <v>1</v>
      </c>
      <c r="I1288" s="70" t="s">
        <v>6330</v>
      </c>
      <c r="J1288" s="26" t="s">
        <v>6328</v>
      </c>
      <c r="K1288" s="26" t="s">
        <v>5976</v>
      </c>
      <c r="L1288" s="26" t="s">
        <v>10556</v>
      </c>
      <c r="M1288" s="76"/>
      <c r="N1288" s="76"/>
      <c r="O1288" s="76"/>
      <c r="P1288" s="76"/>
      <c r="Q1288" s="76"/>
      <c r="R1288" s="76"/>
      <c r="Z1288" s="70"/>
      <c r="AA1288" s="70"/>
      <c r="AB1288" s="70"/>
      <c r="AC1288" s="70"/>
    </row>
    <row r="1289" spans="1:31" s="26" customFormat="1" x14ac:dyDescent="0.3">
      <c r="A1289" s="25" t="s">
        <v>6331</v>
      </c>
      <c r="B1289" s="25"/>
      <c r="C1289" s="26" t="s">
        <v>3005</v>
      </c>
      <c r="D1289" s="70"/>
      <c r="G1289" s="70" t="s">
        <v>1133</v>
      </c>
      <c r="H1289" s="26">
        <v>1</v>
      </c>
      <c r="I1289" s="70" t="s">
        <v>6332</v>
      </c>
      <c r="J1289" s="26" t="s">
        <v>5181</v>
      </c>
      <c r="K1289" s="26" t="s">
        <v>6333</v>
      </c>
      <c r="M1289" s="76"/>
      <c r="N1289" s="76"/>
      <c r="O1289" s="76"/>
      <c r="P1289" s="76"/>
      <c r="Q1289" s="76"/>
      <c r="R1289" s="76"/>
      <c r="T1289" s="26" t="s">
        <v>2254</v>
      </c>
      <c r="Y1289" s="26" t="s">
        <v>6334</v>
      </c>
      <c r="Z1289" s="70"/>
      <c r="AA1289" s="70"/>
      <c r="AB1289" s="70" t="s">
        <v>6335</v>
      </c>
      <c r="AC1289" s="70"/>
      <c r="AE1289" s="26" t="s">
        <v>6336</v>
      </c>
    </row>
    <row r="1290" spans="1:31" s="24" customFormat="1" x14ac:dyDescent="0.3">
      <c r="A1290" s="23">
        <v>381</v>
      </c>
      <c r="B1290" s="23">
        <v>377</v>
      </c>
      <c r="C1290" s="24" t="s">
        <v>2165</v>
      </c>
      <c r="D1290" s="69" t="s">
        <v>1111</v>
      </c>
      <c r="E1290" s="24" t="s">
        <v>1110</v>
      </c>
      <c r="F1290" s="24" t="s">
        <v>1134</v>
      </c>
      <c r="G1290" s="69" t="s">
        <v>1135</v>
      </c>
      <c r="H1290" s="24">
        <v>1</v>
      </c>
      <c r="I1290" s="69"/>
      <c r="J1290" s="24" t="s">
        <v>5892</v>
      </c>
      <c r="K1290" s="24" t="s">
        <v>43</v>
      </c>
      <c r="M1290" s="75" t="s">
        <v>15</v>
      </c>
      <c r="N1290" s="75"/>
      <c r="O1290" s="75" t="s">
        <v>66</v>
      </c>
      <c r="P1290" s="75" t="s">
        <v>66</v>
      </c>
      <c r="Q1290" s="75" t="s">
        <v>66</v>
      </c>
      <c r="R1290" s="75"/>
      <c r="Z1290" s="69"/>
      <c r="AA1290" s="69"/>
      <c r="AB1290" s="69"/>
      <c r="AC1290" s="69"/>
    </row>
    <row r="1291" spans="1:31" s="26" customFormat="1" x14ac:dyDescent="0.3">
      <c r="A1291" s="25" t="s">
        <v>6337</v>
      </c>
      <c r="B1291" s="25"/>
      <c r="C1291" s="26" t="s">
        <v>3005</v>
      </c>
      <c r="D1291" s="70"/>
      <c r="G1291" s="70" t="s">
        <v>1135</v>
      </c>
      <c r="H1291" s="26">
        <v>-1</v>
      </c>
      <c r="I1291" s="70" t="s">
        <v>6338</v>
      </c>
      <c r="J1291" s="26" t="s">
        <v>6339</v>
      </c>
      <c r="K1291" s="26" t="s">
        <v>6340</v>
      </c>
      <c r="M1291" s="76"/>
      <c r="N1291" s="76"/>
      <c r="O1291" s="76"/>
      <c r="P1291" s="76"/>
      <c r="Q1291" s="76"/>
      <c r="R1291" s="76"/>
      <c r="Z1291" s="70"/>
      <c r="AA1291" s="70"/>
      <c r="AB1291" s="70"/>
      <c r="AC1291" s="70"/>
    </row>
    <row r="1292" spans="1:31" s="26" customFormat="1" x14ac:dyDescent="0.3">
      <c r="A1292" s="25" t="s">
        <v>6341</v>
      </c>
      <c r="B1292" s="25"/>
      <c r="C1292" s="26" t="s">
        <v>3005</v>
      </c>
      <c r="D1292" s="70"/>
      <c r="G1292" s="70" t="s">
        <v>1135</v>
      </c>
      <c r="H1292" s="26">
        <v>-1</v>
      </c>
      <c r="I1292" s="70" t="s">
        <v>5378</v>
      </c>
      <c r="J1292" s="26" t="s">
        <v>6342</v>
      </c>
      <c r="K1292" s="26" t="s">
        <v>6343</v>
      </c>
      <c r="L1292" s="26" t="s">
        <v>10557</v>
      </c>
      <c r="M1292" s="76"/>
      <c r="N1292" s="76"/>
      <c r="O1292" s="76"/>
      <c r="P1292" s="76"/>
      <c r="Q1292" s="76"/>
      <c r="R1292" s="76"/>
      <c r="Z1292" s="70"/>
      <c r="AA1292" s="70"/>
      <c r="AB1292" s="70"/>
      <c r="AC1292" s="70"/>
    </row>
    <row r="1293" spans="1:31" s="26" customFormat="1" x14ac:dyDescent="0.3">
      <c r="A1293" s="25" t="s">
        <v>6344</v>
      </c>
      <c r="B1293" s="25"/>
      <c r="C1293" s="26" t="s">
        <v>3005</v>
      </c>
      <c r="D1293" s="70"/>
      <c r="G1293" s="70" t="s">
        <v>1135</v>
      </c>
      <c r="H1293" s="26">
        <v>3</v>
      </c>
      <c r="I1293" s="70" t="s">
        <v>6345</v>
      </c>
      <c r="J1293" s="26" t="s">
        <v>5892</v>
      </c>
      <c r="K1293" s="26" t="s">
        <v>6346</v>
      </c>
      <c r="L1293" s="26" t="s">
        <v>10558</v>
      </c>
      <c r="M1293" s="76"/>
      <c r="N1293" s="76"/>
      <c r="O1293" s="76"/>
      <c r="P1293" s="76"/>
      <c r="Q1293" s="76"/>
      <c r="R1293" s="76"/>
      <c r="Z1293" s="70"/>
      <c r="AA1293" s="70"/>
      <c r="AB1293" s="70"/>
      <c r="AC1293" s="70"/>
    </row>
    <row r="1294" spans="1:31" s="24" customFormat="1" x14ac:dyDescent="0.3">
      <c r="A1294" s="23">
        <v>382</v>
      </c>
      <c r="B1294" s="23">
        <v>378</v>
      </c>
      <c r="C1294" s="24" t="s">
        <v>2165</v>
      </c>
      <c r="D1294" s="69" t="s">
        <v>1137</v>
      </c>
      <c r="E1294" s="24" t="s">
        <v>1136</v>
      </c>
      <c r="F1294" s="24" t="s">
        <v>1138</v>
      </c>
      <c r="G1294" s="69" t="s">
        <v>1139</v>
      </c>
      <c r="H1294" s="24">
        <v>2</v>
      </c>
      <c r="I1294" s="69"/>
      <c r="J1294" s="24" t="s">
        <v>3803</v>
      </c>
      <c r="K1294" s="24" t="s">
        <v>68</v>
      </c>
      <c r="M1294" s="75" t="s">
        <v>65</v>
      </c>
      <c r="N1294" s="75" t="s">
        <v>2015</v>
      </c>
      <c r="O1294" s="75"/>
      <c r="P1294" s="75"/>
      <c r="Q1294" s="75"/>
      <c r="R1294" s="75"/>
      <c r="Z1294" s="69"/>
      <c r="AA1294" s="69"/>
      <c r="AB1294" s="69"/>
      <c r="AC1294" s="69"/>
    </row>
    <row r="1295" spans="1:31" s="26" customFormat="1" x14ac:dyDescent="0.3">
      <c r="A1295" s="25" t="s">
        <v>6347</v>
      </c>
      <c r="B1295" s="25"/>
      <c r="C1295" s="26" t="s">
        <v>3005</v>
      </c>
      <c r="D1295" s="70"/>
      <c r="G1295" s="70" t="s">
        <v>1139</v>
      </c>
      <c r="H1295" s="26">
        <v>1</v>
      </c>
      <c r="I1295" s="70" t="s">
        <v>6348</v>
      </c>
      <c r="J1295" s="26" t="s">
        <v>3803</v>
      </c>
      <c r="K1295" s="26" t="s">
        <v>5976</v>
      </c>
      <c r="L1295" s="26" t="s">
        <v>10559</v>
      </c>
      <c r="M1295" s="76"/>
      <c r="N1295" s="76"/>
      <c r="O1295" s="76"/>
      <c r="P1295" s="76"/>
      <c r="Q1295" s="76"/>
      <c r="R1295" s="76"/>
      <c r="Z1295" s="70"/>
      <c r="AA1295" s="70"/>
      <c r="AB1295" s="70"/>
      <c r="AC1295" s="70"/>
    </row>
    <row r="1296" spans="1:31" s="26" customFormat="1" x14ac:dyDescent="0.3">
      <c r="A1296" s="25" t="s">
        <v>6349</v>
      </c>
      <c r="B1296" s="25"/>
      <c r="C1296" s="26" t="s">
        <v>3005</v>
      </c>
      <c r="D1296" s="70"/>
      <c r="G1296" s="70" t="s">
        <v>1139</v>
      </c>
      <c r="H1296" s="26">
        <v>1</v>
      </c>
      <c r="I1296" s="70" t="s">
        <v>4179</v>
      </c>
      <c r="J1296" s="26" t="s">
        <v>4236</v>
      </c>
      <c r="K1296" s="26" t="s">
        <v>5290</v>
      </c>
      <c r="L1296" s="26" t="s">
        <v>10560</v>
      </c>
      <c r="M1296" s="76"/>
      <c r="N1296" s="76"/>
      <c r="O1296" s="76"/>
      <c r="P1296" s="76"/>
      <c r="Q1296" s="76"/>
      <c r="R1296" s="76"/>
      <c r="Z1296" s="70"/>
      <c r="AA1296" s="70"/>
      <c r="AB1296" s="70"/>
      <c r="AC1296" s="70"/>
    </row>
    <row r="1297" spans="1:30" s="24" customFormat="1" x14ac:dyDescent="0.3">
      <c r="A1297" s="23">
        <v>383</v>
      </c>
      <c r="B1297" s="23">
        <v>379</v>
      </c>
      <c r="C1297" s="24" t="s">
        <v>2165</v>
      </c>
      <c r="D1297" s="69" t="s">
        <v>1137</v>
      </c>
      <c r="E1297" s="24" t="s">
        <v>1136</v>
      </c>
      <c r="F1297" s="24" t="s">
        <v>1140</v>
      </c>
      <c r="G1297" s="69" t="s">
        <v>1141</v>
      </c>
      <c r="I1297" s="69"/>
      <c r="J1297" s="24" t="s">
        <v>3110</v>
      </c>
      <c r="K1297" s="24" t="s">
        <v>1142</v>
      </c>
      <c r="M1297" s="75" t="s">
        <v>50</v>
      </c>
      <c r="N1297" s="75"/>
      <c r="O1297" s="75"/>
      <c r="P1297" s="75"/>
      <c r="Q1297" s="75"/>
      <c r="R1297" s="75"/>
      <c r="U1297" s="24" t="s">
        <v>2293</v>
      </c>
      <c r="V1297" s="24" t="s">
        <v>2645</v>
      </c>
      <c r="W1297" s="24" t="s">
        <v>2645</v>
      </c>
      <c r="Z1297" s="69"/>
      <c r="AA1297" s="69"/>
      <c r="AB1297" s="69"/>
      <c r="AC1297" s="69"/>
    </row>
    <row r="1298" spans="1:30" s="26" customFormat="1" x14ac:dyDescent="0.3">
      <c r="A1298" s="25" t="s">
        <v>6350</v>
      </c>
      <c r="B1298" s="25"/>
      <c r="C1298" s="26" t="s">
        <v>3005</v>
      </c>
      <c r="D1298" s="70"/>
      <c r="G1298" s="70" t="s">
        <v>1141</v>
      </c>
      <c r="H1298" s="26">
        <v>-1</v>
      </c>
      <c r="I1298" s="70" t="s">
        <v>6351</v>
      </c>
      <c r="J1298" s="26" t="s">
        <v>3110</v>
      </c>
      <c r="K1298" s="26" t="s">
        <v>6352</v>
      </c>
      <c r="L1298" s="26" t="s">
        <v>10561</v>
      </c>
      <c r="M1298" s="76"/>
      <c r="N1298" s="76"/>
      <c r="O1298" s="76"/>
      <c r="P1298" s="76"/>
      <c r="Q1298" s="76"/>
      <c r="R1298" s="76"/>
      <c r="U1298" s="26" t="s">
        <v>6353</v>
      </c>
      <c r="Z1298" s="70"/>
      <c r="AA1298" s="70"/>
      <c r="AB1298" s="70"/>
      <c r="AC1298" s="70"/>
    </row>
    <row r="1299" spans="1:30" s="26" customFormat="1" x14ac:dyDescent="0.3">
      <c r="A1299" s="25" t="s">
        <v>6354</v>
      </c>
      <c r="B1299" s="25"/>
      <c r="C1299" s="26" t="s">
        <v>3005</v>
      </c>
      <c r="D1299" s="70"/>
      <c r="G1299" s="70" t="s">
        <v>1141</v>
      </c>
      <c r="H1299" s="26">
        <v>-1</v>
      </c>
      <c r="I1299" s="70" t="s">
        <v>6355</v>
      </c>
      <c r="J1299" s="26" t="s">
        <v>6356</v>
      </c>
      <c r="K1299" s="26" t="s">
        <v>6357</v>
      </c>
      <c r="M1299" s="76"/>
      <c r="N1299" s="76"/>
      <c r="O1299" s="76"/>
      <c r="P1299" s="76"/>
      <c r="Q1299" s="76"/>
      <c r="R1299" s="76"/>
      <c r="U1299" s="26" t="s">
        <v>4634</v>
      </c>
      <c r="Z1299" s="70"/>
      <c r="AA1299" s="70"/>
      <c r="AB1299" s="70"/>
      <c r="AC1299" s="70"/>
    </row>
    <row r="1300" spans="1:30" s="26" customFormat="1" x14ac:dyDescent="0.3">
      <c r="A1300" s="25" t="s">
        <v>6358</v>
      </c>
      <c r="B1300" s="25"/>
      <c r="C1300" s="26" t="s">
        <v>3005</v>
      </c>
      <c r="D1300" s="70"/>
      <c r="G1300" s="70" t="s">
        <v>1141</v>
      </c>
      <c r="H1300" s="26">
        <v>2</v>
      </c>
      <c r="I1300" s="70" t="s">
        <v>6359</v>
      </c>
      <c r="J1300" s="26" t="s">
        <v>6360</v>
      </c>
      <c r="K1300" s="26" t="s">
        <v>6361</v>
      </c>
      <c r="L1300" s="26" t="s">
        <v>10562</v>
      </c>
      <c r="M1300" s="76"/>
      <c r="N1300" s="76"/>
      <c r="O1300" s="76"/>
      <c r="P1300" s="76"/>
      <c r="Q1300" s="76"/>
      <c r="R1300" s="76"/>
      <c r="U1300" s="26" t="s">
        <v>6362</v>
      </c>
      <c r="Z1300" s="70"/>
      <c r="AA1300" s="70"/>
      <c r="AB1300" s="70"/>
      <c r="AC1300" s="70"/>
    </row>
    <row r="1301" spans="1:30" s="26" customFormat="1" x14ac:dyDescent="0.3">
      <c r="A1301" s="25" t="s">
        <v>6363</v>
      </c>
      <c r="B1301" s="25"/>
      <c r="C1301" s="26" t="s">
        <v>3005</v>
      </c>
      <c r="D1301" s="70"/>
      <c r="G1301" s="70" t="s">
        <v>1141</v>
      </c>
      <c r="H1301" s="26">
        <v>-1</v>
      </c>
      <c r="I1301" s="70" t="s">
        <v>6364</v>
      </c>
      <c r="J1301" s="26" t="s">
        <v>4164</v>
      </c>
      <c r="K1301" s="26" t="s">
        <v>3888</v>
      </c>
      <c r="L1301" s="26" t="s">
        <v>10563</v>
      </c>
      <c r="M1301" s="76"/>
      <c r="N1301" s="76"/>
      <c r="O1301" s="76"/>
      <c r="P1301" s="76"/>
      <c r="Q1301" s="76"/>
      <c r="R1301" s="76"/>
      <c r="Z1301" s="70"/>
      <c r="AA1301" s="70"/>
      <c r="AB1301" s="70"/>
      <c r="AC1301" s="70"/>
    </row>
    <row r="1302" spans="1:30" s="26" customFormat="1" x14ac:dyDescent="0.3">
      <c r="A1302" s="25" t="s">
        <v>6365</v>
      </c>
      <c r="B1302" s="25"/>
      <c r="C1302" s="26" t="s">
        <v>3005</v>
      </c>
      <c r="D1302" s="70"/>
      <c r="G1302" s="70" t="s">
        <v>1141</v>
      </c>
      <c r="H1302" s="26">
        <v>-1</v>
      </c>
      <c r="I1302" s="70" t="s">
        <v>6366</v>
      </c>
      <c r="J1302" s="26" t="s">
        <v>6367</v>
      </c>
      <c r="K1302" s="26" t="s">
        <v>6368</v>
      </c>
      <c r="L1302" s="26" t="s">
        <v>10564</v>
      </c>
      <c r="M1302" s="76"/>
      <c r="N1302" s="76"/>
      <c r="O1302" s="76"/>
      <c r="P1302" s="76"/>
      <c r="Q1302" s="76"/>
      <c r="R1302" s="76"/>
      <c r="Z1302" s="70"/>
      <c r="AA1302" s="70"/>
      <c r="AB1302" s="70"/>
      <c r="AC1302" s="70"/>
    </row>
    <row r="1303" spans="1:30" s="26" customFormat="1" x14ac:dyDescent="0.3">
      <c r="A1303" s="25" t="s">
        <v>6369</v>
      </c>
      <c r="B1303" s="25"/>
      <c r="C1303" s="26" t="s">
        <v>3005</v>
      </c>
      <c r="D1303" s="70"/>
      <c r="G1303" s="70" t="s">
        <v>1141</v>
      </c>
      <c r="H1303" s="26">
        <v>-1</v>
      </c>
      <c r="I1303" s="70" t="s">
        <v>6370</v>
      </c>
      <c r="J1303" s="26" t="s">
        <v>6371</v>
      </c>
      <c r="K1303" s="26" t="s">
        <v>6372</v>
      </c>
      <c r="L1303" s="26" t="s">
        <v>10565</v>
      </c>
      <c r="M1303" s="76"/>
      <c r="N1303" s="76"/>
      <c r="O1303" s="76"/>
      <c r="P1303" s="76"/>
      <c r="Q1303" s="76"/>
      <c r="R1303" s="76"/>
      <c r="Z1303" s="70"/>
      <c r="AA1303" s="70"/>
      <c r="AB1303" s="70"/>
      <c r="AC1303" s="70"/>
    </row>
    <row r="1304" spans="1:30" s="26" customFormat="1" x14ac:dyDescent="0.3">
      <c r="A1304" s="25" t="s">
        <v>6373</v>
      </c>
      <c r="B1304" s="25"/>
      <c r="C1304" s="26" t="s">
        <v>3005</v>
      </c>
      <c r="D1304" s="70"/>
      <c r="G1304" s="70" t="s">
        <v>1141</v>
      </c>
      <c r="H1304" s="26">
        <v>-1</v>
      </c>
      <c r="I1304" s="70" t="s">
        <v>6374</v>
      </c>
      <c r="J1304" s="26" t="s">
        <v>6375</v>
      </c>
      <c r="K1304" s="26" t="s">
        <v>6376</v>
      </c>
      <c r="L1304" s="26" t="s">
        <v>10566</v>
      </c>
      <c r="M1304" s="76"/>
      <c r="N1304" s="76"/>
      <c r="O1304" s="76"/>
      <c r="P1304" s="76"/>
      <c r="Q1304" s="76"/>
      <c r="R1304" s="76"/>
      <c r="Z1304" s="70"/>
      <c r="AA1304" s="70"/>
      <c r="AB1304" s="70"/>
      <c r="AC1304" s="70"/>
    </row>
    <row r="1305" spans="1:30" s="26" customFormat="1" x14ac:dyDescent="0.3">
      <c r="A1305" s="25" t="s">
        <v>6377</v>
      </c>
      <c r="B1305" s="25"/>
      <c r="C1305" s="26" t="s">
        <v>3005</v>
      </c>
      <c r="D1305" s="70"/>
      <c r="G1305" s="70" t="s">
        <v>1141</v>
      </c>
      <c r="H1305" s="26">
        <v>-1</v>
      </c>
      <c r="I1305" s="70" t="s">
        <v>6378</v>
      </c>
      <c r="J1305" s="26" t="s">
        <v>6379</v>
      </c>
      <c r="K1305" s="26" t="s">
        <v>6380</v>
      </c>
      <c r="L1305" s="26" t="s">
        <v>10567</v>
      </c>
      <c r="M1305" s="76"/>
      <c r="N1305" s="76"/>
      <c r="O1305" s="76"/>
      <c r="P1305" s="76"/>
      <c r="Q1305" s="76"/>
      <c r="R1305" s="76"/>
      <c r="Z1305" s="70"/>
      <c r="AA1305" s="70"/>
      <c r="AB1305" s="70"/>
      <c r="AC1305" s="70"/>
    </row>
    <row r="1306" spans="1:30" s="26" customFormat="1" x14ac:dyDescent="0.3">
      <c r="A1306" s="25" t="s">
        <v>6381</v>
      </c>
      <c r="B1306" s="25"/>
      <c r="C1306" s="26" t="s">
        <v>3005</v>
      </c>
      <c r="D1306" s="70"/>
      <c r="G1306" s="70" t="s">
        <v>1141</v>
      </c>
      <c r="H1306" s="26">
        <v>-1</v>
      </c>
      <c r="I1306" s="70" t="s">
        <v>6382</v>
      </c>
      <c r="J1306" s="26" t="s">
        <v>6383</v>
      </c>
      <c r="K1306" s="26" t="s">
        <v>6384</v>
      </c>
      <c r="L1306" s="26" t="s">
        <v>10568</v>
      </c>
      <c r="M1306" s="76"/>
      <c r="N1306" s="76"/>
      <c r="O1306" s="76"/>
      <c r="P1306" s="76"/>
      <c r="Q1306" s="76"/>
      <c r="R1306" s="76"/>
      <c r="Z1306" s="70"/>
      <c r="AA1306" s="70"/>
      <c r="AB1306" s="70"/>
      <c r="AC1306" s="70"/>
    </row>
    <row r="1307" spans="1:30" s="26" customFormat="1" x14ac:dyDescent="0.3">
      <c r="A1307" s="25" t="s">
        <v>6385</v>
      </c>
      <c r="B1307" s="25"/>
      <c r="C1307" s="26" t="s">
        <v>3005</v>
      </c>
      <c r="D1307" s="70"/>
      <c r="G1307" s="70" t="s">
        <v>1141</v>
      </c>
      <c r="H1307" s="26">
        <v>-1</v>
      </c>
      <c r="I1307" s="70" t="s">
        <v>3344</v>
      </c>
      <c r="J1307" s="26" t="s">
        <v>6386</v>
      </c>
      <c r="K1307" s="26" t="s">
        <v>6387</v>
      </c>
      <c r="L1307" s="26" t="s">
        <v>10569</v>
      </c>
      <c r="M1307" s="76"/>
      <c r="N1307" s="76"/>
      <c r="O1307" s="76"/>
      <c r="P1307" s="76"/>
      <c r="Q1307" s="76"/>
      <c r="R1307" s="76"/>
      <c r="Z1307" s="70"/>
      <c r="AA1307" s="70"/>
      <c r="AB1307" s="70"/>
      <c r="AC1307" s="70"/>
    </row>
    <row r="1308" spans="1:30" s="26" customFormat="1" x14ac:dyDescent="0.3">
      <c r="A1308" s="25" t="s">
        <v>6388</v>
      </c>
      <c r="B1308" s="25"/>
      <c r="C1308" s="26" t="s">
        <v>3005</v>
      </c>
      <c r="D1308" s="70"/>
      <c r="G1308" s="70" t="s">
        <v>1141</v>
      </c>
      <c r="H1308" s="26">
        <v>-1</v>
      </c>
      <c r="I1308" s="70" t="s">
        <v>6389</v>
      </c>
      <c r="J1308" s="26" t="s">
        <v>6199</v>
      </c>
      <c r="K1308" s="26" t="s">
        <v>6390</v>
      </c>
      <c r="M1308" s="76"/>
      <c r="N1308" s="76"/>
      <c r="O1308" s="76"/>
      <c r="P1308" s="76"/>
      <c r="Q1308" s="76"/>
      <c r="R1308" s="76"/>
      <c r="Z1308" s="70"/>
      <c r="AA1308" s="70"/>
      <c r="AB1308" s="70"/>
      <c r="AC1308" s="70"/>
    </row>
    <row r="1309" spans="1:30" s="24" customFormat="1" x14ac:dyDescent="0.3">
      <c r="A1309" s="23">
        <v>384</v>
      </c>
      <c r="B1309" s="23">
        <v>380</v>
      </c>
      <c r="C1309" s="24" t="s">
        <v>2165</v>
      </c>
      <c r="D1309" s="69" t="s">
        <v>1137</v>
      </c>
      <c r="E1309" s="24" t="s">
        <v>1136</v>
      </c>
      <c r="F1309" s="24" t="s">
        <v>1143</v>
      </c>
      <c r="G1309" s="69" t="s">
        <v>1144</v>
      </c>
      <c r="I1309" s="69"/>
      <c r="J1309" s="24" t="s">
        <v>5616</v>
      </c>
      <c r="K1309" s="24" t="s">
        <v>1145</v>
      </c>
      <c r="M1309" s="75" t="s">
        <v>15</v>
      </c>
      <c r="N1309" s="75"/>
      <c r="O1309" s="75"/>
      <c r="P1309" s="75"/>
      <c r="Q1309" s="75"/>
      <c r="R1309" s="75" t="s">
        <v>2166</v>
      </c>
      <c r="V1309" s="24" t="s">
        <v>2171</v>
      </c>
      <c r="Z1309" s="69"/>
      <c r="AA1309" s="69"/>
      <c r="AB1309" s="69"/>
      <c r="AC1309" s="69"/>
      <c r="AD1309" s="24" t="s">
        <v>11335</v>
      </c>
    </row>
    <row r="1310" spans="1:30" s="26" customFormat="1" x14ac:dyDescent="0.3">
      <c r="A1310" s="25" t="s">
        <v>6391</v>
      </c>
      <c r="B1310" s="25"/>
      <c r="C1310" s="26" t="s">
        <v>3005</v>
      </c>
      <c r="D1310" s="70"/>
      <c r="G1310" s="70" t="s">
        <v>1144</v>
      </c>
      <c r="H1310" s="26">
        <v>-1</v>
      </c>
      <c r="I1310" s="70" t="s">
        <v>6392</v>
      </c>
      <c r="J1310" s="26" t="s">
        <v>5616</v>
      </c>
      <c r="K1310" s="26" t="s">
        <v>6393</v>
      </c>
      <c r="L1310" s="26" t="s">
        <v>10570</v>
      </c>
      <c r="M1310" s="76"/>
      <c r="N1310" s="76"/>
      <c r="O1310" s="76"/>
      <c r="P1310" s="76"/>
      <c r="Q1310" s="76"/>
      <c r="R1310" s="76"/>
      <c r="Z1310" s="70"/>
      <c r="AA1310" s="70"/>
      <c r="AB1310" s="70"/>
      <c r="AC1310" s="70"/>
    </row>
    <row r="1311" spans="1:30" s="26" customFormat="1" x14ac:dyDescent="0.3">
      <c r="A1311" s="25" t="s">
        <v>6394</v>
      </c>
      <c r="B1311" s="25"/>
      <c r="C1311" s="26" t="s">
        <v>3005</v>
      </c>
      <c r="D1311" s="70"/>
      <c r="G1311" s="70" t="s">
        <v>1144</v>
      </c>
      <c r="H1311" s="26">
        <v>-1</v>
      </c>
      <c r="I1311" s="70" t="s">
        <v>6395</v>
      </c>
      <c r="J1311" s="26" t="s">
        <v>5250</v>
      </c>
      <c r="K1311" s="26" t="s">
        <v>6396</v>
      </c>
      <c r="L1311" s="26" t="s">
        <v>10571</v>
      </c>
      <c r="M1311" s="76"/>
      <c r="N1311" s="76"/>
      <c r="O1311" s="76"/>
      <c r="P1311" s="76"/>
      <c r="Q1311" s="76"/>
      <c r="R1311" s="76"/>
      <c r="Z1311" s="70"/>
      <c r="AA1311" s="70"/>
      <c r="AB1311" s="70"/>
      <c r="AC1311" s="70"/>
    </row>
    <row r="1312" spans="1:30" s="24" customFormat="1" x14ac:dyDescent="0.3">
      <c r="A1312" s="23">
        <v>385</v>
      </c>
      <c r="B1312" s="23">
        <v>381</v>
      </c>
      <c r="C1312" s="24" t="s">
        <v>2165</v>
      </c>
      <c r="D1312" s="69" t="s">
        <v>1137</v>
      </c>
      <c r="E1312" s="24" t="s">
        <v>1136</v>
      </c>
      <c r="F1312" s="24" t="s">
        <v>1146</v>
      </c>
      <c r="G1312" s="69" t="s">
        <v>1147</v>
      </c>
      <c r="I1312" s="69"/>
      <c r="J1312" s="24" t="s">
        <v>6397</v>
      </c>
      <c r="K1312" s="24" t="s">
        <v>1148</v>
      </c>
      <c r="L1312" s="24" t="s">
        <v>9824</v>
      </c>
      <c r="M1312" s="75" t="s">
        <v>19</v>
      </c>
      <c r="N1312" s="75"/>
      <c r="O1312" s="75"/>
      <c r="P1312" s="75"/>
      <c r="Q1312" s="75"/>
      <c r="R1312" s="75" t="s">
        <v>2166</v>
      </c>
      <c r="U1312" s="24" t="s">
        <v>2646</v>
      </c>
      <c r="V1312" s="24" t="s">
        <v>2171</v>
      </c>
      <c r="Z1312" s="69"/>
      <c r="AA1312" s="69"/>
      <c r="AB1312" s="69"/>
      <c r="AC1312" s="69"/>
      <c r="AD1312" s="24" t="s">
        <v>1149</v>
      </c>
    </row>
    <row r="1313" spans="1:31" s="24" customFormat="1" x14ac:dyDescent="0.3">
      <c r="A1313" s="23">
        <v>386</v>
      </c>
      <c r="B1313" s="23">
        <v>382</v>
      </c>
      <c r="C1313" s="24" t="s">
        <v>2165</v>
      </c>
      <c r="D1313" s="69" t="s">
        <v>1137</v>
      </c>
      <c r="E1313" s="24" t="s">
        <v>1136</v>
      </c>
      <c r="F1313" s="24" t="s">
        <v>1150</v>
      </c>
      <c r="G1313" s="69" t="s">
        <v>1151</v>
      </c>
      <c r="I1313" s="69"/>
      <c r="J1313" s="24" t="s">
        <v>3110</v>
      </c>
      <c r="K1313" s="24" t="s">
        <v>20</v>
      </c>
      <c r="M1313" s="75" t="s">
        <v>19</v>
      </c>
      <c r="N1313" s="75"/>
      <c r="O1313" s="75"/>
      <c r="P1313" s="75"/>
      <c r="Q1313" s="75"/>
      <c r="R1313" s="75" t="s">
        <v>2166</v>
      </c>
      <c r="U1313" s="24" t="s">
        <v>2647</v>
      </c>
      <c r="Z1313" s="69"/>
      <c r="AA1313" s="69"/>
      <c r="AB1313" s="69"/>
      <c r="AC1313" s="69"/>
    </row>
    <row r="1314" spans="1:31" s="26" customFormat="1" x14ac:dyDescent="0.3">
      <c r="A1314" s="25" t="s">
        <v>6398</v>
      </c>
      <c r="B1314" s="25"/>
      <c r="C1314" s="26" t="s">
        <v>3005</v>
      </c>
      <c r="D1314" s="70"/>
      <c r="G1314" s="70" t="s">
        <v>1151</v>
      </c>
      <c r="H1314" s="26">
        <v>-1</v>
      </c>
      <c r="I1314" s="70" t="s">
        <v>6399</v>
      </c>
      <c r="J1314" s="26" t="s">
        <v>6400</v>
      </c>
      <c r="K1314" s="26" t="s">
        <v>6401</v>
      </c>
      <c r="L1314" s="26" t="s">
        <v>6401</v>
      </c>
      <c r="M1314" s="76"/>
      <c r="N1314" s="76"/>
      <c r="O1314" s="76"/>
      <c r="P1314" s="76"/>
      <c r="Q1314" s="76"/>
      <c r="R1314" s="76"/>
      <c r="U1314" s="26" t="s">
        <v>6402</v>
      </c>
      <c r="Z1314" s="70"/>
      <c r="AA1314" s="70"/>
      <c r="AB1314" s="70"/>
      <c r="AC1314" s="70"/>
    </row>
    <row r="1315" spans="1:31" s="26" customFormat="1" x14ac:dyDescent="0.3">
      <c r="A1315" s="25" t="s">
        <v>6403</v>
      </c>
      <c r="B1315" s="25"/>
      <c r="C1315" s="26" t="s">
        <v>3005</v>
      </c>
      <c r="D1315" s="70"/>
      <c r="G1315" s="70" t="s">
        <v>1151</v>
      </c>
      <c r="H1315" s="26">
        <v>-1</v>
      </c>
      <c r="I1315" s="70" t="s">
        <v>6404</v>
      </c>
      <c r="J1315" s="26" t="s">
        <v>6405</v>
      </c>
      <c r="K1315" s="26" t="s">
        <v>6406</v>
      </c>
      <c r="L1315" s="26" t="s">
        <v>10572</v>
      </c>
      <c r="M1315" s="76"/>
      <c r="N1315" s="76"/>
      <c r="O1315" s="76"/>
      <c r="P1315" s="76"/>
      <c r="Q1315" s="76"/>
      <c r="R1315" s="76"/>
      <c r="T1315" s="26" t="s">
        <v>2254</v>
      </c>
      <c r="U1315" s="26" t="s">
        <v>6407</v>
      </c>
      <c r="Z1315" s="70"/>
      <c r="AA1315" s="70"/>
      <c r="AB1315" s="70"/>
      <c r="AC1315" s="70"/>
      <c r="AE1315" s="26" t="s">
        <v>6408</v>
      </c>
    </row>
    <row r="1316" spans="1:31" s="26" customFormat="1" x14ac:dyDescent="0.3">
      <c r="A1316" s="25" t="s">
        <v>6409</v>
      </c>
      <c r="B1316" s="25"/>
      <c r="C1316" s="26" t="s">
        <v>3005</v>
      </c>
      <c r="D1316" s="70"/>
      <c r="G1316" s="70" t="s">
        <v>1151</v>
      </c>
      <c r="H1316" s="26">
        <v>-1</v>
      </c>
      <c r="I1316" s="70" t="s">
        <v>6410</v>
      </c>
      <c r="J1316" s="26" t="s">
        <v>6356</v>
      </c>
      <c r="K1316" s="26" t="s">
        <v>4449</v>
      </c>
      <c r="L1316" s="26" t="s">
        <v>10573</v>
      </c>
      <c r="M1316" s="76"/>
      <c r="N1316" s="76"/>
      <c r="O1316" s="76"/>
      <c r="P1316" s="76"/>
      <c r="Q1316" s="76"/>
      <c r="R1316" s="76"/>
      <c r="U1316" s="26" t="s">
        <v>6411</v>
      </c>
      <c r="Z1316" s="70"/>
      <c r="AA1316" s="70"/>
      <c r="AB1316" s="70"/>
      <c r="AC1316" s="70"/>
    </row>
    <row r="1317" spans="1:31" s="26" customFormat="1" x14ac:dyDescent="0.3">
      <c r="A1317" s="25" t="s">
        <v>6412</v>
      </c>
      <c r="B1317" s="25"/>
      <c r="C1317" s="26" t="s">
        <v>3005</v>
      </c>
      <c r="D1317" s="70"/>
      <c r="G1317" s="70" t="s">
        <v>1151</v>
      </c>
      <c r="H1317" s="26">
        <v>-1</v>
      </c>
      <c r="I1317" s="70" t="s">
        <v>5872</v>
      </c>
      <c r="J1317" s="26" t="s">
        <v>6413</v>
      </c>
      <c r="K1317" s="26" t="s">
        <v>6414</v>
      </c>
      <c r="L1317" s="26" t="s">
        <v>10574</v>
      </c>
      <c r="M1317" s="76"/>
      <c r="N1317" s="76"/>
      <c r="O1317" s="76"/>
      <c r="P1317" s="76"/>
      <c r="Q1317" s="76"/>
      <c r="R1317" s="76"/>
      <c r="U1317" s="26" t="s">
        <v>6415</v>
      </c>
      <c r="Z1317" s="70"/>
      <c r="AA1317" s="70"/>
      <c r="AB1317" s="70"/>
      <c r="AC1317" s="70"/>
    </row>
    <row r="1318" spans="1:31" s="26" customFormat="1" x14ac:dyDescent="0.3">
      <c r="A1318" s="25" t="s">
        <v>6416</v>
      </c>
      <c r="B1318" s="25"/>
      <c r="C1318" s="26" t="s">
        <v>3005</v>
      </c>
      <c r="D1318" s="70"/>
      <c r="G1318" s="70" t="s">
        <v>1151</v>
      </c>
      <c r="H1318" s="26">
        <v>-1</v>
      </c>
      <c r="I1318" s="70" t="s">
        <v>3763</v>
      </c>
      <c r="J1318" s="26" t="s">
        <v>6417</v>
      </c>
      <c r="K1318" s="26" t="s">
        <v>6418</v>
      </c>
      <c r="M1318" s="76"/>
      <c r="N1318" s="76"/>
      <c r="O1318" s="76"/>
      <c r="P1318" s="76"/>
      <c r="Q1318" s="76"/>
      <c r="R1318" s="76"/>
      <c r="Z1318" s="70"/>
      <c r="AA1318" s="70"/>
      <c r="AB1318" s="70"/>
      <c r="AC1318" s="70"/>
    </row>
    <row r="1319" spans="1:31" s="26" customFormat="1" x14ac:dyDescent="0.3">
      <c r="A1319" s="25" t="s">
        <v>6419</v>
      </c>
      <c r="B1319" s="25"/>
      <c r="C1319" s="26" t="s">
        <v>3005</v>
      </c>
      <c r="D1319" s="70"/>
      <c r="G1319" s="70" t="s">
        <v>1151</v>
      </c>
      <c r="H1319" s="26">
        <v>-1</v>
      </c>
      <c r="I1319" s="70" t="s">
        <v>6420</v>
      </c>
      <c r="J1319" s="26" t="s">
        <v>6421</v>
      </c>
      <c r="K1319" s="26" t="s">
        <v>6422</v>
      </c>
      <c r="L1319" s="26" t="s">
        <v>10267</v>
      </c>
      <c r="M1319" s="76"/>
      <c r="N1319" s="76"/>
      <c r="O1319" s="76"/>
      <c r="P1319" s="76"/>
      <c r="Q1319" s="76"/>
      <c r="R1319" s="76"/>
      <c r="Z1319" s="70"/>
      <c r="AA1319" s="70"/>
      <c r="AB1319" s="70"/>
      <c r="AC1319" s="70"/>
    </row>
    <row r="1320" spans="1:31" s="26" customFormat="1" x14ac:dyDescent="0.3">
      <c r="A1320" s="25" t="s">
        <v>6423</v>
      </c>
      <c r="B1320" s="25"/>
      <c r="C1320" s="26" t="s">
        <v>3005</v>
      </c>
      <c r="D1320" s="70"/>
      <c r="G1320" s="70" t="s">
        <v>1151</v>
      </c>
      <c r="H1320" s="26">
        <v>-1</v>
      </c>
      <c r="I1320" s="70" t="s">
        <v>6424</v>
      </c>
      <c r="J1320" s="26" t="s">
        <v>3110</v>
      </c>
      <c r="K1320" s="26" t="s">
        <v>6425</v>
      </c>
      <c r="M1320" s="76"/>
      <c r="N1320" s="76"/>
      <c r="O1320" s="76"/>
      <c r="P1320" s="76"/>
      <c r="Q1320" s="76"/>
      <c r="R1320" s="76"/>
      <c r="U1320" s="26" t="s">
        <v>6426</v>
      </c>
      <c r="Z1320" s="70"/>
      <c r="AA1320" s="70"/>
      <c r="AB1320" s="70"/>
      <c r="AC1320" s="70"/>
    </row>
    <row r="1321" spans="1:31" s="26" customFormat="1" x14ac:dyDescent="0.3">
      <c r="A1321" s="25" t="s">
        <v>6427</v>
      </c>
      <c r="B1321" s="25"/>
      <c r="C1321" s="26" t="s">
        <v>3005</v>
      </c>
      <c r="D1321" s="70"/>
      <c r="G1321" s="70" t="s">
        <v>1151</v>
      </c>
      <c r="H1321" s="26">
        <v>-1</v>
      </c>
      <c r="I1321" s="70" t="s">
        <v>6428</v>
      </c>
      <c r="J1321" s="26" t="s">
        <v>6429</v>
      </c>
      <c r="K1321" s="26" t="s">
        <v>6430</v>
      </c>
      <c r="M1321" s="76"/>
      <c r="N1321" s="76"/>
      <c r="O1321" s="76"/>
      <c r="P1321" s="76"/>
      <c r="Q1321" s="76"/>
      <c r="R1321" s="76"/>
      <c r="Z1321" s="70"/>
      <c r="AA1321" s="70"/>
      <c r="AB1321" s="70"/>
      <c r="AC1321" s="70"/>
    </row>
    <row r="1322" spans="1:31" s="26" customFormat="1" x14ac:dyDescent="0.3">
      <c r="A1322" s="25" t="s">
        <v>6431</v>
      </c>
      <c r="B1322" s="25"/>
      <c r="C1322" s="26" t="s">
        <v>3005</v>
      </c>
      <c r="D1322" s="70"/>
      <c r="G1322" s="70" t="s">
        <v>1151</v>
      </c>
      <c r="H1322" s="26">
        <v>-1</v>
      </c>
      <c r="I1322" s="70" t="s">
        <v>6432</v>
      </c>
      <c r="J1322" s="26" t="s">
        <v>6433</v>
      </c>
      <c r="K1322" s="26" t="s">
        <v>6434</v>
      </c>
      <c r="M1322" s="76"/>
      <c r="N1322" s="76"/>
      <c r="O1322" s="76"/>
      <c r="P1322" s="76"/>
      <c r="Q1322" s="76"/>
      <c r="R1322" s="76"/>
      <c r="U1322" s="26" t="s">
        <v>6435</v>
      </c>
      <c r="Z1322" s="70"/>
      <c r="AA1322" s="70"/>
      <c r="AB1322" s="70"/>
      <c r="AC1322" s="70"/>
    </row>
    <row r="1323" spans="1:31" s="24" customFormat="1" x14ac:dyDescent="0.3">
      <c r="A1323" s="23">
        <v>387</v>
      </c>
      <c r="B1323" s="23">
        <v>383</v>
      </c>
      <c r="C1323" s="24" t="s">
        <v>2165</v>
      </c>
      <c r="D1323" s="69" t="s">
        <v>1137</v>
      </c>
      <c r="E1323" s="24" t="s">
        <v>1136</v>
      </c>
      <c r="F1323" s="24" t="s">
        <v>1152</v>
      </c>
      <c r="G1323" s="69" t="s">
        <v>1153</v>
      </c>
      <c r="I1323" s="69"/>
      <c r="J1323" s="24" t="s">
        <v>3110</v>
      </c>
      <c r="K1323" s="24" t="s">
        <v>92</v>
      </c>
      <c r="M1323" s="75" t="s">
        <v>19</v>
      </c>
      <c r="N1323" s="75"/>
      <c r="O1323" s="75"/>
      <c r="P1323" s="75"/>
      <c r="Q1323" s="75"/>
      <c r="R1323" s="75" t="s">
        <v>2166</v>
      </c>
      <c r="U1323" s="24" t="s">
        <v>2648</v>
      </c>
      <c r="V1323" s="24" t="s">
        <v>2171</v>
      </c>
      <c r="Z1323" s="69"/>
      <c r="AA1323" s="69"/>
      <c r="AB1323" s="69"/>
      <c r="AC1323" s="69"/>
      <c r="AD1323" s="24" t="s">
        <v>11336</v>
      </c>
    </row>
    <row r="1324" spans="1:31" s="26" customFormat="1" x14ac:dyDescent="0.3">
      <c r="A1324" s="25" t="s">
        <v>6436</v>
      </c>
      <c r="B1324" s="25"/>
      <c r="C1324" s="26" t="s">
        <v>3005</v>
      </c>
      <c r="D1324" s="70"/>
      <c r="G1324" s="70" t="s">
        <v>1153</v>
      </c>
      <c r="H1324" s="26">
        <v>-1</v>
      </c>
      <c r="I1324" s="70" t="s">
        <v>6437</v>
      </c>
      <c r="J1324" s="26" t="s">
        <v>3110</v>
      </c>
      <c r="K1324" s="26" t="s">
        <v>6438</v>
      </c>
      <c r="L1324" s="26" t="s">
        <v>10575</v>
      </c>
      <c r="M1324" s="76"/>
      <c r="N1324" s="76"/>
      <c r="O1324" s="76"/>
      <c r="P1324" s="76"/>
      <c r="Q1324" s="76"/>
      <c r="R1324" s="76"/>
      <c r="U1324" s="26" t="s">
        <v>4370</v>
      </c>
      <c r="Z1324" s="70"/>
      <c r="AA1324" s="70"/>
      <c r="AB1324" s="70"/>
      <c r="AC1324" s="70"/>
    </row>
    <row r="1325" spans="1:31" s="26" customFormat="1" x14ac:dyDescent="0.3">
      <c r="A1325" s="25" t="s">
        <v>6439</v>
      </c>
      <c r="B1325" s="25"/>
      <c r="C1325" s="26" t="s">
        <v>3005</v>
      </c>
      <c r="D1325" s="70"/>
      <c r="G1325" s="70" t="s">
        <v>1153</v>
      </c>
      <c r="H1325" s="26">
        <v>-1</v>
      </c>
      <c r="I1325" s="70" t="s">
        <v>6440</v>
      </c>
      <c r="J1325" s="26" t="s">
        <v>6441</v>
      </c>
      <c r="K1325" s="26" t="s">
        <v>6442</v>
      </c>
      <c r="L1325" s="26" t="s">
        <v>10576</v>
      </c>
      <c r="M1325" s="76"/>
      <c r="N1325" s="76"/>
      <c r="O1325" s="76"/>
      <c r="P1325" s="76"/>
      <c r="Q1325" s="76"/>
      <c r="R1325" s="76"/>
      <c r="Z1325" s="70"/>
      <c r="AA1325" s="70"/>
      <c r="AB1325" s="70"/>
      <c r="AC1325" s="70"/>
    </row>
    <row r="1326" spans="1:31" s="24" customFormat="1" x14ac:dyDescent="0.3">
      <c r="A1326" s="23">
        <v>388</v>
      </c>
      <c r="B1326" s="23">
        <v>384</v>
      </c>
      <c r="C1326" s="24" t="s">
        <v>2165</v>
      </c>
      <c r="D1326" s="69" t="s">
        <v>1137</v>
      </c>
      <c r="E1326" s="24" t="s">
        <v>1136</v>
      </c>
      <c r="F1326" s="24" t="s">
        <v>1154</v>
      </c>
      <c r="G1326" s="69" t="s">
        <v>1155</v>
      </c>
      <c r="I1326" s="69"/>
      <c r="J1326" s="24" t="s">
        <v>4187</v>
      </c>
      <c r="K1326" s="24" t="s">
        <v>1156</v>
      </c>
      <c r="L1326" s="24" t="s">
        <v>9825</v>
      </c>
      <c r="M1326" s="75" t="s">
        <v>15</v>
      </c>
      <c r="N1326" s="75"/>
      <c r="O1326" s="75"/>
      <c r="P1326" s="75"/>
      <c r="Q1326" s="75"/>
      <c r="R1326" s="75"/>
      <c r="T1326" s="24" t="s">
        <v>2200</v>
      </c>
      <c r="Z1326" s="69"/>
      <c r="AA1326" s="69"/>
      <c r="AB1326" s="69"/>
      <c r="AC1326" s="69"/>
      <c r="AE1326" s="24" t="s">
        <v>2649</v>
      </c>
    </row>
    <row r="1327" spans="1:31" s="24" customFormat="1" x14ac:dyDescent="0.3">
      <c r="A1327" s="23">
        <v>389</v>
      </c>
      <c r="B1327" s="23">
        <v>385</v>
      </c>
      <c r="C1327" s="24" t="s">
        <v>2165</v>
      </c>
      <c r="D1327" s="69" t="s">
        <v>1137</v>
      </c>
      <c r="E1327" s="24" t="s">
        <v>1136</v>
      </c>
      <c r="F1327" s="24" t="s">
        <v>1157</v>
      </c>
      <c r="G1327" s="69" t="s">
        <v>1158</v>
      </c>
      <c r="H1327" s="24">
        <v>1</v>
      </c>
      <c r="I1327" s="69"/>
      <c r="J1327" s="24" t="s">
        <v>6405</v>
      </c>
      <c r="K1327" s="24" t="s">
        <v>201</v>
      </c>
      <c r="M1327" s="75" t="s">
        <v>236</v>
      </c>
      <c r="N1327" s="75"/>
      <c r="O1327" s="75"/>
      <c r="P1327" s="75"/>
      <c r="Q1327" s="75"/>
      <c r="R1327" s="75"/>
      <c r="Z1327" s="69"/>
      <c r="AA1327" s="69"/>
      <c r="AB1327" s="69"/>
      <c r="AC1327" s="69"/>
    </row>
    <row r="1328" spans="1:31" s="26" customFormat="1" x14ac:dyDescent="0.3">
      <c r="A1328" s="25" t="s">
        <v>6443</v>
      </c>
      <c r="B1328" s="25"/>
      <c r="C1328" s="26" t="s">
        <v>3005</v>
      </c>
      <c r="D1328" s="70"/>
      <c r="G1328" s="70" t="s">
        <v>1158</v>
      </c>
      <c r="H1328" s="26">
        <v>-1</v>
      </c>
      <c r="I1328" s="70" t="s">
        <v>6444</v>
      </c>
      <c r="J1328" s="26" t="s">
        <v>6445</v>
      </c>
      <c r="K1328" s="26" t="s">
        <v>6446</v>
      </c>
      <c r="L1328" s="26" t="s">
        <v>10577</v>
      </c>
      <c r="M1328" s="76"/>
      <c r="N1328" s="76"/>
      <c r="O1328" s="76"/>
      <c r="P1328" s="76"/>
      <c r="Q1328" s="76"/>
      <c r="R1328" s="76"/>
      <c r="Z1328" s="70"/>
      <c r="AA1328" s="70"/>
      <c r="AB1328" s="70"/>
      <c r="AC1328" s="70"/>
    </row>
    <row r="1329" spans="1:31" s="26" customFormat="1" x14ac:dyDescent="0.3">
      <c r="A1329" s="25" t="s">
        <v>6447</v>
      </c>
      <c r="B1329" s="25"/>
      <c r="C1329" s="26" t="s">
        <v>3005</v>
      </c>
      <c r="D1329" s="70"/>
      <c r="G1329" s="70" t="s">
        <v>1158</v>
      </c>
      <c r="H1329" s="26">
        <v>-1</v>
      </c>
      <c r="I1329" s="70" t="s">
        <v>6448</v>
      </c>
      <c r="J1329" s="26" t="s">
        <v>6429</v>
      </c>
      <c r="K1329" s="26" t="s">
        <v>6449</v>
      </c>
      <c r="M1329" s="76"/>
      <c r="N1329" s="76"/>
      <c r="O1329" s="76"/>
      <c r="P1329" s="76"/>
      <c r="Q1329" s="76"/>
      <c r="R1329" s="76"/>
      <c r="Z1329" s="70"/>
      <c r="AA1329" s="70"/>
      <c r="AB1329" s="70"/>
      <c r="AC1329" s="70"/>
    </row>
    <row r="1330" spans="1:31" s="26" customFormat="1" x14ac:dyDescent="0.3">
      <c r="A1330" s="25" t="s">
        <v>6450</v>
      </c>
      <c r="B1330" s="25"/>
      <c r="C1330" s="26" t="s">
        <v>3005</v>
      </c>
      <c r="D1330" s="70"/>
      <c r="G1330" s="70" t="s">
        <v>1158</v>
      </c>
      <c r="H1330" s="26">
        <v>-1</v>
      </c>
      <c r="I1330" s="70" t="s">
        <v>6451</v>
      </c>
      <c r="J1330" s="26" t="s">
        <v>6452</v>
      </c>
      <c r="K1330" s="26" t="s">
        <v>6453</v>
      </c>
      <c r="M1330" s="76"/>
      <c r="N1330" s="76"/>
      <c r="O1330" s="76"/>
      <c r="P1330" s="76"/>
      <c r="Q1330" s="76"/>
      <c r="R1330" s="76"/>
      <c r="Z1330" s="70"/>
      <c r="AA1330" s="70"/>
      <c r="AB1330" s="70"/>
      <c r="AC1330" s="70"/>
    </row>
    <row r="1331" spans="1:31" s="26" customFormat="1" x14ac:dyDescent="0.3">
      <c r="A1331" s="25" t="s">
        <v>6454</v>
      </c>
      <c r="B1331" s="25"/>
      <c r="C1331" s="26" t="s">
        <v>3005</v>
      </c>
      <c r="D1331" s="70"/>
      <c r="G1331" s="70" t="s">
        <v>1158</v>
      </c>
      <c r="H1331" s="26">
        <v>-1</v>
      </c>
      <c r="I1331" s="70" t="s">
        <v>6455</v>
      </c>
      <c r="J1331" s="26" t="s">
        <v>6456</v>
      </c>
      <c r="K1331" s="26" t="s">
        <v>6457</v>
      </c>
      <c r="M1331" s="76"/>
      <c r="N1331" s="76"/>
      <c r="O1331" s="76"/>
      <c r="P1331" s="76"/>
      <c r="Q1331" s="76"/>
      <c r="R1331" s="76"/>
      <c r="Z1331" s="70"/>
      <c r="AA1331" s="70"/>
      <c r="AB1331" s="70"/>
      <c r="AC1331" s="70"/>
    </row>
    <row r="1332" spans="1:31" s="26" customFormat="1" x14ac:dyDescent="0.3">
      <c r="A1332" s="25" t="s">
        <v>6458</v>
      </c>
      <c r="B1332" s="25"/>
      <c r="C1332" s="26" t="s">
        <v>3005</v>
      </c>
      <c r="D1332" s="70"/>
      <c r="G1332" s="70" t="s">
        <v>1158</v>
      </c>
      <c r="H1332" s="26">
        <v>-1</v>
      </c>
      <c r="I1332" s="70" t="s">
        <v>6459</v>
      </c>
      <c r="J1332" s="26" t="s">
        <v>6405</v>
      </c>
      <c r="K1332" s="26" t="s">
        <v>6460</v>
      </c>
      <c r="L1332" s="26" t="s">
        <v>10578</v>
      </c>
      <c r="M1332" s="76"/>
      <c r="N1332" s="76"/>
      <c r="O1332" s="76"/>
      <c r="P1332" s="76"/>
      <c r="Q1332" s="76"/>
      <c r="R1332" s="76"/>
      <c r="Z1332" s="70"/>
      <c r="AA1332" s="70"/>
      <c r="AB1332" s="70"/>
      <c r="AC1332" s="70"/>
    </row>
    <row r="1333" spans="1:31" s="26" customFormat="1" x14ac:dyDescent="0.3">
      <c r="A1333" s="25" t="s">
        <v>6461</v>
      </c>
      <c r="B1333" s="25"/>
      <c r="C1333" s="26" t="s">
        <v>3005</v>
      </c>
      <c r="D1333" s="70"/>
      <c r="G1333" s="70" t="s">
        <v>1158</v>
      </c>
      <c r="H1333" s="26">
        <v>-1</v>
      </c>
      <c r="I1333" s="70" t="s">
        <v>6462</v>
      </c>
      <c r="J1333" s="26" t="s">
        <v>4461</v>
      </c>
      <c r="K1333" s="26" t="s">
        <v>6463</v>
      </c>
      <c r="L1333" s="26" t="s">
        <v>10579</v>
      </c>
      <c r="M1333" s="76"/>
      <c r="N1333" s="76"/>
      <c r="O1333" s="76"/>
      <c r="P1333" s="76"/>
      <c r="Q1333" s="76"/>
      <c r="R1333" s="76"/>
      <c r="Z1333" s="70"/>
      <c r="AA1333" s="70"/>
      <c r="AB1333" s="70"/>
      <c r="AC1333" s="70"/>
    </row>
    <row r="1334" spans="1:31" s="26" customFormat="1" x14ac:dyDescent="0.3">
      <c r="A1334" s="25" t="s">
        <v>6464</v>
      </c>
      <c r="B1334" s="25"/>
      <c r="C1334" s="26" t="s">
        <v>3005</v>
      </c>
      <c r="D1334" s="70"/>
      <c r="G1334" s="70" t="s">
        <v>1158</v>
      </c>
      <c r="H1334" s="26">
        <v>-1</v>
      </c>
      <c r="I1334" s="70" t="s">
        <v>6465</v>
      </c>
      <c r="J1334" s="26" t="s">
        <v>6132</v>
      </c>
      <c r="K1334" s="26" t="s">
        <v>6466</v>
      </c>
      <c r="L1334" s="26" t="s">
        <v>10580</v>
      </c>
      <c r="M1334" s="76"/>
      <c r="N1334" s="76"/>
      <c r="O1334" s="76"/>
      <c r="P1334" s="76"/>
      <c r="Q1334" s="76"/>
      <c r="R1334" s="76"/>
      <c r="Z1334" s="70"/>
      <c r="AA1334" s="70"/>
      <c r="AB1334" s="70"/>
      <c r="AC1334" s="70"/>
    </row>
    <row r="1335" spans="1:31" s="26" customFormat="1" x14ac:dyDescent="0.3">
      <c r="A1335" s="25" t="s">
        <v>6467</v>
      </c>
      <c r="B1335" s="25"/>
      <c r="C1335" s="26" t="s">
        <v>3005</v>
      </c>
      <c r="D1335" s="70"/>
      <c r="G1335" s="70" t="s">
        <v>1158</v>
      </c>
      <c r="H1335" s="26">
        <v>-1</v>
      </c>
      <c r="I1335" s="70" t="s">
        <v>6468</v>
      </c>
      <c r="J1335" s="26" t="s">
        <v>6456</v>
      </c>
      <c r="K1335" s="26" t="s">
        <v>6469</v>
      </c>
      <c r="M1335" s="76"/>
      <c r="N1335" s="76"/>
      <c r="O1335" s="76"/>
      <c r="P1335" s="76"/>
      <c r="Q1335" s="76"/>
      <c r="R1335" s="76"/>
      <c r="Z1335" s="70"/>
      <c r="AA1335" s="70"/>
      <c r="AB1335" s="70"/>
      <c r="AC1335" s="70"/>
    </row>
    <row r="1336" spans="1:31" s="26" customFormat="1" x14ac:dyDescent="0.3">
      <c r="A1336" s="25" t="s">
        <v>6470</v>
      </c>
      <c r="B1336" s="25"/>
      <c r="C1336" s="26" t="s">
        <v>3005</v>
      </c>
      <c r="D1336" s="70"/>
      <c r="G1336" s="70" t="s">
        <v>1158</v>
      </c>
      <c r="H1336" s="26">
        <v>-1</v>
      </c>
      <c r="I1336" s="70" t="s">
        <v>6471</v>
      </c>
      <c r="J1336" s="26" t="s">
        <v>6472</v>
      </c>
      <c r="K1336" s="26" t="s">
        <v>6473</v>
      </c>
      <c r="M1336" s="76"/>
      <c r="N1336" s="76"/>
      <c r="O1336" s="76"/>
      <c r="P1336" s="76"/>
      <c r="Q1336" s="76"/>
      <c r="R1336" s="76"/>
      <c r="Z1336" s="70"/>
      <c r="AA1336" s="70"/>
      <c r="AB1336" s="70"/>
      <c r="AC1336" s="70"/>
    </row>
    <row r="1337" spans="1:31" s="26" customFormat="1" x14ac:dyDescent="0.3">
      <c r="A1337" s="25" t="s">
        <v>6474</v>
      </c>
      <c r="B1337" s="25"/>
      <c r="C1337" s="26" t="s">
        <v>3005</v>
      </c>
      <c r="D1337" s="70"/>
      <c r="G1337" s="70" t="s">
        <v>1158</v>
      </c>
      <c r="H1337" s="26">
        <v>-1</v>
      </c>
      <c r="I1337" s="70" t="s">
        <v>6475</v>
      </c>
      <c r="J1337" s="26" t="s">
        <v>3982</v>
      </c>
      <c r="K1337" s="26" t="s">
        <v>6476</v>
      </c>
      <c r="L1337" s="26" t="s">
        <v>10581</v>
      </c>
      <c r="M1337" s="76"/>
      <c r="N1337" s="76"/>
      <c r="O1337" s="76"/>
      <c r="P1337" s="76"/>
      <c r="Q1337" s="76"/>
      <c r="R1337" s="76"/>
      <c r="T1337" s="26" t="s">
        <v>2330</v>
      </c>
      <c r="Z1337" s="70"/>
      <c r="AA1337" s="70"/>
      <c r="AB1337" s="70"/>
      <c r="AC1337" s="70"/>
      <c r="AE1337" s="26" t="s">
        <v>6477</v>
      </c>
    </row>
    <row r="1338" spans="1:31" s="26" customFormat="1" x14ac:dyDescent="0.3">
      <c r="A1338" s="25" t="s">
        <v>6478</v>
      </c>
      <c r="B1338" s="25"/>
      <c r="C1338" s="26" t="s">
        <v>3005</v>
      </c>
      <c r="D1338" s="70"/>
      <c r="G1338" s="70" t="s">
        <v>1158</v>
      </c>
      <c r="H1338" s="26">
        <v>-1</v>
      </c>
      <c r="I1338" s="70" t="s">
        <v>6479</v>
      </c>
      <c r="J1338" s="26" t="s">
        <v>6480</v>
      </c>
      <c r="K1338" s="26" t="s">
        <v>3516</v>
      </c>
      <c r="M1338" s="76"/>
      <c r="N1338" s="76"/>
      <c r="O1338" s="76"/>
      <c r="P1338" s="76"/>
      <c r="Q1338" s="76"/>
      <c r="R1338" s="76"/>
      <c r="Z1338" s="70"/>
      <c r="AA1338" s="70"/>
      <c r="AB1338" s="70"/>
      <c r="AC1338" s="70"/>
    </row>
    <row r="1339" spans="1:31" s="26" customFormat="1" x14ac:dyDescent="0.3">
      <c r="A1339" s="25" t="s">
        <v>6481</v>
      </c>
      <c r="B1339" s="25"/>
      <c r="C1339" s="26" t="s">
        <v>3005</v>
      </c>
      <c r="D1339" s="70"/>
      <c r="G1339" s="70" t="s">
        <v>1158</v>
      </c>
      <c r="H1339" s="26">
        <v>-1</v>
      </c>
      <c r="I1339" s="70" t="s">
        <v>3576</v>
      </c>
      <c r="J1339" s="26" t="s">
        <v>5328</v>
      </c>
      <c r="K1339" s="26" t="s">
        <v>6482</v>
      </c>
      <c r="M1339" s="76"/>
      <c r="N1339" s="76"/>
      <c r="O1339" s="76"/>
      <c r="P1339" s="76"/>
      <c r="Q1339" s="76"/>
      <c r="R1339" s="76"/>
      <c r="Z1339" s="70"/>
      <c r="AA1339" s="70"/>
      <c r="AB1339" s="70"/>
      <c r="AC1339" s="70"/>
    </row>
    <row r="1340" spans="1:31" s="26" customFormat="1" x14ac:dyDescent="0.3">
      <c r="A1340" s="25" t="s">
        <v>6483</v>
      </c>
      <c r="B1340" s="25"/>
      <c r="C1340" s="26" t="s">
        <v>3005</v>
      </c>
      <c r="D1340" s="70"/>
      <c r="G1340" s="70" t="s">
        <v>1158</v>
      </c>
      <c r="H1340" s="26">
        <v>-1</v>
      </c>
      <c r="I1340" s="70" t="s">
        <v>6484</v>
      </c>
      <c r="J1340" s="26" t="s">
        <v>6485</v>
      </c>
      <c r="K1340" s="26" t="s">
        <v>6486</v>
      </c>
      <c r="M1340" s="76"/>
      <c r="N1340" s="76"/>
      <c r="O1340" s="76"/>
      <c r="P1340" s="76"/>
      <c r="Q1340" s="76"/>
      <c r="R1340" s="76"/>
      <c r="Z1340" s="70"/>
      <c r="AA1340" s="70"/>
      <c r="AB1340" s="70"/>
      <c r="AC1340" s="70"/>
    </row>
    <row r="1341" spans="1:31" s="26" customFormat="1" x14ac:dyDescent="0.3">
      <c r="A1341" s="25" t="s">
        <v>6487</v>
      </c>
      <c r="B1341" s="25"/>
      <c r="C1341" s="26" t="s">
        <v>3005</v>
      </c>
      <c r="D1341" s="70"/>
      <c r="G1341" s="70" t="s">
        <v>1158</v>
      </c>
      <c r="H1341" s="26">
        <v>2</v>
      </c>
      <c r="I1341" s="70" t="s">
        <v>6488</v>
      </c>
      <c r="J1341" s="26" t="s">
        <v>3435</v>
      </c>
      <c r="K1341" s="26" t="s">
        <v>6489</v>
      </c>
      <c r="L1341" s="26" t="s">
        <v>10582</v>
      </c>
      <c r="M1341" s="76"/>
      <c r="N1341" s="76"/>
      <c r="O1341" s="76"/>
      <c r="P1341" s="76"/>
      <c r="Q1341" s="76"/>
      <c r="R1341" s="76"/>
      <c r="Z1341" s="70"/>
      <c r="AA1341" s="70"/>
      <c r="AB1341" s="70"/>
      <c r="AC1341" s="70"/>
    </row>
    <row r="1342" spans="1:31" s="26" customFormat="1" x14ac:dyDescent="0.3">
      <c r="A1342" s="25" t="s">
        <v>6490</v>
      </c>
      <c r="B1342" s="25"/>
      <c r="C1342" s="26" t="s">
        <v>3005</v>
      </c>
      <c r="D1342" s="70"/>
      <c r="G1342" s="70" t="s">
        <v>1158</v>
      </c>
      <c r="H1342" s="26">
        <v>-1</v>
      </c>
      <c r="I1342" s="70" t="s">
        <v>6491</v>
      </c>
      <c r="J1342" s="26" t="s">
        <v>6492</v>
      </c>
      <c r="K1342" s="26" t="s">
        <v>4772</v>
      </c>
      <c r="M1342" s="76"/>
      <c r="N1342" s="76"/>
      <c r="O1342" s="76"/>
      <c r="P1342" s="76"/>
      <c r="Q1342" s="76"/>
      <c r="R1342" s="76"/>
      <c r="Z1342" s="70"/>
      <c r="AA1342" s="70"/>
      <c r="AB1342" s="70"/>
      <c r="AC1342" s="70"/>
    </row>
    <row r="1343" spans="1:31" s="26" customFormat="1" x14ac:dyDescent="0.3">
      <c r="A1343" s="25" t="s">
        <v>6493</v>
      </c>
      <c r="B1343" s="25"/>
      <c r="C1343" s="26" t="s">
        <v>3005</v>
      </c>
      <c r="D1343" s="70"/>
      <c r="G1343" s="70" t="s">
        <v>1158</v>
      </c>
      <c r="H1343" s="26">
        <v>-1</v>
      </c>
      <c r="I1343" s="70" t="s">
        <v>6494</v>
      </c>
      <c r="J1343" s="26" t="s">
        <v>6495</v>
      </c>
      <c r="K1343" s="26" t="s">
        <v>6496</v>
      </c>
      <c r="L1343" s="26" t="s">
        <v>10583</v>
      </c>
      <c r="M1343" s="76"/>
      <c r="N1343" s="76"/>
      <c r="O1343" s="76"/>
      <c r="P1343" s="76"/>
      <c r="Q1343" s="76"/>
      <c r="R1343" s="76"/>
      <c r="Z1343" s="70"/>
      <c r="AA1343" s="70"/>
      <c r="AB1343" s="70"/>
      <c r="AC1343" s="70"/>
    </row>
    <row r="1344" spans="1:31" s="24" customFormat="1" x14ac:dyDescent="0.3">
      <c r="A1344" s="23">
        <v>390</v>
      </c>
      <c r="B1344" s="23">
        <v>386</v>
      </c>
      <c r="C1344" s="24" t="s">
        <v>2165</v>
      </c>
      <c r="D1344" s="69" t="s">
        <v>1160</v>
      </c>
      <c r="E1344" s="24" t="s">
        <v>1159</v>
      </c>
      <c r="F1344" s="24" t="s">
        <v>1161</v>
      </c>
      <c r="G1344" s="69" t="s">
        <v>1162</v>
      </c>
      <c r="I1344" s="69"/>
      <c r="J1344" s="24" t="s">
        <v>5660</v>
      </c>
      <c r="K1344" s="24" t="s">
        <v>68</v>
      </c>
      <c r="L1344" s="24" t="s">
        <v>9826</v>
      </c>
      <c r="M1344" s="75" t="s">
        <v>65</v>
      </c>
      <c r="N1344" s="75" t="s">
        <v>2015</v>
      </c>
      <c r="O1344" s="75" t="s">
        <v>85</v>
      </c>
      <c r="P1344" s="75" t="s">
        <v>85</v>
      </c>
      <c r="Q1344" s="75" t="s">
        <v>85</v>
      </c>
      <c r="R1344" s="75" t="s">
        <v>2166</v>
      </c>
      <c r="T1344" s="24" t="s">
        <v>2174</v>
      </c>
      <c r="V1344" s="24" t="s">
        <v>2650</v>
      </c>
      <c r="W1344" s="24" t="s">
        <v>2650</v>
      </c>
      <c r="Y1344" s="24" t="s">
        <v>2650</v>
      </c>
      <c r="Z1344" s="69"/>
      <c r="AA1344" s="69"/>
      <c r="AB1344" s="69"/>
      <c r="AC1344" s="69"/>
      <c r="AE1344" s="24" t="s">
        <v>2651</v>
      </c>
    </row>
    <row r="1345" spans="1:31" s="24" customFormat="1" x14ac:dyDescent="0.3">
      <c r="A1345" s="23">
        <v>391</v>
      </c>
      <c r="B1345" s="23">
        <v>387</v>
      </c>
      <c r="C1345" s="24" t="s">
        <v>2165</v>
      </c>
      <c r="D1345" s="69" t="s">
        <v>1164</v>
      </c>
      <c r="E1345" s="24" t="s">
        <v>1163</v>
      </c>
      <c r="F1345" s="24" t="s">
        <v>1165</v>
      </c>
      <c r="G1345" s="69" t="s">
        <v>1166</v>
      </c>
      <c r="H1345" s="24">
        <v>2</v>
      </c>
      <c r="I1345" s="69"/>
      <c r="J1345" s="24" t="s">
        <v>6497</v>
      </c>
      <c r="K1345" s="24" t="s">
        <v>1167</v>
      </c>
      <c r="L1345" s="24" t="s">
        <v>9827</v>
      </c>
      <c r="M1345" s="75" t="s">
        <v>65</v>
      </c>
      <c r="N1345" s="75" t="s">
        <v>2025</v>
      </c>
      <c r="O1345" s="75" t="s">
        <v>58</v>
      </c>
      <c r="P1345" s="75" t="s">
        <v>58</v>
      </c>
      <c r="Q1345" s="75" t="s">
        <v>66</v>
      </c>
      <c r="R1345" s="75"/>
      <c r="T1345" s="24" t="s">
        <v>2179</v>
      </c>
      <c r="V1345" s="24" t="s">
        <v>2652</v>
      </c>
      <c r="W1345" s="24" t="s">
        <v>2653</v>
      </c>
      <c r="Y1345" s="24" t="s">
        <v>2653</v>
      </c>
      <c r="Z1345" s="69"/>
      <c r="AA1345" s="69"/>
      <c r="AB1345" s="69"/>
      <c r="AC1345" s="69"/>
      <c r="AE1345" s="24" t="s">
        <v>2654</v>
      </c>
    </row>
    <row r="1346" spans="1:31" s="26" customFormat="1" x14ac:dyDescent="0.3">
      <c r="A1346" s="25" t="s">
        <v>6498</v>
      </c>
      <c r="B1346" s="25"/>
      <c r="C1346" s="26" t="s">
        <v>3005</v>
      </c>
      <c r="D1346" s="70"/>
      <c r="G1346" s="70" t="s">
        <v>1166</v>
      </c>
      <c r="H1346" s="26">
        <v>1</v>
      </c>
      <c r="I1346" s="70" t="s">
        <v>6499</v>
      </c>
      <c r="J1346" s="26" t="s">
        <v>6500</v>
      </c>
      <c r="K1346" s="26" t="s">
        <v>6501</v>
      </c>
      <c r="M1346" s="76"/>
      <c r="N1346" s="76"/>
      <c r="O1346" s="76"/>
      <c r="P1346" s="76"/>
      <c r="Q1346" s="76"/>
      <c r="R1346" s="76"/>
      <c r="Z1346" s="70"/>
      <c r="AA1346" s="70"/>
      <c r="AB1346" s="70"/>
      <c r="AC1346" s="70"/>
    </row>
    <row r="1347" spans="1:31" s="26" customFormat="1" x14ac:dyDescent="0.3">
      <c r="A1347" s="25" t="s">
        <v>6502</v>
      </c>
      <c r="B1347" s="25"/>
      <c r="C1347" s="26" t="s">
        <v>3005</v>
      </c>
      <c r="D1347" s="70"/>
      <c r="G1347" s="70" t="s">
        <v>1166</v>
      </c>
      <c r="H1347" s="26">
        <v>1</v>
      </c>
      <c r="I1347" s="70" t="s">
        <v>6503</v>
      </c>
      <c r="J1347" s="26" t="s">
        <v>6497</v>
      </c>
      <c r="K1347" s="26" t="s">
        <v>6504</v>
      </c>
      <c r="M1347" s="76"/>
      <c r="N1347" s="76"/>
      <c r="O1347" s="76"/>
      <c r="P1347" s="76"/>
      <c r="Q1347" s="76"/>
      <c r="R1347" s="76"/>
      <c r="Z1347" s="70"/>
      <c r="AA1347" s="70"/>
      <c r="AB1347" s="70"/>
      <c r="AC1347" s="70"/>
    </row>
    <row r="1348" spans="1:31" s="24" customFormat="1" x14ac:dyDescent="0.3">
      <c r="A1348" s="23">
        <v>392</v>
      </c>
      <c r="B1348" s="23">
        <v>388</v>
      </c>
      <c r="C1348" s="24" t="s">
        <v>2165</v>
      </c>
      <c r="D1348" s="69" t="s">
        <v>1164</v>
      </c>
      <c r="E1348" s="24" t="s">
        <v>1163</v>
      </c>
      <c r="F1348" s="24" t="s">
        <v>1168</v>
      </c>
      <c r="G1348" s="69" t="s">
        <v>1169</v>
      </c>
      <c r="I1348" s="69"/>
      <c r="J1348" s="24" t="s">
        <v>5691</v>
      </c>
      <c r="K1348" s="24" t="s">
        <v>68</v>
      </c>
      <c r="L1348" s="24" t="s">
        <v>9828</v>
      </c>
      <c r="M1348" s="75" t="s">
        <v>65</v>
      </c>
      <c r="N1348" s="75" t="s">
        <v>2017</v>
      </c>
      <c r="O1348" s="75" t="s">
        <v>58</v>
      </c>
      <c r="P1348" s="75" t="s">
        <v>58</v>
      </c>
      <c r="Q1348" s="75" t="s">
        <v>67</v>
      </c>
      <c r="R1348" s="75"/>
      <c r="V1348" s="24" t="s">
        <v>2652</v>
      </c>
      <c r="W1348" s="24" t="s">
        <v>2655</v>
      </c>
      <c r="Y1348" s="24" t="s">
        <v>2652</v>
      </c>
      <c r="Z1348" s="69"/>
      <c r="AA1348" s="69"/>
      <c r="AB1348" s="69"/>
      <c r="AC1348" s="69"/>
    </row>
    <row r="1349" spans="1:31" s="24" customFormat="1" x14ac:dyDescent="0.3">
      <c r="A1349" s="23">
        <v>393</v>
      </c>
      <c r="B1349" s="23">
        <v>389</v>
      </c>
      <c r="C1349" s="24" t="s">
        <v>2165</v>
      </c>
      <c r="D1349" s="69" t="s">
        <v>1164</v>
      </c>
      <c r="E1349" s="24" t="s">
        <v>1163</v>
      </c>
      <c r="F1349" s="24" t="s">
        <v>1170</v>
      </c>
      <c r="G1349" s="69" t="s">
        <v>1171</v>
      </c>
      <c r="I1349" s="69"/>
      <c r="J1349" s="24" t="s">
        <v>4309</v>
      </c>
      <c r="K1349" s="24" t="s">
        <v>68</v>
      </c>
      <c r="L1349" s="24" t="s">
        <v>9829</v>
      </c>
      <c r="M1349" s="75" t="s">
        <v>65</v>
      </c>
      <c r="N1349" s="75" t="s">
        <v>2030</v>
      </c>
      <c r="O1349" s="75" t="s">
        <v>66</v>
      </c>
      <c r="P1349" s="75" t="s">
        <v>66</v>
      </c>
      <c r="Q1349" s="75" t="s">
        <v>66</v>
      </c>
      <c r="R1349" s="75"/>
      <c r="V1349" s="24" t="s">
        <v>2656</v>
      </c>
      <c r="W1349" s="24" t="s">
        <v>2656</v>
      </c>
      <c r="Y1349" s="24" t="s">
        <v>2656</v>
      </c>
      <c r="Z1349" s="69"/>
      <c r="AA1349" s="69"/>
      <c r="AB1349" s="69"/>
      <c r="AC1349" s="69"/>
    </row>
    <row r="1350" spans="1:31" s="24" customFormat="1" x14ac:dyDescent="0.3">
      <c r="A1350" s="23">
        <v>394</v>
      </c>
      <c r="B1350" s="23">
        <v>390</v>
      </c>
      <c r="C1350" s="24" t="s">
        <v>2165</v>
      </c>
      <c r="D1350" s="69" t="s">
        <v>1164</v>
      </c>
      <c r="E1350" s="24" t="s">
        <v>1163</v>
      </c>
      <c r="F1350" s="24" t="s">
        <v>1172</v>
      </c>
      <c r="G1350" s="69" t="s">
        <v>1173</v>
      </c>
      <c r="I1350" s="69"/>
      <c r="J1350" s="24" t="s">
        <v>5942</v>
      </c>
      <c r="K1350" s="24" t="s">
        <v>898</v>
      </c>
      <c r="L1350" s="24" t="s">
        <v>9830</v>
      </c>
      <c r="M1350" s="75" t="s">
        <v>65</v>
      </c>
      <c r="N1350" s="75" t="s">
        <v>2021</v>
      </c>
      <c r="O1350" s="75" t="s">
        <v>66</v>
      </c>
      <c r="P1350" s="75" t="s">
        <v>66</v>
      </c>
      <c r="Q1350" s="75" t="s">
        <v>67</v>
      </c>
      <c r="R1350" s="75"/>
      <c r="T1350" s="24" t="s">
        <v>2179</v>
      </c>
      <c r="V1350" s="24" t="s">
        <v>2657</v>
      </c>
      <c r="W1350" s="24" t="s">
        <v>2658</v>
      </c>
      <c r="Y1350" s="24" t="s">
        <v>2658</v>
      </c>
      <c r="Z1350" s="69"/>
      <c r="AA1350" s="69"/>
      <c r="AB1350" s="69"/>
      <c r="AC1350" s="69"/>
      <c r="AE1350" s="24" t="s">
        <v>2659</v>
      </c>
    </row>
    <row r="1351" spans="1:31" s="24" customFormat="1" x14ac:dyDescent="0.3">
      <c r="A1351" s="23">
        <v>395</v>
      </c>
      <c r="B1351" s="23">
        <v>391</v>
      </c>
      <c r="C1351" s="24" t="s">
        <v>2165</v>
      </c>
      <c r="D1351" s="69" t="s">
        <v>1164</v>
      </c>
      <c r="E1351" s="24" t="s">
        <v>1163</v>
      </c>
      <c r="F1351" s="24" t="s">
        <v>1174</v>
      </c>
      <c r="G1351" s="69" t="s">
        <v>1175</v>
      </c>
      <c r="I1351" s="69"/>
      <c r="J1351" s="24" t="s">
        <v>6505</v>
      </c>
      <c r="K1351" s="24" t="s">
        <v>68</v>
      </c>
      <c r="L1351" s="24" t="s">
        <v>9831</v>
      </c>
      <c r="M1351" s="75" t="s">
        <v>65</v>
      </c>
      <c r="N1351" s="75" t="s">
        <v>2029</v>
      </c>
      <c r="O1351" s="75" t="s">
        <v>85</v>
      </c>
      <c r="P1351" s="75" t="s">
        <v>85</v>
      </c>
      <c r="Q1351" s="75" t="s">
        <v>85</v>
      </c>
      <c r="R1351" s="75" t="s">
        <v>2166</v>
      </c>
      <c r="V1351" s="24" t="s">
        <v>2660</v>
      </c>
      <c r="W1351" s="24" t="s">
        <v>2660</v>
      </c>
      <c r="Y1351" s="24" t="s">
        <v>2661</v>
      </c>
      <c r="Z1351" s="69"/>
      <c r="AA1351" s="69"/>
      <c r="AB1351" s="69"/>
      <c r="AC1351" s="69"/>
    </row>
    <row r="1352" spans="1:31" s="24" customFormat="1" x14ac:dyDescent="0.3">
      <c r="A1352" s="23">
        <v>396</v>
      </c>
      <c r="B1352" s="23">
        <v>392</v>
      </c>
      <c r="C1352" s="24" t="s">
        <v>2165</v>
      </c>
      <c r="D1352" s="69" t="s">
        <v>1164</v>
      </c>
      <c r="E1352" s="24" t="s">
        <v>1163</v>
      </c>
      <c r="F1352" s="24" t="s">
        <v>1176</v>
      </c>
      <c r="G1352" s="69" t="s">
        <v>1177</v>
      </c>
      <c r="I1352" s="69"/>
      <c r="J1352" s="24" t="s">
        <v>5942</v>
      </c>
      <c r="K1352" s="24" t="s">
        <v>68</v>
      </c>
      <c r="L1352" s="24" t="s">
        <v>9832</v>
      </c>
      <c r="M1352" s="75" t="s">
        <v>65</v>
      </c>
      <c r="N1352" s="75" t="s">
        <v>2019</v>
      </c>
      <c r="O1352" s="75" t="s">
        <v>67</v>
      </c>
      <c r="P1352" s="75" t="s">
        <v>67</v>
      </c>
      <c r="Q1352" s="75" t="s">
        <v>85</v>
      </c>
      <c r="R1352" s="75"/>
      <c r="V1352" s="24" t="s">
        <v>2662</v>
      </c>
      <c r="W1352" s="24" t="s">
        <v>2662</v>
      </c>
      <c r="Y1352" s="24" t="s">
        <v>2662</v>
      </c>
      <c r="Z1352" s="69"/>
      <c r="AA1352" s="69"/>
      <c r="AB1352" s="69"/>
      <c r="AC1352" s="69"/>
    </row>
    <row r="1353" spans="1:31" s="24" customFormat="1" x14ac:dyDescent="0.3">
      <c r="A1353" s="23">
        <v>397</v>
      </c>
      <c r="B1353" s="23">
        <v>393</v>
      </c>
      <c r="C1353" s="24" t="s">
        <v>2165</v>
      </c>
      <c r="D1353" s="69" t="s">
        <v>1164</v>
      </c>
      <c r="E1353" s="24" t="s">
        <v>1163</v>
      </c>
      <c r="F1353" s="24" t="s">
        <v>1178</v>
      </c>
      <c r="G1353" s="69" t="s">
        <v>1179</v>
      </c>
      <c r="H1353" s="24">
        <v>2</v>
      </c>
      <c r="I1353" s="69"/>
      <c r="J1353" s="24" t="s">
        <v>3971</v>
      </c>
      <c r="K1353" s="24" t="s">
        <v>68</v>
      </c>
      <c r="M1353" s="75" t="s">
        <v>65</v>
      </c>
      <c r="N1353" s="75" t="s">
        <v>2015</v>
      </c>
      <c r="O1353" s="75"/>
      <c r="P1353" s="75"/>
      <c r="Q1353" s="75" t="s">
        <v>130</v>
      </c>
      <c r="R1353" s="75"/>
      <c r="V1353" s="24" t="s">
        <v>2657</v>
      </c>
      <c r="W1353" s="24" t="s">
        <v>2657</v>
      </c>
      <c r="Y1353" s="24" t="s">
        <v>2657</v>
      </c>
      <c r="Z1353" s="69"/>
      <c r="AA1353" s="69"/>
      <c r="AB1353" s="69"/>
      <c r="AC1353" s="69"/>
    </row>
    <row r="1354" spans="1:31" s="26" customFormat="1" x14ac:dyDescent="0.3">
      <c r="A1354" s="25" t="s">
        <v>6506</v>
      </c>
      <c r="B1354" s="25"/>
      <c r="C1354" s="26" t="s">
        <v>3005</v>
      </c>
      <c r="D1354" s="70"/>
      <c r="G1354" s="70" t="s">
        <v>1179</v>
      </c>
      <c r="H1354" s="26">
        <v>1</v>
      </c>
      <c r="I1354" s="70" t="s">
        <v>4235</v>
      </c>
      <c r="J1354" s="26" t="s">
        <v>5478</v>
      </c>
      <c r="K1354" s="26" t="s">
        <v>6507</v>
      </c>
      <c r="M1354" s="76"/>
      <c r="N1354" s="76"/>
      <c r="O1354" s="76"/>
      <c r="P1354" s="76"/>
      <c r="Q1354" s="76"/>
      <c r="R1354" s="76"/>
      <c r="Z1354" s="70"/>
      <c r="AA1354" s="70"/>
      <c r="AB1354" s="70"/>
      <c r="AC1354" s="70"/>
    </row>
    <row r="1355" spans="1:31" s="26" customFormat="1" x14ac:dyDescent="0.3">
      <c r="A1355" s="25" t="s">
        <v>6508</v>
      </c>
      <c r="B1355" s="25"/>
      <c r="C1355" s="26" t="s">
        <v>3005</v>
      </c>
      <c r="D1355" s="70"/>
      <c r="G1355" s="70" t="s">
        <v>1179</v>
      </c>
      <c r="H1355" s="26">
        <v>1</v>
      </c>
      <c r="I1355" s="70" t="s">
        <v>6509</v>
      </c>
      <c r="J1355" s="26" t="s">
        <v>3971</v>
      </c>
      <c r="K1355" s="26" t="s">
        <v>6510</v>
      </c>
      <c r="M1355" s="76"/>
      <c r="N1355" s="76"/>
      <c r="O1355" s="76"/>
      <c r="P1355" s="76"/>
      <c r="Q1355" s="76"/>
      <c r="R1355" s="76"/>
      <c r="Z1355" s="70"/>
      <c r="AA1355" s="70"/>
      <c r="AB1355" s="70"/>
      <c r="AC1355" s="70"/>
    </row>
    <row r="1356" spans="1:31" s="24" customFormat="1" x14ac:dyDescent="0.3">
      <c r="A1356" s="23">
        <v>398</v>
      </c>
      <c r="B1356" s="23">
        <v>394</v>
      </c>
      <c r="C1356" s="24" t="s">
        <v>2165</v>
      </c>
      <c r="D1356" s="69" t="s">
        <v>1164</v>
      </c>
      <c r="E1356" s="24" t="s">
        <v>1163</v>
      </c>
      <c r="F1356" s="24" t="s">
        <v>1180</v>
      </c>
      <c r="G1356" s="69" t="s">
        <v>1181</v>
      </c>
      <c r="I1356" s="69"/>
      <c r="J1356" s="24" t="s">
        <v>3323</v>
      </c>
      <c r="K1356" s="24" t="s">
        <v>1182</v>
      </c>
      <c r="M1356" s="75" t="s">
        <v>15</v>
      </c>
      <c r="N1356" s="75"/>
      <c r="O1356" s="75"/>
      <c r="P1356" s="75"/>
      <c r="Q1356" s="75"/>
      <c r="R1356" s="75" t="s">
        <v>2166</v>
      </c>
      <c r="Z1356" s="69"/>
      <c r="AA1356" s="69"/>
      <c r="AB1356" s="69"/>
      <c r="AC1356" s="69"/>
      <c r="AD1356" s="24" t="s">
        <v>1183</v>
      </c>
    </row>
    <row r="1357" spans="1:31" s="26" customFormat="1" x14ac:dyDescent="0.3">
      <c r="A1357" s="25" t="s">
        <v>6511</v>
      </c>
      <c r="B1357" s="25"/>
      <c r="C1357" s="26" t="s">
        <v>3005</v>
      </c>
      <c r="D1357" s="70"/>
      <c r="G1357" s="70" t="s">
        <v>1181</v>
      </c>
      <c r="H1357" s="26">
        <v>-1</v>
      </c>
      <c r="I1357" s="70" t="s">
        <v>6512</v>
      </c>
      <c r="J1357" s="26" t="s">
        <v>3323</v>
      </c>
      <c r="K1357" s="26" t="s">
        <v>6513</v>
      </c>
      <c r="L1357" s="26" t="s">
        <v>10584</v>
      </c>
      <c r="M1357" s="76"/>
      <c r="N1357" s="76"/>
      <c r="O1357" s="76"/>
      <c r="P1357" s="76"/>
      <c r="Q1357" s="76"/>
      <c r="R1357" s="76"/>
      <c r="Z1357" s="70"/>
      <c r="AA1357" s="70"/>
      <c r="AB1357" s="70"/>
      <c r="AC1357" s="70"/>
    </row>
    <row r="1358" spans="1:31" s="26" customFormat="1" x14ac:dyDescent="0.3">
      <c r="A1358" s="25" t="s">
        <v>6514</v>
      </c>
      <c r="B1358" s="25"/>
      <c r="C1358" s="26" t="s">
        <v>3005</v>
      </c>
      <c r="D1358" s="70"/>
      <c r="G1358" s="70" t="s">
        <v>1181</v>
      </c>
      <c r="H1358" s="26">
        <v>-1</v>
      </c>
      <c r="I1358" s="70" t="s">
        <v>3879</v>
      </c>
      <c r="J1358" s="26" t="s">
        <v>4014</v>
      </c>
      <c r="K1358" s="26" t="s">
        <v>6515</v>
      </c>
      <c r="L1358" s="26" t="s">
        <v>10585</v>
      </c>
      <c r="M1358" s="76"/>
      <c r="N1358" s="76"/>
      <c r="O1358" s="76"/>
      <c r="P1358" s="76"/>
      <c r="Q1358" s="76"/>
      <c r="R1358" s="76"/>
      <c r="Z1358" s="70"/>
      <c r="AA1358" s="70"/>
      <c r="AB1358" s="70"/>
      <c r="AC1358" s="70"/>
    </row>
    <row r="1359" spans="1:31" s="26" customFormat="1" x14ac:dyDescent="0.3">
      <c r="A1359" s="25" t="s">
        <v>6516</v>
      </c>
      <c r="B1359" s="25"/>
      <c r="C1359" s="26" t="s">
        <v>3005</v>
      </c>
      <c r="D1359" s="70"/>
      <c r="G1359" s="70" t="s">
        <v>1181</v>
      </c>
      <c r="H1359" s="26">
        <v>-1</v>
      </c>
      <c r="I1359" s="70" t="s">
        <v>6517</v>
      </c>
      <c r="J1359" s="26" t="s">
        <v>6518</v>
      </c>
      <c r="K1359" s="26" t="s">
        <v>6519</v>
      </c>
      <c r="L1359" s="26" t="s">
        <v>10586</v>
      </c>
      <c r="M1359" s="76"/>
      <c r="N1359" s="76"/>
      <c r="O1359" s="76"/>
      <c r="P1359" s="76"/>
      <c r="Q1359" s="76"/>
      <c r="R1359" s="76"/>
      <c r="Z1359" s="70"/>
      <c r="AA1359" s="70"/>
      <c r="AB1359" s="70"/>
      <c r="AC1359" s="70"/>
    </row>
    <row r="1360" spans="1:31" s="26" customFormat="1" x14ac:dyDescent="0.3">
      <c r="A1360" s="25" t="s">
        <v>6520</v>
      </c>
      <c r="B1360" s="25"/>
      <c r="C1360" s="26" t="s">
        <v>3005</v>
      </c>
      <c r="D1360" s="70"/>
      <c r="G1360" s="70" t="s">
        <v>1181</v>
      </c>
      <c r="H1360" s="26">
        <v>-1</v>
      </c>
      <c r="I1360" s="70" t="s">
        <v>6521</v>
      </c>
      <c r="J1360" s="26" t="s">
        <v>5759</v>
      </c>
      <c r="K1360" s="26" t="s">
        <v>6522</v>
      </c>
      <c r="L1360" s="26" t="s">
        <v>10587</v>
      </c>
      <c r="M1360" s="76"/>
      <c r="N1360" s="76"/>
      <c r="O1360" s="76"/>
      <c r="P1360" s="76"/>
      <c r="Q1360" s="76"/>
      <c r="R1360" s="76"/>
      <c r="Z1360" s="70"/>
      <c r="AA1360" s="70"/>
      <c r="AB1360" s="70"/>
      <c r="AC1360" s="70"/>
    </row>
    <row r="1361" spans="1:31" s="26" customFormat="1" x14ac:dyDescent="0.3">
      <c r="A1361" s="25" t="s">
        <v>6523</v>
      </c>
      <c r="B1361" s="25"/>
      <c r="C1361" s="26" t="s">
        <v>3005</v>
      </c>
      <c r="D1361" s="70"/>
      <c r="G1361" s="70" t="s">
        <v>1181</v>
      </c>
      <c r="H1361" s="26">
        <v>-1</v>
      </c>
      <c r="I1361" s="70" t="s">
        <v>6524</v>
      </c>
      <c r="J1361" s="26" t="s">
        <v>6525</v>
      </c>
      <c r="K1361" s="26" t="s">
        <v>6526</v>
      </c>
      <c r="L1361" s="26" t="s">
        <v>10588</v>
      </c>
      <c r="M1361" s="76"/>
      <c r="N1361" s="76"/>
      <c r="O1361" s="76"/>
      <c r="P1361" s="76"/>
      <c r="Q1361" s="76"/>
      <c r="R1361" s="76"/>
      <c r="Z1361" s="70"/>
      <c r="AA1361" s="70"/>
      <c r="AB1361" s="70"/>
      <c r="AC1361" s="70"/>
    </row>
    <row r="1362" spans="1:31" s="24" customFormat="1" x14ac:dyDescent="0.3">
      <c r="A1362" s="23">
        <v>399</v>
      </c>
      <c r="B1362" s="23">
        <v>395</v>
      </c>
      <c r="C1362" s="24" t="s">
        <v>2165</v>
      </c>
      <c r="D1362" s="69" t="s">
        <v>1164</v>
      </c>
      <c r="E1362" s="24" t="s">
        <v>1163</v>
      </c>
      <c r="F1362" s="24" t="s">
        <v>1184</v>
      </c>
      <c r="G1362" s="69" t="s">
        <v>1185</v>
      </c>
      <c r="H1362" s="24">
        <v>3</v>
      </c>
      <c r="I1362" s="69"/>
      <c r="J1362" s="24" t="s">
        <v>3174</v>
      </c>
      <c r="K1362" s="24" t="s">
        <v>68</v>
      </c>
      <c r="M1362" s="75" t="s">
        <v>732</v>
      </c>
      <c r="N1362" s="75"/>
      <c r="O1362" s="75" t="s">
        <v>58</v>
      </c>
      <c r="P1362" s="75" t="s">
        <v>58</v>
      </c>
      <c r="Q1362" s="75" t="s">
        <v>85</v>
      </c>
      <c r="R1362" s="75"/>
      <c r="Z1362" s="69"/>
      <c r="AA1362" s="69"/>
      <c r="AB1362" s="69"/>
      <c r="AC1362" s="69"/>
    </row>
    <row r="1363" spans="1:31" s="26" customFormat="1" x14ac:dyDescent="0.3">
      <c r="A1363" s="25" t="s">
        <v>6527</v>
      </c>
      <c r="B1363" s="25"/>
      <c r="C1363" s="26" t="s">
        <v>3005</v>
      </c>
      <c r="D1363" s="70"/>
      <c r="G1363" s="70" t="s">
        <v>1185</v>
      </c>
      <c r="H1363" s="26">
        <v>4</v>
      </c>
      <c r="I1363" s="70" t="s">
        <v>6528</v>
      </c>
      <c r="J1363" s="26" t="s">
        <v>3174</v>
      </c>
      <c r="K1363" s="26" t="s">
        <v>6529</v>
      </c>
      <c r="L1363" s="26" t="s">
        <v>9843</v>
      </c>
      <c r="M1363" s="76"/>
      <c r="N1363" s="76"/>
      <c r="O1363" s="76"/>
      <c r="P1363" s="76"/>
      <c r="Q1363" s="76"/>
      <c r="R1363" s="76"/>
      <c r="Z1363" s="70"/>
      <c r="AA1363" s="70"/>
      <c r="AB1363" s="70"/>
      <c r="AC1363" s="70"/>
    </row>
    <row r="1364" spans="1:31" s="26" customFormat="1" x14ac:dyDescent="0.3">
      <c r="A1364" s="25" t="s">
        <v>6530</v>
      </c>
      <c r="B1364" s="25"/>
      <c r="C1364" s="26" t="s">
        <v>3005</v>
      </c>
      <c r="D1364" s="70"/>
      <c r="G1364" s="70" t="s">
        <v>1185</v>
      </c>
      <c r="H1364" s="26">
        <v>2</v>
      </c>
      <c r="I1364" s="70" t="s">
        <v>6531</v>
      </c>
      <c r="J1364" s="26" t="s">
        <v>6532</v>
      </c>
      <c r="K1364" s="26" t="s">
        <v>6533</v>
      </c>
      <c r="L1364" s="26" t="s">
        <v>10589</v>
      </c>
      <c r="M1364" s="76"/>
      <c r="N1364" s="76"/>
      <c r="O1364" s="76"/>
      <c r="P1364" s="76"/>
      <c r="Q1364" s="76"/>
      <c r="R1364" s="76"/>
      <c r="Z1364" s="70"/>
      <c r="AA1364" s="70"/>
      <c r="AB1364" s="70"/>
      <c r="AC1364" s="70"/>
    </row>
    <row r="1365" spans="1:31" s="26" customFormat="1" x14ac:dyDescent="0.3">
      <c r="A1365" s="25" t="s">
        <v>6534</v>
      </c>
      <c r="B1365" s="25"/>
      <c r="C1365" s="26" t="s">
        <v>3005</v>
      </c>
      <c r="D1365" s="70"/>
      <c r="G1365" s="70" t="s">
        <v>1185</v>
      </c>
      <c r="H1365" s="26">
        <v>2</v>
      </c>
      <c r="I1365" s="70" t="s">
        <v>5420</v>
      </c>
      <c r="J1365" s="26" t="s">
        <v>3804</v>
      </c>
      <c r="K1365" s="26" t="s">
        <v>6535</v>
      </c>
      <c r="L1365" s="26" t="s">
        <v>10590</v>
      </c>
      <c r="M1365" s="76"/>
      <c r="N1365" s="76"/>
      <c r="O1365" s="76"/>
      <c r="P1365" s="76"/>
      <c r="Q1365" s="76"/>
      <c r="R1365" s="76"/>
      <c r="T1365" s="26" t="s">
        <v>2200</v>
      </c>
      <c r="Z1365" s="70"/>
      <c r="AA1365" s="70"/>
      <c r="AB1365" s="70"/>
      <c r="AC1365" s="70"/>
      <c r="AE1365" s="26" t="s">
        <v>6536</v>
      </c>
    </row>
    <row r="1366" spans="1:31" s="26" customFormat="1" x14ac:dyDescent="0.3">
      <c r="A1366" s="25" t="s">
        <v>6537</v>
      </c>
      <c r="B1366" s="25"/>
      <c r="C1366" s="26" t="s">
        <v>3005</v>
      </c>
      <c r="D1366" s="70"/>
      <c r="G1366" s="70" t="s">
        <v>1185</v>
      </c>
      <c r="H1366" s="26">
        <v>-1</v>
      </c>
      <c r="I1366" s="70" t="s">
        <v>3155</v>
      </c>
      <c r="J1366" s="26" t="s">
        <v>6538</v>
      </c>
      <c r="K1366" s="26" t="s">
        <v>6539</v>
      </c>
      <c r="L1366" s="26" t="s">
        <v>9968</v>
      </c>
      <c r="M1366" s="76"/>
      <c r="N1366" s="76"/>
      <c r="O1366" s="76"/>
      <c r="P1366" s="76"/>
      <c r="Q1366" s="76"/>
      <c r="R1366" s="76"/>
      <c r="Z1366" s="70"/>
      <c r="AA1366" s="70"/>
      <c r="AB1366" s="70"/>
      <c r="AC1366" s="70"/>
    </row>
    <row r="1367" spans="1:31" s="24" customFormat="1" x14ac:dyDescent="0.3">
      <c r="A1367" s="23">
        <v>400</v>
      </c>
      <c r="B1367" s="23">
        <v>396</v>
      </c>
      <c r="C1367" s="24" t="s">
        <v>2165</v>
      </c>
      <c r="D1367" s="69" t="s">
        <v>1164</v>
      </c>
      <c r="E1367" s="24" t="s">
        <v>1163</v>
      </c>
      <c r="F1367" s="24" t="s">
        <v>1186</v>
      </c>
      <c r="G1367" s="69" t="s">
        <v>1187</v>
      </c>
      <c r="H1367" s="24">
        <v>4</v>
      </c>
      <c r="I1367" s="69"/>
      <c r="J1367" s="24" t="s">
        <v>3364</v>
      </c>
      <c r="K1367" s="24" t="s">
        <v>1188</v>
      </c>
      <c r="M1367" s="75" t="s">
        <v>15</v>
      </c>
      <c r="N1367" s="75"/>
      <c r="O1367" s="75"/>
      <c r="P1367" s="75"/>
      <c r="Q1367" s="75" t="s">
        <v>85</v>
      </c>
      <c r="R1367" s="75"/>
      <c r="W1367" s="24" t="s">
        <v>2663</v>
      </c>
      <c r="Z1367" s="69"/>
      <c r="AA1367" s="69"/>
      <c r="AB1367" s="69"/>
      <c r="AC1367" s="69"/>
    </row>
    <row r="1368" spans="1:31" s="26" customFormat="1" x14ac:dyDescent="0.3">
      <c r="A1368" s="25" t="s">
        <v>6540</v>
      </c>
      <c r="B1368" s="25"/>
      <c r="C1368" s="26" t="s">
        <v>3005</v>
      </c>
      <c r="D1368" s="70"/>
      <c r="G1368" s="70" t="s">
        <v>1187</v>
      </c>
      <c r="H1368" s="26">
        <v>3</v>
      </c>
      <c r="I1368" s="70" t="s">
        <v>6541</v>
      </c>
      <c r="J1368" s="26" t="s">
        <v>6294</v>
      </c>
      <c r="K1368" s="26" t="s">
        <v>4237</v>
      </c>
      <c r="L1368" s="26" t="s">
        <v>6846</v>
      </c>
      <c r="M1368" s="76"/>
      <c r="N1368" s="76"/>
      <c r="O1368" s="76"/>
      <c r="P1368" s="76"/>
      <c r="Q1368" s="76"/>
      <c r="R1368" s="76"/>
      <c r="Z1368" s="70"/>
      <c r="AA1368" s="70"/>
      <c r="AB1368" s="70"/>
      <c r="AC1368" s="70"/>
    </row>
    <row r="1369" spans="1:31" s="26" customFormat="1" x14ac:dyDescent="0.3">
      <c r="A1369" s="25" t="s">
        <v>6542</v>
      </c>
      <c r="B1369" s="25"/>
      <c r="C1369" s="26" t="s">
        <v>3005</v>
      </c>
      <c r="D1369" s="70"/>
      <c r="G1369" s="70" t="s">
        <v>1187</v>
      </c>
      <c r="H1369" s="26">
        <v>2</v>
      </c>
      <c r="I1369" s="70" t="s">
        <v>6543</v>
      </c>
      <c r="J1369" s="26" t="s">
        <v>6221</v>
      </c>
      <c r="K1369" s="26" t="s">
        <v>6544</v>
      </c>
      <c r="L1369" s="26" t="s">
        <v>10589</v>
      </c>
      <c r="M1369" s="76"/>
      <c r="N1369" s="76"/>
      <c r="O1369" s="76"/>
      <c r="P1369" s="76"/>
      <c r="Q1369" s="76"/>
      <c r="R1369" s="76"/>
      <c r="Z1369" s="70"/>
      <c r="AA1369" s="70"/>
      <c r="AB1369" s="70"/>
      <c r="AC1369" s="70"/>
    </row>
    <row r="1370" spans="1:31" s="26" customFormat="1" x14ac:dyDescent="0.3">
      <c r="A1370" s="25" t="s">
        <v>6545</v>
      </c>
      <c r="B1370" s="25"/>
      <c r="C1370" s="26" t="s">
        <v>3005</v>
      </c>
      <c r="D1370" s="70"/>
      <c r="G1370" s="70" t="s">
        <v>1187</v>
      </c>
      <c r="H1370" s="26">
        <v>3</v>
      </c>
      <c r="I1370" s="70" t="s">
        <v>5126</v>
      </c>
      <c r="J1370" s="26" t="s">
        <v>5181</v>
      </c>
      <c r="K1370" s="26" t="s">
        <v>6546</v>
      </c>
      <c r="L1370" s="26" t="s">
        <v>10591</v>
      </c>
      <c r="M1370" s="76"/>
      <c r="N1370" s="76"/>
      <c r="O1370" s="76"/>
      <c r="P1370" s="76"/>
      <c r="Q1370" s="76"/>
      <c r="R1370" s="76"/>
      <c r="Z1370" s="70"/>
      <c r="AA1370" s="70"/>
      <c r="AB1370" s="70"/>
      <c r="AC1370" s="70"/>
    </row>
    <row r="1371" spans="1:31" s="26" customFormat="1" x14ac:dyDescent="0.3">
      <c r="A1371" s="25" t="s">
        <v>6547</v>
      </c>
      <c r="B1371" s="25"/>
      <c r="C1371" s="26" t="s">
        <v>3005</v>
      </c>
      <c r="D1371" s="70"/>
      <c r="G1371" s="70" t="s">
        <v>1187</v>
      </c>
      <c r="H1371" s="26">
        <v>3</v>
      </c>
      <c r="I1371" s="70" t="s">
        <v>6548</v>
      </c>
      <c r="J1371" s="26" t="s">
        <v>4653</v>
      </c>
      <c r="K1371" s="26" t="s">
        <v>6043</v>
      </c>
      <c r="L1371" s="26" t="s">
        <v>9831</v>
      </c>
      <c r="M1371" s="76"/>
      <c r="N1371" s="76"/>
      <c r="O1371" s="76"/>
      <c r="P1371" s="76"/>
      <c r="Q1371" s="76"/>
      <c r="R1371" s="76"/>
      <c r="Z1371" s="70"/>
      <c r="AA1371" s="70"/>
      <c r="AB1371" s="70"/>
      <c r="AC1371" s="70"/>
    </row>
    <row r="1372" spans="1:31" s="26" customFormat="1" x14ac:dyDescent="0.3">
      <c r="A1372" s="25" t="s">
        <v>6549</v>
      </c>
      <c r="B1372" s="25"/>
      <c r="C1372" s="26" t="s">
        <v>3005</v>
      </c>
      <c r="D1372" s="70"/>
      <c r="G1372" s="70" t="s">
        <v>1187</v>
      </c>
      <c r="H1372" s="26">
        <v>-1</v>
      </c>
      <c r="I1372" s="70" t="s">
        <v>6550</v>
      </c>
      <c r="J1372" s="26" t="s">
        <v>3364</v>
      </c>
      <c r="K1372" s="26" t="s">
        <v>6551</v>
      </c>
      <c r="L1372" s="26" t="s">
        <v>10592</v>
      </c>
      <c r="M1372" s="76"/>
      <c r="N1372" s="76"/>
      <c r="O1372" s="76"/>
      <c r="P1372" s="76"/>
      <c r="Q1372" s="76"/>
      <c r="R1372" s="76"/>
      <c r="Z1372" s="70"/>
      <c r="AA1372" s="70"/>
      <c r="AB1372" s="70"/>
      <c r="AC1372" s="70"/>
    </row>
    <row r="1373" spans="1:31" s="24" customFormat="1" x14ac:dyDescent="0.3">
      <c r="A1373" s="23">
        <v>401</v>
      </c>
      <c r="B1373" s="23">
        <v>397</v>
      </c>
      <c r="C1373" s="24" t="s">
        <v>2165</v>
      </c>
      <c r="D1373" s="69" t="s">
        <v>1164</v>
      </c>
      <c r="E1373" s="24" t="s">
        <v>1163</v>
      </c>
      <c r="F1373" s="24" t="s">
        <v>1189</v>
      </c>
      <c r="G1373" s="69" t="s">
        <v>1190</v>
      </c>
      <c r="I1373" s="69"/>
      <c r="J1373" s="24" t="s">
        <v>3056</v>
      </c>
      <c r="K1373" s="24" t="s">
        <v>1191</v>
      </c>
      <c r="M1373" s="75" t="s">
        <v>107</v>
      </c>
      <c r="N1373" s="75"/>
      <c r="O1373" s="75"/>
      <c r="P1373" s="75"/>
      <c r="Q1373" s="75"/>
      <c r="R1373" s="75"/>
      <c r="Z1373" s="69"/>
      <c r="AA1373" s="69"/>
      <c r="AB1373" s="69"/>
      <c r="AC1373" s="69"/>
      <c r="AD1373" s="24" t="s">
        <v>1192</v>
      </c>
    </row>
    <row r="1374" spans="1:31" s="26" customFormat="1" x14ac:dyDescent="0.3">
      <c r="A1374" s="25" t="s">
        <v>6552</v>
      </c>
      <c r="B1374" s="25"/>
      <c r="C1374" s="26" t="s">
        <v>3005</v>
      </c>
      <c r="D1374" s="70"/>
      <c r="G1374" s="70" t="s">
        <v>1190</v>
      </c>
      <c r="H1374" s="26">
        <v>-1</v>
      </c>
      <c r="I1374" s="70" t="s">
        <v>6553</v>
      </c>
      <c r="J1374" s="26" t="s">
        <v>3056</v>
      </c>
      <c r="K1374" s="26" t="s">
        <v>6554</v>
      </c>
      <c r="L1374" s="26" t="s">
        <v>10593</v>
      </c>
      <c r="M1374" s="76"/>
      <c r="N1374" s="76"/>
      <c r="O1374" s="76"/>
      <c r="P1374" s="76"/>
      <c r="Q1374" s="76"/>
      <c r="R1374" s="76"/>
      <c r="Z1374" s="70"/>
      <c r="AA1374" s="70"/>
      <c r="AB1374" s="70"/>
      <c r="AC1374" s="70"/>
    </row>
    <row r="1375" spans="1:31" s="26" customFormat="1" x14ac:dyDescent="0.3">
      <c r="A1375" s="25" t="s">
        <v>6555</v>
      </c>
      <c r="B1375" s="25"/>
      <c r="C1375" s="26" t="s">
        <v>3005</v>
      </c>
      <c r="D1375" s="70"/>
      <c r="G1375" s="70" t="s">
        <v>1190</v>
      </c>
      <c r="H1375" s="26">
        <v>-1</v>
      </c>
      <c r="I1375" s="70" t="s">
        <v>6556</v>
      </c>
      <c r="J1375" s="26" t="s">
        <v>6557</v>
      </c>
      <c r="K1375" s="26" t="s">
        <v>6558</v>
      </c>
      <c r="L1375" s="26" t="s">
        <v>10594</v>
      </c>
      <c r="M1375" s="76"/>
      <c r="N1375" s="76"/>
      <c r="O1375" s="76"/>
      <c r="P1375" s="76"/>
      <c r="Q1375" s="76"/>
      <c r="R1375" s="76"/>
      <c r="Z1375" s="70"/>
      <c r="AA1375" s="70"/>
      <c r="AB1375" s="70"/>
      <c r="AC1375" s="70"/>
    </row>
    <row r="1376" spans="1:31" s="26" customFormat="1" x14ac:dyDescent="0.3">
      <c r="A1376" s="25" t="s">
        <v>6559</v>
      </c>
      <c r="B1376" s="25"/>
      <c r="C1376" s="26" t="s">
        <v>3005</v>
      </c>
      <c r="D1376" s="70"/>
      <c r="G1376" s="70" t="s">
        <v>1190</v>
      </c>
      <c r="H1376" s="26">
        <v>-1</v>
      </c>
      <c r="I1376" s="70" t="s">
        <v>6560</v>
      </c>
      <c r="J1376" s="26" t="s">
        <v>6561</v>
      </c>
      <c r="K1376" s="26" t="s">
        <v>6562</v>
      </c>
      <c r="L1376" s="26" t="s">
        <v>10595</v>
      </c>
      <c r="M1376" s="76"/>
      <c r="N1376" s="76"/>
      <c r="O1376" s="76"/>
      <c r="P1376" s="76"/>
      <c r="Q1376" s="76"/>
      <c r="R1376" s="76"/>
      <c r="Z1376" s="70"/>
      <c r="AA1376" s="70"/>
      <c r="AB1376" s="70"/>
      <c r="AC1376" s="70"/>
    </row>
    <row r="1377" spans="1:29" s="26" customFormat="1" x14ac:dyDescent="0.3">
      <c r="A1377" s="25" t="s">
        <v>6563</v>
      </c>
      <c r="B1377" s="25"/>
      <c r="C1377" s="26" t="s">
        <v>3005</v>
      </c>
      <c r="D1377" s="70"/>
      <c r="G1377" s="70" t="s">
        <v>1190</v>
      </c>
      <c r="H1377" s="26">
        <v>-1</v>
      </c>
      <c r="I1377" s="70" t="s">
        <v>3384</v>
      </c>
      <c r="J1377" s="26" t="s">
        <v>6564</v>
      </c>
      <c r="K1377" s="26" t="s">
        <v>3888</v>
      </c>
      <c r="L1377" s="26" t="s">
        <v>10596</v>
      </c>
      <c r="M1377" s="76"/>
      <c r="N1377" s="76"/>
      <c r="O1377" s="76"/>
      <c r="P1377" s="76"/>
      <c r="Q1377" s="76"/>
      <c r="R1377" s="76"/>
      <c r="Z1377" s="70"/>
      <c r="AA1377" s="70"/>
      <c r="AB1377" s="70"/>
      <c r="AC1377" s="70"/>
    </row>
    <row r="1378" spans="1:29" s="24" customFormat="1" x14ac:dyDescent="0.3">
      <c r="A1378" s="23">
        <v>402</v>
      </c>
      <c r="B1378" s="23">
        <v>398</v>
      </c>
      <c r="C1378" s="24" t="s">
        <v>2165</v>
      </c>
      <c r="D1378" s="69" t="s">
        <v>1164</v>
      </c>
      <c r="E1378" s="24" t="s">
        <v>1163</v>
      </c>
      <c r="F1378" s="24" t="s">
        <v>1193</v>
      </c>
      <c r="G1378" s="69" t="s">
        <v>1194</v>
      </c>
      <c r="I1378" s="69"/>
      <c r="J1378" s="24" t="s">
        <v>6565</v>
      </c>
      <c r="K1378" s="24" t="s">
        <v>68</v>
      </c>
      <c r="L1378" s="24" t="s">
        <v>9833</v>
      </c>
      <c r="M1378" s="75" t="s">
        <v>65</v>
      </c>
      <c r="N1378" s="75" t="s">
        <v>2025</v>
      </c>
      <c r="O1378" s="75" t="s">
        <v>58</v>
      </c>
      <c r="P1378" s="75" t="s">
        <v>58</v>
      </c>
      <c r="Q1378" s="75" t="s">
        <v>66</v>
      </c>
      <c r="R1378" s="75"/>
      <c r="Z1378" s="69"/>
      <c r="AA1378" s="69"/>
      <c r="AB1378" s="69"/>
      <c r="AC1378" s="69"/>
    </row>
    <row r="1379" spans="1:29" s="24" customFormat="1" x14ac:dyDescent="0.3">
      <c r="A1379" s="23">
        <v>403</v>
      </c>
      <c r="B1379" s="23">
        <v>399</v>
      </c>
      <c r="C1379" s="24" t="s">
        <v>2165</v>
      </c>
      <c r="D1379" s="69" t="s">
        <v>1164</v>
      </c>
      <c r="E1379" s="24" t="s">
        <v>1163</v>
      </c>
      <c r="F1379" s="24" t="s">
        <v>1195</v>
      </c>
      <c r="G1379" s="69" t="s">
        <v>1196</v>
      </c>
      <c r="H1379" s="24">
        <v>4</v>
      </c>
      <c r="I1379" s="69"/>
      <c r="J1379" s="24" t="s">
        <v>3158</v>
      </c>
      <c r="K1379" s="24" t="s">
        <v>68</v>
      </c>
      <c r="M1379" s="75" t="s">
        <v>65</v>
      </c>
      <c r="N1379" s="75" t="s">
        <v>2015</v>
      </c>
      <c r="O1379" s="75"/>
      <c r="P1379" s="75"/>
      <c r="Q1379" s="75"/>
      <c r="R1379" s="75"/>
      <c r="Z1379" s="69"/>
      <c r="AA1379" s="69"/>
      <c r="AB1379" s="69"/>
      <c r="AC1379" s="69"/>
    </row>
    <row r="1380" spans="1:29" s="26" customFormat="1" x14ac:dyDescent="0.3">
      <c r="A1380" s="25" t="s">
        <v>6566</v>
      </c>
      <c r="B1380" s="25"/>
      <c r="C1380" s="26" t="s">
        <v>3005</v>
      </c>
      <c r="D1380" s="70"/>
      <c r="G1380" s="70" t="s">
        <v>1196</v>
      </c>
      <c r="H1380" s="26">
        <v>1</v>
      </c>
      <c r="I1380" s="70" t="s">
        <v>6567</v>
      </c>
      <c r="J1380" s="26" t="s">
        <v>3158</v>
      </c>
      <c r="K1380" s="26" t="s">
        <v>4237</v>
      </c>
      <c r="L1380" s="26" t="s">
        <v>6846</v>
      </c>
      <c r="M1380" s="76"/>
      <c r="N1380" s="76"/>
      <c r="O1380" s="76"/>
      <c r="P1380" s="76"/>
      <c r="Q1380" s="76"/>
      <c r="R1380" s="76"/>
      <c r="Z1380" s="70"/>
      <c r="AA1380" s="70"/>
      <c r="AB1380" s="70"/>
      <c r="AC1380" s="70"/>
    </row>
    <row r="1381" spans="1:29" s="26" customFormat="1" x14ac:dyDescent="0.3">
      <c r="A1381" s="25" t="s">
        <v>6568</v>
      </c>
      <c r="B1381" s="25"/>
      <c r="C1381" s="26" t="s">
        <v>3005</v>
      </c>
      <c r="D1381" s="70"/>
      <c r="G1381" s="70" t="s">
        <v>1196</v>
      </c>
      <c r="H1381" s="26">
        <v>1</v>
      </c>
      <c r="I1381" s="70" t="s">
        <v>6569</v>
      </c>
      <c r="J1381" s="26" t="s">
        <v>6294</v>
      </c>
      <c r="K1381" s="26" t="s">
        <v>6570</v>
      </c>
      <c r="L1381" s="26" t="s">
        <v>10597</v>
      </c>
      <c r="M1381" s="76"/>
      <c r="N1381" s="76"/>
      <c r="O1381" s="76"/>
      <c r="P1381" s="76"/>
      <c r="Q1381" s="76"/>
      <c r="R1381" s="76"/>
      <c r="Z1381" s="70"/>
      <c r="AA1381" s="70"/>
      <c r="AB1381" s="70"/>
      <c r="AC1381" s="70"/>
    </row>
    <row r="1382" spans="1:29" s="26" customFormat="1" x14ac:dyDescent="0.3">
      <c r="A1382" s="25" t="s">
        <v>6571</v>
      </c>
      <c r="B1382" s="25"/>
      <c r="C1382" s="26" t="s">
        <v>3005</v>
      </c>
      <c r="D1382" s="70"/>
      <c r="G1382" s="70" t="s">
        <v>1196</v>
      </c>
      <c r="H1382" s="26">
        <v>1</v>
      </c>
      <c r="I1382" s="70" t="s">
        <v>3966</v>
      </c>
      <c r="J1382" s="26" t="s">
        <v>6572</v>
      </c>
      <c r="K1382" s="26" t="s">
        <v>6573</v>
      </c>
      <c r="L1382" s="26" t="s">
        <v>10598</v>
      </c>
      <c r="M1382" s="76"/>
      <c r="N1382" s="76"/>
      <c r="O1382" s="76"/>
      <c r="P1382" s="76"/>
      <c r="Q1382" s="76"/>
      <c r="R1382" s="76"/>
      <c r="Z1382" s="70"/>
      <c r="AA1382" s="70"/>
      <c r="AB1382" s="70"/>
      <c r="AC1382" s="70"/>
    </row>
    <row r="1383" spans="1:29" s="26" customFormat="1" x14ac:dyDescent="0.3">
      <c r="A1383" s="25" t="s">
        <v>6574</v>
      </c>
      <c r="B1383" s="25"/>
      <c r="C1383" s="26" t="s">
        <v>3005</v>
      </c>
      <c r="D1383" s="70"/>
      <c r="G1383" s="70" t="s">
        <v>1196</v>
      </c>
      <c r="H1383" s="26">
        <v>1</v>
      </c>
      <c r="I1383" s="70" t="s">
        <v>5230</v>
      </c>
      <c r="J1383" s="26" t="s">
        <v>5303</v>
      </c>
      <c r="K1383" s="26" t="s">
        <v>5764</v>
      </c>
      <c r="L1383" s="26" t="s">
        <v>9990</v>
      </c>
      <c r="M1383" s="76"/>
      <c r="N1383" s="76"/>
      <c r="O1383" s="76"/>
      <c r="P1383" s="76"/>
      <c r="Q1383" s="76"/>
      <c r="R1383" s="76"/>
      <c r="Z1383" s="70"/>
      <c r="AA1383" s="70"/>
      <c r="AB1383" s="70"/>
      <c r="AC1383" s="70"/>
    </row>
    <row r="1384" spans="1:29" s="24" customFormat="1" x14ac:dyDescent="0.3">
      <c r="A1384" s="23">
        <v>404</v>
      </c>
      <c r="B1384" s="23">
        <v>400</v>
      </c>
      <c r="C1384" s="24" t="s">
        <v>2165</v>
      </c>
      <c r="D1384" s="69" t="s">
        <v>1164</v>
      </c>
      <c r="E1384" s="24" t="s">
        <v>1163</v>
      </c>
      <c r="F1384" s="24" t="s">
        <v>2666</v>
      </c>
      <c r="G1384" s="69" t="s">
        <v>1198</v>
      </c>
      <c r="H1384" s="24">
        <v>10</v>
      </c>
      <c r="I1384" s="69"/>
      <c r="J1384" s="24" t="s">
        <v>5660</v>
      </c>
      <c r="K1384" s="24" t="s">
        <v>68</v>
      </c>
      <c r="M1384" s="75" t="s">
        <v>65</v>
      </c>
      <c r="N1384" s="75" t="s">
        <v>2015</v>
      </c>
      <c r="O1384" s="75"/>
      <c r="P1384" s="75"/>
      <c r="Q1384" s="75" t="s">
        <v>85</v>
      </c>
      <c r="R1384" s="75"/>
      <c r="V1384" s="24" t="s">
        <v>2664</v>
      </c>
      <c r="W1384" s="24" t="s">
        <v>2665</v>
      </c>
      <c r="X1384" s="24" t="s">
        <v>1197</v>
      </c>
      <c r="Y1384" s="24" t="s">
        <v>2667</v>
      </c>
      <c r="Z1384" s="69"/>
      <c r="AA1384" s="69"/>
      <c r="AB1384" s="69"/>
      <c r="AC1384" s="69"/>
    </row>
    <row r="1385" spans="1:29" s="26" customFormat="1" x14ac:dyDescent="0.3">
      <c r="A1385" s="25" t="s">
        <v>6575</v>
      </c>
      <c r="B1385" s="25"/>
      <c r="C1385" s="26" t="s">
        <v>3005</v>
      </c>
      <c r="D1385" s="70"/>
      <c r="G1385" s="70" t="s">
        <v>1198</v>
      </c>
      <c r="H1385" s="26">
        <v>1</v>
      </c>
      <c r="I1385" s="70" t="s">
        <v>3267</v>
      </c>
      <c r="J1385" s="26" t="s">
        <v>5660</v>
      </c>
      <c r="K1385" s="26" t="s">
        <v>6576</v>
      </c>
      <c r="L1385" s="26" t="s">
        <v>10599</v>
      </c>
      <c r="M1385" s="76"/>
      <c r="N1385" s="76"/>
      <c r="O1385" s="76"/>
      <c r="P1385" s="76"/>
      <c r="Q1385" s="76"/>
      <c r="R1385" s="76"/>
      <c r="Z1385" s="70"/>
      <c r="AA1385" s="70"/>
      <c r="AB1385" s="70"/>
      <c r="AC1385" s="70"/>
    </row>
    <row r="1386" spans="1:29" s="26" customFormat="1" x14ac:dyDescent="0.3">
      <c r="A1386" s="25" t="s">
        <v>6577</v>
      </c>
      <c r="B1386" s="25"/>
      <c r="C1386" s="26" t="s">
        <v>3005</v>
      </c>
      <c r="D1386" s="70"/>
      <c r="G1386" s="70" t="s">
        <v>1198</v>
      </c>
      <c r="H1386" s="26">
        <v>1</v>
      </c>
      <c r="I1386" s="70" t="s">
        <v>5302</v>
      </c>
      <c r="J1386" s="26" t="s">
        <v>5942</v>
      </c>
      <c r="K1386" s="26" t="s">
        <v>2021</v>
      </c>
      <c r="L1386" s="26" t="s">
        <v>10552</v>
      </c>
      <c r="M1386" s="76"/>
      <c r="N1386" s="76"/>
      <c r="O1386" s="76"/>
      <c r="P1386" s="76"/>
      <c r="Q1386" s="76"/>
      <c r="R1386" s="76"/>
      <c r="Z1386" s="70"/>
      <c r="AA1386" s="70"/>
      <c r="AB1386" s="70"/>
      <c r="AC1386" s="70"/>
    </row>
    <row r="1387" spans="1:29" s="26" customFormat="1" x14ac:dyDescent="0.3">
      <c r="A1387" s="25" t="s">
        <v>6578</v>
      </c>
      <c r="B1387" s="25"/>
      <c r="C1387" s="26" t="s">
        <v>3005</v>
      </c>
      <c r="D1387" s="70"/>
      <c r="G1387" s="70" t="s">
        <v>1198</v>
      </c>
      <c r="H1387" s="26">
        <v>1</v>
      </c>
      <c r="I1387" s="70" t="s">
        <v>6579</v>
      </c>
      <c r="J1387" s="26" t="s">
        <v>5559</v>
      </c>
      <c r="K1387" s="26" t="s">
        <v>5646</v>
      </c>
      <c r="L1387" s="26" t="s">
        <v>10600</v>
      </c>
      <c r="M1387" s="76"/>
      <c r="N1387" s="76"/>
      <c r="O1387" s="76"/>
      <c r="P1387" s="76"/>
      <c r="Q1387" s="76"/>
      <c r="R1387" s="76"/>
      <c r="Z1387" s="70"/>
      <c r="AA1387" s="70"/>
      <c r="AB1387" s="70"/>
      <c r="AC1387" s="70"/>
    </row>
    <row r="1388" spans="1:29" s="26" customFormat="1" x14ac:dyDescent="0.3">
      <c r="A1388" s="25" t="s">
        <v>6580</v>
      </c>
      <c r="B1388" s="25"/>
      <c r="C1388" s="26" t="s">
        <v>3005</v>
      </c>
      <c r="D1388" s="70"/>
      <c r="G1388" s="70" t="s">
        <v>1198</v>
      </c>
      <c r="H1388" s="26">
        <v>1</v>
      </c>
      <c r="I1388" s="70" t="s">
        <v>6581</v>
      </c>
      <c r="J1388" s="26" t="s">
        <v>6582</v>
      </c>
      <c r="K1388" s="26" t="s">
        <v>6583</v>
      </c>
      <c r="L1388" s="26" t="s">
        <v>10601</v>
      </c>
      <c r="M1388" s="76"/>
      <c r="N1388" s="76"/>
      <c r="O1388" s="76"/>
      <c r="P1388" s="76"/>
      <c r="Q1388" s="76"/>
      <c r="R1388" s="76"/>
      <c r="Z1388" s="70"/>
      <c r="AA1388" s="70"/>
      <c r="AB1388" s="70"/>
      <c r="AC1388" s="70"/>
    </row>
    <row r="1389" spans="1:29" s="26" customFormat="1" x14ac:dyDescent="0.3">
      <c r="A1389" s="25" t="s">
        <v>6584</v>
      </c>
      <c r="B1389" s="25"/>
      <c r="C1389" s="26" t="s">
        <v>3005</v>
      </c>
      <c r="D1389" s="70"/>
      <c r="G1389" s="70" t="s">
        <v>1198</v>
      </c>
      <c r="H1389" s="26">
        <v>1</v>
      </c>
      <c r="I1389" s="70" t="s">
        <v>6585</v>
      </c>
      <c r="J1389" s="26" t="s">
        <v>6586</v>
      </c>
      <c r="K1389" s="26" t="s">
        <v>2027</v>
      </c>
      <c r="L1389" s="26" t="s">
        <v>10602</v>
      </c>
      <c r="M1389" s="76"/>
      <c r="N1389" s="76"/>
      <c r="O1389" s="76"/>
      <c r="P1389" s="76"/>
      <c r="Q1389" s="76"/>
      <c r="R1389" s="76"/>
      <c r="Z1389" s="70"/>
      <c r="AA1389" s="70"/>
      <c r="AB1389" s="70"/>
      <c r="AC1389" s="70"/>
    </row>
    <row r="1390" spans="1:29" s="26" customFormat="1" x14ac:dyDescent="0.3">
      <c r="A1390" s="25" t="s">
        <v>6587</v>
      </c>
      <c r="B1390" s="25"/>
      <c r="C1390" s="26" t="s">
        <v>3005</v>
      </c>
      <c r="D1390" s="70"/>
      <c r="G1390" s="70" t="s">
        <v>1198</v>
      </c>
      <c r="H1390" s="26">
        <v>1</v>
      </c>
      <c r="I1390" s="70" t="s">
        <v>4663</v>
      </c>
      <c r="J1390" s="26" t="s">
        <v>5942</v>
      </c>
      <c r="K1390" s="26" t="s">
        <v>5070</v>
      </c>
      <c r="L1390" s="26" t="s">
        <v>9849</v>
      </c>
      <c r="M1390" s="76"/>
      <c r="N1390" s="76"/>
      <c r="O1390" s="76"/>
      <c r="P1390" s="76"/>
      <c r="Q1390" s="76"/>
      <c r="R1390" s="76"/>
      <c r="Z1390" s="70"/>
      <c r="AA1390" s="70"/>
      <c r="AB1390" s="70"/>
      <c r="AC1390" s="70"/>
    </row>
    <row r="1391" spans="1:29" s="26" customFormat="1" x14ac:dyDescent="0.3">
      <c r="A1391" s="25" t="s">
        <v>6588</v>
      </c>
      <c r="B1391" s="25"/>
      <c r="C1391" s="26" t="s">
        <v>3005</v>
      </c>
      <c r="D1391" s="70"/>
      <c r="G1391" s="70" t="s">
        <v>1198</v>
      </c>
      <c r="H1391" s="26">
        <v>1</v>
      </c>
      <c r="I1391" s="70" t="s">
        <v>6589</v>
      </c>
      <c r="J1391" s="26" t="s">
        <v>5942</v>
      </c>
      <c r="K1391" s="26" t="s">
        <v>6590</v>
      </c>
      <c r="L1391" s="26" t="s">
        <v>10603</v>
      </c>
      <c r="M1391" s="76"/>
      <c r="N1391" s="76"/>
      <c r="O1391" s="76"/>
      <c r="P1391" s="76"/>
      <c r="Q1391" s="76"/>
      <c r="R1391" s="76"/>
      <c r="Z1391" s="70"/>
      <c r="AA1391" s="70"/>
      <c r="AB1391" s="70"/>
      <c r="AC1391" s="70"/>
    </row>
    <row r="1392" spans="1:29" s="26" customFormat="1" x14ac:dyDescent="0.3">
      <c r="A1392" s="25" t="s">
        <v>6591</v>
      </c>
      <c r="B1392" s="25"/>
      <c r="C1392" s="26" t="s">
        <v>3005</v>
      </c>
      <c r="D1392" s="70"/>
      <c r="G1392" s="70" t="s">
        <v>1198</v>
      </c>
      <c r="H1392" s="26">
        <v>1</v>
      </c>
      <c r="I1392" s="70" t="s">
        <v>6592</v>
      </c>
      <c r="J1392" s="26" t="s">
        <v>6582</v>
      </c>
      <c r="K1392" s="26" t="s">
        <v>6593</v>
      </c>
      <c r="L1392" s="26" t="s">
        <v>10604</v>
      </c>
      <c r="M1392" s="76"/>
      <c r="N1392" s="76"/>
      <c r="O1392" s="76"/>
      <c r="P1392" s="76"/>
      <c r="Q1392" s="76"/>
      <c r="R1392" s="76"/>
      <c r="Z1392" s="70"/>
      <c r="AA1392" s="70"/>
      <c r="AB1392" s="70"/>
      <c r="AC1392" s="70"/>
    </row>
    <row r="1393" spans="1:31" s="26" customFormat="1" x14ac:dyDescent="0.3">
      <c r="A1393" s="25" t="s">
        <v>6594</v>
      </c>
      <c r="B1393" s="25"/>
      <c r="C1393" s="26" t="s">
        <v>3005</v>
      </c>
      <c r="D1393" s="70"/>
      <c r="G1393" s="70" t="s">
        <v>1198</v>
      </c>
      <c r="H1393" s="26">
        <v>1</v>
      </c>
      <c r="I1393" s="70" t="s">
        <v>6595</v>
      </c>
      <c r="J1393" s="26" t="s">
        <v>3649</v>
      </c>
      <c r="K1393" s="26" t="s">
        <v>5077</v>
      </c>
      <c r="L1393" s="26" t="s">
        <v>10605</v>
      </c>
      <c r="M1393" s="76"/>
      <c r="N1393" s="76"/>
      <c r="O1393" s="76"/>
      <c r="P1393" s="76"/>
      <c r="Q1393" s="76"/>
      <c r="R1393" s="76"/>
      <c r="Z1393" s="70"/>
      <c r="AA1393" s="70"/>
      <c r="AB1393" s="70"/>
      <c r="AC1393" s="70"/>
    </row>
    <row r="1394" spans="1:31" s="26" customFormat="1" x14ac:dyDescent="0.3">
      <c r="A1394" s="25" t="s">
        <v>6596</v>
      </c>
      <c r="B1394" s="25"/>
      <c r="C1394" s="26" t="s">
        <v>3005</v>
      </c>
      <c r="D1394" s="70"/>
      <c r="G1394" s="70" t="s">
        <v>1198</v>
      </c>
      <c r="H1394" s="26">
        <v>1</v>
      </c>
      <c r="I1394" s="70" t="s">
        <v>6597</v>
      </c>
      <c r="J1394" s="26" t="s">
        <v>6582</v>
      </c>
      <c r="K1394" s="26" t="s">
        <v>5128</v>
      </c>
      <c r="L1394" s="26" t="s">
        <v>10606</v>
      </c>
      <c r="M1394" s="76"/>
      <c r="N1394" s="76"/>
      <c r="O1394" s="76"/>
      <c r="P1394" s="76"/>
      <c r="Q1394" s="76"/>
      <c r="R1394" s="76"/>
      <c r="Z1394" s="70"/>
      <c r="AA1394" s="70"/>
      <c r="AB1394" s="70"/>
      <c r="AC1394" s="70"/>
    </row>
    <row r="1395" spans="1:31" s="24" customFormat="1" x14ac:dyDescent="0.3">
      <c r="A1395" s="23">
        <v>405</v>
      </c>
      <c r="B1395" s="23">
        <v>401</v>
      </c>
      <c r="C1395" s="24" t="s">
        <v>2165</v>
      </c>
      <c r="D1395" s="69" t="s">
        <v>1164</v>
      </c>
      <c r="E1395" s="24" t="s">
        <v>1163</v>
      </c>
      <c r="F1395" s="24" t="s">
        <v>1199</v>
      </c>
      <c r="G1395" s="69" t="s">
        <v>1200</v>
      </c>
      <c r="I1395" s="69"/>
      <c r="J1395" s="24" t="s">
        <v>6598</v>
      </c>
      <c r="K1395" s="24" t="s">
        <v>1201</v>
      </c>
      <c r="L1395" s="24" t="s">
        <v>9834</v>
      </c>
      <c r="M1395" s="75" t="s">
        <v>65</v>
      </c>
      <c r="N1395" s="75" t="s">
        <v>2028</v>
      </c>
      <c r="O1395" s="75" t="s">
        <v>732</v>
      </c>
      <c r="P1395" s="75" t="s">
        <v>732</v>
      </c>
      <c r="Q1395" s="75"/>
      <c r="R1395" s="75"/>
      <c r="T1395" s="24" t="s">
        <v>2552</v>
      </c>
      <c r="V1395" s="24" t="s">
        <v>2171</v>
      </c>
      <c r="W1395" s="24" t="s">
        <v>2668</v>
      </c>
      <c r="Z1395" s="69"/>
      <c r="AA1395" s="69"/>
      <c r="AB1395" s="69"/>
      <c r="AC1395" s="69"/>
      <c r="AD1395" s="24" t="s">
        <v>11337</v>
      </c>
      <c r="AE1395" s="24" t="s">
        <v>2669</v>
      </c>
    </row>
    <row r="1396" spans="1:31" s="24" customFormat="1" x14ac:dyDescent="0.3">
      <c r="A1396" s="23">
        <v>406</v>
      </c>
      <c r="B1396" s="23">
        <v>402</v>
      </c>
      <c r="C1396" s="24" t="s">
        <v>2165</v>
      </c>
      <c r="D1396" s="69" t="s">
        <v>1203</v>
      </c>
      <c r="E1396" s="24" t="s">
        <v>1202</v>
      </c>
      <c r="F1396" s="24" t="s">
        <v>1204</v>
      </c>
      <c r="G1396" s="69" t="s">
        <v>1205</v>
      </c>
      <c r="I1396" s="69"/>
      <c r="J1396" s="24" t="s">
        <v>6599</v>
      </c>
      <c r="K1396" s="24" t="s">
        <v>68</v>
      </c>
      <c r="M1396" s="75" t="s">
        <v>65</v>
      </c>
      <c r="N1396" s="75" t="s">
        <v>2020</v>
      </c>
      <c r="O1396" s="75" t="s">
        <v>66</v>
      </c>
      <c r="P1396" s="75" t="s">
        <v>66</v>
      </c>
      <c r="Q1396" s="75" t="s">
        <v>66</v>
      </c>
      <c r="R1396" s="75"/>
      <c r="Y1396" s="24" t="s">
        <v>2670</v>
      </c>
      <c r="Z1396" s="69" t="s">
        <v>2671</v>
      </c>
      <c r="AA1396" s="69"/>
      <c r="AB1396" s="69"/>
      <c r="AC1396" s="69"/>
    </row>
    <row r="1397" spans="1:31" s="24" customFormat="1" x14ac:dyDescent="0.3">
      <c r="A1397" s="23">
        <v>407</v>
      </c>
      <c r="B1397" s="23">
        <v>403</v>
      </c>
      <c r="C1397" s="24" t="s">
        <v>2165</v>
      </c>
      <c r="D1397" s="69" t="s">
        <v>1203</v>
      </c>
      <c r="E1397" s="24" t="s">
        <v>1202</v>
      </c>
      <c r="F1397" s="24" t="s">
        <v>1206</v>
      </c>
      <c r="G1397" s="69" t="s">
        <v>1207</v>
      </c>
      <c r="I1397" s="69"/>
      <c r="J1397" s="24" t="s">
        <v>5942</v>
      </c>
      <c r="K1397" s="24" t="s">
        <v>68</v>
      </c>
      <c r="L1397" s="24" t="s">
        <v>9835</v>
      </c>
      <c r="M1397" s="75" t="s">
        <v>65</v>
      </c>
      <c r="N1397" s="75" t="s">
        <v>2020</v>
      </c>
      <c r="O1397" s="75" t="s">
        <v>66</v>
      </c>
      <c r="P1397" s="75" t="s">
        <v>66</v>
      </c>
      <c r="Q1397" s="75" t="s">
        <v>66</v>
      </c>
      <c r="R1397" s="75"/>
      <c r="V1397" s="24" t="s">
        <v>1204</v>
      </c>
      <c r="Y1397" s="24" t="s">
        <v>2672</v>
      </c>
      <c r="Z1397" s="69" t="s">
        <v>2673</v>
      </c>
      <c r="AA1397" s="69"/>
      <c r="AB1397" s="69"/>
      <c r="AC1397" s="69"/>
    </row>
    <row r="1398" spans="1:31" s="24" customFormat="1" x14ac:dyDescent="0.3">
      <c r="A1398" s="23">
        <v>408</v>
      </c>
      <c r="B1398" s="23">
        <v>404</v>
      </c>
      <c r="C1398" s="24" t="s">
        <v>2165</v>
      </c>
      <c r="D1398" s="69" t="s">
        <v>1209</v>
      </c>
      <c r="E1398" s="24" t="s">
        <v>1208</v>
      </c>
      <c r="F1398" s="24" t="s">
        <v>1210</v>
      </c>
      <c r="G1398" s="69" t="s">
        <v>1211</v>
      </c>
      <c r="I1398" s="69"/>
      <c r="J1398" s="24" t="s">
        <v>3718</v>
      </c>
      <c r="K1398" s="24" t="s">
        <v>68</v>
      </c>
      <c r="L1398" s="24" t="s">
        <v>9836</v>
      </c>
      <c r="M1398" s="75" t="s">
        <v>65</v>
      </c>
      <c r="N1398" s="75" t="s">
        <v>2017</v>
      </c>
      <c r="O1398" s="75" t="s">
        <v>58</v>
      </c>
      <c r="P1398" s="75" t="s">
        <v>58</v>
      </c>
      <c r="Q1398" s="75" t="s">
        <v>66</v>
      </c>
      <c r="R1398" s="75"/>
      <c r="Z1398" s="69"/>
      <c r="AA1398" s="69"/>
      <c r="AB1398" s="69"/>
      <c r="AC1398" s="69" t="s">
        <v>11399</v>
      </c>
    </row>
    <row r="1399" spans="1:31" s="24" customFormat="1" x14ac:dyDescent="0.3">
      <c r="A1399" s="23">
        <v>409</v>
      </c>
      <c r="B1399" s="23">
        <v>405</v>
      </c>
      <c r="C1399" s="24" t="s">
        <v>2165</v>
      </c>
      <c r="D1399" s="69" t="s">
        <v>1209</v>
      </c>
      <c r="E1399" s="24" t="s">
        <v>1208</v>
      </c>
      <c r="F1399" s="24" t="s">
        <v>1212</v>
      </c>
      <c r="G1399" s="69" t="s">
        <v>1213</v>
      </c>
      <c r="H1399" s="24">
        <v>3</v>
      </c>
      <c r="I1399" s="69"/>
      <c r="J1399" s="24" t="s">
        <v>4992</v>
      </c>
      <c r="K1399" s="24" t="s">
        <v>1214</v>
      </c>
      <c r="M1399" s="75" t="s">
        <v>732</v>
      </c>
      <c r="N1399" s="75"/>
      <c r="O1399" s="75"/>
      <c r="P1399" s="75"/>
      <c r="Q1399" s="75"/>
      <c r="R1399" s="75"/>
      <c r="T1399" s="24" t="s">
        <v>2257</v>
      </c>
      <c r="V1399" s="24" t="s">
        <v>2674</v>
      </c>
      <c r="W1399" s="24" t="s">
        <v>2675</v>
      </c>
      <c r="Z1399" s="69"/>
      <c r="AA1399" s="69"/>
      <c r="AB1399" s="69"/>
      <c r="AC1399" s="69" t="s">
        <v>11400</v>
      </c>
      <c r="AE1399" s="24" t="s">
        <v>2676</v>
      </c>
    </row>
    <row r="1400" spans="1:31" s="26" customFormat="1" x14ac:dyDescent="0.3">
      <c r="A1400" s="25" t="s">
        <v>6600</v>
      </c>
      <c r="B1400" s="25"/>
      <c r="C1400" s="26" t="s">
        <v>3005</v>
      </c>
      <c r="D1400" s="70"/>
      <c r="G1400" s="70" t="s">
        <v>1213</v>
      </c>
      <c r="H1400" s="26">
        <v>1</v>
      </c>
      <c r="I1400" s="70" t="s">
        <v>6601</v>
      </c>
      <c r="J1400" s="26" t="s">
        <v>4992</v>
      </c>
      <c r="K1400" s="26" t="s">
        <v>6602</v>
      </c>
      <c r="L1400" s="26" t="s">
        <v>10607</v>
      </c>
      <c r="M1400" s="76"/>
      <c r="N1400" s="76"/>
      <c r="O1400" s="76"/>
      <c r="P1400" s="76"/>
      <c r="Q1400" s="76"/>
      <c r="R1400" s="76"/>
      <c r="Z1400" s="70"/>
      <c r="AA1400" s="70"/>
      <c r="AB1400" s="70"/>
      <c r="AC1400" s="70"/>
    </row>
    <row r="1401" spans="1:31" s="26" customFormat="1" x14ac:dyDescent="0.3">
      <c r="A1401" s="25" t="s">
        <v>6603</v>
      </c>
      <c r="B1401" s="25"/>
      <c r="C1401" s="26" t="s">
        <v>3005</v>
      </c>
      <c r="D1401" s="70"/>
      <c r="G1401" s="70" t="s">
        <v>1213</v>
      </c>
      <c r="H1401" s="26">
        <v>5</v>
      </c>
      <c r="I1401" s="70" t="s">
        <v>6604</v>
      </c>
      <c r="J1401" s="26" t="s">
        <v>5085</v>
      </c>
      <c r="K1401" s="26" t="s">
        <v>6605</v>
      </c>
      <c r="L1401" s="26" t="s">
        <v>10608</v>
      </c>
      <c r="M1401" s="76"/>
      <c r="N1401" s="76"/>
      <c r="O1401" s="76"/>
      <c r="P1401" s="76"/>
      <c r="Q1401" s="76"/>
      <c r="R1401" s="76"/>
      <c r="T1401" s="26" t="s">
        <v>2200</v>
      </c>
      <c r="Z1401" s="70"/>
      <c r="AA1401" s="70"/>
      <c r="AB1401" s="70"/>
      <c r="AC1401" s="70"/>
      <c r="AE1401" s="26" t="s">
        <v>6606</v>
      </c>
    </row>
    <row r="1402" spans="1:31" s="26" customFormat="1" x14ac:dyDescent="0.3">
      <c r="A1402" s="25" t="s">
        <v>6607</v>
      </c>
      <c r="B1402" s="25"/>
      <c r="C1402" s="26" t="s">
        <v>3005</v>
      </c>
      <c r="D1402" s="70"/>
      <c r="G1402" s="70" t="s">
        <v>1213</v>
      </c>
      <c r="H1402" s="26">
        <v>3</v>
      </c>
      <c r="I1402" s="70" t="s">
        <v>6608</v>
      </c>
      <c r="J1402" s="26" t="s">
        <v>6609</v>
      </c>
      <c r="K1402" s="26" t="s">
        <v>6610</v>
      </c>
      <c r="L1402" s="26" t="s">
        <v>10609</v>
      </c>
      <c r="M1402" s="76"/>
      <c r="N1402" s="76"/>
      <c r="O1402" s="76"/>
      <c r="P1402" s="76"/>
      <c r="Q1402" s="76"/>
      <c r="R1402" s="76"/>
      <c r="T1402" s="26" t="s">
        <v>2200</v>
      </c>
      <c r="Z1402" s="70"/>
      <c r="AA1402" s="70"/>
      <c r="AB1402" s="70"/>
      <c r="AC1402" s="70"/>
      <c r="AE1402" s="26" t="s">
        <v>6611</v>
      </c>
    </row>
    <row r="1403" spans="1:31" s="26" customFormat="1" x14ac:dyDescent="0.3">
      <c r="A1403" s="25" t="s">
        <v>6612</v>
      </c>
      <c r="B1403" s="25"/>
      <c r="C1403" s="26" t="s">
        <v>3005</v>
      </c>
      <c r="D1403" s="70"/>
      <c r="G1403" s="70" t="s">
        <v>1213</v>
      </c>
      <c r="H1403" s="26">
        <v>-1</v>
      </c>
      <c r="I1403" s="70" t="s">
        <v>6613</v>
      </c>
      <c r="J1403" s="26" t="s">
        <v>5267</v>
      </c>
      <c r="K1403" s="26" t="s">
        <v>6614</v>
      </c>
      <c r="M1403" s="76"/>
      <c r="N1403" s="76"/>
      <c r="O1403" s="76"/>
      <c r="P1403" s="76"/>
      <c r="Q1403" s="76"/>
      <c r="R1403" s="76"/>
      <c r="T1403" s="26" t="s">
        <v>2254</v>
      </c>
      <c r="Z1403" s="70"/>
      <c r="AA1403" s="70"/>
      <c r="AB1403" s="70"/>
      <c r="AC1403" s="70"/>
      <c r="AE1403" s="26" t="s">
        <v>6615</v>
      </c>
    </row>
    <row r="1404" spans="1:31" s="24" customFormat="1" x14ac:dyDescent="0.3">
      <c r="A1404" s="23">
        <v>410</v>
      </c>
      <c r="B1404" s="23">
        <v>406</v>
      </c>
      <c r="C1404" s="24" t="s">
        <v>2165</v>
      </c>
      <c r="D1404" s="69" t="s">
        <v>1209</v>
      </c>
      <c r="E1404" s="24" t="s">
        <v>1208</v>
      </c>
      <c r="F1404" s="24" t="s">
        <v>1215</v>
      </c>
      <c r="G1404" s="69" t="s">
        <v>1216</v>
      </c>
      <c r="H1404" s="24">
        <v>3</v>
      </c>
      <c r="I1404" s="69"/>
      <c r="J1404" s="24" t="s">
        <v>5660</v>
      </c>
      <c r="K1404" s="24" t="s">
        <v>1217</v>
      </c>
      <c r="M1404" s="75" t="s">
        <v>15</v>
      </c>
      <c r="N1404" s="75"/>
      <c r="O1404" s="75"/>
      <c r="P1404" s="75"/>
      <c r="Q1404" s="75"/>
      <c r="R1404" s="75"/>
      <c r="Y1404" s="24" t="s">
        <v>2677</v>
      </c>
      <c r="Z1404" s="69"/>
      <c r="AA1404" s="69"/>
      <c r="AB1404" s="69"/>
      <c r="AC1404" s="69"/>
    </row>
    <row r="1405" spans="1:31" s="26" customFormat="1" x14ac:dyDescent="0.3">
      <c r="A1405" s="25" t="s">
        <v>6616</v>
      </c>
      <c r="B1405" s="25"/>
      <c r="C1405" s="26" t="s">
        <v>3005</v>
      </c>
      <c r="D1405" s="70"/>
      <c r="G1405" s="70" t="s">
        <v>1216</v>
      </c>
      <c r="H1405" s="26">
        <v>-1</v>
      </c>
      <c r="I1405" s="70" t="s">
        <v>6617</v>
      </c>
      <c r="J1405" s="26" t="s">
        <v>6618</v>
      </c>
      <c r="K1405" s="26" t="s">
        <v>6619</v>
      </c>
      <c r="M1405" s="76"/>
      <c r="N1405" s="76"/>
      <c r="O1405" s="76"/>
      <c r="P1405" s="76"/>
      <c r="Q1405" s="76"/>
      <c r="R1405" s="76"/>
      <c r="U1405" s="26" t="s">
        <v>6620</v>
      </c>
      <c r="Z1405" s="70"/>
      <c r="AA1405" s="70"/>
      <c r="AB1405" s="70"/>
      <c r="AC1405" s="70"/>
    </row>
    <row r="1406" spans="1:31" s="26" customFormat="1" x14ac:dyDescent="0.3">
      <c r="A1406" s="25" t="s">
        <v>6621</v>
      </c>
      <c r="B1406" s="25"/>
      <c r="C1406" s="26" t="s">
        <v>3005</v>
      </c>
      <c r="D1406" s="70"/>
      <c r="G1406" s="70" t="s">
        <v>1216</v>
      </c>
      <c r="H1406" s="26">
        <v>-1</v>
      </c>
      <c r="I1406" s="70" t="s">
        <v>3786</v>
      </c>
      <c r="J1406" s="26" t="s">
        <v>3181</v>
      </c>
      <c r="K1406" s="26" t="s">
        <v>3182</v>
      </c>
      <c r="M1406" s="76"/>
      <c r="N1406" s="76"/>
      <c r="O1406" s="76"/>
      <c r="P1406" s="76"/>
      <c r="Q1406" s="76"/>
      <c r="R1406" s="76"/>
      <c r="Z1406" s="70"/>
      <c r="AA1406" s="70"/>
      <c r="AB1406" s="70"/>
      <c r="AC1406" s="70"/>
    </row>
    <row r="1407" spans="1:31" s="26" customFormat="1" x14ac:dyDescent="0.3">
      <c r="A1407" s="25" t="s">
        <v>6622</v>
      </c>
      <c r="B1407" s="25"/>
      <c r="C1407" s="26" t="s">
        <v>3005</v>
      </c>
      <c r="D1407" s="70"/>
      <c r="G1407" s="70" t="s">
        <v>1216</v>
      </c>
      <c r="H1407" s="26">
        <v>1</v>
      </c>
      <c r="I1407" s="70" t="s">
        <v>6623</v>
      </c>
      <c r="J1407" s="26" t="s">
        <v>5616</v>
      </c>
      <c r="K1407" s="26" t="s">
        <v>6624</v>
      </c>
      <c r="L1407" s="26" t="s">
        <v>10610</v>
      </c>
      <c r="M1407" s="76"/>
      <c r="N1407" s="76"/>
      <c r="O1407" s="76"/>
      <c r="P1407" s="76"/>
      <c r="Q1407" s="76"/>
      <c r="R1407" s="76"/>
      <c r="Z1407" s="70"/>
      <c r="AA1407" s="70"/>
      <c r="AB1407" s="70"/>
      <c r="AC1407" s="70"/>
    </row>
    <row r="1408" spans="1:31" s="26" customFormat="1" x14ac:dyDescent="0.3">
      <c r="A1408" s="25" t="s">
        <v>6625</v>
      </c>
      <c r="B1408" s="25"/>
      <c r="C1408" s="26" t="s">
        <v>3005</v>
      </c>
      <c r="D1408" s="70"/>
      <c r="G1408" s="70" t="s">
        <v>1216</v>
      </c>
      <c r="H1408" s="26">
        <v>-1</v>
      </c>
      <c r="I1408" s="70" t="s">
        <v>6626</v>
      </c>
      <c r="J1408" s="26" t="s">
        <v>5151</v>
      </c>
      <c r="K1408" s="26" t="s">
        <v>6627</v>
      </c>
      <c r="L1408" s="26" t="s">
        <v>10611</v>
      </c>
      <c r="M1408" s="76"/>
      <c r="N1408" s="76"/>
      <c r="O1408" s="76"/>
      <c r="P1408" s="76"/>
      <c r="Q1408" s="76"/>
      <c r="R1408" s="76"/>
      <c r="Z1408" s="70"/>
      <c r="AA1408" s="70"/>
      <c r="AB1408" s="70"/>
      <c r="AC1408" s="70"/>
    </row>
    <row r="1409" spans="1:30" s="26" customFormat="1" x14ac:dyDescent="0.3">
      <c r="A1409" s="25" t="s">
        <v>6628</v>
      </c>
      <c r="B1409" s="25"/>
      <c r="C1409" s="26" t="s">
        <v>3005</v>
      </c>
      <c r="D1409" s="70"/>
      <c r="G1409" s="70" t="s">
        <v>1216</v>
      </c>
      <c r="H1409" s="26">
        <v>1</v>
      </c>
      <c r="I1409" s="70" t="s">
        <v>6629</v>
      </c>
      <c r="J1409" s="26" t="s">
        <v>5660</v>
      </c>
      <c r="K1409" s="26" t="s">
        <v>6630</v>
      </c>
      <c r="L1409" s="26" t="s">
        <v>10607</v>
      </c>
      <c r="M1409" s="76"/>
      <c r="N1409" s="76"/>
      <c r="O1409" s="76"/>
      <c r="P1409" s="76"/>
      <c r="Q1409" s="76"/>
      <c r="R1409" s="76"/>
      <c r="Z1409" s="70"/>
      <c r="AA1409" s="70"/>
      <c r="AB1409" s="70"/>
      <c r="AC1409" s="70"/>
    </row>
    <row r="1410" spans="1:30" s="26" customFormat="1" x14ac:dyDescent="0.3">
      <c r="A1410" s="25" t="s">
        <v>6631</v>
      </c>
      <c r="B1410" s="25"/>
      <c r="C1410" s="26" t="s">
        <v>3005</v>
      </c>
      <c r="D1410" s="70"/>
      <c r="G1410" s="70" t="s">
        <v>1216</v>
      </c>
      <c r="H1410" s="26">
        <v>3</v>
      </c>
      <c r="I1410" s="70" t="s">
        <v>3694</v>
      </c>
      <c r="J1410" s="26" t="s">
        <v>6632</v>
      </c>
      <c r="K1410" s="26" t="s">
        <v>6633</v>
      </c>
      <c r="L1410" s="26" t="s">
        <v>10612</v>
      </c>
      <c r="M1410" s="76"/>
      <c r="N1410" s="76"/>
      <c r="O1410" s="76"/>
      <c r="P1410" s="76"/>
      <c r="Q1410" s="76"/>
      <c r="R1410" s="76"/>
      <c r="Z1410" s="70"/>
      <c r="AA1410" s="70"/>
      <c r="AB1410" s="70"/>
      <c r="AC1410" s="70"/>
    </row>
    <row r="1411" spans="1:30" s="26" customFormat="1" x14ac:dyDescent="0.3">
      <c r="A1411" s="25" t="s">
        <v>6634</v>
      </c>
      <c r="B1411" s="25"/>
      <c r="C1411" s="26" t="s">
        <v>3005</v>
      </c>
      <c r="D1411" s="70"/>
      <c r="G1411" s="70" t="s">
        <v>1216</v>
      </c>
      <c r="H1411" s="26">
        <v>-1</v>
      </c>
      <c r="I1411" s="70" t="s">
        <v>6635</v>
      </c>
      <c r="J1411" s="26" t="s">
        <v>3002</v>
      </c>
      <c r="K1411" s="26" t="s">
        <v>6636</v>
      </c>
      <c r="M1411" s="76"/>
      <c r="N1411" s="76"/>
      <c r="O1411" s="76"/>
      <c r="P1411" s="76"/>
      <c r="Q1411" s="76"/>
      <c r="R1411" s="76"/>
      <c r="Z1411" s="70"/>
      <c r="AA1411" s="70"/>
      <c r="AB1411" s="70"/>
      <c r="AC1411" s="70"/>
    </row>
    <row r="1412" spans="1:30" s="26" customFormat="1" x14ac:dyDescent="0.3">
      <c r="A1412" s="25" t="s">
        <v>6637</v>
      </c>
      <c r="B1412" s="25"/>
      <c r="C1412" s="26" t="s">
        <v>3005</v>
      </c>
      <c r="D1412" s="70"/>
      <c r="G1412" s="70" t="s">
        <v>1216</v>
      </c>
      <c r="H1412" s="26">
        <v>-1</v>
      </c>
      <c r="I1412" s="70" t="s">
        <v>6638</v>
      </c>
      <c r="J1412" s="26" t="s">
        <v>5616</v>
      </c>
      <c r="K1412" s="26" t="s">
        <v>6639</v>
      </c>
      <c r="M1412" s="76"/>
      <c r="N1412" s="76"/>
      <c r="O1412" s="76"/>
      <c r="P1412" s="76"/>
      <c r="Q1412" s="76"/>
      <c r="R1412" s="76"/>
      <c r="Z1412" s="70"/>
      <c r="AA1412" s="70"/>
      <c r="AB1412" s="70"/>
      <c r="AC1412" s="70"/>
    </row>
    <row r="1413" spans="1:30" s="26" customFormat="1" x14ac:dyDescent="0.3">
      <c r="A1413" s="25" t="s">
        <v>6640</v>
      </c>
      <c r="B1413" s="25"/>
      <c r="C1413" s="26" t="s">
        <v>3005</v>
      </c>
      <c r="D1413" s="70"/>
      <c r="G1413" s="70" t="s">
        <v>1216</v>
      </c>
      <c r="H1413" s="26">
        <v>-1</v>
      </c>
      <c r="I1413" s="70" t="s">
        <v>6641</v>
      </c>
      <c r="J1413" s="26" t="s">
        <v>6642</v>
      </c>
      <c r="K1413" s="26" t="s">
        <v>6643</v>
      </c>
      <c r="L1413" s="26" t="s">
        <v>10613</v>
      </c>
      <c r="M1413" s="76"/>
      <c r="N1413" s="76"/>
      <c r="O1413" s="76"/>
      <c r="P1413" s="76"/>
      <c r="Q1413" s="76"/>
      <c r="R1413" s="76"/>
      <c r="Z1413" s="70"/>
      <c r="AA1413" s="70"/>
      <c r="AB1413" s="70"/>
      <c r="AC1413" s="70"/>
    </row>
    <row r="1414" spans="1:30" s="26" customFormat="1" x14ac:dyDescent="0.3">
      <c r="A1414" s="25" t="s">
        <v>6644</v>
      </c>
      <c r="B1414" s="25"/>
      <c r="C1414" s="26" t="s">
        <v>3005</v>
      </c>
      <c r="D1414" s="70"/>
      <c r="G1414" s="70" t="s">
        <v>1216</v>
      </c>
      <c r="H1414" s="26">
        <v>-1</v>
      </c>
      <c r="I1414" s="70" t="s">
        <v>6645</v>
      </c>
      <c r="J1414" s="26" t="s">
        <v>6646</v>
      </c>
      <c r="K1414" s="26" t="s">
        <v>6647</v>
      </c>
      <c r="M1414" s="76"/>
      <c r="N1414" s="76"/>
      <c r="O1414" s="76"/>
      <c r="P1414" s="76"/>
      <c r="Q1414" s="76"/>
      <c r="R1414" s="76"/>
      <c r="Z1414" s="70"/>
      <c r="AA1414" s="70"/>
      <c r="AB1414" s="70"/>
      <c r="AC1414" s="70"/>
    </row>
    <row r="1415" spans="1:30" s="26" customFormat="1" x14ac:dyDescent="0.3">
      <c r="A1415" s="25" t="s">
        <v>6648</v>
      </c>
      <c r="B1415" s="25"/>
      <c r="C1415" s="26" t="s">
        <v>3005</v>
      </c>
      <c r="D1415" s="70"/>
      <c r="G1415" s="70" t="s">
        <v>1216</v>
      </c>
      <c r="H1415" s="26">
        <v>-1</v>
      </c>
      <c r="I1415" s="70" t="s">
        <v>6649</v>
      </c>
      <c r="J1415" s="26" t="s">
        <v>6650</v>
      </c>
      <c r="K1415" s="26" t="s">
        <v>6651</v>
      </c>
      <c r="M1415" s="76"/>
      <c r="N1415" s="76"/>
      <c r="O1415" s="76"/>
      <c r="P1415" s="76"/>
      <c r="Q1415" s="76"/>
      <c r="R1415" s="76"/>
      <c r="Z1415" s="70"/>
      <c r="AA1415" s="70"/>
      <c r="AB1415" s="70"/>
      <c r="AC1415" s="70"/>
    </row>
    <row r="1416" spans="1:30" s="26" customFormat="1" x14ac:dyDescent="0.3">
      <c r="A1416" s="25" t="s">
        <v>6652</v>
      </c>
      <c r="B1416" s="25"/>
      <c r="C1416" s="26" t="s">
        <v>3005</v>
      </c>
      <c r="D1416" s="70"/>
      <c r="G1416" s="70" t="s">
        <v>1216</v>
      </c>
      <c r="H1416" s="26">
        <v>-1</v>
      </c>
      <c r="I1416" s="70" t="s">
        <v>4200</v>
      </c>
      <c r="J1416" s="26" t="s">
        <v>6653</v>
      </c>
      <c r="K1416" s="26" t="s">
        <v>6654</v>
      </c>
      <c r="L1416" s="26" t="s">
        <v>10614</v>
      </c>
      <c r="M1416" s="76"/>
      <c r="N1416" s="76"/>
      <c r="O1416" s="76"/>
      <c r="P1416" s="76"/>
      <c r="Q1416" s="76"/>
      <c r="R1416" s="76"/>
      <c r="Z1416" s="70"/>
      <c r="AA1416" s="70"/>
      <c r="AB1416" s="70"/>
      <c r="AC1416" s="70"/>
    </row>
    <row r="1417" spans="1:30" s="24" customFormat="1" x14ac:dyDescent="0.3">
      <c r="A1417" s="23">
        <v>411</v>
      </c>
      <c r="B1417" s="23">
        <v>407</v>
      </c>
      <c r="C1417" s="24" t="s">
        <v>2165</v>
      </c>
      <c r="D1417" s="69" t="s">
        <v>1209</v>
      </c>
      <c r="E1417" s="24" t="s">
        <v>1208</v>
      </c>
      <c r="F1417" s="24" t="s">
        <v>1218</v>
      </c>
      <c r="G1417" s="69" t="s">
        <v>1219</v>
      </c>
      <c r="H1417" s="24">
        <v>2</v>
      </c>
      <c r="I1417" s="69"/>
      <c r="J1417" s="24" t="s">
        <v>6599</v>
      </c>
      <c r="K1417" s="24" t="s">
        <v>68</v>
      </c>
      <c r="M1417" s="75" t="s">
        <v>65</v>
      </c>
      <c r="N1417" s="75" t="s">
        <v>2020</v>
      </c>
      <c r="O1417" s="75" t="s">
        <v>66</v>
      </c>
      <c r="P1417" s="75" t="s">
        <v>66</v>
      </c>
      <c r="Q1417" s="75" t="s">
        <v>66</v>
      </c>
      <c r="R1417" s="75"/>
      <c r="V1417" s="24" t="s">
        <v>2678</v>
      </c>
      <c r="Z1417" s="69"/>
      <c r="AA1417" s="69"/>
      <c r="AB1417" s="69"/>
      <c r="AC1417" s="69"/>
    </row>
    <row r="1418" spans="1:30" s="26" customFormat="1" x14ac:dyDescent="0.3">
      <c r="A1418" s="25" t="s">
        <v>6655</v>
      </c>
      <c r="B1418" s="25"/>
      <c r="C1418" s="26" t="s">
        <v>3005</v>
      </c>
      <c r="D1418" s="70"/>
      <c r="G1418" s="70" t="s">
        <v>1219</v>
      </c>
      <c r="H1418" s="26">
        <v>1</v>
      </c>
      <c r="I1418" s="70" t="s">
        <v>6656</v>
      </c>
      <c r="J1418" s="26" t="s">
        <v>6294</v>
      </c>
      <c r="K1418" s="26" t="s">
        <v>6657</v>
      </c>
      <c r="L1418" s="26" t="s">
        <v>10291</v>
      </c>
      <c r="M1418" s="76"/>
      <c r="N1418" s="76"/>
      <c r="O1418" s="76"/>
      <c r="P1418" s="76"/>
      <c r="Q1418" s="76"/>
      <c r="R1418" s="76"/>
      <c r="Z1418" s="70"/>
      <c r="AA1418" s="70"/>
      <c r="AB1418" s="70"/>
      <c r="AC1418" s="70"/>
    </row>
    <row r="1419" spans="1:30" s="26" customFormat="1" x14ac:dyDescent="0.3">
      <c r="A1419" s="25" t="s">
        <v>6658</v>
      </c>
      <c r="B1419" s="25"/>
      <c r="C1419" s="26" t="s">
        <v>3005</v>
      </c>
      <c r="D1419" s="70"/>
      <c r="G1419" s="70" t="s">
        <v>1219</v>
      </c>
      <c r="H1419" s="26">
        <v>1</v>
      </c>
      <c r="I1419" s="70" t="s">
        <v>6659</v>
      </c>
      <c r="J1419" s="26" t="s">
        <v>6599</v>
      </c>
      <c r="K1419" s="26" t="s">
        <v>5764</v>
      </c>
      <c r="L1419" s="26" t="s">
        <v>9880</v>
      </c>
      <c r="M1419" s="76"/>
      <c r="N1419" s="76"/>
      <c r="O1419" s="76"/>
      <c r="P1419" s="76"/>
      <c r="Q1419" s="76"/>
      <c r="R1419" s="76"/>
      <c r="Z1419" s="70"/>
      <c r="AA1419" s="70"/>
      <c r="AB1419" s="70"/>
      <c r="AC1419" s="70"/>
    </row>
    <row r="1420" spans="1:30" s="24" customFormat="1" x14ac:dyDescent="0.3">
      <c r="A1420" s="23">
        <v>412</v>
      </c>
      <c r="B1420" s="23">
        <v>409</v>
      </c>
      <c r="C1420" s="24" t="s">
        <v>2165</v>
      </c>
      <c r="D1420" s="69" t="s">
        <v>1209</v>
      </c>
      <c r="E1420" s="24" t="s">
        <v>1208</v>
      </c>
      <c r="F1420" s="24" t="s">
        <v>1220</v>
      </c>
      <c r="G1420" s="69" t="s">
        <v>1221</v>
      </c>
      <c r="I1420" s="69"/>
      <c r="J1420" s="24" t="s">
        <v>6660</v>
      </c>
      <c r="K1420" s="24" t="s">
        <v>1222</v>
      </c>
      <c r="L1420" s="24" t="s">
        <v>9837</v>
      </c>
      <c r="M1420" s="75" t="s">
        <v>19</v>
      </c>
      <c r="N1420" s="75"/>
      <c r="O1420" s="75" t="s">
        <v>66</v>
      </c>
      <c r="P1420" s="75" t="s">
        <v>66</v>
      </c>
      <c r="Q1420" s="75" t="s">
        <v>66</v>
      </c>
      <c r="R1420" s="75" t="s">
        <v>2166</v>
      </c>
      <c r="U1420" s="24" t="s">
        <v>2679</v>
      </c>
      <c r="V1420" s="24" t="s">
        <v>2171</v>
      </c>
      <c r="Z1420" s="69"/>
      <c r="AA1420" s="69"/>
      <c r="AB1420" s="69"/>
      <c r="AC1420" s="69"/>
      <c r="AD1420" s="24" t="s">
        <v>1223</v>
      </c>
    </row>
    <row r="1421" spans="1:30" s="24" customFormat="1" x14ac:dyDescent="0.3">
      <c r="A1421" s="23">
        <v>413</v>
      </c>
      <c r="B1421" s="23">
        <v>408</v>
      </c>
      <c r="C1421" s="24" t="s">
        <v>2165</v>
      </c>
      <c r="D1421" s="69" t="s">
        <v>1209</v>
      </c>
      <c r="E1421" s="24" t="s">
        <v>1208</v>
      </c>
      <c r="F1421" s="24" t="s">
        <v>1224</v>
      </c>
      <c r="G1421" s="69" t="s">
        <v>1225</v>
      </c>
      <c r="I1421" s="69"/>
      <c r="J1421" s="24" t="s">
        <v>5660</v>
      </c>
      <c r="K1421" s="24" t="s">
        <v>108</v>
      </c>
      <c r="L1421" s="24" t="s">
        <v>9838</v>
      </c>
      <c r="M1421" s="75" t="s">
        <v>19</v>
      </c>
      <c r="N1421" s="75"/>
      <c r="O1421" s="75"/>
      <c r="P1421" s="75"/>
      <c r="Q1421" s="75"/>
      <c r="R1421" s="75" t="s">
        <v>2166</v>
      </c>
      <c r="U1421" s="24" t="s">
        <v>2680</v>
      </c>
      <c r="Z1421" s="69"/>
      <c r="AA1421" s="69"/>
      <c r="AB1421" s="69"/>
      <c r="AC1421" s="69"/>
    </row>
    <row r="1422" spans="1:30" s="24" customFormat="1" x14ac:dyDescent="0.3">
      <c r="A1422" s="23">
        <v>414</v>
      </c>
      <c r="B1422" s="23">
        <v>410</v>
      </c>
      <c r="C1422" s="24" t="s">
        <v>2165</v>
      </c>
      <c r="D1422" s="69" t="s">
        <v>1227</v>
      </c>
      <c r="E1422" s="24" t="s">
        <v>1226</v>
      </c>
      <c r="F1422" s="24" t="s">
        <v>1228</v>
      </c>
      <c r="G1422" s="69" t="s">
        <v>1229</v>
      </c>
      <c r="H1422" s="24">
        <v>2</v>
      </c>
      <c r="I1422" s="69"/>
      <c r="J1422" s="24" t="s">
        <v>6661</v>
      </c>
      <c r="K1422" s="24" t="s">
        <v>1230</v>
      </c>
      <c r="M1422" s="75" t="s">
        <v>15</v>
      </c>
      <c r="N1422" s="75"/>
      <c r="O1422" s="75"/>
      <c r="P1422" s="75"/>
      <c r="Q1422" s="75"/>
      <c r="R1422" s="75"/>
      <c r="V1422" s="24" t="s">
        <v>2681</v>
      </c>
      <c r="Z1422" s="69"/>
      <c r="AA1422" s="69"/>
      <c r="AB1422" s="69"/>
      <c r="AC1422" s="69"/>
    </row>
    <row r="1423" spans="1:30" s="26" customFormat="1" x14ac:dyDescent="0.3">
      <c r="A1423" s="25" t="s">
        <v>6662</v>
      </c>
      <c r="B1423" s="25"/>
      <c r="C1423" s="26" t="s">
        <v>3005</v>
      </c>
      <c r="D1423" s="70"/>
      <c r="G1423" s="70" t="s">
        <v>1229</v>
      </c>
      <c r="H1423" s="26">
        <v>-1</v>
      </c>
      <c r="I1423" s="70" t="s">
        <v>6663</v>
      </c>
      <c r="J1423" s="26" t="s">
        <v>6661</v>
      </c>
      <c r="K1423" s="26" t="s">
        <v>6664</v>
      </c>
      <c r="L1423" s="26" t="s">
        <v>10615</v>
      </c>
      <c r="M1423" s="76"/>
      <c r="N1423" s="76"/>
      <c r="O1423" s="76"/>
      <c r="P1423" s="76"/>
      <c r="Q1423" s="76"/>
      <c r="R1423" s="76"/>
      <c r="Z1423" s="70"/>
      <c r="AA1423" s="70"/>
      <c r="AB1423" s="70"/>
      <c r="AC1423" s="70"/>
    </row>
    <row r="1424" spans="1:30" s="26" customFormat="1" x14ac:dyDescent="0.3">
      <c r="A1424" s="25" t="s">
        <v>6665</v>
      </c>
      <c r="B1424" s="25"/>
      <c r="C1424" s="26" t="s">
        <v>3005</v>
      </c>
      <c r="D1424" s="70"/>
      <c r="G1424" s="70" t="s">
        <v>1229</v>
      </c>
      <c r="H1424" s="26">
        <v>-1</v>
      </c>
      <c r="I1424" s="70" t="s">
        <v>6666</v>
      </c>
      <c r="J1424" s="26" t="s">
        <v>3443</v>
      </c>
      <c r="K1424" s="26" t="s">
        <v>6667</v>
      </c>
      <c r="M1424" s="76"/>
      <c r="N1424" s="76"/>
      <c r="O1424" s="76"/>
      <c r="P1424" s="76"/>
      <c r="Q1424" s="76"/>
      <c r="R1424" s="76"/>
      <c r="Z1424" s="70"/>
      <c r="AA1424" s="70"/>
      <c r="AB1424" s="70"/>
      <c r="AC1424" s="70"/>
    </row>
    <row r="1425" spans="1:29" s="26" customFormat="1" x14ac:dyDescent="0.3">
      <c r="A1425" s="25" t="s">
        <v>6668</v>
      </c>
      <c r="B1425" s="25"/>
      <c r="C1425" s="26" t="s">
        <v>3005</v>
      </c>
      <c r="D1425" s="70"/>
      <c r="G1425" s="70" t="s">
        <v>1229</v>
      </c>
      <c r="H1425" s="26">
        <v>2</v>
      </c>
      <c r="I1425" s="70" t="s">
        <v>6669</v>
      </c>
      <c r="J1425" s="26" t="s">
        <v>6670</v>
      </c>
      <c r="K1425" s="26" t="s">
        <v>6671</v>
      </c>
      <c r="L1425" s="26" t="s">
        <v>10616</v>
      </c>
      <c r="M1425" s="76"/>
      <c r="N1425" s="76"/>
      <c r="O1425" s="76"/>
      <c r="P1425" s="76"/>
      <c r="Q1425" s="76"/>
      <c r="R1425" s="76"/>
      <c r="Z1425" s="70"/>
      <c r="AA1425" s="70"/>
      <c r="AB1425" s="70"/>
      <c r="AC1425" s="70"/>
    </row>
    <row r="1426" spans="1:29" s="26" customFormat="1" x14ac:dyDescent="0.3">
      <c r="A1426" s="25" t="s">
        <v>6672</v>
      </c>
      <c r="B1426" s="25"/>
      <c r="C1426" s="26" t="s">
        <v>3005</v>
      </c>
      <c r="D1426" s="70"/>
      <c r="G1426" s="70" t="s">
        <v>1229</v>
      </c>
      <c r="H1426" s="26">
        <v>2</v>
      </c>
      <c r="I1426" s="70" t="s">
        <v>3417</v>
      </c>
      <c r="J1426" s="26" t="s">
        <v>4248</v>
      </c>
      <c r="K1426" s="26" t="s">
        <v>5290</v>
      </c>
      <c r="L1426" s="26" t="s">
        <v>10617</v>
      </c>
      <c r="M1426" s="76"/>
      <c r="N1426" s="76"/>
      <c r="O1426" s="76"/>
      <c r="P1426" s="76"/>
      <c r="Q1426" s="76"/>
      <c r="R1426" s="76"/>
      <c r="Z1426" s="70"/>
      <c r="AA1426" s="70"/>
      <c r="AB1426" s="70"/>
      <c r="AC1426" s="70"/>
    </row>
    <row r="1427" spans="1:29" s="26" customFormat="1" x14ac:dyDescent="0.3">
      <c r="A1427" s="25" t="s">
        <v>6673</v>
      </c>
      <c r="B1427" s="25"/>
      <c r="C1427" s="26" t="s">
        <v>3005</v>
      </c>
      <c r="D1427" s="70"/>
      <c r="G1427" s="70" t="s">
        <v>1229</v>
      </c>
      <c r="H1427" s="26">
        <v>-1</v>
      </c>
      <c r="I1427" s="70" t="s">
        <v>6674</v>
      </c>
      <c r="J1427" s="26" t="s">
        <v>6675</v>
      </c>
      <c r="K1427" s="26" t="s">
        <v>6676</v>
      </c>
      <c r="L1427" s="26" t="s">
        <v>10618</v>
      </c>
      <c r="M1427" s="76"/>
      <c r="N1427" s="76"/>
      <c r="O1427" s="76"/>
      <c r="P1427" s="76"/>
      <c r="Q1427" s="76"/>
      <c r="R1427" s="76"/>
      <c r="Z1427" s="70"/>
      <c r="AA1427" s="70"/>
      <c r="AB1427" s="70"/>
      <c r="AC1427" s="70"/>
    </row>
    <row r="1428" spans="1:29" s="24" customFormat="1" x14ac:dyDescent="0.3">
      <c r="A1428" s="23">
        <v>415</v>
      </c>
      <c r="B1428" s="23">
        <v>411</v>
      </c>
      <c r="C1428" s="24" t="s">
        <v>2165</v>
      </c>
      <c r="D1428" s="69" t="s">
        <v>1232</v>
      </c>
      <c r="E1428" s="24" t="s">
        <v>1231</v>
      </c>
      <c r="F1428" s="24" t="s">
        <v>1233</v>
      </c>
      <c r="G1428" s="69" t="s">
        <v>1234</v>
      </c>
      <c r="H1428" s="24">
        <v>2</v>
      </c>
      <c r="I1428" s="69"/>
      <c r="J1428" s="24" t="s">
        <v>5115</v>
      </c>
      <c r="K1428" s="24" t="s">
        <v>1235</v>
      </c>
      <c r="M1428" s="75" t="s">
        <v>15</v>
      </c>
      <c r="N1428" s="75"/>
      <c r="O1428" s="75"/>
      <c r="P1428" s="75"/>
      <c r="Q1428" s="75"/>
      <c r="R1428" s="75"/>
      <c r="V1428" s="24" t="s">
        <v>2682</v>
      </c>
      <c r="Z1428" s="69"/>
      <c r="AA1428" s="69"/>
      <c r="AB1428" s="69" t="s">
        <v>2683</v>
      </c>
      <c r="AC1428" s="69"/>
    </row>
    <row r="1429" spans="1:29" s="26" customFormat="1" x14ac:dyDescent="0.3">
      <c r="A1429" s="25" t="s">
        <v>6677</v>
      </c>
      <c r="B1429" s="25"/>
      <c r="C1429" s="26" t="s">
        <v>3005</v>
      </c>
      <c r="D1429" s="70"/>
      <c r="G1429" s="70" t="s">
        <v>1234</v>
      </c>
      <c r="H1429" s="26">
        <v>2</v>
      </c>
      <c r="I1429" s="70" t="s">
        <v>3393</v>
      </c>
      <c r="J1429" s="26" t="s">
        <v>6678</v>
      </c>
      <c r="K1429" s="26" t="s">
        <v>6679</v>
      </c>
      <c r="L1429" s="26" t="s">
        <v>10619</v>
      </c>
      <c r="M1429" s="76"/>
      <c r="N1429" s="76"/>
      <c r="O1429" s="76"/>
      <c r="P1429" s="76"/>
      <c r="Q1429" s="76"/>
      <c r="R1429" s="76"/>
      <c r="Z1429" s="70"/>
      <c r="AA1429" s="70"/>
      <c r="AB1429" s="70"/>
      <c r="AC1429" s="70"/>
    </row>
    <row r="1430" spans="1:29" s="26" customFormat="1" x14ac:dyDescent="0.3">
      <c r="A1430" s="25" t="s">
        <v>6680</v>
      </c>
      <c r="B1430" s="25"/>
      <c r="C1430" s="26" t="s">
        <v>3005</v>
      </c>
      <c r="D1430" s="70"/>
      <c r="G1430" s="70" t="s">
        <v>1234</v>
      </c>
      <c r="H1430" s="26">
        <v>2</v>
      </c>
      <c r="I1430" s="70" t="s">
        <v>6681</v>
      </c>
      <c r="J1430" s="26" t="s">
        <v>5115</v>
      </c>
      <c r="K1430" s="26" t="s">
        <v>6682</v>
      </c>
      <c r="L1430" s="26" t="s">
        <v>10620</v>
      </c>
      <c r="M1430" s="76"/>
      <c r="N1430" s="76"/>
      <c r="O1430" s="76"/>
      <c r="P1430" s="76"/>
      <c r="Q1430" s="76"/>
      <c r="R1430" s="76"/>
      <c r="Y1430" s="26" t="s">
        <v>1233</v>
      </c>
      <c r="Z1430" s="70"/>
      <c r="AA1430" s="70"/>
      <c r="AB1430" s="70" t="s">
        <v>2683</v>
      </c>
      <c r="AC1430" s="70"/>
    </row>
    <row r="1431" spans="1:29" s="26" customFormat="1" x14ac:dyDescent="0.3">
      <c r="A1431" s="25" t="s">
        <v>6683</v>
      </c>
      <c r="B1431" s="25"/>
      <c r="C1431" s="26" t="s">
        <v>3005</v>
      </c>
      <c r="D1431" s="70"/>
      <c r="G1431" s="70" t="s">
        <v>1234</v>
      </c>
      <c r="H1431" s="26">
        <v>-1</v>
      </c>
      <c r="I1431" s="70" t="s">
        <v>6684</v>
      </c>
      <c r="J1431" s="26" t="s">
        <v>3794</v>
      </c>
      <c r="K1431" s="26" t="s">
        <v>6685</v>
      </c>
      <c r="L1431" s="26" t="s">
        <v>10621</v>
      </c>
      <c r="M1431" s="76"/>
      <c r="N1431" s="76"/>
      <c r="O1431" s="76"/>
      <c r="P1431" s="76"/>
      <c r="Q1431" s="76"/>
      <c r="R1431" s="76"/>
      <c r="Z1431" s="70"/>
      <c r="AA1431" s="70"/>
      <c r="AB1431" s="70"/>
      <c r="AC1431" s="70"/>
    </row>
    <row r="1432" spans="1:29" s="26" customFormat="1" x14ac:dyDescent="0.3">
      <c r="A1432" s="25" t="s">
        <v>6686</v>
      </c>
      <c r="B1432" s="25"/>
      <c r="C1432" s="26" t="s">
        <v>3005</v>
      </c>
      <c r="D1432" s="70"/>
      <c r="G1432" s="70" t="s">
        <v>1234</v>
      </c>
      <c r="H1432" s="26">
        <v>-1</v>
      </c>
      <c r="I1432" s="70" t="s">
        <v>6687</v>
      </c>
      <c r="J1432" s="26" t="s">
        <v>5280</v>
      </c>
      <c r="K1432" s="26" t="s">
        <v>6688</v>
      </c>
      <c r="L1432" s="26" t="s">
        <v>10622</v>
      </c>
      <c r="M1432" s="76"/>
      <c r="N1432" s="76"/>
      <c r="O1432" s="76"/>
      <c r="P1432" s="76"/>
      <c r="Q1432" s="76"/>
      <c r="R1432" s="76"/>
      <c r="Z1432" s="70"/>
      <c r="AA1432" s="70"/>
      <c r="AB1432" s="70"/>
      <c r="AC1432" s="70"/>
    </row>
    <row r="1433" spans="1:29" s="26" customFormat="1" x14ac:dyDescent="0.3">
      <c r="A1433" s="25" t="s">
        <v>6689</v>
      </c>
      <c r="B1433" s="25"/>
      <c r="C1433" s="26" t="s">
        <v>3005</v>
      </c>
      <c r="D1433" s="70"/>
      <c r="G1433" s="70" t="s">
        <v>1234</v>
      </c>
      <c r="H1433" s="26">
        <v>-1</v>
      </c>
      <c r="I1433" s="70" t="s">
        <v>4106</v>
      </c>
      <c r="J1433" s="26" t="s">
        <v>3358</v>
      </c>
      <c r="K1433" s="26" t="s">
        <v>6690</v>
      </c>
      <c r="L1433" s="26" t="s">
        <v>5325</v>
      </c>
      <c r="M1433" s="76"/>
      <c r="N1433" s="76"/>
      <c r="O1433" s="76"/>
      <c r="P1433" s="76"/>
      <c r="Q1433" s="76"/>
      <c r="R1433" s="76"/>
      <c r="Z1433" s="70"/>
      <c r="AA1433" s="70"/>
      <c r="AB1433" s="70"/>
      <c r="AC1433" s="70"/>
    </row>
    <row r="1434" spans="1:29" s="26" customFormat="1" x14ac:dyDescent="0.3">
      <c r="A1434" s="25" t="s">
        <v>6691</v>
      </c>
      <c r="B1434" s="25"/>
      <c r="C1434" s="26" t="s">
        <v>3005</v>
      </c>
      <c r="D1434" s="70"/>
      <c r="G1434" s="70" t="s">
        <v>1234</v>
      </c>
      <c r="H1434" s="26">
        <v>-1</v>
      </c>
      <c r="I1434" s="70" t="s">
        <v>6692</v>
      </c>
      <c r="J1434" s="26" t="s">
        <v>3783</v>
      </c>
      <c r="K1434" s="26" t="s">
        <v>6693</v>
      </c>
      <c r="L1434" s="26" t="s">
        <v>10623</v>
      </c>
      <c r="M1434" s="76"/>
      <c r="N1434" s="76"/>
      <c r="O1434" s="76"/>
      <c r="P1434" s="76"/>
      <c r="Q1434" s="76"/>
      <c r="R1434" s="76"/>
      <c r="Z1434" s="70"/>
      <c r="AA1434" s="70"/>
      <c r="AB1434" s="70"/>
      <c r="AC1434" s="70"/>
    </row>
    <row r="1435" spans="1:29" s="26" customFormat="1" x14ac:dyDescent="0.3">
      <c r="A1435" s="25" t="s">
        <v>6694</v>
      </c>
      <c r="B1435" s="25"/>
      <c r="C1435" s="26" t="s">
        <v>3005</v>
      </c>
      <c r="D1435" s="70"/>
      <c r="G1435" s="70" t="s">
        <v>1234</v>
      </c>
      <c r="H1435" s="26">
        <v>-1</v>
      </c>
      <c r="I1435" s="70" t="s">
        <v>6695</v>
      </c>
      <c r="J1435" s="26" t="s">
        <v>3098</v>
      </c>
      <c r="K1435" s="26" t="s">
        <v>6696</v>
      </c>
      <c r="L1435" s="26" t="s">
        <v>10624</v>
      </c>
      <c r="M1435" s="76"/>
      <c r="N1435" s="76"/>
      <c r="O1435" s="76"/>
      <c r="P1435" s="76"/>
      <c r="Q1435" s="76"/>
      <c r="R1435" s="76"/>
      <c r="Z1435" s="70"/>
      <c r="AA1435" s="70"/>
      <c r="AB1435" s="70"/>
      <c r="AC1435" s="70"/>
    </row>
    <row r="1436" spans="1:29" s="26" customFormat="1" x14ac:dyDescent="0.3">
      <c r="A1436" s="25" t="s">
        <v>6697</v>
      </c>
      <c r="B1436" s="25"/>
      <c r="C1436" s="26" t="s">
        <v>3005</v>
      </c>
      <c r="D1436" s="70"/>
      <c r="G1436" s="70" t="s">
        <v>1234</v>
      </c>
      <c r="H1436" s="26">
        <v>-1</v>
      </c>
      <c r="I1436" s="70" t="s">
        <v>6698</v>
      </c>
      <c r="J1436" s="26" t="s">
        <v>6326</v>
      </c>
      <c r="K1436" s="26" t="s">
        <v>6699</v>
      </c>
      <c r="L1436" s="26" t="s">
        <v>10625</v>
      </c>
      <c r="M1436" s="76"/>
      <c r="N1436" s="76"/>
      <c r="O1436" s="76"/>
      <c r="P1436" s="76"/>
      <c r="Q1436" s="76"/>
      <c r="R1436" s="76"/>
      <c r="Z1436" s="70"/>
      <c r="AA1436" s="70"/>
      <c r="AB1436" s="70"/>
      <c r="AC1436" s="70"/>
    </row>
    <row r="1437" spans="1:29" s="26" customFormat="1" x14ac:dyDescent="0.3">
      <c r="A1437" s="25" t="s">
        <v>6700</v>
      </c>
      <c r="B1437" s="25"/>
      <c r="C1437" s="26" t="s">
        <v>3005</v>
      </c>
      <c r="D1437" s="70"/>
      <c r="G1437" s="70" t="s">
        <v>1234</v>
      </c>
      <c r="H1437" s="26">
        <v>-1</v>
      </c>
      <c r="I1437" s="70" t="s">
        <v>6701</v>
      </c>
      <c r="J1437" s="26" t="s">
        <v>3452</v>
      </c>
      <c r="K1437" s="26" t="s">
        <v>6702</v>
      </c>
      <c r="L1437" s="26" t="s">
        <v>10626</v>
      </c>
      <c r="M1437" s="76"/>
      <c r="N1437" s="76"/>
      <c r="O1437" s="76"/>
      <c r="P1437" s="76"/>
      <c r="Q1437" s="76"/>
      <c r="R1437" s="76"/>
      <c r="Z1437" s="70"/>
      <c r="AA1437" s="70"/>
      <c r="AB1437" s="70"/>
      <c r="AC1437" s="70"/>
    </row>
    <row r="1438" spans="1:29" s="24" customFormat="1" x14ac:dyDescent="0.3">
      <c r="A1438" s="23">
        <v>416</v>
      </c>
      <c r="B1438" s="23">
        <v>412</v>
      </c>
      <c r="C1438" s="24" t="s">
        <v>2165</v>
      </c>
      <c r="D1438" s="69" t="s">
        <v>1237</v>
      </c>
      <c r="E1438" s="24" t="s">
        <v>1236</v>
      </c>
      <c r="F1438" s="24" t="s">
        <v>1238</v>
      </c>
      <c r="G1438" s="69" t="s">
        <v>1239</v>
      </c>
      <c r="H1438" s="24">
        <v>1</v>
      </c>
      <c r="I1438" s="69"/>
      <c r="J1438" s="24" t="s">
        <v>3016</v>
      </c>
      <c r="K1438" s="24" t="s">
        <v>43</v>
      </c>
      <c r="M1438" s="75" t="s">
        <v>15</v>
      </c>
      <c r="N1438" s="75"/>
      <c r="O1438" s="75"/>
      <c r="P1438" s="75"/>
      <c r="Q1438" s="75"/>
      <c r="R1438" s="75"/>
      <c r="Z1438" s="69"/>
      <c r="AA1438" s="69"/>
      <c r="AB1438" s="69"/>
      <c r="AC1438" s="69"/>
    </row>
    <row r="1439" spans="1:29" s="26" customFormat="1" x14ac:dyDescent="0.3">
      <c r="A1439" s="25" t="s">
        <v>6703</v>
      </c>
      <c r="B1439" s="25"/>
      <c r="C1439" s="26" t="s">
        <v>3005</v>
      </c>
      <c r="D1439" s="70"/>
      <c r="G1439" s="70" t="s">
        <v>1239</v>
      </c>
      <c r="H1439" s="26">
        <v>-1</v>
      </c>
      <c r="I1439" s="70" t="s">
        <v>6704</v>
      </c>
      <c r="J1439" s="26" t="s">
        <v>3092</v>
      </c>
      <c r="K1439" s="26" t="s">
        <v>3715</v>
      </c>
      <c r="L1439" s="26" t="s">
        <v>10082</v>
      </c>
      <c r="M1439" s="76"/>
      <c r="N1439" s="76"/>
      <c r="O1439" s="76"/>
      <c r="P1439" s="76"/>
      <c r="Q1439" s="76"/>
      <c r="R1439" s="76"/>
      <c r="Z1439" s="70"/>
      <c r="AA1439" s="70"/>
      <c r="AB1439" s="70"/>
      <c r="AC1439" s="70"/>
    </row>
    <row r="1440" spans="1:29" s="26" customFormat="1" x14ac:dyDescent="0.3">
      <c r="A1440" s="25" t="s">
        <v>6705</v>
      </c>
      <c r="B1440" s="25"/>
      <c r="C1440" s="26" t="s">
        <v>3005</v>
      </c>
      <c r="D1440" s="70"/>
      <c r="G1440" s="70" t="s">
        <v>1239</v>
      </c>
      <c r="H1440" s="26">
        <v>-1</v>
      </c>
      <c r="I1440" s="70" t="s">
        <v>6706</v>
      </c>
      <c r="J1440" s="26" t="s">
        <v>6707</v>
      </c>
      <c r="K1440" s="26" t="s">
        <v>6708</v>
      </c>
      <c r="L1440" s="26" t="s">
        <v>10627</v>
      </c>
      <c r="M1440" s="76"/>
      <c r="N1440" s="76"/>
      <c r="O1440" s="76"/>
      <c r="P1440" s="76"/>
      <c r="Q1440" s="76"/>
      <c r="R1440" s="76"/>
      <c r="Z1440" s="70"/>
      <c r="AA1440" s="70"/>
      <c r="AB1440" s="70"/>
      <c r="AC1440" s="70"/>
    </row>
    <row r="1441" spans="1:31" s="26" customFormat="1" x14ac:dyDescent="0.3">
      <c r="A1441" s="25" t="s">
        <v>6709</v>
      </c>
      <c r="B1441" s="25"/>
      <c r="C1441" s="26" t="s">
        <v>3005</v>
      </c>
      <c r="D1441" s="70"/>
      <c r="G1441" s="70" t="s">
        <v>1239</v>
      </c>
      <c r="H1441" s="26">
        <v>-1</v>
      </c>
      <c r="I1441" s="70" t="s">
        <v>6687</v>
      </c>
      <c r="J1441" s="26" t="s">
        <v>6710</v>
      </c>
      <c r="K1441" s="26" t="s">
        <v>6711</v>
      </c>
      <c r="L1441" s="26" t="s">
        <v>10628</v>
      </c>
      <c r="M1441" s="76"/>
      <c r="N1441" s="76"/>
      <c r="O1441" s="76"/>
      <c r="P1441" s="76"/>
      <c r="Q1441" s="76"/>
      <c r="R1441" s="76"/>
      <c r="Z1441" s="70"/>
      <c r="AA1441" s="70"/>
      <c r="AB1441" s="70"/>
      <c r="AC1441" s="70"/>
    </row>
    <row r="1442" spans="1:31" s="26" customFormat="1" x14ac:dyDescent="0.3">
      <c r="A1442" s="25" t="s">
        <v>6712</v>
      </c>
      <c r="B1442" s="25"/>
      <c r="C1442" s="26" t="s">
        <v>3005</v>
      </c>
      <c r="D1442" s="70"/>
      <c r="G1442" s="70" t="s">
        <v>1239</v>
      </c>
      <c r="H1442" s="26">
        <v>-1</v>
      </c>
      <c r="I1442" s="70" t="s">
        <v>6713</v>
      </c>
      <c r="J1442" s="26" t="s">
        <v>3016</v>
      </c>
      <c r="K1442" s="26" t="s">
        <v>6714</v>
      </c>
      <c r="L1442" s="26" t="s">
        <v>10629</v>
      </c>
      <c r="M1442" s="76"/>
      <c r="N1442" s="76"/>
      <c r="O1442" s="76"/>
      <c r="P1442" s="76"/>
      <c r="Q1442" s="76"/>
      <c r="R1442" s="76"/>
      <c r="Z1442" s="70"/>
      <c r="AA1442" s="70"/>
      <c r="AB1442" s="70"/>
      <c r="AC1442" s="70"/>
    </row>
    <row r="1443" spans="1:31" s="26" customFormat="1" x14ac:dyDescent="0.3">
      <c r="A1443" s="25" t="s">
        <v>6715</v>
      </c>
      <c r="B1443" s="25"/>
      <c r="C1443" s="26" t="s">
        <v>3005</v>
      </c>
      <c r="D1443" s="70"/>
      <c r="G1443" s="70" t="s">
        <v>1239</v>
      </c>
      <c r="H1443" s="26">
        <v>-1</v>
      </c>
      <c r="I1443" s="70" t="s">
        <v>5029</v>
      </c>
      <c r="J1443" s="26" t="s">
        <v>6716</v>
      </c>
      <c r="K1443" s="26" t="s">
        <v>6717</v>
      </c>
      <c r="L1443" s="26" t="s">
        <v>10630</v>
      </c>
      <c r="M1443" s="76"/>
      <c r="N1443" s="76"/>
      <c r="O1443" s="76"/>
      <c r="P1443" s="76"/>
      <c r="Q1443" s="76"/>
      <c r="R1443" s="76"/>
      <c r="Z1443" s="70"/>
      <c r="AA1443" s="70"/>
      <c r="AB1443" s="70"/>
      <c r="AC1443" s="70"/>
    </row>
    <row r="1444" spans="1:31" s="26" customFormat="1" x14ac:dyDescent="0.3">
      <c r="A1444" s="25" t="s">
        <v>6718</v>
      </c>
      <c r="B1444" s="25"/>
      <c r="C1444" s="26" t="s">
        <v>3005</v>
      </c>
      <c r="D1444" s="70"/>
      <c r="G1444" s="70" t="s">
        <v>1239</v>
      </c>
      <c r="H1444" s="26">
        <v>-1</v>
      </c>
      <c r="I1444" s="70" t="s">
        <v>6719</v>
      </c>
      <c r="J1444" s="26" t="s">
        <v>6720</v>
      </c>
      <c r="K1444" s="26" t="s">
        <v>6721</v>
      </c>
      <c r="L1444" s="26" t="s">
        <v>10631</v>
      </c>
      <c r="M1444" s="76"/>
      <c r="N1444" s="76"/>
      <c r="O1444" s="76"/>
      <c r="P1444" s="76"/>
      <c r="Q1444" s="76"/>
      <c r="R1444" s="76"/>
      <c r="Z1444" s="70"/>
      <c r="AA1444" s="70"/>
      <c r="AB1444" s="70"/>
      <c r="AC1444" s="70"/>
    </row>
    <row r="1445" spans="1:31" s="26" customFormat="1" x14ac:dyDescent="0.3">
      <c r="A1445" s="25" t="s">
        <v>6722</v>
      </c>
      <c r="B1445" s="25"/>
      <c r="C1445" s="26" t="s">
        <v>3005</v>
      </c>
      <c r="D1445" s="70"/>
      <c r="G1445" s="70" t="s">
        <v>1239</v>
      </c>
      <c r="H1445" s="26">
        <v>-1</v>
      </c>
      <c r="I1445" s="70" t="s">
        <v>6723</v>
      </c>
      <c r="J1445" s="26" t="s">
        <v>6707</v>
      </c>
      <c r="K1445" s="26" t="s">
        <v>6724</v>
      </c>
      <c r="L1445" s="26" t="s">
        <v>10632</v>
      </c>
      <c r="M1445" s="76"/>
      <c r="N1445" s="76"/>
      <c r="O1445" s="76"/>
      <c r="P1445" s="76"/>
      <c r="Q1445" s="76"/>
      <c r="R1445" s="76"/>
      <c r="Z1445" s="70"/>
      <c r="AA1445" s="70"/>
      <c r="AB1445" s="70"/>
      <c r="AC1445" s="70"/>
    </row>
    <row r="1446" spans="1:31" s="26" customFormat="1" x14ac:dyDescent="0.3">
      <c r="A1446" s="25" t="s">
        <v>6725</v>
      </c>
      <c r="B1446" s="25"/>
      <c r="C1446" s="26" t="s">
        <v>3005</v>
      </c>
      <c r="D1446" s="70"/>
      <c r="G1446" s="70" t="s">
        <v>1239</v>
      </c>
      <c r="H1446" s="26">
        <v>-1</v>
      </c>
      <c r="I1446" s="70" t="s">
        <v>6726</v>
      </c>
      <c r="J1446" s="26" t="s">
        <v>3443</v>
      </c>
      <c r="K1446" s="26" t="s">
        <v>6727</v>
      </c>
      <c r="L1446" s="26" t="s">
        <v>10633</v>
      </c>
      <c r="M1446" s="76"/>
      <c r="N1446" s="76"/>
      <c r="O1446" s="76"/>
      <c r="P1446" s="76"/>
      <c r="Q1446" s="76"/>
      <c r="R1446" s="76"/>
      <c r="Z1446" s="70"/>
      <c r="AA1446" s="70"/>
      <c r="AB1446" s="70"/>
      <c r="AC1446" s="70"/>
    </row>
    <row r="1447" spans="1:31" s="26" customFormat="1" x14ac:dyDescent="0.3">
      <c r="A1447" s="25" t="s">
        <v>6728</v>
      </c>
      <c r="B1447" s="25"/>
      <c r="C1447" s="26" t="s">
        <v>3005</v>
      </c>
      <c r="D1447" s="70"/>
      <c r="G1447" s="70" t="s">
        <v>1239</v>
      </c>
      <c r="H1447" s="26">
        <v>-1</v>
      </c>
      <c r="I1447" s="70" t="s">
        <v>6729</v>
      </c>
      <c r="J1447" s="26" t="s">
        <v>3447</v>
      </c>
      <c r="K1447" s="26" t="s">
        <v>5732</v>
      </c>
      <c r="L1447" s="26" t="s">
        <v>5732</v>
      </c>
      <c r="M1447" s="76"/>
      <c r="N1447" s="76"/>
      <c r="O1447" s="76"/>
      <c r="P1447" s="76"/>
      <c r="Q1447" s="76"/>
      <c r="R1447" s="76"/>
      <c r="Z1447" s="70"/>
      <c r="AA1447" s="70"/>
      <c r="AB1447" s="70"/>
      <c r="AC1447" s="70"/>
    </row>
    <row r="1448" spans="1:31" s="26" customFormat="1" x14ac:dyDescent="0.3">
      <c r="A1448" s="25" t="s">
        <v>6730</v>
      </c>
      <c r="B1448" s="25"/>
      <c r="C1448" s="26" t="s">
        <v>3005</v>
      </c>
      <c r="D1448" s="70"/>
      <c r="G1448" s="70" t="s">
        <v>1239</v>
      </c>
      <c r="H1448" s="26">
        <v>-1</v>
      </c>
      <c r="I1448" s="70" t="s">
        <v>5300</v>
      </c>
      <c r="J1448" s="26" t="s">
        <v>5616</v>
      </c>
      <c r="K1448" s="26" t="s">
        <v>6731</v>
      </c>
      <c r="L1448" s="26" t="s">
        <v>10064</v>
      </c>
      <c r="M1448" s="76"/>
      <c r="N1448" s="76"/>
      <c r="O1448" s="76"/>
      <c r="P1448" s="76"/>
      <c r="Q1448" s="76"/>
      <c r="R1448" s="76"/>
      <c r="Z1448" s="70"/>
      <c r="AA1448" s="70"/>
      <c r="AB1448" s="70"/>
      <c r="AC1448" s="70"/>
    </row>
    <row r="1449" spans="1:31" s="26" customFormat="1" x14ac:dyDescent="0.3">
      <c r="A1449" s="25" t="s">
        <v>6732</v>
      </c>
      <c r="B1449" s="25"/>
      <c r="C1449" s="26" t="s">
        <v>3005</v>
      </c>
      <c r="D1449" s="70"/>
      <c r="G1449" s="70" t="s">
        <v>1239</v>
      </c>
      <c r="H1449" s="26">
        <v>2</v>
      </c>
      <c r="I1449" s="70" t="s">
        <v>6733</v>
      </c>
      <c r="J1449" s="26" t="s">
        <v>6734</v>
      </c>
      <c r="K1449" s="26" t="s">
        <v>6735</v>
      </c>
      <c r="L1449" s="26" t="s">
        <v>10634</v>
      </c>
      <c r="M1449" s="76"/>
      <c r="N1449" s="76"/>
      <c r="O1449" s="76"/>
      <c r="P1449" s="76"/>
      <c r="Q1449" s="76"/>
      <c r="R1449" s="76"/>
      <c r="Z1449" s="70"/>
      <c r="AA1449" s="70"/>
      <c r="AB1449" s="70"/>
      <c r="AC1449" s="70"/>
    </row>
    <row r="1450" spans="1:31" s="24" customFormat="1" x14ac:dyDescent="0.3">
      <c r="A1450" s="23">
        <v>417</v>
      </c>
      <c r="B1450" s="23">
        <v>422</v>
      </c>
      <c r="C1450" s="24" t="s">
        <v>2165</v>
      </c>
      <c r="D1450" s="69" t="s">
        <v>1241</v>
      </c>
      <c r="E1450" s="24" t="s">
        <v>1240</v>
      </c>
      <c r="F1450" s="24" t="s">
        <v>1242</v>
      </c>
      <c r="G1450" s="69" t="s">
        <v>1243</v>
      </c>
      <c r="H1450" s="24">
        <v>1</v>
      </c>
      <c r="I1450" s="69"/>
      <c r="J1450" s="24" t="s">
        <v>6058</v>
      </c>
      <c r="K1450" s="24" t="s">
        <v>1244</v>
      </c>
      <c r="M1450" s="75" t="s">
        <v>15</v>
      </c>
      <c r="N1450" s="75"/>
      <c r="O1450" s="75" t="s">
        <v>58</v>
      </c>
      <c r="P1450" s="75" t="s">
        <v>58</v>
      </c>
      <c r="Q1450" s="75" t="s">
        <v>66</v>
      </c>
      <c r="R1450" s="75"/>
      <c r="V1450" s="24" t="s">
        <v>2684</v>
      </c>
      <c r="Z1450" s="69"/>
      <c r="AA1450" s="69"/>
      <c r="AB1450" s="69"/>
      <c r="AC1450" s="69"/>
    </row>
    <row r="1451" spans="1:31" s="26" customFormat="1" x14ac:dyDescent="0.3">
      <c r="A1451" s="25" t="s">
        <v>6736</v>
      </c>
      <c r="B1451" s="25"/>
      <c r="C1451" s="26" t="s">
        <v>3005</v>
      </c>
      <c r="D1451" s="70"/>
      <c r="G1451" s="70" t="s">
        <v>1243</v>
      </c>
      <c r="H1451" s="26">
        <v>1</v>
      </c>
      <c r="I1451" s="70" t="s">
        <v>6737</v>
      </c>
      <c r="J1451" s="26" t="s">
        <v>6058</v>
      </c>
      <c r="K1451" s="26" t="s">
        <v>6738</v>
      </c>
      <c r="L1451" s="26" t="s">
        <v>10635</v>
      </c>
      <c r="M1451" s="76"/>
      <c r="N1451" s="76"/>
      <c r="O1451" s="76"/>
      <c r="P1451" s="76"/>
      <c r="Q1451" s="76"/>
      <c r="R1451" s="76"/>
      <c r="Z1451" s="70"/>
      <c r="AA1451" s="70"/>
      <c r="AB1451" s="70"/>
      <c r="AC1451" s="70"/>
    </row>
    <row r="1452" spans="1:31" s="26" customFormat="1" x14ac:dyDescent="0.3">
      <c r="A1452" s="25" t="s">
        <v>6739</v>
      </c>
      <c r="B1452" s="25"/>
      <c r="C1452" s="26" t="s">
        <v>3005</v>
      </c>
      <c r="D1452" s="70"/>
      <c r="G1452" s="70" t="s">
        <v>1243</v>
      </c>
      <c r="H1452" s="26">
        <v>-1</v>
      </c>
      <c r="I1452" s="70" t="s">
        <v>6740</v>
      </c>
      <c r="J1452" s="26" t="s">
        <v>3443</v>
      </c>
      <c r="K1452" s="26" t="s">
        <v>3788</v>
      </c>
      <c r="L1452" s="26" t="s">
        <v>10474</v>
      </c>
      <c r="M1452" s="76"/>
      <c r="N1452" s="76"/>
      <c r="O1452" s="76"/>
      <c r="P1452" s="76"/>
      <c r="Q1452" s="76"/>
      <c r="R1452" s="76"/>
      <c r="Z1452" s="70"/>
      <c r="AA1452" s="70"/>
      <c r="AB1452" s="70"/>
      <c r="AC1452" s="70"/>
    </row>
    <row r="1453" spans="1:31" s="24" customFormat="1" x14ac:dyDescent="0.3">
      <c r="A1453" s="23">
        <v>418</v>
      </c>
      <c r="B1453" s="23">
        <v>423</v>
      </c>
      <c r="C1453" s="24" t="s">
        <v>2165</v>
      </c>
      <c r="D1453" s="69" t="s">
        <v>1241</v>
      </c>
      <c r="E1453" s="24" t="s">
        <v>1240</v>
      </c>
      <c r="F1453" s="24" t="s">
        <v>1245</v>
      </c>
      <c r="G1453" s="69" t="s">
        <v>1246</v>
      </c>
      <c r="H1453" s="24">
        <v>6</v>
      </c>
      <c r="I1453" s="69"/>
      <c r="J1453" s="24" t="s">
        <v>3334</v>
      </c>
      <c r="K1453" s="24" t="s">
        <v>1247</v>
      </c>
      <c r="M1453" s="75" t="s">
        <v>15</v>
      </c>
      <c r="N1453" s="75"/>
      <c r="O1453" s="75" t="s">
        <v>732</v>
      </c>
      <c r="P1453" s="75"/>
      <c r="Q1453" s="75"/>
      <c r="R1453" s="75"/>
      <c r="T1453" s="24" t="s">
        <v>2179</v>
      </c>
      <c r="Z1453" s="69"/>
      <c r="AA1453" s="69"/>
      <c r="AB1453" s="69" t="s">
        <v>2685</v>
      </c>
      <c r="AC1453" s="69"/>
      <c r="AE1453" s="24" t="s">
        <v>2686</v>
      </c>
    </row>
    <row r="1454" spans="1:31" s="26" customFormat="1" x14ac:dyDescent="0.3">
      <c r="A1454" s="25" t="s">
        <v>6741</v>
      </c>
      <c r="B1454" s="25"/>
      <c r="C1454" s="26" t="s">
        <v>3005</v>
      </c>
      <c r="D1454" s="70"/>
      <c r="G1454" s="70" t="s">
        <v>1246</v>
      </c>
      <c r="H1454" s="26">
        <v>-1</v>
      </c>
      <c r="I1454" s="70" t="s">
        <v>6742</v>
      </c>
      <c r="J1454" s="26" t="s">
        <v>6743</v>
      </c>
      <c r="K1454" s="26" t="s">
        <v>5732</v>
      </c>
      <c r="L1454" s="26" t="s">
        <v>5732</v>
      </c>
      <c r="M1454" s="76"/>
      <c r="N1454" s="76"/>
      <c r="O1454" s="76"/>
      <c r="P1454" s="76"/>
      <c r="Q1454" s="76"/>
      <c r="R1454" s="76"/>
      <c r="Z1454" s="70"/>
      <c r="AA1454" s="70"/>
      <c r="AB1454" s="70"/>
      <c r="AC1454" s="70"/>
    </row>
    <row r="1455" spans="1:31" s="26" customFormat="1" x14ac:dyDescent="0.3">
      <c r="A1455" s="25" t="s">
        <v>6744</v>
      </c>
      <c r="B1455" s="25"/>
      <c r="C1455" s="26" t="s">
        <v>3005</v>
      </c>
      <c r="D1455" s="70"/>
      <c r="G1455" s="70" t="s">
        <v>1246</v>
      </c>
      <c r="H1455" s="26">
        <v>-1</v>
      </c>
      <c r="I1455" s="70" t="s">
        <v>6745</v>
      </c>
      <c r="J1455" s="26" t="s">
        <v>6661</v>
      </c>
      <c r="K1455" s="26" t="s">
        <v>6746</v>
      </c>
      <c r="L1455" s="26" t="s">
        <v>10636</v>
      </c>
      <c r="M1455" s="76"/>
      <c r="N1455" s="76"/>
      <c r="O1455" s="76"/>
      <c r="P1455" s="76"/>
      <c r="Q1455" s="76"/>
      <c r="R1455" s="76"/>
      <c r="Z1455" s="70"/>
      <c r="AA1455" s="70"/>
      <c r="AB1455" s="70"/>
      <c r="AC1455" s="70"/>
    </row>
    <row r="1456" spans="1:31" s="26" customFormat="1" x14ac:dyDescent="0.3">
      <c r="A1456" s="25" t="s">
        <v>6747</v>
      </c>
      <c r="B1456" s="25"/>
      <c r="C1456" s="26" t="s">
        <v>3005</v>
      </c>
      <c r="D1456" s="70"/>
      <c r="G1456" s="70" t="s">
        <v>1246</v>
      </c>
      <c r="H1456" s="26">
        <v>-1</v>
      </c>
      <c r="I1456" s="70" t="s">
        <v>3814</v>
      </c>
      <c r="J1456" s="26" t="s">
        <v>6748</v>
      </c>
      <c r="K1456" s="26" t="s">
        <v>3750</v>
      </c>
      <c r="L1456" s="26" t="s">
        <v>10061</v>
      </c>
      <c r="M1456" s="76"/>
      <c r="N1456" s="76"/>
      <c r="O1456" s="76"/>
      <c r="P1456" s="76"/>
      <c r="Q1456" s="76"/>
      <c r="R1456" s="76"/>
      <c r="Z1456" s="70"/>
      <c r="AA1456" s="70"/>
      <c r="AB1456" s="70"/>
      <c r="AC1456" s="70"/>
    </row>
    <row r="1457" spans="1:29" s="26" customFormat="1" x14ac:dyDescent="0.3">
      <c r="A1457" s="25" t="s">
        <v>6749</v>
      </c>
      <c r="B1457" s="25"/>
      <c r="C1457" s="26" t="s">
        <v>3005</v>
      </c>
      <c r="D1457" s="70"/>
      <c r="G1457" s="70" t="s">
        <v>1246</v>
      </c>
      <c r="H1457" s="26">
        <v>-1</v>
      </c>
      <c r="I1457" s="70" t="s">
        <v>6750</v>
      </c>
      <c r="J1457" s="26" t="s">
        <v>3443</v>
      </c>
      <c r="K1457" s="26" t="s">
        <v>3788</v>
      </c>
      <c r="L1457" s="26" t="s">
        <v>10474</v>
      </c>
      <c r="M1457" s="76"/>
      <c r="N1457" s="76"/>
      <c r="O1457" s="76"/>
      <c r="P1457" s="76"/>
      <c r="Q1457" s="76"/>
      <c r="R1457" s="76"/>
      <c r="Z1457" s="70"/>
      <c r="AA1457" s="70"/>
      <c r="AB1457" s="70"/>
      <c r="AC1457" s="70"/>
    </row>
    <row r="1458" spans="1:29" s="26" customFormat="1" x14ac:dyDescent="0.3">
      <c r="A1458" s="25" t="s">
        <v>6751</v>
      </c>
      <c r="B1458" s="25"/>
      <c r="C1458" s="26" t="s">
        <v>3005</v>
      </c>
      <c r="D1458" s="70"/>
      <c r="G1458" s="70" t="s">
        <v>1246</v>
      </c>
      <c r="H1458" s="26">
        <v>-1</v>
      </c>
      <c r="I1458" s="70" t="s">
        <v>6752</v>
      </c>
      <c r="J1458" s="26" t="s">
        <v>6753</v>
      </c>
      <c r="K1458" s="26" t="s">
        <v>5148</v>
      </c>
      <c r="L1458" s="26" t="s">
        <v>10637</v>
      </c>
      <c r="M1458" s="76"/>
      <c r="N1458" s="76"/>
      <c r="O1458" s="76"/>
      <c r="P1458" s="76"/>
      <c r="Q1458" s="76"/>
      <c r="R1458" s="76"/>
      <c r="Z1458" s="70"/>
      <c r="AA1458" s="70"/>
      <c r="AB1458" s="70"/>
      <c r="AC1458" s="70"/>
    </row>
    <row r="1459" spans="1:29" s="26" customFormat="1" x14ac:dyDescent="0.3">
      <c r="A1459" s="25" t="s">
        <v>6754</v>
      </c>
      <c r="B1459" s="25"/>
      <c r="C1459" s="26" t="s">
        <v>3005</v>
      </c>
      <c r="D1459" s="70"/>
      <c r="G1459" s="70" t="s">
        <v>1246</v>
      </c>
      <c r="H1459" s="26">
        <v>-1</v>
      </c>
      <c r="I1459" s="70" t="s">
        <v>6755</v>
      </c>
      <c r="J1459" s="26" t="s">
        <v>3334</v>
      </c>
      <c r="K1459" s="26" t="s">
        <v>6756</v>
      </c>
      <c r="L1459" s="26" t="s">
        <v>10638</v>
      </c>
      <c r="M1459" s="76"/>
      <c r="N1459" s="76"/>
      <c r="O1459" s="76"/>
      <c r="P1459" s="76"/>
      <c r="Q1459" s="76"/>
      <c r="R1459" s="76"/>
      <c r="Z1459" s="70"/>
      <c r="AA1459" s="70"/>
      <c r="AB1459" s="70"/>
      <c r="AC1459" s="70"/>
    </row>
    <row r="1460" spans="1:29" s="26" customFormat="1" x14ac:dyDescent="0.3">
      <c r="A1460" s="25" t="s">
        <v>6757</v>
      </c>
      <c r="B1460" s="25"/>
      <c r="C1460" s="26" t="s">
        <v>3005</v>
      </c>
      <c r="D1460" s="70"/>
      <c r="G1460" s="70" t="s">
        <v>1246</v>
      </c>
      <c r="H1460" s="26">
        <v>-1</v>
      </c>
      <c r="I1460" s="70" t="s">
        <v>6758</v>
      </c>
      <c r="J1460" s="26" t="s">
        <v>3760</v>
      </c>
      <c r="K1460" s="26" t="s">
        <v>6759</v>
      </c>
      <c r="L1460" s="26" t="s">
        <v>10062</v>
      </c>
      <c r="M1460" s="76"/>
      <c r="N1460" s="76"/>
      <c r="O1460" s="76"/>
      <c r="P1460" s="76"/>
      <c r="Q1460" s="76"/>
      <c r="R1460" s="76"/>
      <c r="Z1460" s="70"/>
      <c r="AA1460" s="70"/>
      <c r="AB1460" s="70"/>
      <c r="AC1460" s="70"/>
    </row>
    <row r="1461" spans="1:29" s="26" customFormat="1" x14ac:dyDescent="0.3">
      <c r="A1461" s="25" t="s">
        <v>6760</v>
      </c>
      <c r="B1461" s="25"/>
      <c r="C1461" s="26" t="s">
        <v>3005</v>
      </c>
      <c r="D1461" s="70"/>
      <c r="G1461" s="70" t="s">
        <v>1246</v>
      </c>
      <c r="H1461" s="26">
        <v>-1</v>
      </c>
      <c r="I1461" s="70" t="s">
        <v>6761</v>
      </c>
      <c r="J1461" s="26" t="s">
        <v>4325</v>
      </c>
      <c r="K1461" s="26" t="s">
        <v>2185</v>
      </c>
      <c r="L1461" s="26" t="s">
        <v>10639</v>
      </c>
      <c r="M1461" s="76"/>
      <c r="N1461" s="76"/>
      <c r="O1461" s="76"/>
      <c r="P1461" s="76"/>
      <c r="Q1461" s="76"/>
      <c r="R1461" s="76"/>
      <c r="Z1461" s="70"/>
      <c r="AA1461" s="70"/>
      <c r="AB1461" s="70"/>
      <c r="AC1461" s="70"/>
    </row>
    <row r="1462" spans="1:29" s="26" customFormat="1" x14ac:dyDescent="0.3">
      <c r="A1462" s="25" t="s">
        <v>6762</v>
      </c>
      <c r="B1462" s="25"/>
      <c r="C1462" s="26" t="s">
        <v>3005</v>
      </c>
      <c r="D1462" s="70"/>
      <c r="G1462" s="70" t="s">
        <v>1246</v>
      </c>
      <c r="H1462" s="26">
        <v>-1</v>
      </c>
      <c r="I1462" s="70" t="s">
        <v>6763</v>
      </c>
      <c r="J1462" s="26" t="s">
        <v>6764</v>
      </c>
      <c r="K1462" s="26" t="s">
        <v>6765</v>
      </c>
      <c r="L1462" s="26" t="s">
        <v>10640</v>
      </c>
      <c r="M1462" s="76"/>
      <c r="N1462" s="76"/>
      <c r="O1462" s="76"/>
      <c r="P1462" s="76"/>
      <c r="Q1462" s="76"/>
      <c r="R1462" s="76"/>
      <c r="Z1462" s="70"/>
      <c r="AA1462" s="70"/>
      <c r="AB1462" s="70"/>
      <c r="AC1462" s="70"/>
    </row>
    <row r="1463" spans="1:29" s="26" customFormat="1" x14ac:dyDescent="0.3">
      <c r="A1463" s="25" t="s">
        <v>6766</v>
      </c>
      <c r="B1463" s="25"/>
      <c r="C1463" s="26" t="s">
        <v>3005</v>
      </c>
      <c r="D1463" s="70"/>
      <c r="G1463" s="70" t="s">
        <v>1246</v>
      </c>
      <c r="H1463" s="26">
        <v>-1</v>
      </c>
      <c r="I1463" s="70" t="s">
        <v>6767</v>
      </c>
      <c r="J1463" s="26" t="s">
        <v>5705</v>
      </c>
      <c r="K1463" s="26" t="s">
        <v>6768</v>
      </c>
      <c r="L1463" s="26" t="s">
        <v>10641</v>
      </c>
      <c r="M1463" s="76"/>
      <c r="N1463" s="76"/>
      <c r="O1463" s="76"/>
      <c r="P1463" s="76"/>
      <c r="Q1463" s="76"/>
      <c r="R1463" s="76"/>
      <c r="Z1463" s="70"/>
      <c r="AA1463" s="70"/>
      <c r="AB1463" s="70"/>
      <c r="AC1463" s="70"/>
    </row>
    <row r="1464" spans="1:29" s="26" customFormat="1" x14ac:dyDescent="0.3">
      <c r="A1464" s="25" t="s">
        <v>6769</v>
      </c>
      <c r="B1464" s="25"/>
      <c r="C1464" s="26" t="s">
        <v>3005</v>
      </c>
      <c r="D1464" s="70"/>
      <c r="G1464" s="70" t="s">
        <v>1246</v>
      </c>
      <c r="H1464" s="26">
        <v>-1</v>
      </c>
      <c r="I1464" s="70" t="s">
        <v>6770</v>
      </c>
      <c r="J1464" s="26" t="s">
        <v>3364</v>
      </c>
      <c r="K1464" s="26" t="s">
        <v>6771</v>
      </c>
      <c r="L1464" s="26" t="s">
        <v>10642</v>
      </c>
      <c r="M1464" s="76"/>
      <c r="N1464" s="76"/>
      <c r="O1464" s="76"/>
      <c r="P1464" s="76"/>
      <c r="Q1464" s="76"/>
      <c r="R1464" s="76"/>
      <c r="Z1464" s="70"/>
      <c r="AA1464" s="70"/>
      <c r="AB1464" s="70"/>
      <c r="AC1464" s="70"/>
    </row>
    <row r="1465" spans="1:29" s="26" customFormat="1" x14ac:dyDescent="0.3">
      <c r="A1465" s="25" t="s">
        <v>6772</v>
      </c>
      <c r="B1465" s="25"/>
      <c r="C1465" s="26" t="s">
        <v>3005</v>
      </c>
      <c r="D1465" s="70"/>
      <c r="G1465" s="70" t="s">
        <v>1246</v>
      </c>
      <c r="H1465" s="26">
        <v>-1</v>
      </c>
      <c r="I1465" s="70" t="s">
        <v>6773</v>
      </c>
      <c r="J1465" s="26" t="s">
        <v>4289</v>
      </c>
      <c r="K1465" s="26" t="s">
        <v>2679</v>
      </c>
      <c r="L1465" s="26" t="s">
        <v>2679</v>
      </c>
      <c r="M1465" s="76"/>
      <c r="N1465" s="76"/>
      <c r="O1465" s="76"/>
      <c r="P1465" s="76"/>
      <c r="Q1465" s="76"/>
      <c r="R1465" s="76"/>
      <c r="Z1465" s="70"/>
      <c r="AA1465" s="70"/>
      <c r="AB1465" s="70"/>
      <c r="AC1465" s="70"/>
    </row>
    <row r="1466" spans="1:29" s="26" customFormat="1" x14ac:dyDescent="0.3">
      <c r="A1466" s="25" t="s">
        <v>6774</v>
      </c>
      <c r="B1466" s="25"/>
      <c r="C1466" s="26" t="s">
        <v>3005</v>
      </c>
      <c r="D1466" s="70"/>
      <c r="G1466" s="70" t="s">
        <v>1246</v>
      </c>
      <c r="H1466" s="26">
        <v>4</v>
      </c>
      <c r="I1466" s="70" t="s">
        <v>6775</v>
      </c>
      <c r="J1466" s="26" t="s">
        <v>4318</v>
      </c>
      <c r="K1466" s="26" t="s">
        <v>6776</v>
      </c>
      <c r="L1466" s="26" t="s">
        <v>9906</v>
      </c>
      <c r="M1466" s="76"/>
      <c r="N1466" s="76"/>
      <c r="O1466" s="76"/>
      <c r="P1466" s="76"/>
      <c r="Q1466" s="76"/>
      <c r="R1466" s="76"/>
      <c r="Z1466" s="70"/>
      <c r="AA1466" s="70"/>
      <c r="AB1466" s="70"/>
      <c r="AC1466" s="70"/>
    </row>
    <row r="1467" spans="1:29" s="26" customFormat="1" x14ac:dyDescent="0.3">
      <c r="A1467" s="25" t="s">
        <v>6777</v>
      </c>
      <c r="B1467" s="25"/>
      <c r="C1467" s="26" t="s">
        <v>3005</v>
      </c>
      <c r="D1467" s="70"/>
      <c r="G1467" s="70" t="s">
        <v>1246</v>
      </c>
      <c r="H1467" s="26">
        <v>5</v>
      </c>
      <c r="I1467" s="70" t="s">
        <v>5068</v>
      </c>
      <c r="J1467" s="26" t="s">
        <v>5942</v>
      </c>
      <c r="K1467" s="26" t="s">
        <v>6778</v>
      </c>
      <c r="L1467" s="26" t="s">
        <v>10643</v>
      </c>
      <c r="M1467" s="76"/>
      <c r="N1467" s="76"/>
      <c r="O1467" s="76"/>
      <c r="P1467" s="76"/>
      <c r="Q1467" s="76"/>
      <c r="R1467" s="76"/>
      <c r="Z1467" s="70"/>
      <c r="AA1467" s="70"/>
      <c r="AB1467" s="70"/>
      <c r="AC1467" s="70"/>
    </row>
    <row r="1468" spans="1:29" s="26" customFormat="1" x14ac:dyDescent="0.3">
      <c r="A1468" s="25" t="s">
        <v>6779</v>
      </c>
      <c r="B1468" s="25"/>
      <c r="C1468" s="26" t="s">
        <v>3005</v>
      </c>
      <c r="D1468" s="70"/>
      <c r="G1468" s="70" t="s">
        <v>1246</v>
      </c>
      <c r="H1468" s="26">
        <v>4</v>
      </c>
      <c r="I1468" s="70" t="s">
        <v>6780</v>
      </c>
      <c r="J1468" s="26" t="s">
        <v>6322</v>
      </c>
      <c r="K1468" s="26" t="s">
        <v>6781</v>
      </c>
      <c r="L1468" s="26" t="s">
        <v>10644</v>
      </c>
      <c r="M1468" s="76"/>
      <c r="N1468" s="76"/>
      <c r="O1468" s="76"/>
      <c r="P1468" s="76"/>
      <c r="Q1468" s="76"/>
      <c r="R1468" s="76"/>
      <c r="Z1468" s="70"/>
      <c r="AA1468" s="70"/>
      <c r="AB1468" s="70"/>
      <c r="AC1468" s="70"/>
    </row>
    <row r="1469" spans="1:29" s="26" customFormat="1" x14ac:dyDescent="0.3">
      <c r="A1469" s="25" t="s">
        <v>6782</v>
      </c>
      <c r="B1469" s="25"/>
      <c r="C1469" s="26" t="s">
        <v>3005</v>
      </c>
      <c r="D1469" s="70"/>
      <c r="G1469" s="70" t="s">
        <v>1246</v>
      </c>
      <c r="H1469" s="26">
        <v>3</v>
      </c>
      <c r="I1469" s="70" t="s">
        <v>6783</v>
      </c>
      <c r="J1469" s="26" t="s">
        <v>6784</v>
      </c>
      <c r="K1469" s="26" t="s">
        <v>6785</v>
      </c>
      <c r="L1469" s="26" t="s">
        <v>6785</v>
      </c>
      <c r="M1469" s="76"/>
      <c r="N1469" s="76"/>
      <c r="O1469" s="76"/>
      <c r="P1469" s="76"/>
      <c r="Q1469" s="76"/>
      <c r="R1469" s="76"/>
      <c r="Z1469" s="70"/>
      <c r="AA1469" s="70"/>
      <c r="AB1469" s="70"/>
      <c r="AC1469" s="70"/>
    </row>
    <row r="1470" spans="1:29" s="26" customFormat="1" x14ac:dyDescent="0.3">
      <c r="A1470" s="25" t="s">
        <v>6786</v>
      </c>
      <c r="B1470" s="25"/>
      <c r="C1470" s="26" t="s">
        <v>3005</v>
      </c>
      <c r="D1470" s="70"/>
      <c r="G1470" s="70" t="s">
        <v>1246</v>
      </c>
      <c r="H1470" s="26">
        <v>3</v>
      </c>
      <c r="I1470" s="70" t="s">
        <v>6787</v>
      </c>
      <c r="J1470" s="26" t="s">
        <v>6788</v>
      </c>
      <c r="K1470" s="26" t="s">
        <v>6789</v>
      </c>
      <c r="L1470" s="26" t="s">
        <v>10645</v>
      </c>
      <c r="M1470" s="76"/>
      <c r="N1470" s="76"/>
      <c r="O1470" s="76"/>
      <c r="P1470" s="76"/>
      <c r="Q1470" s="76"/>
      <c r="R1470" s="76"/>
      <c r="Z1470" s="70"/>
      <c r="AA1470" s="70"/>
      <c r="AB1470" s="70"/>
      <c r="AC1470" s="70"/>
    </row>
    <row r="1471" spans="1:29" s="26" customFormat="1" x14ac:dyDescent="0.3">
      <c r="A1471" s="25" t="s">
        <v>6790</v>
      </c>
      <c r="B1471" s="25"/>
      <c r="C1471" s="26" t="s">
        <v>3005</v>
      </c>
      <c r="D1471" s="70"/>
      <c r="G1471" s="70" t="s">
        <v>1246</v>
      </c>
      <c r="H1471" s="26">
        <v>1</v>
      </c>
      <c r="I1471" s="70" t="s">
        <v>6791</v>
      </c>
      <c r="J1471" s="26" t="s">
        <v>4301</v>
      </c>
      <c r="K1471" s="26" t="s">
        <v>6792</v>
      </c>
      <c r="L1471" s="26" t="s">
        <v>10646</v>
      </c>
      <c r="M1471" s="76"/>
      <c r="N1471" s="76"/>
      <c r="O1471" s="76"/>
      <c r="P1471" s="76"/>
      <c r="Q1471" s="76"/>
      <c r="R1471" s="76"/>
      <c r="Z1471" s="70"/>
      <c r="AA1471" s="70"/>
      <c r="AB1471" s="70"/>
      <c r="AC1471" s="70"/>
    </row>
    <row r="1472" spans="1:29" s="24" customFormat="1" x14ac:dyDescent="0.3">
      <c r="A1472" s="23">
        <v>419</v>
      </c>
      <c r="B1472" s="23">
        <v>421</v>
      </c>
      <c r="C1472" s="24" t="s">
        <v>2165</v>
      </c>
      <c r="D1472" s="69" t="s">
        <v>1241</v>
      </c>
      <c r="E1472" s="24" t="s">
        <v>1240</v>
      </c>
      <c r="F1472" s="24" t="s">
        <v>1248</v>
      </c>
      <c r="G1472" s="69" t="s">
        <v>1249</v>
      </c>
      <c r="I1472" s="69"/>
      <c r="J1472" s="24" t="s">
        <v>3364</v>
      </c>
      <c r="K1472" s="24" t="s">
        <v>1250</v>
      </c>
      <c r="L1472" s="24" t="s">
        <v>9839</v>
      </c>
      <c r="M1472" s="75" t="s">
        <v>50</v>
      </c>
      <c r="N1472" s="75"/>
      <c r="O1472" s="75"/>
      <c r="P1472" s="75"/>
      <c r="Q1472" s="75"/>
      <c r="R1472" s="75"/>
      <c r="U1472" s="24" t="s">
        <v>2209</v>
      </c>
      <c r="Z1472" s="69"/>
      <c r="AA1472" s="69"/>
      <c r="AB1472" s="69"/>
      <c r="AC1472" s="69"/>
    </row>
    <row r="1473" spans="1:29" s="24" customFormat="1" x14ac:dyDescent="0.3">
      <c r="A1473" s="23">
        <v>420</v>
      </c>
      <c r="B1473" s="23">
        <v>413</v>
      </c>
      <c r="C1473" s="24" t="s">
        <v>2165</v>
      </c>
      <c r="D1473" s="69" t="s">
        <v>1241</v>
      </c>
      <c r="E1473" s="24" t="s">
        <v>1240</v>
      </c>
      <c r="F1473" s="24" t="s">
        <v>1251</v>
      </c>
      <c r="G1473" s="69" t="s">
        <v>1252</v>
      </c>
      <c r="H1473" s="24">
        <v>8</v>
      </c>
      <c r="I1473" s="69"/>
      <c r="J1473" s="24" t="s">
        <v>3323</v>
      </c>
      <c r="K1473" s="24" t="s">
        <v>1253</v>
      </c>
      <c r="M1473" s="75" t="s">
        <v>15</v>
      </c>
      <c r="N1473" s="75"/>
      <c r="O1473" s="75"/>
      <c r="P1473" s="75"/>
      <c r="Q1473" s="75"/>
      <c r="R1473" s="75"/>
      <c r="V1473" s="24" t="s">
        <v>2687</v>
      </c>
      <c r="Z1473" s="69"/>
      <c r="AA1473" s="69"/>
      <c r="AB1473" s="69"/>
      <c r="AC1473" s="69"/>
    </row>
    <row r="1474" spans="1:29" s="26" customFormat="1" x14ac:dyDescent="0.3">
      <c r="A1474" s="25" t="s">
        <v>6793</v>
      </c>
      <c r="B1474" s="25"/>
      <c r="C1474" s="26" t="s">
        <v>3005</v>
      </c>
      <c r="D1474" s="70"/>
      <c r="G1474" s="70" t="s">
        <v>1252</v>
      </c>
      <c r="H1474" s="26">
        <v>-1</v>
      </c>
      <c r="I1474" s="70" t="s">
        <v>6794</v>
      </c>
      <c r="J1474" s="26" t="s">
        <v>5446</v>
      </c>
      <c r="K1474" s="26" t="s">
        <v>6795</v>
      </c>
      <c r="L1474" s="26" t="s">
        <v>10647</v>
      </c>
      <c r="M1474" s="76"/>
      <c r="N1474" s="76"/>
      <c r="O1474" s="76"/>
      <c r="P1474" s="76"/>
      <c r="Q1474" s="76"/>
      <c r="R1474" s="76"/>
      <c r="Z1474" s="70"/>
      <c r="AA1474" s="70"/>
      <c r="AB1474" s="70"/>
      <c r="AC1474" s="70"/>
    </row>
    <row r="1475" spans="1:29" s="26" customFormat="1" x14ac:dyDescent="0.3">
      <c r="A1475" s="25" t="s">
        <v>6796</v>
      </c>
      <c r="B1475" s="25"/>
      <c r="C1475" s="26" t="s">
        <v>3005</v>
      </c>
      <c r="D1475" s="70"/>
      <c r="G1475" s="70" t="s">
        <v>1252</v>
      </c>
      <c r="H1475" s="26">
        <v>-1</v>
      </c>
      <c r="I1475" s="70" t="s">
        <v>5962</v>
      </c>
      <c r="J1475" s="26" t="s">
        <v>5774</v>
      </c>
      <c r="K1475" s="26" t="s">
        <v>3788</v>
      </c>
      <c r="L1475" s="26" t="s">
        <v>10474</v>
      </c>
      <c r="M1475" s="76"/>
      <c r="N1475" s="76"/>
      <c r="O1475" s="76"/>
      <c r="P1475" s="76"/>
      <c r="Q1475" s="76"/>
      <c r="R1475" s="76"/>
      <c r="Z1475" s="70"/>
      <c r="AA1475" s="70"/>
      <c r="AB1475" s="70"/>
      <c r="AC1475" s="70"/>
    </row>
    <row r="1476" spans="1:29" s="26" customFormat="1" x14ac:dyDescent="0.3">
      <c r="A1476" s="25" t="s">
        <v>6797</v>
      </c>
      <c r="B1476" s="25"/>
      <c r="C1476" s="26" t="s">
        <v>3005</v>
      </c>
      <c r="D1476" s="70"/>
      <c r="G1476" s="70" t="s">
        <v>1252</v>
      </c>
      <c r="H1476" s="26">
        <v>-1</v>
      </c>
      <c r="I1476" s="70" t="s">
        <v>6798</v>
      </c>
      <c r="J1476" s="26" t="s">
        <v>5774</v>
      </c>
      <c r="K1476" s="26" t="s">
        <v>6799</v>
      </c>
      <c r="L1476" s="26" t="s">
        <v>10648</v>
      </c>
      <c r="M1476" s="76"/>
      <c r="N1476" s="76"/>
      <c r="O1476" s="76"/>
      <c r="P1476" s="76"/>
      <c r="Q1476" s="76"/>
      <c r="R1476" s="76"/>
      <c r="Z1476" s="70"/>
      <c r="AA1476" s="70"/>
      <c r="AB1476" s="70"/>
      <c r="AC1476" s="70"/>
    </row>
    <row r="1477" spans="1:29" s="26" customFormat="1" x14ac:dyDescent="0.3">
      <c r="A1477" s="25" t="s">
        <v>6800</v>
      </c>
      <c r="B1477" s="25"/>
      <c r="C1477" s="26" t="s">
        <v>3005</v>
      </c>
      <c r="D1477" s="70"/>
      <c r="G1477" s="70" t="s">
        <v>1252</v>
      </c>
      <c r="H1477" s="26">
        <v>-1</v>
      </c>
      <c r="I1477" s="70" t="s">
        <v>6801</v>
      </c>
      <c r="J1477" s="26" t="s">
        <v>6802</v>
      </c>
      <c r="K1477" s="26" t="s">
        <v>3784</v>
      </c>
      <c r="L1477" s="26" t="s">
        <v>10649</v>
      </c>
      <c r="M1477" s="76"/>
      <c r="N1477" s="76"/>
      <c r="O1477" s="76"/>
      <c r="P1477" s="76"/>
      <c r="Q1477" s="76"/>
      <c r="R1477" s="76"/>
      <c r="Z1477" s="70"/>
      <c r="AA1477" s="70"/>
      <c r="AB1477" s="70"/>
      <c r="AC1477" s="70"/>
    </row>
    <row r="1478" spans="1:29" s="26" customFormat="1" x14ac:dyDescent="0.3">
      <c r="A1478" s="25" t="s">
        <v>6803</v>
      </c>
      <c r="B1478" s="25"/>
      <c r="C1478" s="26" t="s">
        <v>3005</v>
      </c>
      <c r="D1478" s="70"/>
      <c r="G1478" s="70" t="s">
        <v>1252</v>
      </c>
      <c r="H1478" s="26">
        <v>-1</v>
      </c>
      <c r="I1478" s="70" t="s">
        <v>6804</v>
      </c>
      <c r="J1478" s="26" t="s">
        <v>5246</v>
      </c>
      <c r="K1478" s="26" t="s">
        <v>6075</v>
      </c>
      <c r="L1478" s="26" t="s">
        <v>10637</v>
      </c>
      <c r="M1478" s="76"/>
      <c r="N1478" s="76"/>
      <c r="O1478" s="76"/>
      <c r="P1478" s="76"/>
      <c r="Q1478" s="76"/>
      <c r="R1478" s="76"/>
      <c r="Z1478" s="70"/>
      <c r="AA1478" s="70"/>
      <c r="AB1478" s="70"/>
      <c r="AC1478" s="70"/>
    </row>
    <row r="1479" spans="1:29" s="26" customFormat="1" x14ac:dyDescent="0.3">
      <c r="A1479" s="25" t="s">
        <v>6805</v>
      </c>
      <c r="B1479" s="25"/>
      <c r="C1479" s="26" t="s">
        <v>3005</v>
      </c>
      <c r="D1479" s="70"/>
      <c r="G1479" s="70" t="s">
        <v>1252</v>
      </c>
      <c r="H1479" s="26">
        <v>-1</v>
      </c>
      <c r="I1479" s="70" t="s">
        <v>6806</v>
      </c>
      <c r="J1479" s="26" t="s">
        <v>6807</v>
      </c>
      <c r="K1479" s="26" t="s">
        <v>6808</v>
      </c>
      <c r="L1479" s="26" t="s">
        <v>10650</v>
      </c>
      <c r="M1479" s="76"/>
      <c r="N1479" s="76"/>
      <c r="O1479" s="76"/>
      <c r="P1479" s="76"/>
      <c r="Q1479" s="76"/>
      <c r="R1479" s="76"/>
      <c r="Z1479" s="70"/>
      <c r="AA1479" s="70"/>
      <c r="AB1479" s="70"/>
      <c r="AC1479" s="70"/>
    </row>
    <row r="1480" spans="1:29" s="26" customFormat="1" x14ac:dyDescent="0.3">
      <c r="A1480" s="25" t="s">
        <v>6809</v>
      </c>
      <c r="B1480" s="25"/>
      <c r="C1480" s="26" t="s">
        <v>3005</v>
      </c>
      <c r="D1480" s="70"/>
      <c r="G1480" s="70" t="s">
        <v>1252</v>
      </c>
      <c r="H1480" s="26">
        <v>-1</v>
      </c>
      <c r="I1480" s="70" t="s">
        <v>6810</v>
      </c>
      <c r="J1480" s="26" t="s">
        <v>6811</v>
      </c>
      <c r="K1480" s="26" t="s">
        <v>6812</v>
      </c>
      <c r="L1480" s="26" t="s">
        <v>10326</v>
      </c>
      <c r="M1480" s="76"/>
      <c r="N1480" s="76"/>
      <c r="O1480" s="76"/>
      <c r="P1480" s="76"/>
      <c r="Q1480" s="76"/>
      <c r="R1480" s="76"/>
      <c r="Z1480" s="70"/>
      <c r="AA1480" s="70"/>
      <c r="AB1480" s="70"/>
      <c r="AC1480" s="70"/>
    </row>
    <row r="1481" spans="1:29" s="26" customFormat="1" x14ac:dyDescent="0.3">
      <c r="A1481" s="25" t="s">
        <v>6813</v>
      </c>
      <c r="B1481" s="25"/>
      <c r="C1481" s="26" t="s">
        <v>3005</v>
      </c>
      <c r="D1481" s="70"/>
      <c r="G1481" s="70" t="s">
        <v>1252</v>
      </c>
      <c r="H1481" s="26">
        <v>2</v>
      </c>
      <c r="I1481" s="70" t="s">
        <v>6814</v>
      </c>
      <c r="J1481" s="26" t="s">
        <v>5785</v>
      </c>
      <c r="K1481" s="26" t="s">
        <v>6815</v>
      </c>
      <c r="L1481" s="26" t="s">
        <v>10651</v>
      </c>
      <c r="M1481" s="76"/>
      <c r="N1481" s="76"/>
      <c r="O1481" s="76"/>
      <c r="P1481" s="76"/>
      <c r="Q1481" s="76"/>
      <c r="R1481" s="76"/>
      <c r="Z1481" s="70"/>
      <c r="AA1481" s="70"/>
      <c r="AB1481" s="70"/>
      <c r="AC1481" s="70"/>
    </row>
    <row r="1482" spans="1:29" s="26" customFormat="1" x14ac:dyDescent="0.3">
      <c r="A1482" s="25" t="s">
        <v>6816</v>
      </c>
      <c r="B1482" s="25"/>
      <c r="C1482" s="26" t="s">
        <v>3005</v>
      </c>
      <c r="D1482" s="70"/>
      <c r="G1482" s="70" t="s">
        <v>1252</v>
      </c>
      <c r="H1482" s="26">
        <v>2</v>
      </c>
      <c r="I1482" s="70" t="s">
        <v>3403</v>
      </c>
      <c r="J1482" s="26" t="s">
        <v>3323</v>
      </c>
      <c r="K1482" s="26" t="s">
        <v>5976</v>
      </c>
      <c r="L1482" s="26" t="s">
        <v>10652</v>
      </c>
      <c r="M1482" s="76"/>
      <c r="N1482" s="76"/>
      <c r="O1482" s="76"/>
      <c r="P1482" s="76"/>
      <c r="Q1482" s="76"/>
      <c r="R1482" s="76"/>
      <c r="Z1482" s="70"/>
      <c r="AA1482" s="70"/>
      <c r="AB1482" s="70"/>
      <c r="AC1482" s="70"/>
    </row>
    <row r="1483" spans="1:29" s="26" customFormat="1" x14ac:dyDescent="0.3">
      <c r="A1483" s="25" t="s">
        <v>6817</v>
      </c>
      <c r="B1483" s="25"/>
      <c r="C1483" s="26" t="s">
        <v>3005</v>
      </c>
      <c r="D1483" s="70"/>
      <c r="G1483" s="70" t="s">
        <v>1252</v>
      </c>
      <c r="H1483" s="26">
        <v>2</v>
      </c>
      <c r="I1483" s="70" t="s">
        <v>5302</v>
      </c>
      <c r="J1483" s="26" t="s">
        <v>5303</v>
      </c>
      <c r="K1483" s="26" t="s">
        <v>6818</v>
      </c>
      <c r="L1483" s="26" t="s">
        <v>10653</v>
      </c>
      <c r="M1483" s="76"/>
      <c r="N1483" s="76"/>
      <c r="O1483" s="76"/>
      <c r="P1483" s="76"/>
      <c r="Q1483" s="76"/>
      <c r="R1483" s="76"/>
      <c r="Z1483" s="70"/>
      <c r="AA1483" s="70"/>
      <c r="AB1483" s="70"/>
      <c r="AC1483" s="70"/>
    </row>
    <row r="1484" spans="1:29" s="26" customFormat="1" x14ac:dyDescent="0.3">
      <c r="A1484" s="25" t="s">
        <v>6819</v>
      </c>
      <c r="B1484" s="25"/>
      <c r="C1484" s="26" t="s">
        <v>3005</v>
      </c>
      <c r="D1484" s="70"/>
      <c r="G1484" s="70" t="s">
        <v>1252</v>
      </c>
      <c r="H1484" s="26">
        <v>2</v>
      </c>
      <c r="I1484" s="70" t="s">
        <v>6820</v>
      </c>
      <c r="J1484" s="26" t="s">
        <v>5303</v>
      </c>
      <c r="K1484" s="26" t="s">
        <v>6210</v>
      </c>
      <c r="M1484" s="76"/>
      <c r="N1484" s="76"/>
      <c r="O1484" s="76"/>
      <c r="P1484" s="76"/>
      <c r="Q1484" s="76"/>
      <c r="R1484" s="76"/>
      <c r="Y1484" s="26" t="s">
        <v>6821</v>
      </c>
      <c r="Z1484" s="70"/>
      <c r="AA1484" s="70"/>
      <c r="AB1484" s="70" t="s">
        <v>6822</v>
      </c>
      <c r="AC1484" s="70"/>
    </row>
    <row r="1485" spans="1:29" s="26" customFormat="1" x14ac:dyDescent="0.3">
      <c r="A1485" s="25" t="s">
        <v>6823</v>
      </c>
      <c r="B1485" s="25"/>
      <c r="C1485" s="26" t="s">
        <v>3005</v>
      </c>
      <c r="D1485" s="70"/>
      <c r="G1485" s="70" t="s">
        <v>1252</v>
      </c>
      <c r="H1485" s="26">
        <v>2</v>
      </c>
      <c r="I1485" s="70" t="s">
        <v>6824</v>
      </c>
      <c r="J1485" s="26" t="s">
        <v>5906</v>
      </c>
      <c r="K1485" s="26" t="s">
        <v>6319</v>
      </c>
      <c r="L1485" s="26" t="s">
        <v>10654</v>
      </c>
      <c r="M1485" s="76"/>
      <c r="N1485" s="76"/>
      <c r="O1485" s="76"/>
      <c r="P1485" s="76"/>
      <c r="Q1485" s="76"/>
      <c r="R1485" s="76"/>
      <c r="Z1485" s="70"/>
      <c r="AA1485" s="70"/>
      <c r="AB1485" s="70"/>
      <c r="AC1485" s="70"/>
    </row>
    <row r="1486" spans="1:29" s="26" customFormat="1" x14ac:dyDescent="0.3">
      <c r="A1486" s="25" t="s">
        <v>6825</v>
      </c>
      <c r="B1486" s="25"/>
      <c r="C1486" s="26" t="s">
        <v>3005</v>
      </c>
      <c r="D1486" s="70"/>
      <c r="G1486" s="70" t="s">
        <v>1252</v>
      </c>
      <c r="H1486" s="26">
        <v>3</v>
      </c>
      <c r="I1486" s="70" t="s">
        <v>6251</v>
      </c>
      <c r="J1486" s="26" t="s">
        <v>6826</v>
      </c>
      <c r="K1486" s="26" t="s">
        <v>6313</v>
      </c>
      <c r="L1486" s="26" t="s">
        <v>10655</v>
      </c>
      <c r="M1486" s="76"/>
      <c r="N1486" s="76"/>
      <c r="O1486" s="76"/>
      <c r="P1486" s="76"/>
      <c r="Q1486" s="76"/>
      <c r="R1486" s="76"/>
      <c r="Z1486" s="70"/>
      <c r="AA1486" s="70"/>
      <c r="AB1486" s="70"/>
      <c r="AC1486" s="70"/>
    </row>
    <row r="1487" spans="1:29" s="26" customFormat="1" x14ac:dyDescent="0.3">
      <c r="A1487" s="25" t="s">
        <v>6827</v>
      </c>
      <c r="B1487" s="25"/>
      <c r="C1487" s="26" t="s">
        <v>3005</v>
      </c>
      <c r="D1487" s="70"/>
      <c r="G1487" s="70" t="s">
        <v>1252</v>
      </c>
      <c r="H1487" s="26">
        <v>2</v>
      </c>
      <c r="I1487" s="70" t="s">
        <v>6828</v>
      </c>
      <c r="J1487" s="26" t="s">
        <v>6829</v>
      </c>
      <c r="K1487" s="26" t="s">
        <v>5290</v>
      </c>
      <c r="L1487" s="26" t="s">
        <v>10656</v>
      </c>
      <c r="M1487" s="76"/>
      <c r="N1487" s="76"/>
      <c r="O1487" s="76"/>
      <c r="P1487" s="76"/>
      <c r="Q1487" s="76"/>
      <c r="R1487" s="76"/>
      <c r="Z1487" s="70"/>
      <c r="AA1487" s="70"/>
      <c r="AB1487" s="70"/>
      <c r="AC1487" s="70"/>
    </row>
    <row r="1488" spans="1:29" s="26" customFormat="1" x14ac:dyDescent="0.3">
      <c r="A1488" s="25" t="s">
        <v>6830</v>
      </c>
      <c r="B1488" s="25"/>
      <c r="C1488" s="26" t="s">
        <v>3005</v>
      </c>
      <c r="D1488" s="70"/>
      <c r="G1488" s="70" t="s">
        <v>1252</v>
      </c>
      <c r="H1488" s="26">
        <v>3</v>
      </c>
      <c r="I1488" s="70" t="s">
        <v>6831</v>
      </c>
      <c r="J1488" s="26" t="s">
        <v>6832</v>
      </c>
      <c r="K1488" s="26" t="s">
        <v>6833</v>
      </c>
      <c r="L1488" s="26" t="s">
        <v>9831</v>
      </c>
      <c r="M1488" s="76"/>
      <c r="N1488" s="76"/>
      <c r="O1488" s="76"/>
      <c r="P1488" s="76"/>
      <c r="Q1488" s="76"/>
      <c r="R1488" s="76"/>
      <c r="Z1488" s="70"/>
      <c r="AA1488" s="70"/>
      <c r="AB1488" s="70"/>
      <c r="AC1488" s="70"/>
    </row>
    <row r="1489" spans="1:31" s="24" customFormat="1" x14ac:dyDescent="0.3">
      <c r="A1489" s="23">
        <v>421</v>
      </c>
      <c r="B1489" s="23">
        <v>417</v>
      </c>
      <c r="C1489" s="24" t="s">
        <v>2165</v>
      </c>
      <c r="D1489" s="69" t="s">
        <v>1241</v>
      </c>
      <c r="E1489" s="24" t="s">
        <v>1240</v>
      </c>
      <c r="F1489" s="24" t="s">
        <v>1254</v>
      </c>
      <c r="G1489" s="69" t="s">
        <v>1255</v>
      </c>
      <c r="I1489" s="69"/>
      <c r="J1489" s="24" t="s">
        <v>5307</v>
      </c>
      <c r="K1489" s="24" t="s">
        <v>68</v>
      </c>
      <c r="L1489" s="24" t="s">
        <v>9840</v>
      </c>
      <c r="M1489" s="75" t="s">
        <v>65</v>
      </c>
      <c r="N1489" s="75" t="s">
        <v>2025</v>
      </c>
      <c r="O1489" s="75"/>
      <c r="P1489" s="75"/>
      <c r="Q1489" s="75" t="s">
        <v>66</v>
      </c>
      <c r="R1489" s="75"/>
      <c r="V1489" s="24" t="s">
        <v>2688</v>
      </c>
      <c r="Z1489" s="69"/>
      <c r="AA1489" s="69" t="s">
        <v>2689</v>
      </c>
      <c r="AB1489" s="69"/>
      <c r="AC1489" s="69"/>
    </row>
    <row r="1490" spans="1:31" s="24" customFormat="1" x14ac:dyDescent="0.3">
      <c r="A1490" s="23">
        <v>422</v>
      </c>
      <c r="B1490" s="23">
        <v>416</v>
      </c>
      <c r="C1490" s="24" t="s">
        <v>2165</v>
      </c>
      <c r="D1490" s="69" t="s">
        <v>1241</v>
      </c>
      <c r="E1490" s="24" t="s">
        <v>1240</v>
      </c>
      <c r="F1490" s="24" t="s">
        <v>1256</v>
      </c>
      <c r="G1490" s="69" t="s">
        <v>1257</v>
      </c>
      <c r="I1490" s="69"/>
      <c r="J1490" s="24" t="s">
        <v>6834</v>
      </c>
      <c r="K1490" s="24" t="s">
        <v>68</v>
      </c>
      <c r="L1490" s="24" t="s">
        <v>9841</v>
      </c>
      <c r="M1490" s="75" t="s">
        <v>65</v>
      </c>
      <c r="N1490" s="75" t="s">
        <v>2022</v>
      </c>
      <c r="O1490" s="75" t="s">
        <v>66</v>
      </c>
      <c r="P1490" s="75" t="s">
        <v>66</v>
      </c>
      <c r="Q1490" s="75" t="s">
        <v>66</v>
      </c>
      <c r="R1490" s="75"/>
      <c r="V1490" s="24" t="s">
        <v>2690</v>
      </c>
      <c r="Y1490" s="24" t="s">
        <v>2691</v>
      </c>
      <c r="Z1490" s="69" t="s">
        <v>2692</v>
      </c>
      <c r="AA1490" s="69" t="s">
        <v>2693</v>
      </c>
      <c r="AB1490" s="69"/>
      <c r="AC1490" s="69"/>
    </row>
    <row r="1491" spans="1:31" s="24" customFormat="1" x14ac:dyDescent="0.3">
      <c r="A1491" s="23">
        <v>423</v>
      </c>
      <c r="B1491" s="23">
        <v>414</v>
      </c>
      <c r="C1491" s="24" t="s">
        <v>2165</v>
      </c>
      <c r="D1491" s="69" t="s">
        <v>1241</v>
      </c>
      <c r="E1491" s="24" t="s">
        <v>1240</v>
      </c>
      <c r="F1491" s="24" t="s">
        <v>1258</v>
      </c>
      <c r="G1491" s="69" t="s">
        <v>1259</v>
      </c>
      <c r="H1491" s="24">
        <v>3</v>
      </c>
      <c r="I1491" s="69"/>
      <c r="J1491" s="24" t="s">
        <v>3708</v>
      </c>
      <c r="K1491" s="24" t="s">
        <v>68</v>
      </c>
      <c r="M1491" s="75" t="s">
        <v>65</v>
      </c>
      <c r="N1491" s="75" t="s">
        <v>2015</v>
      </c>
      <c r="O1491" s="75"/>
      <c r="P1491" s="75"/>
      <c r="Q1491" s="75"/>
      <c r="R1491" s="75"/>
      <c r="V1491" s="24" t="s">
        <v>2694</v>
      </c>
      <c r="Y1491" s="24" t="s">
        <v>2695</v>
      </c>
      <c r="Z1491" s="69" t="s">
        <v>2696</v>
      </c>
      <c r="AA1491" s="69" t="s">
        <v>2697</v>
      </c>
      <c r="AB1491" s="69"/>
      <c r="AC1491" s="69"/>
    </row>
    <row r="1492" spans="1:31" s="26" customFormat="1" x14ac:dyDescent="0.3">
      <c r="A1492" s="25" t="s">
        <v>6835</v>
      </c>
      <c r="B1492" s="25"/>
      <c r="C1492" s="26" t="s">
        <v>3005</v>
      </c>
      <c r="D1492" s="70"/>
      <c r="G1492" s="70" t="s">
        <v>1259</v>
      </c>
      <c r="H1492" s="26">
        <v>1</v>
      </c>
      <c r="I1492" s="70" t="s">
        <v>6836</v>
      </c>
      <c r="J1492" s="26" t="s">
        <v>3708</v>
      </c>
      <c r="K1492" s="26" t="s">
        <v>5692</v>
      </c>
      <c r="L1492" s="26" t="s">
        <v>10657</v>
      </c>
      <c r="M1492" s="76"/>
      <c r="N1492" s="76"/>
      <c r="O1492" s="76"/>
      <c r="P1492" s="76"/>
      <c r="Q1492" s="76"/>
      <c r="R1492" s="76"/>
      <c r="Z1492" s="70"/>
      <c r="AA1492" s="70"/>
      <c r="AB1492" s="70"/>
      <c r="AC1492" s="70"/>
    </row>
    <row r="1493" spans="1:31" s="26" customFormat="1" x14ac:dyDescent="0.3">
      <c r="A1493" s="25" t="s">
        <v>6837</v>
      </c>
      <c r="B1493" s="25"/>
      <c r="C1493" s="26" t="s">
        <v>3005</v>
      </c>
      <c r="D1493" s="70"/>
      <c r="G1493" s="70" t="s">
        <v>1259</v>
      </c>
      <c r="H1493" s="26">
        <v>1</v>
      </c>
      <c r="I1493" s="70" t="s">
        <v>6838</v>
      </c>
      <c r="J1493" s="26" t="s">
        <v>6839</v>
      </c>
      <c r="K1493" s="26" t="s">
        <v>5104</v>
      </c>
      <c r="L1493" s="26" t="s">
        <v>10658</v>
      </c>
      <c r="M1493" s="76"/>
      <c r="N1493" s="76"/>
      <c r="O1493" s="76"/>
      <c r="P1493" s="76"/>
      <c r="Q1493" s="76"/>
      <c r="R1493" s="76"/>
      <c r="Z1493" s="70"/>
      <c r="AA1493" s="70"/>
      <c r="AB1493" s="70"/>
      <c r="AC1493" s="70"/>
    </row>
    <row r="1494" spans="1:31" s="26" customFormat="1" x14ac:dyDescent="0.3">
      <c r="A1494" s="25" t="s">
        <v>6840</v>
      </c>
      <c r="B1494" s="25"/>
      <c r="C1494" s="26" t="s">
        <v>3005</v>
      </c>
      <c r="D1494" s="70"/>
      <c r="G1494" s="70" t="s">
        <v>1259</v>
      </c>
      <c r="H1494" s="26">
        <v>1</v>
      </c>
      <c r="I1494" s="70" t="s">
        <v>6841</v>
      </c>
      <c r="J1494" s="26" t="s">
        <v>6842</v>
      </c>
      <c r="K1494" s="26" t="s">
        <v>6313</v>
      </c>
      <c r="M1494" s="76"/>
      <c r="N1494" s="76"/>
      <c r="O1494" s="76"/>
      <c r="P1494" s="76"/>
      <c r="Q1494" s="76"/>
      <c r="R1494" s="76"/>
      <c r="Z1494" s="70"/>
      <c r="AA1494" s="70"/>
      <c r="AB1494" s="70"/>
      <c r="AC1494" s="70"/>
    </row>
    <row r="1495" spans="1:31" s="24" customFormat="1" x14ac:dyDescent="0.3">
      <c r="A1495" s="23">
        <v>424</v>
      </c>
      <c r="B1495" s="23">
        <v>415</v>
      </c>
      <c r="C1495" s="24" t="s">
        <v>2165</v>
      </c>
      <c r="D1495" s="69" t="s">
        <v>1241</v>
      </c>
      <c r="E1495" s="24" t="s">
        <v>1240</v>
      </c>
      <c r="F1495" s="24" t="s">
        <v>2699</v>
      </c>
      <c r="G1495" s="69" t="s">
        <v>1261</v>
      </c>
      <c r="H1495" s="24">
        <v>5</v>
      </c>
      <c r="I1495" s="69"/>
      <c r="J1495" s="24" t="s">
        <v>5518</v>
      </c>
      <c r="K1495" s="24" t="s">
        <v>68</v>
      </c>
      <c r="M1495" s="75" t="s">
        <v>65</v>
      </c>
      <c r="N1495" s="75" t="s">
        <v>2015</v>
      </c>
      <c r="O1495" s="75" t="s">
        <v>66</v>
      </c>
      <c r="P1495" s="75" t="s">
        <v>66</v>
      </c>
      <c r="Q1495" s="75" t="s">
        <v>66</v>
      </c>
      <c r="R1495" s="75"/>
      <c r="V1495" s="24" t="s">
        <v>2698</v>
      </c>
      <c r="X1495" s="24" t="s">
        <v>1260</v>
      </c>
      <c r="Z1495" s="69"/>
      <c r="AA1495" s="69" t="s">
        <v>2700</v>
      </c>
      <c r="AB1495" s="69"/>
      <c r="AC1495" s="69"/>
    </row>
    <row r="1496" spans="1:31" s="26" customFormat="1" x14ac:dyDescent="0.3">
      <c r="A1496" s="25" t="s">
        <v>6843</v>
      </c>
      <c r="B1496" s="25"/>
      <c r="C1496" s="26" t="s">
        <v>3005</v>
      </c>
      <c r="D1496" s="70"/>
      <c r="G1496" s="70" t="s">
        <v>1261</v>
      </c>
      <c r="H1496" s="26">
        <v>1</v>
      </c>
      <c r="I1496" s="70" t="s">
        <v>6844</v>
      </c>
      <c r="J1496" s="26" t="s">
        <v>6845</v>
      </c>
      <c r="K1496" s="26" t="s">
        <v>6846</v>
      </c>
      <c r="L1496" s="26" t="s">
        <v>6846</v>
      </c>
      <c r="M1496" s="76"/>
      <c r="N1496" s="76"/>
      <c r="O1496" s="76"/>
      <c r="P1496" s="76"/>
      <c r="Q1496" s="76"/>
      <c r="R1496" s="76"/>
      <c r="Z1496" s="70"/>
      <c r="AA1496" s="70"/>
      <c r="AB1496" s="70"/>
      <c r="AC1496" s="70"/>
    </row>
    <row r="1497" spans="1:31" s="26" customFormat="1" x14ac:dyDescent="0.3">
      <c r="A1497" s="25" t="s">
        <v>6847</v>
      </c>
      <c r="B1497" s="25"/>
      <c r="C1497" s="26" t="s">
        <v>3005</v>
      </c>
      <c r="D1497" s="70"/>
      <c r="G1497" s="70" t="s">
        <v>1261</v>
      </c>
      <c r="H1497" s="26">
        <v>1</v>
      </c>
      <c r="I1497" s="70" t="s">
        <v>6848</v>
      </c>
      <c r="J1497" s="26" t="s">
        <v>5559</v>
      </c>
      <c r="K1497" s="26" t="s">
        <v>6849</v>
      </c>
      <c r="L1497" s="26" t="s">
        <v>10552</v>
      </c>
      <c r="M1497" s="76"/>
      <c r="N1497" s="76"/>
      <c r="O1497" s="76"/>
      <c r="P1497" s="76"/>
      <c r="Q1497" s="76"/>
      <c r="R1497" s="76"/>
      <c r="Z1497" s="70"/>
      <c r="AA1497" s="70"/>
      <c r="AB1497" s="70"/>
      <c r="AC1497" s="70"/>
    </row>
    <row r="1498" spans="1:31" s="26" customFormat="1" x14ac:dyDescent="0.3">
      <c r="A1498" s="25" t="s">
        <v>6850</v>
      </c>
      <c r="B1498" s="25"/>
      <c r="C1498" s="26" t="s">
        <v>3005</v>
      </c>
      <c r="D1498" s="70"/>
      <c r="G1498" s="70" t="s">
        <v>1261</v>
      </c>
      <c r="H1498" s="26">
        <v>1</v>
      </c>
      <c r="I1498" s="70" t="s">
        <v>6851</v>
      </c>
      <c r="J1498" s="26" t="s">
        <v>6845</v>
      </c>
      <c r="K1498" s="26" t="s">
        <v>6319</v>
      </c>
      <c r="L1498" s="26" t="s">
        <v>10659</v>
      </c>
      <c r="M1498" s="76"/>
      <c r="N1498" s="76"/>
      <c r="O1498" s="76"/>
      <c r="P1498" s="76"/>
      <c r="Q1498" s="76"/>
      <c r="R1498" s="76"/>
      <c r="Z1498" s="70"/>
      <c r="AA1498" s="70"/>
      <c r="AB1498" s="70"/>
      <c r="AC1498" s="70"/>
    </row>
    <row r="1499" spans="1:31" s="26" customFormat="1" x14ac:dyDescent="0.3">
      <c r="A1499" s="25" t="s">
        <v>6852</v>
      </c>
      <c r="B1499" s="25"/>
      <c r="C1499" s="26" t="s">
        <v>3005</v>
      </c>
      <c r="D1499" s="70"/>
      <c r="G1499" s="70" t="s">
        <v>1261</v>
      </c>
      <c r="H1499" s="26">
        <v>1</v>
      </c>
      <c r="I1499" s="70" t="s">
        <v>6853</v>
      </c>
      <c r="J1499" s="26" t="s">
        <v>5518</v>
      </c>
      <c r="K1499" s="26" t="s">
        <v>5290</v>
      </c>
      <c r="L1499" s="26" t="s">
        <v>10660</v>
      </c>
      <c r="M1499" s="76"/>
      <c r="N1499" s="76"/>
      <c r="O1499" s="76"/>
      <c r="P1499" s="76"/>
      <c r="Q1499" s="76"/>
      <c r="R1499" s="76"/>
      <c r="Z1499" s="70"/>
      <c r="AA1499" s="70"/>
      <c r="AB1499" s="70"/>
      <c r="AC1499" s="70"/>
    </row>
    <row r="1500" spans="1:31" s="26" customFormat="1" x14ac:dyDescent="0.3">
      <c r="A1500" s="25" t="s">
        <v>6854</v>
      </c>
      <c r="B1500" s="25"/>
      <c r="C1500" s="26" t="s">
        <v>3005</v>
      </c>
      <c r="D1500" s="70"/>
      <c r="G1500" s="70" t="s">
        <v>1261</v>
      </c>
      <c r="H1500" s="26">
        <v>1</v>
      </c>
      <c r="I1500" s="70" t="s">
        <v>5126</v>
      </c>
      <c r="J1500" s="26" t="s">
        <v>6505</v>
      </c>
      <c r="K1500" s="26" t="s">
        <v>6043</v>
      </c>
      <c r="L1500" s="26" t="s">
        <v>10661</v>
      </c>
      <c r="M1500" s="76"/>
      <c r="N1500" s="76"/>
      <c r="O1500" s="76"/>
      <c r="P1500" s="76"/>
      <c r="Q1500" s="76"/>
      <c r="R1500" s="76"/>
      <c r="T1500" s="26" t="s">
        <v>2254</v>
      </c>
      <c r="Z1500" s="70"/>
      <c r="AA1500" s="70"/>
      <c r="AB1500" s="70"/>
      <c r="AC1500" s="70"/>
      <c r="AE1500" s="26" t="s">
        <v>6855</v>
      </c>
    </row>
    <row r="1501" spans="1:31" s="24" customFormat="1" x14ac:dyDescent="0.3">
      <c r="A1501" s="23">
        <v>425</v>
      </c>
      <c r="B1501" s="23">
        <v>419</v>
      </c>
      <c r="C1501" s="24" t="s">
        <v>2165</v>
      </c>
      <c r="D1501" s="69" t="s">
        <v>1241</v>
      </c>
      <c r="E1501" s="24" t="s">
        <v>1240</v>
      </c>
      <c r="F1501" s="24" t="s">
        <v>1262</v>
      </c>
      <c r="G1501" s="69" t="s">
        <v>1263</v>
      </c>
      <c r="H1501" s="24">
        <v>2</v>
      </c>
      <c r="I1501" s="69"/>
      <c r="J1501" s="24" t="s">
        <v>6856</v>
      </c>
      <c r="K1501" s="24" t="s">
        <v>68</v>
      </c>
      <c r="M1501" s="75" t="s">
        <v>65</v>
      </c>
      <c r="N1501" s="75" t="s">
        <v>2015</v>
      </c>
      <c r="O1501" s="75"/>
      <c r="P1501" s="75"/>
      <c r="Q1501" s="75"/>
      <c r="R1501" s="75"/>
      <c r="Y1501" s="24" t="s">
        <v>2701</v>
      </c>
      <c r="Z1501" s="69"/>
      <c r="AA1501" s="69"/>
      <c r="AB1501" s="69"/>
      <c r="AC1501" s="69"/>
    </row>
    <row r="1502" spans="1:31" s="26" customFormat="1" x14ac:dyDescent="0.3">
      <c r="A1502" s="25" t="s">
        <v>6857</v>
      </c>
      <c r="B1502" s="25"/>
      <c r="C1502" s="26" t="s">
        <v>3005</v>
      </c>
      <c r="D1502" s="70"/>
      <c r="G1502" s="70" t="s">
        <v>1263</v>
      </c>
      <c r="H1502" s="26">
        <v>1</v>
      </c>
      <c r="I1502" s="70" t="s">
        <v>6858</v>
      </c>
      <c r="J1502" s="26" t="s">
        <v>6856</v>
      </c>
      <c r="K1502" s="26" t="s">
        <v>5976</v>
      </c>
      <c r="M1502" s="76"/>
      <c r="N1502" s="76"/>
      <c r="O1502" s="76"/>
      <c r="P1502" s="76"/>
      <c r="Q1502" s="76"/>
      <c r="R1502" s="76"/>
      <c r="Z1502" s="70"/>
      <c r="AA1502" s="70"/>
      <c r="AB1502" s="70"/>
      <c r="AC1502" s="70"/>
    </row>
    <row r="1503" spans="1:31" s="26" customFormat="1" x14ac:dyDescent="0.3">
      <c r="A1503" s="25" t="s">
        <v>6859</v>
      </c>
      <c r="B1503" s="25"/>
      <c r="C1503" s="26" t="s">
        <v>3005</v>
      </c>
      <c r="D1503" s="70"/>
      <c r="G1503" s="70" t="s">
        <v>1263</v>
      </c>
      <c r="H1503" s="26">
        <v>1</v>
      </c>
      <c r="I1503" s="70" t="s">
        <v>3576</v>
      </c>
      <c r="J1503" s="26" t="s">
        <v>5303</v>
      </c>
      <c r="K1503" s="26" t="s">
        <v>6333</v>
      </c>
      <c r="M1503" s="76"/>
      <c r="N1503" s="76"/>
      <c r="O1503" s="76"/>
      <c r="P1503" s="76"/>
      <c r="Q1503" s="76"/>
      <c r="R1503" s="76"/>
      <c r="Y1503" s="26" t="s">
        <v>6860</v>
      </c>
      <c r="Z1503" s="70"/>
      <c r="AA1503" s="70"/>
      <c r="AB1503" s="70" t="s">
        <v>6861</v>
      </c>
      <c r="AC1503" s="70"/>
    </row>
    <row r="1504" spans="1:31" s="24" customFormat="1" x14ac:dyDescent="0.3">
      <c r="A1504" s="23">
        <v>426</v>
      </c>
      <c r="B1504" s="23">
        <v>420</v>
      </c>
      <c r="C1504" s="24" t="s">
        <v>2165</v>
      </c>
      <c r="D1504" s="69" t="s">
        <v>1241</v>
      </c>
      <c r="E1504" s="24" t="s">
        <v>1240</v>
      </c>
      <c r="F1504" s="24" t="s">
        <v>1264</v>
      </c>
      <c r="G1504" s="69" t="s">
        <v>1265</v>
      </c>
      <c r="H1504" s="24">
        <v>1</v>
      </c>
      <c r="I1504" s="69"/>
      <c r="J1504" s="24" t="s">
        <v>6862</v>
      </c>
      <c r="K1504" s="24" t="s">
        <v>1266</v>
      </c>
      <c r="M1504" s="75" t="s">
        <v>15</v>
      </c>
      <c r="N1504" s="75"/>
      <c r="O1504" s="75"/>
      <c r="P1504" s="75"/>
      <c r="Q1504" s="75"/>
      <c r="R1504" s="75"/>
      <c r="Z1504" s="69"/>
      <c r="AA1504" s="69"/>
      <c r="AB1504" s="69"/>
      <c r="AC1504" s="69"/>
    </row>
    <row r="1505" spans="1:31" s="26" customFormat="1" x14ac:dyDescent="0.3">
      <c r="A1505" s="25" t="s">
        <v>6863</v>
      </c>
      <c r="B1505" s="25"/>
      <c r="C1505" s="26" t="s">
        <v>3005</v>
      </c>
      <c r="D1505" s="70"/>
      <c r="G1505" s="70" t="s">
        <v>1265</v>
      </c>
      <c r="H1505" s="26">
        <v>-1</v>
      </c>
      <c r="I1505" s="70" t="s">
        <v>3748</v>
      </c>
      <c r="J1505" s="26" t="s">
        <v>6864</v>
      </c>
      <c r="K1505" s="26" t="s">
        <v>3182</v>
      </c>
      <c r="L1505" s="26" t="s">
        <v>9974</v>
      </c>
      <c r="M1505" s="76"/>
      <c r="N1505" s="76"/>
      <c r="O1505" s="76"/>
      <c r="P1505" s="76"/>
      <c r="Q1505" s="76"/>
      <c r="R1505" s="76"/>
      <c r="Z1505" s="70"/>
      <c r="AA1505" s="70"/>
      <c r="AB1505" s="70"/>
      <c r="AC1505" s="70"/>
    </row>
    <row r="1506" spans="1:31" s="26" customFormat="1" x14ac:dyDescent="0.3">
      <c r="A1506" s="25" t="s">
        <v>6865</v>
      </c>
      <c r="B1506" s="25"/>
      <c r="C1506" s="26" t="s">
        <v>3005</v>
      </c>
      <c r="D1506" s="70"/>
      <c r="G1506" s="70" t="s">
        <v>1265</v>
      </c>
      <c r="H1506" s="26">
        <v>-1</v>
      </c>
      <c r="I1506" s="70" t="s">
        <v>6866</v>
      </c>
      <c r="J1506" s="26" t="s">
        <v>3447</v>
      </c>
      <c r="K1506" s="26" t="s">
        <v>6867</v>
      </c>
      <c r="L1506" s="26" t="s">
        <v>10662</v>
      </c>
      <c r="M1506" s="76"/>
      <c r="N1506" s="76"/>
      <c r="O1506" s="76"/>
      <c r="P1506" s="76"/>
      <c r="Q1506" s="76"/>
      <c r="R1506" s="76"/>
      <c r="Z1506" s="70"/>
      <c r="AA1506" s="70"/>
      <c r="AB1506" s="70"/>
      <c r="AC1506" s="70"/>
    </row>
    <row r="1507" spans="1:31" s="26" customFormat="1" x14ac:dyDescent="0.3">
      <c r="A1507" s="25" t="s">
        <v>6868</v>
      </c>
      <c r="B1507" s="25"/>
      <c r="C1507" s="26" t="s">
        <v>3005</v>
      </c>
      <c r="D1507" s="70"/>
      <c r="G1507" s="70" t="s">
        <v>1265</v>
      </c>
      <c r="H1507" s="26">
        <v>2</v>
      </c>
      <c r="I1507" s="70" t="s">
        <v>6869</v>
      </c>
      <c r="J1507" s="26" t="s">
        <v>6862</v>
      </c>
      <c r="K1507" s="26" t="s">
        <v>6870</v>
      </c>
      <c r="L1507" s="26" t="s">
        <v>10663</v>
      </c>
      <c r="M1507" s="76"/>
      <c r="N1507" s="76"/>
      <c r="O1507" s="76"/>
      <c r="P1507" s="76"/>
      <c r="Q1507" s="76"/>
      <c r="R1507" s="76"/>
      <c r="Z1507" s="70"/>
      <c r="AA1507" s="70"/>
      <c r="AB1507" s="70"/>
      <c r="AC1507" s="70"/>
    </row>
    <row r="1508" spans="1:31" s="24" customFormat="1" x14ac:dyDescent="0.3">
      <c r="A1508" s="23">
        <v>427</v>
      </c>
      <c r="B1508" s="23">
        <v>418</v>
      </c>
      <c r="C1508" s="24" t="s">
        <v>2165</v>
      </c>
      <c r="D1508" s="69" t="s">
        <v>1241</v>
      </c>
      <c r="E1508" s="24" t="s">
        <v>1240</v>
      </c>
      <c r="F1508" s="24" t="s">
        <v>1267</v>
      </c>
      <c r="G1508" s="69" t="s">
        <v>1268</v>
      </c>
      <c r="I1508" s="69"/>
      <c r="J1508" s="24" t="s">
        <v>3832</v>
      </c>
      <c r="K1508" s="24" t="s">
        <v>1269</v>
      </c>
      <c r="M1508" s="75" t="s">
        <v>19</v>
      </c>
      <c r="N1508" s="75"/>
      <c r="O1508" s="75"/>
      <c r="P1508" s="75"/>
      <c r="Q1508" s="75"/>
      <c r="R1508" s="75" t="s">
        <v>2166</v>
      </c>
      <c r="T1508" s="24" t="s">
        <v>2323</v>
      </c>
      <c r="V1508" s="24" t="s">
        <v>2171</v>
      </c>
      <c r="Z1508" s="69"/>
      <c r="AA1508" s="69" t="s">
        <v>2702</v>
      </c>
      <c r="AB1508" s="69"/>
      <c r="AC1508" s="69"/>
      <c r="AD1508" s="24" t="s">
        <v>1270</v>
      </c>
      <c r="AE1508" s="24" t="s">
        <v>2703</v>
      </c>
    </row>
    <row r="1509" spans="1:31" s="26" customFormat="1" x14ac:dyDescent="0.3">
      <c r="A1509" s="25" t="s">
        <v>6871</v>
      </c>
      <c r="B1509" s="25"/>
      <c r="C1509" s="26" t="s">
        <v>3005</v>
      </c>
      <c r="D1509" s="70"/>
      <c r="G1509" s="70" t="s">
        <v>1268</v>
      </c>
      <c r="H1509" s="26">
        <v>-1</v>
      </c>
      <c r="I1509" s="70" t="s">
        <v>3927</v>
      </c>
      <c r="J1509" s="26" t="s">
        <v>3832</v>
      </c>
      <c r="K1509" s="26" t="s">
        <v>6872</v>
      </c>
      <c r="L1509" s="26" t="s">
        <v>10664</v>
      </c>
      <c r="M1509" s="76"/>
      <c r="N1509" s="76"/>
      <c r="O1509" s="76"/>
      <c r="P1509" s="76"/>
      <c r="Q1509" s="76"/>
      <c r="R1509" s="76"/>
      <c r="Z1509" s="70"/>
      <c r="AA1509" s="70"/>
      <c r="AB1509" s="70"/>
      <c r="AC1509" s="70"/>
    </row>
    <row r="1510" spans="1:31" s="26" customFormat="1" x14ac:dyDescent="0.3">
      <c r="A1510" s="25" t="s">
        <v>6873</v>
      </c>
      <c r="B1510" s="25"/>
      <c r="C1510" s="26" t="s">
        <v>3005</v>
      </c>
      <c r="D1510" s="70"/>
      <c r="G1510" s="70" t="s">
        <v>1268</v>
      </c>
      <c r="H1510" s="26">
        <v>-1</v>
      </c>
      <c r="I1510" s="70" t="s">
        <v>6874</v>
      </c>
      <c r="J1510" s="26" t="s">
        <v>3735</v>
      </c>
      <c r="K1510" s="26" t="s">
        <v>6875</v>
      </c>
      <c r="L1510" s="26" t="s">
        <v>10665</v>
      </c>
      <c r="M1510" s="76"/>
      <c r="N1510" s="76"/>
      <c r="O1510" s="76"/>
      <c r="P1510" s="76"/>
      <c r="Q1510" s="76"/>
      <c r="R1510" s="76"/>
      <c r="Z1510" s="70"/>
      <c r="AA1510" s="70"/>
      <c r="AB1510" s="70"/>
      <c r="AC1510" s="70"/>
    </row>
    <row r="1511" spans="1:31" s="26" customFormat="1" x14ac:dyDescent="0.3">
      <c r="A1511" s="25" t="s">
        <v>6876</v>
      </c>
      <c r="B1511" s="25"/>
      <c r="C1511" s="26" t="s">
        <v>3005</v>
      </c>
      <c r="D1511" s="70"/>
      <c r="G1511" s="70" t="s">
        <v>1268</v>
      </c>
      <c r="H1511" s="26">
        <v>-1</v>
      </c>
      <c r="I1511" s="70" t="s">
        <v>3546</v>
      </c>
      <c r="J1511" s="26" t="s">
        <v>6877</v>
      </c>
      <c r="K1511" s="26" t="s">
        <v>6878</v>
      </c>
      <c r="L1511" s="26" t="s">
        <v>10666</v>
      </c>
      <c r="M1511" s="76"/>
      <c r="N1511" s="76"/>
      <c r="O1511" s="76"/>
      <c r="P1511" s="76"/>
      <c r="Q1511" s="76"/>
      <c r="R1511" s="76"/>
      <c r="Z1511" s="70"/>
      <c r="AA1511" s="70"/>
      <c r="AB1511" s="70"/>
      <c r="AC1511" s="70"/>
    </row>
    <row r="1512" spans="1:31" s="26" customFormat="1" x14ac:dyDescent="0.3">
      <c r="A1512" s="25" t="s">
        <v>6879</v>
      </c>
      <c r="B1512" s="25"/>
      <c r="C1512" s="26" t="s">
        <v>3005</v>
      </c>
      <c r="D1512" s="70"/>
      <c r="G1512" s="70" t="s">
        <v>1268</v>
      </c>
      <c r="H1512" s="26">
        <v>-1</v>
      </c>
      <c r="I1512" s="70" t="s">
        <v>6880</v>
      </c>
      <c r="J1512" s="26" t="s">
        <v>4383</v>
      </c>
      <c r="K1512" s="26" t="s">
        <v>6881</v>
      </c>
      <c r="L1512" s="26" t="s">
        <v>10667</v>
      </c>
      <c r="M1512" s="76"/>
      <c r="N1512" s="76"/>
      <c r="O1512" s="76"/>
      <c r="P1512" s="76"/>
      <c r="Q1512" s="76"/>
      <c r="R1512" s="76"/>
      <c r="Z1512" s="70"/>
      <c r="AA1512" s="70"/>
      <c r="AB1512" s="70"/>
      <c r="AC1512" s="70"/>
    </row>
    <row r="1513" spans="1:31" s="24" customFormat="1" x14ac:dyDescent="0.3">
      <c r="A1513" s="23">
        <v>428</v>
      </c>
      <c r="B1513" s="23">
        <v>424</v>
      </c>
      <c r="C1513" s="24" t="s">
        <v>2165</v>
      </c>
      <c r="D1513" s="69" t="s">
        <v>1272</v>
      </c>
      <c r="E1513" s="24" t="s">
        <v>1271</v>
      </c>
      <c r="F1513" s="24" t="s">
        <v>1273</v>
      </c>
      <c r="G1513" s="69" t="s">
        <v>1274</v>
      </c>
      <c r="H1513" s="24">
        <v>1</v>
      </c>
      <c r="I1513" s="69"/>
      <c r="J1513" s="24" t="s">
        <v>6882</v>
      </c>
      <c r="K1513" s="24" t="s">
        <v>43</v>
      </c>
      <c r="L1513" s="24" t="s">
        <v>9842</v>
      </c>
      <c r="M1513" s="75" t="s">
        <v>15</v>
      </c>
      <c r="N1513" s="75"/>
      <c r="O1513" s="75"/>
      <c r="P1513" s="75"/>
      <c r="Q1513" s="75"/>
      <c r="R1513" s="75"/>
      <c r="T1513" s="24" t="s">
        <v>2330</v>
      </c>
      <c r="Z1513" s="69"/>
      <c r="AA1513" s="69"/>
      <c r="AB1513" s="69"/>
      <c r="AC1513" s="69"/>
      <c r="AD1513" s="24" t="s">
        <v>123</v>
      </c>
      <c r="AE1513" s="24" t="s">
        <v>2704</v>
      </c>
    </row>
    <row r="1514" spans="1:31" s="26" customFormat="1" x14ac:dyDescent="0.3">
      <c r="A1514" s="25" t="s">
        <v>6883</v>
      </c>
      <c r="B1514" s="25"/>
      <c r="C1514" s="26" t="s">
        <v>3005</v>
      </c>
      <c r="D1514" s="70"/>
      <c r="G1514" s="70" t="s">
        <v>1274</v>
      </c>
      <c r="H1514" s="26">
        <v>-1</v>
      </c>
      <c r="I1514" s="70" t="s">
        <v>3494</v>
      </c>
      <c r="J1514" s="26" t="s">
        <v>6882</v>
      </c>
      <c r="K1514" s="26" t="s">
        <v>6884</v>
      </c>
      <c r="M1514" s="76"/>
      <c r="N1514" s="76"/>
      <c r="O1514" s="76"/>
      <c r="P1514" s="76"/>
      <c r="Q1514" s="76"/>
      <c r="R1514" s="76"/>
      <c r="Z1514" s="70"/>
      <c r="AA1514" s="70"/>
      <c r="AB1514" s="70"/>
      <c r="AC1514" s="70"/>
    </row>
    <row r="1515" spans="1:31" s="26" customFormat="1" x14ac:dyDescent="0.3">
      <c r="A1515" s="25" t="s">
        <v>6885</v>
      </c>
      <c r="B1515" s="25"/>
      <c r="C1515" s="26" t="s">
        <v>3005</v>
      </c>
      <c r="D1515" s="70"/>
      <c r="G1515" s="70" t="s">
        <v>1274</v>
      </c>
      <c r="H1515" s="26">
        <v>3</v>
      </c>
      <c r="I1515" s="70" t="s">
        <v>6886</v>
      </c>
      <c r="J1515" s="26" t="s">
        <v>5253</v>
      </c>
      <c r="K1515" s="26" t="s">
        <v>6291</v>
      </c>
      <c r="M1515" s="76"/>
      <c r="N1515" s="76"/>
      <c r="O1515" s="76"/>
      <c r="P1515" s="76"/>
      <c r="Q1515" s="76"/>
      <c r="R1515" s="76"/>
      <c r="Z1515" s="70"/>
      <c r="AA1515" s="70"/>
      <c r="AB1515" s="70"/>
      <c r="AC1515" s="70"/>
    </row>
    <row r="1516" spans="1:31" s="24" customFormat="1" x14ac:dyDescent="0.3">
      <c r="A1516" s="23">
        <v>429</v>
      </c>
      <c r="B1516" s="23">
        <v>425</v>
      </c>
      <c r="C1516" s="24" t="s">
        <v>2165</v>
      </c>
      <c r="D1516" s="69" t="s">
        <v>1272</v>
      </c>
      <c r="E1516" s="24" t="s">
        <v>1271</v>
      </c>
      <c r="F1516" s="24" t="s">
        <v>1275</v>
      </c>
      <c r="G1516" s="69" t="s">
        <v>1276</v>
      </c>
      <c r="H1516" s="24">
        <v>3</v>
      </c>
      <c r="I1516" s="69"/>
      <c r="J1516" s="24" t="s">
        <v>5523</v>
      </c>
      <c r="K1516" s="24" t="s">
        <v>68</v>
      </c>
      <c r="L1516" s="24" t="s">
        <v>9843</v>
      </c>
      <c r="M1516" s="75" t="s">
        <v>65</v>
      </c>
      <c r="N1516" s="75" t="s">
        <v>2015</v>
      </c>
      <c r="O1516" s="75"/>
      <c r="P1516" s="75"/>
      <c r="Q1516" s="75"/>
      <c r="R1516" s="75"/>
      <c r="Z1516" s="69"/>
      <c r="AA1516" s="69"/>
      <c r="AB1516" s="69"/>
      <c r="AC1516" s="69"/>
      <c r="AD1516" s="24" t="s">
        <v>123</v>
      </c>
    </row>
    <row r="1517" spans="1:31" s="26" customFormat="1" x14ac:dyDescent="0.3">
      <c r="A1517" s="25" t="s">
        <v>6887</v>
      </c>
      <c r="B1517" s="25"/>
      <c r="C1517" s="26" t="s">
        <v>3005</v>
      </c>
      <c r="D1517" s="70"/>
      <c r="G1517" s="70" t="s">
        <v>1276</v>
      </c>
      <c r="H1517" s="26">
        <v>1</v>
      </c>
      <c r="I1517" s="70" t="s">
        <v>6888</v>
      </c>
      <c r="J1517" s="26" t="s">
        <v>5523</v>
      </c>
      <c r="K1517" s="26" t="s">
        <v>6295</v>
      </c>
      <c r="M1517" s="76"/>
      <c r="N1517" s="76"/>
      <c r="O1517" s="76"/>
      <c r="P1517" s="76"/>
      <c r="Q1517" s="76"/>
      <c r="R1517" s="76"/>
      <c r="Z1517" s="70"/>
      <c r="AA1517" s="70"/>
      <c r="AB1517" s="70"/>
      <c r="AC1517" s="70"/>
    </row>
    <row r="1518" spans="1:31" s="26" customFormat="1" x14ac:dyDescent="0.3">
      <c r="A1518" s="25" t="s">
        <v>6889</v>
      </c>
      <c r="B1518" s="25"/>
      <c r="C1518" s="26" t="s">
        <v>3005</v>
      </c>
      <c r="D1518" s="70"/>
      <c r="G1518" s="70" t="s">
        <v>1276</v>
      </c>
      <c r="H1518" s="26">
        <v>1</v>
      </c>
      <c r="I1518" s="70" t="s">
        <v>4847</v>
      </c>
      <c r="J1518" s="26" t="s">
        <v>6890</v>
      </c>
      <c r="K1518" s="26" t="s">
        <v>6298</v>
      </c>
      <c r="M1518" s="76"/>
      <c r="N1518" s="76"/>
      <c r="O1518" s="76"/>
      <c r="P1518" s="76"/>
      <c r="Q1518" s="76"/>
      <c r="R1518" s="76"/>
      <c r="Z1518" s="70"/>
      <c r="AA1518" s="70"/>
      <c r="AB1518" s="70"/>
      <c r="AC1518" s="70"/>
    </row>
    <row r="1519" spans="1:31" s="26" customFormat="1" x14ac:dyDescent="0.3">
      <c r="A1519" s="25" t="s">
        <v>6891</v>
      </c>
      <c r="B1519" s="25"/>
      <c r="C1519" s="26" t="s">
        <v>3005</v>
      </c>
      <c r="D1519" s="70"/>
      <c r="G1519" s="70" t="s">
        <v>1276</v>
      </c>
      <c r="H1519" s="26">
        <v>1</v>
      </c>
      <c r="I1519" s="70" t="s">
        <v>5302</v>
      </c>
      <c r="J1519" s="26" t="s">
        <v>5080</v>
      </c>
      <c r="K1519" s="26" t="s">
        <v>6892</v>
      </c>
      <c r="M1519" s="76"/>
      <c r="N1519" s="76"/>
      <c r="O1519" s="76"/>
      <c r="P1519" s="76"/>
      <c r="Q1519" s="76"/>
      <c r="R1519" s="76"/>
      <c r="Z1519" s="70"/>
      <c r="AA1519" s="70"/>
      <c r="AB1519" s="70"/>
      <c r="AC1519" s="70"/>
    </row>
    <row r="1520" spans="1:31" s="24" customFormat="1" x14ac:dyDescent="0.3">
      <c r="A1520" s="23">
        <v>430</v>
      </c>
      <c r="B1520" s="23">
        <v>426</v>
      </c>
      <c r="C1520" s="24" t="s">
        <v>2165</v>
      </c>
      <c r="D1520" s="69" t="s">
        <v>1272</v>
      </c>
      <c r="E1520" s="24" t="s">
        <v>1271</v>
      </c>
      <c r="F1520" s="24" t="s">
        <v>1277</v>
      </c>
      <c r="G1520" s="69" t="s">
        <v>1278</v>
      </c>
      <c r="H1520" s="24">
        <v>3</v>
      </c>
      <c r="I1520" s="69"/>
      <c r="J1520" s="24" t="s">
        <v>6308</v>
      </c>
      <c r="K1520" s="24" t="s">
        <v>1279</v>
      </c>
      <c r="M1520" s="75" t="s">
        <v>732</v>
      </c>
      <c r="N1520" s="75"/>
      <c r="O1520" s="75"/>
      <c r="P1520" s="75"/>
      <c r="Q1520" s="75"/>
      <c r="R1520" s="75"/>
      <c r="Z1520" s="69"/>
      <c r="AA1520" s="69"/>
      <c r="AB1520" s="69"/>
      <c r="AC1520" s="69"/>
      <c r="AD1520" s="24" t="s">
        <v>123</v>
      </c>
    </row>
    <row r="1521" spans="1:30" s="26" customFormat="1" x14ac:dyDescent="0.3">
      <c r="A1521" s="25" t="s">
        <v>6893</v>
      </c>
      <c r="B1521" s="25"/>
      <c r="C1521" s="26" t="s">
        <v>3005</v>
      </c>
      <c r="D1521" s="70"/>
      <c r="G1521" s="70" t="s">
        <v>1278</v>
      </c>
      <c r="H1521" s="26">
        <v>2</v>
      </c>
      <c r="I1521" s="70" t="s">
        <v>6894</v>
      </c>
      <c r="J1521" s="26" t="s">
        <v>6308</v>
      </c>
      <c r="K1521" s="26" t="s">
        <v>6895</v>
      </c>
      <c r="M1521" s="76"/>
      <c r="N1521" s="76"/>
      <c r="O1521" s="76"/>
      <c r="P1521" s="76"/>
      <c r="Q1521" s="76"/>
      <c r="R1521" s="76"/>
      <c r="Z1521" s="70"/>
      <c r="AA1521" s="70"/>
      <c r="AB1521" s="70"/>
      <c r="AC1521" s="70"/>
    </row>
    <row r="1522" spans="1:30" s="26" customFormat="1" x14ac:dyDescent="0.3">
      <c r="A1522" s="25" t="s">
        <v>6896</v>
      </c>
      <c r="B1522" s="25"/>
      <c r="C1522" s="26" t="s">
        <v>3005</v>
      </c>
      <c r="D1522" s="70"/>
      <c r="G1522" s="70" t="s">
        <v>1278</v>
      </c>
      <c r="H1522" s="26">
        <v>3</v>
      </c>
      <c r="I1522" s="70" t="s">
        <v>5296</v>
      </c>
      <c r="J1522" s="26" t="s">
        <v>5080</v>
      </c>
      <c r="K1522" s="26" t="s">
        <v>6897</v>
      </c>
      <c r="M1522" s="76"/>
      <c r="N1522" s="76"/>
      <c r="O1522" s="76"/>
      <c r="P1522" s="76"/>
      <c r="Q1522" s="76"/>
      <c r="R1522" s="76"/>
      <c r="Z1522" s="70"/>
      <c r="AA1522" s="70"/>
      <c r="AB1522" s="70"/>
      <c r="AC1522" s="70"/>
    </row>
    <row r="1523" spans="1:30" s="26" customFormat="1" x14ac:dyDescent="0.3">
      <c r="A1523" s="25" t="s">
        <v>6898</v>
      </c>
      <c r="B1523" s="25"/>
      <c r="C1523" s="26" t="s">
        <v>3005</v>
      </c>
      <c r="D1523" s="70"/>
      <c r="G1523" s="70" t="s">
        <v>1278</v>
      </c>
      <c r="H1523" s="26">
        <v>2</v>
      </c>
      <c r="I1523" s="70" t="s">
        <v>6038</v>
      </c>
      <c r="J1523" s="26" t="s">
        <v>5080</v>
      </c>
      <c r="K1523" s="26" t="s">
        <v>6818</v>
      </c>
      <c r="M1523" s="76"/>
      <c r="N1523" s="76"/>
      <c r="O1523" s="76"/>
      <c r="P1523" s="76"/>
      <c r="Q1523" s="76"/>
      <c r="R1523" s="76"/>
      <c r="Z1523" s="70"/>
      <c r="AA1523" s="70"/>
      <c r="AB1523" s="70"/>
      <c r="AC1523" s="70"/>
    </row>
    <row r="1524" spans="1:30" s="24" customFormat="1" x14ac:dyDescent="0.3">
      <c r="A1524" s="23">
        <v>431</v>
      </c>
      <c r="B1524" s="23">
        <v>427</v>
      </c>
      <c r="C1524" s="24" t="s">
        <v>2165</v>
      </c>
      <c r="D1524" s="69" t="s">
        <v>1272</v>
      </c>
      <c r="E1524" s="24" t="s">
        <v>1271</v>
      </c>
      <c r="F1524" s="24" t="s">
        <v>1280</v>
      </c>
      <c r="G1524" s="69" t="s">
        <v>1281</v>
      </c>
      <c r="H1524" s="24">
        <v>7</v>
      </c>
      <c r="I1524" s="69"/>
      <c r="J1524" s="24" t="s">
        <v>6899</v>
      </c>
      <c r="K1524" s="24" t="s">
        <v>68</v>
      </c>
      <c r="M1524" s="75" t="s">
        <v>65</v>
      </c>
      <c r="N1524" s="75" t="s">
        <v>2015</v>
      </c>
      <c r="O1524" s="75"/>
      <c r="P1524" s="75"/>
      <c r="Q1524" s="75"/>
      <c r="R1524" s="75"/>
      <c r="Z1524" s="69"/>
      <c r="AA1524" s="69"/>
      <c r="AB1524" s="69"/>
      <c r="AC1524" s="69"/>
      <c r="AD1524" s="24" t="s">
        <v>123</v>
      </c>
    </row>
    <row r="1525" spans="1:30" s="26" customFormat="1" x14ac:dyDescent="0.3">
      <c r="A1525" s="25" t="s">
        <v>6900</v>
      </c>
      <c r="B1525" s="25"/>
      <c r="C1525" s="26" t="s">
        <v>3005</v>
      </c>
      <c r="D1525" s="70"/>
      <c r="G1525" s="70" t="s">
        <v>1281</v>
      </c>
      <c r="H1525" s="26">
        <v>1</v>
      </c>
      <c r="I1525" s="70" t="s">
        <v>6901</v>
      </c>
      <c r="J1525" s="26" t="s">
        <v>6902</v>
      </c>
      <c r="K1525" s="26" t="s">
        <v>6903</v>
      </c>
      <c r="L1525" s="26" t="s">
        <v>10668</v>
      </c>
      <c r="M1525" s="76"/>
      <c r="N1525" s="76"/>
      <c r="O1525" s="76"/>
      <c r="P1525" s="76"/>
      <c r="Q1525" s="76"/>
      <c r="R1525" s="76"/>
      <c r="Z1525" s="70"/>
      <c r="AA1525" s="70"/>
      <c r="AB1525" s="70"/>
      <c r="AC1525" s="70"/>
    </row>
    <row r="1526" spans="1:30" s="26" customFormat="1" x14ac:dyDescent="0.3">
      <c r="A1526" s="25" t="s">
        <v>6904</v>
      </c>
      <c r="B1526" s="25"/>
      <c r="C1526" s="26" t="s">
        <v>3005</v>
      </c>
      <c r="D1526" s="70"/>
      <c r="G1526" s="70" t="s">
        <v>1281</v>
      </c>
      <c r="H1526" s="26">
        <v>1</v>
      </c>
      <c r="I1526" s="70" t="s">
        <v>6905</v>
      </c>
      <c r="J1526" s="26" t="s">
        <v>6305</v>
      </c>
      <c r="K1526" s="26" t="s">
        <v>6906</v>
      </c>
      <c r="L1526" s="26" t="s">
        <v>10669</v>
      </c>
      <c r="M1526" s="76"/>
      <c r="N1526" s="76"/>
      <c r="O1526" s="76"/>
      <c r="P1526" s="76"/>
      <c r="Q1526" s="76"/>
      <c r="R1526" s="76"/>
      <c r="Z1526" s="70"/>
      <c r="AA1526" s="70"/>
      <c r="AB1526" s="70"/>
      <c r="AC1526" s="70"/>
    </row>
    <row r="1527" spans="1:30" s="26" customFormat="1" x14ac:dyDescent="0.3">
      <c r="A1527" s="25" t="s">
        <v>6907</v>
      </c>
      <c r="B1527" s="25"/>
      <c r="C1527" s="26" t="s">
        <v>3005</v>
      </c>
      <c r="D1527" s="70"/>
      <c r="G1527" s="70" t="s">
        <v>1281</v>
      </c>
      <c r="H1527" s="26">
        <v>1</v>
      </c>
      <c r="I1527" s="70" t="s">
        <v>5319</v>
      </c>
      <c r="J1527" s="26" t="s">
        <v>6899</v>
      </c>
      <c r="K1527" s="26" t="s">
        <v>5692</v>
      </c>
      <c r="L1527" s="26" t="s">
        <v>10393</v>
      </c>
      <c r="M1527" s="76"/>
      <c r="N1527" s="76"/>
      <c r="O1527" s="76"/>
      <c r="P1527" s="76"/>
      <c r="Q1527" s="76"/>
      <c r="R1527" s="76"/>
      <c r="Z1527" s="70"/>
      <c r="AA1527" s="70"/>
      <c r="AB1527" s="70"/>
      <c r="AC1527" s="70"/>
    </row>
    <row r="1528" spans="1:30" s="26" customFormat="1" x14ac:dyDescent="0.3">
      <c r="A1528" s="25" t="s">
        <v>6908</v>
      </c>
      <c r="B1528" s="25"/>
      <c r="C1528" s="26" t="s">
        <v>3005</v>
      </c>
      <c r="D1528" s="70"/>
      <c r="G1528" s="70" t="s">
        <v>1281</v>
      </c>
      <c r="H1528" s="26">
        <v>1</v>
      </c>
      <c r="I1528" s="70" t="s">
        <v>6589</v>
      </c>
      <c r="J1528" s="26" t="s">
        <v>6909</v>
      </c>
      <c r="K1528" s="26" t="s">
        <v>6910</v>
      </c>
      <c r="L1528" s="26" t="s">
        <v>10670</v>
      </c>
      <c r="M1528" s="76"/>
      <c r="N1528" s="76"/>
      <c r="O1528" s="76"/>
      <c r="P1528" s="76"/>
      <c r="Q1528" s="76"/>
      <c r="R1528" s="76"/>
      <c r="Z1528" s="70"/>
      <c r="AA1528" s="70"/>
      <c r="AB1528" s="70"/>
      <c r="AC1528" s="70"/>
    </row>
    <row r="1529" spans="1:30" s="26" customFormat="1" x14ac:dyDescent="0.3">
      <c r="A1529" s="25" t="s">
        <v>6911</v>
      </c>
      <c r="B1529" s="25"/>
      <c r="C1529" s="26" t="s">
        <v>3005</v>
      </c>
      <c r="D1529" s="70"/>
      <c r="G1529" s="70" t="s">
        <v>1281</v>
      </c>
      <c r="H1529" s="26">
        <v>1</v>
      </c>
      <c r="I1529" s="70" t="s">
        <v>6912</v>
      </c>
      <c r="J1529" s="26" t="s">
        <v>6913</v>
      </c>
      <c r="K1529" s="26" t="s">
        <v>6333</v>
      </c>
      <c r="L1529" s="26" t="s">
        <v>10671</v>
      </c>
      <c r="M1529" s="76"/>
      <c r="N1529" s="76"/>
      <c r="O1529" s="76"/>
      <c r="P1529" s="76"/>
      <c r="Q1529" s="76"/>
      <c r="R1529" s="76"/>
      <c r="Z1529" s="70"/>
      <c r="AA1529" s="70"/>
      <c r="AB1529" s="70"/>
      <c r="AC1529" s="70"/>
    </row>
    <row r="1530" spans="1:30" s="26" customFormat="1" x14ac:dyDescent="0.3">
      <c r="A1530" s="25" t="s">
        <v>6914</v>
      </c>
      <c r="B1530" s="25"/>
      <c r="C1530" s="26" t="s">
        <v>3005</v>
      </c>
      <c r="D1530" s="70"/>
      <c r="G1530" s="70" t="s">
        <v>1281</v>
      </c>
      <c r="H1530" s="26">
        <v>1</v>
      </c>
      <c r="I1530" s="70" t="s">
        <v>6915</v>
      </c>
      <c r="J1530" s="26" t="s">
        <v>6916</v>
      </c>
      <c r="K1530" s="26" t="s">
        <v>6917</v>
      </c>
      <c r="L1530" s="26" t="s">
        <v>10605</v>
      </c>
      <c r="M1530" s="76"/>
      <c r="N1530" s="76"/>
      <c r="O1530" s="76"/>
      <c r="P1530" s="76"/>
      <c r="Q1530" s="76"/>
      <c r="R1530" s="76"/>
      <c r="Z1530" s="70"/>
      <c r="AA1530" s="70"/>
      <c r="AB1530" s="70"/>
      <c r="AC1530" s="70"/>
    </row>
    <row r="1531" spans="1:30" s="26" customFormat="1" x14ac:dyDescent="0.3">
      <c r="A1531" s="25" t="s">
        <v>6918</v>
      </c>
      <c r="B1531" s="25"/>
      <c r="C1531" s="26" t="s">
        <v>3005</v>
      </c>
      <c r="D1531" s="70"/>
      <c r="G1531" s="70" t="s">
        <v>1281</v>
      </c>
      <c r="H1531" s="26">
        <v>1</v>
      </c>
      <c r="I1531" s="70" t="s">
        <v>6824</v>
      </c>
      <c r="J1531" s="26" t="s">
        <v>6919</v>
      </c>
      <c r="K1531" s="26" t="s">
        <v>6920</v>
      </c>
      <c r="L1531" s="26" t="s">
        <v>10672</v>
      </c>
      <c r="M1531" s="76"/>
      <c r="N1531" s="76"/>
      <c r="O1531" s="76"/>
      <c r="P1531" s="76"/>
      <c r="Q1531" s="76"/>
      <c r="R1531" s="76"/>
      <c r="Z1531" s="70"/>
      <c r="AA1531" s="70"/>
      <c r="AB1531" s="70"/>
      <c r="AC1531" s="70"/>
    </row>
    <row r="1532" spans="1:30" s="24" customFormat="1" x14ac:dyDescent="0.3">
      <c r="A1532" s="23">
        <v>432</v>
      </c>
      <c r="B1532" s="23">
        <v>428</v>
      </c>
      <c r="C1532" s="24" t="s">
        <v>2165</v>
      </c>
      <c r="D1532" s="69" t="s">
        <v>1283</v>
      </c>
      <c r="E1532" s="24" t="s">
        <v>1282</v>
      </c>
      <c r="F1532" s="24" t="s">
        <v>1284</v>
      </c>
      <c r="G1532" s="69" t="s">
        <v>1285</v>
      </c>
      <c r="I1532" s="69"/>
      <c r="J1532" s="24" t="s">
        <v>6921</v>
      </c>
      <c r="K1532" s="24" t="s">
        <v>1286</v>
      </c>
      <c r="L1532" s="24" t="s">
        <v>9844</v>
      </c>
      <c r="M1532" s="75" t="s">
        <v>19</v>
      </c>
      <c r="N1532" s="75"/>
      <c r="O1532" s="75"/>
      <c r="P1532" s="75"/>
      <c r="Q1532" s="75"/>
      <c r="R1532" s="75" t="s">
        <v>2166</v>
      </c>
      <c r="U1532" s="24" t="s">
        <v>2705</v>
      </c>
      <c r="Z1532" s="69"/>
      <c r="AA1532" s="69"/>
      <c r="AB1532" s="69"/>
      <c r="AC1532" s="69"/>
      <c r="AD1532" s="24" t="s">
        <v>123</v>
      </c>
    </row>
    <row r="1533" spans="1:30" s="24" customFormat="1" x14ac:dyDescent="0.3">
      <c r="A1533" s="23">
        <v>433</v>
      </c>
      <c r="B1533" s="23">
        <v>429</v>
      </c>
      <c r="C1533" s="24" t="s">
        <v>2165</v>
      </c>
      <c r="D1533" s="69" t="s">
        <v>1283</v>
      </c>
      <c r="E1533" s="24" t="s">
        <v>1282</v>
      </c>
      <c r="F1533" s="24" t="s">
        <v>1287</v>
      </c>
      <c r="G1533" s="69" t="s">
        <v>1288</v>
      </c>
      <c r="I1533" s="69"/>
      <c r="J1533" s="24" t="s">
        <v>3110</v>
      </c>
      <c r="K1533" s="24" t="s">
        <v>1011</v>
      </c>
      <c r="M1533" s="75" t="s">
        <v>50</v>
      </c>
      <c r="N1533" s="75"/>
      <c r="O1533" s="75"/>
      <c r="P1533" s="75"/>
      <c r="Q1533" s="75"/>
      <c r="R1533" s="75"/>
      <c r="U1533" s="24" t="s">
        <v>2293</v>
      </c>
      <c r="Z1533" s="69"/>
      <c r="AA1533" s="69"/>
      <c r="AB1533" s="69"/>
      <c r="AC1533" s="69"/>
    </row>
    <row r="1534" spans="1:30" s="26" customFormat="1" x14ac:dyDescent="0.3">
      <c r="A1534" s="25" t="s">
        <v>6922</v>
      </c>
      <c r="B1534" s="25"/>
      <c r="C1534" s="26" t="s">
        <v>3005</v>
      </c>
      <c r="D1534" s="70"/>
      <c r="G1534" s="70" t="s">
        <v>1288</v>
      </c>
      <c r="H1534" s="26">
        <v>-1</v>
      </c>
      <c r="I1534" s="70" t="s">
        <v>4803</v>
      </c>
      <c r="J1534" s="26" t="s">
        <v>3110</v>
      </c>
      <c r="K1534" s="26" t="s">
        <v>6923</v>
      </c>
      <c r="L1534" s="26" t="s">
        <v>10673</v>
      </c>
      <c r="M1534" s="76"/>
      <c r="N1534" s="76"/>
      <c r="O1534" s="76"/>
      <c r="P1534" s="76"/>
      <c r="Q1534" s="76"/>
      <c r="R1534" s="76"/>
      <c r="U1534" s="26" t="s">
        <v>4643</v>
      </c>
      <c r="Z1534" s="70"/>
      <c r="AA1534" s="70"/>
      <c r="AB1534" s="70"/>
      <c r="AC1534" s="70"/>
    </row>
    <row r="1535" spans="1:30" s="26" customFormat="1" x14ac:dyDescent="0.3">
      <c r="A1535" s="25" t="s">
        <v>6924</v>
      </c>
      <c r="B1535" s="25"/>
      <c r="C1535" s="26" t="s">
        <v>3005</v>
      </c>
      <c r="D1535" s="70"/>
      <c r="G1535" s="70" t="s">
        <v>1288</v>
      </c>
      <c r="H1535" s="26">
        <v>-1</v>
      </c>
      <c r="I1535" s="70" t="s">
        <v>3906</v>
      </c>
      <c r="J1535" s="26" t="s">
        <v>6925</v>
      </c>
      <c r="K1535" s="26" t="s">
        <v>6926</v>
      </c>
      <c r="L1535" s="26" t="s">
        <v>10674</v>
      </c>
      <c r="M1535" s="76"/>
      <c r="N1535" s="76"/>
      <c r="O1535" s="76"/>
      <c r="P1535" s="76"/>
      <c r="Q1535" s="76"/>
      <c r="R1535" s="76"/>
      <c r="U1535" s="26" t="s">
        <v>6927</v>
      </c>
      <c r="Z1535" s="70"/>
      <c r="AA1535" s="70"/>
      <c r="AB1535" s="70"/>
      <c r="AC1535" s="70"/>
    </row>
    <row r="1536" spans="1:30" s="26" customFormat="1" x14ac:dyDescent="0.3">
      <c r="A1536" s="25" t="s">
        <v>6928</v>
      </c>
      <c r="B1536" s="25"/>
      <c r="C1536" s="26" t="s">
        <v>3005</v>
      </c>
      <c r="D1536" s="70"/>
      <c r="G1536" s="70" t="s">
        <v>1288</v>
      </c>
      <c r="H1536" s="26">
        <v>-1</v>
      </c>
      <c r="I1536" s="70" t="s">
        <v>6528</v>
      </c>
      <c r="J1536" s="26" t="s">
        <v>3509</v>
      </c>
      <c r="K1536" s="26" t="s">
        <v>6929</v>
      </c>
      <c r="M1536" s="76"/>
      <c r="N1536" s="76"/>
      <c r="O1536" s="76"/>
      <c r="P1536" s="76"/>
      <c r="Q1536" s="76"/>
      <c r="R1536" s="76"/>
      <c r="U1536" s="26" t="s">
        <v>6930</v>
      </c>
      <c r="Z1536" s="70"/>
      <c r="AA1536" s="70"/>
      <c r="AB1536" s="70"/>
      <c r="AC1536" s="70"/>
    </row>
    <row r="1537" spans="1:29" s="26" customFormat="1" x14ac:dyDescent="0.3">
      <c r="A1537" s="25" t="s">
        <v>6931</v>
      </c>
      <c r="B1537" s="25"/>
      <c r="C1537" s="26" t="s">
        <v>3005</v>
      </c>
      <c r="D1537" s="70"/>
      <c r="G1537" s="70" t="s">
        <v>1288</v>
      </c>
      <c r="H1537" s="26">
        <v>-1</v>
      </c>
      <c r="I1537" s="70" t="s">
        <v>5356</v>
      </c>
      <c r="J1537" s="26" t="s">
        <v>6932</v>
      </c>
      <c r="K1537" s="26" t="s">
        <v>6933</v>
      </c>
      <c r="M1537" s="76"/>
      <c r="N1537" s="76"/>
      <c r="O1537" s="76"/>
      <c r="P1537" s="76"/>
      <c r="Q1537" s="76"/>
      <c r="R1537" s="76"/>
      <c r="U1537" s="26" t="s">
        <v>6934</v>
      </c>
      <c r="Z1537" s="70"/>
      <c r="AA1537" s="70"/>
      <c r="AB1537" s="70"/>
      <c r="AC1537" s="70"/>
    </row>
    <row r="1538" spans="1:29" s="24" customFormat="1" x14ac:dyDescent="0.3">
      <c r="A1538" s="23">
        <v>434</v>
      </c>
      <c r="B1538" s="23">
        <v>430</v>
      </c>
      <c r="C1538" s="24" t="s">
        <v>2165</v>
      </c>
      <c r="D1538" s="69" t="s">
        <v>1283</v>
      </c>
      <c r="E1538" s="24" t="s">
        <v>1282</v>
      </c>
      <c r="F1538" s="24" t="s">
        <v>1289</v>
      </c>
      <c r="G1538" s="69" t="s">
        <v>1290</v>
      </c>
      <c r="H1538" s="24">
        <v>2</v>
      </c>
      <c r="I1538" s="69"/>
      <c r="J1538" s="24" t="s">
        <v>3110</v>
      </c>
      <c r="K1538" s="24" t="s">
        <v>1291</v>
      </c>
      <c r="M1538" s="75" t="s">
        <v>15</v>
      </c>
      <c r="N1538" s="75"/>
      <c r="O1538" s="75"/>
      <c r="P1538" s="75"/>
      <c r="Q1538" s="75"/>
      <c r="R1538" s="75"/>
      <c r="Z1538" s="69"/>
      <c r="AA1538" s="69"/>
      <c r="AB1538" s="69"/>
      <c r="AC1538" s="69"/>
    </row>
    <row r="1539" spans="1:29" s="26" customFormat="1" x14ac:dyDescent="0.3">
      <c r="A1539" s="25" t="s">
        <v>6935</v>
      </c>
      <c r="B1539" s="25"/>
      <c r="C1539" s="26" t="s">
        <v>3005</v>
      </c>
      <c r="D1539" s="70"/>
      <c r="G1539" s="70" t="s">
        <v>1290</v>
      </c>
      <c r="H1539" s="26">
        <v>-1</v>
      </c>
      <c r="I1539" s="70" t="s">
        <v>6936</v>
      </c>
      <c r="J1539" s="26" t="s">
        <v>3803</v>
      </c>
      <c r="K1539" s="26" t="s">
        <v>6937</v>
      </c>
      <c r="L1539" s="26" t="s">
        <v>10675</v>
      </c>
      <c r="M1539" s="76"/>
      <c r="N1539" s="76"/>
      <c r="O1539" s="76"/>
      <c r="P1539" s="76"/>
      <c r="Q1539" s="76"/>
      <c r="R1539" s="76"/>
      <c r="Z1539" s="70"/>
      <c r="AA1539" s="70"/>
      <c r="AB1539" s="70"/>
      <c r="AC1539" s="70"/>
    </row>
    <row r="1540" spans="1:29" s="26" customFormat="1" x14ac:dyDescent="0.3">
      <c r="A1540" s="25" t="s">
        <v>6938</v>
      </c>
      <c r="B1540" s="25"/>
      <c r="C1540" s="26" t="s">
        <v>3005</v>
      </c>
      <c r="D1540" s="70"/>
      <c r="G1540" s="70" t="s">
        <v>1290</v>
      </c>
      <c r="H1540" s="26">
        <v>-1</v>
      </c>
      <c r="I1540" s="70" t="s">
        <v>6939</v>
      </c>
      <c r="J1540" s="26" t="s">
        <v>6058</v>
      </c>
      <c r="K1540" s="26" t="s">
        <v>6940</v>
      </c>
      <c r="L1540" s="26" t="s">
        <v>10676</v>
      </c>
      <c r="M1540" s="76"/>
      <c r="N1540" s="76"/>
      <c r="O1540" s="76"/>
      <c r="P1540" s="76"/>
      <c r="Q1540" s="76"/>
      <c r="R1540" s="76"/>
      <c r="Z1540" s="70"/>
      <c r="AA1540" s="70"/>
      <c r="AB1540" s="70"/>
      <c r="AC1540" s="70"/>
    </row>
    <row r="1541" spans="1:29" s="26" customFormat="1" x14ac:dyDescent="0.3">
      <c r="A1541" s="25" t="s">
        <v>6941</v>
      </c>
      <c r="B1541" s="25"/>
      <c r="C1541" s="26" t="s">
        <v>3005</v>
      </c>
      <c r="D1541" s="70"/>
      <c r="G1541" s="70" t="s">
        <v>1290</v>
      </c>
      <c r="H1541" s="26">
        <v>-1</v>
      </c>
      <c r="I1541" s="70" t="s">
        <v>6942</v>
      </c>
      <c r="J1541" s="26" t="s">
        <v>6943</v>
      </c>
      <c r="K1541" s="26" t="s">
        <v>6944</v>
      </c>
      <c r="L1541" s="26" t="s">
        <v>10677</v>
      </c>
      <c r="M1541" s="76"/>
      <c r="N1541" s="76"/>
      <c r="O1541" s="76"/>
      <c r="P1541" s="76"/>
      <c r="Q1541" s="76"/>
      <c r="R1541" s="76"/>
      <c r="Z1541" s="70"/>
      <c r="AA1541" s="70"/>
      <c r="AB1541" s="70"/>
      <c r="AC1541" s="70"/>
    </row>
    <row r="1542" spans="1:29" s="26" customFormat="1" x14ac:dyDescent="0.3">
      <c r="A1542" s="25" t="s">
        <v>6945</v>
      </c>
      <c r="B1542" s="25"/>
      <c r="C1542" s="26" t="s">
        <v>3005</v>
      </c>
      <c r="D1542" s="70"/>
      <c r="G1542" s="70" t="s">
        <v>1290</v>
      </c>
      <c r="H1542" s="26">
        <v>-1</v>
      </c>
      <c r="I1542" s="70" t="s">
        <v>6946</v>
      </c>
      <c r="J1542" s="26" t="s">
        <v>3110</v>
      </c>
      <c r="K1542" s="26" t="s">
        <v>6947</v>
      </c>
      <c r="M1542" s="76"/>
      <c r="N1542" s="76"/>
      <c r="O1542" s="76"/>
      <c r="P1542" s="76"/>
      <c r="Q1542" s="76"/>
      <c r="R1542" s="76"/>
      <c r="Z1542" s="70"/>
      <c r="AA1542" s="70"/>
      <c r="AB1542" s="70"/>
      <c r="AC1542" s="70"/>
    </row>
    <row r="1543" spans="1:29" s="26" customFormat="1" x14ac:dyDescent="0.3">
      <c r="A1543" s="25" t="s">
        <v>6948</v>
      </c>
      <c r="B1543" s="25"/>
      <c r="C1543" s="26" t="s">
        <v>3005</v>
      </c>
      <c r="D1543" s="70"/>
      <c r="G1543" s="70" t="s">
        <v>1290</v>
      </c>
      <c r="H1543" s="26">
        <v>-1</v>
      </c>
      <c r="I1543" s="70" t="s">
        <v>6949</v>
      </c>
      <c r="J1543" s="26" t="s">
        <v>6950</v>
      </c>
      <c r="K1543" s="26" t="s">
        <v>6951</v>
      </c>
      <c r="L1543" s="26" t="s">
        <v>10678</v>
      </c>
      <c r="M1543" s="76"/>
      <c r="N1543" s="76"/>
      <c r="O1543" s="76"/>
      <c r="P1543" s="76"/>
      <c r="Q1543" s="76"/>
      <c r="R1543" s="76"/>
      <c r="Z1543" s="70"/>
      <c r="AA1543" s="70"/>
      <c r="AB1543" s="70"/>
      <c r="AC1543" s="70"/>
    </row>
    <row r="1544" spans="1:29" s="26" customFormat="1" x14ac:dyDescent="0.3">
      <c r="A1544" s="25" t="s">
        <v>6952</v>
      </c>
      <c r="B1544" s="25"/>
      <c r="C1544" s="26" t="s">
        <v>3005</v>
      </c>
      <c r="D1544" s="70"/>
      <c r="G1544" s="70" t="s">
        <v>1290</v>
      </c>
      <c r="H1544" s="26">
        <v>-1</v>
      </c>
      <c r="I1544" s="70" t="s">
        <v>6953</v>
      </c>
      <c r="J1544" s="26" t="s">
        <v>4187</v>
      </c>
      <c r="K1544" s="26" t="s">
        <v>6954</v>
      </c>
      <c r="M1544" s="76"/>
      <c r="N1544" s="76"/>
      <c r="O1544" s="76"/>
      <c r="P1544" s="76"/>
      <c r="Q1544" s="76"/>
      <c r="R1544" s="76"/>
      <c r="Z1544" s="70"/>
      <c r="AA1544" s="70"/>
      <c r="AB1544" s="70"/>
      <c r="AC1544" s="70"/>
    </row>
    <row r="1545" spans="1:29" s="26" customFormat="1" x14ac:dyDescent="0.3">
      <c r="A1545" s="25" t="s">
        <v>6955</v>
      </c>
      <c r="B1545" s="25"/>
      <c r="C1545" s="26" t="s">
        <v>3005</v>
      </c>
      <c r="D1545" s="70"/>
      <c r="G1545" s="70" t="s">
        <v>1290</v>
      </c>
      <c r="H1545" s="26">
        <v>2</v>
      </c>
      <c r="I1545" s="70" t="s">
        <v>6956</v>
      </c>
      <c r="J1545" s="26" t="s">
        <v>4366</v>
      </c>
      <c r="K1545" s="26" t="s">
        <v>6957</v>
      </c>
      <c r="L1545" s="26" t="s">
        <v>9660</v>
      </c>
      <c r="M1545" s="76"/>
      <c r="N1545" s="76"/>
      <c r="O1545" s="76"/>
      <c r="P1545" s="76"/>
      <c r="Q1545" s="76"/>
      <c r="R1545" s="76"/>
      <c r="Z1545" s="70"/>
      <c r="AA1545" s="70"/>
      <c r="AB1545" s="70"/>
      <c r="AC1545" s="70"/>
    </row>
    <row r="1546" spans="1:29" s="26" customFormat="1" x14ac:dyDescent="0.3">
      <c r="A1546" s="25" t="s">
        <v>6958</v>
      </c>
      <c r="B1546" s="25"/>
      <c r="C1546" s="26" t="s">
        <v>3005</v>
      </c>
      <c r="D1546" s="70"/>
      <c r="G1546" s="70" t="s">
        <v>1290</v>
      </c>
      <c r="H1546" s="26">
        <v>3</v>
      </c>
      <c r="I1546" s="70" t="s">
        <v>4247</v>
      </c>
      <c r="J1546" s="26" t="s">
        <v>6913</v>
      </c>
      <c r="K1546" s="26" t="s">
        <v>6043</v>
      </c>
      <c r="L1546" s="26" t="s">
        <v>9831</v>
      </c>
      <c r="M1546" s="76"/>
      <c r="N1546" s="76"/>
      <c r="O1546" s="76"/>
      <c r="P1546" s="76"/>
      <c r="Q1546" s="76"/>
      <c r="R1546" s="76"/>
      <c r="Z1546" s="70"/>
      <c r="AA1546" s="70"/>
      <c r="AB1546" s="70"/>
      <c r="AC1546" s="70"/>
    </row>
    <row r="1547" spans="1:29" s="26" customFormat="1" x14ac:dyDescent="0.3">
      <c r="A1547" s="25" t="s">
        <v>6959</v>
      </c>
      <c r="B1547" s="25"/>
      <c r="C1547" s="26" t="s">
        <v>3005</v>
      </c>
      <c r="D1547" s="70"/>
      <c r="G1547" s="70" t="s">
        <v>1290</v>
      </c>
      <c r="H1547" s="26">
        <v>-1</v>
      </c>
      <c r="I1547" s="70" t="s">
        <v>6960</v>
      </c>
      <c r="J1547" s="26" t="s">
        <v>6961</v>
      </c>
      <c r="K1547" s="26" t="s">
        <v>6962</v>
      </c>
      <c r="L1547" s="26" t="s">
        <v>10679</v>
      </c>
      <c r="M1547" s="76"/>
      <c r="N1547" s="76"/>
      <c r="O1547" s="76"/>
      <c r="P1547" s="76"/>
      <c r="Q1547" s="76"/>
      <c r="R1547" s="76"/>
      <c r="Z1547" s="70"/>
      <c r="AA1547" s="70"/>
      <c r="AB1547" s="70"/>
      <c r="AC1547" s="70"/>
    </row>
    <row r="1548" spans="1:29" s="24" customFormat="1" x14ac:dyDescent="0.3">
      <c r="A1548" s="23">
        <v>435</v>
      </c>
      <c r="B1548" s="23">
        <v>431</v>
      </c>
      <c r="C1548" s="24" t="s">
        <v>2165</v>
      </c>
      <c r="D1548" s="69" t="s">
        <v>1283</v>
      </c>
      <c r="E1548" s="24" t="s">
        <v>1282</v>
      </c>
      <c r="F1548" s="24" t="s">
        <v>1292</v>
      </c>
      <c r="G1548" s="69" t="s">
        <v>1293</v>
      </c>
      <c r="H1548" s="24">
        <v>3</v>
      </c>
      <c r="I1548" s="69"/>
      <c r="J1548" s="24" t="s">
        <v>6963</v>
      </c>
      <c r="K1548" s="24" t="s">
        <v>68</v>
      </c>
      <c r="M1548" s="75" t="s">
        <v>65</v>
      </c>
      <c r="N1548" s="75" t="s">
        <v>2015</v>
      </c>
      <c r="O1548" s="75" t="s">
        <v>58</v>
      </c>
      <c r="P1548" s="75" t="s">
        <v>58</v>
      </c>
      <c r="Q1548" s="75" t="s">
        <v>66</v>
      </c>
      <c r="R1548" s="75"/>
      <c r="W1548" s="24" t="s">
        <v>2706</v>
      </c>
      <c r="Z1548" s="69"/>
      <c r="AA1548" s="69"/>
      <c r="AB1548" s="69"/>
      <c r="AC1548" s="69"/>
    </row>
    <row r="1549" spans="1:29" s="26" customFormat="1" x14ac:dyDescent="0.3">
      <c r="A1549" s="25" t="s">
        <v>6964</v>
      </c>
      <c r="B1549" s="25"/>
      <c r="C1549" s="26" t="s">
        <v>3005</v>
      </c>
      <c r="D1549" s="70"/>
      <c r="G1549" s="70" t="s">
        <v>1293</v>
      </c>
      <c r="H1549" s="26">
        <v>1</v>
      </c>
      <c r="I1549" s="70" t="s">
        <v>6257</v>
      </c>
      <c r="J1549" s="26" t="s">
        <v>6963</v>
      </c>
      <c r="K1549" s="26" t="s">
        <v>6295</v>
      </c>
      <c r="L1549" s="26" t="s">
        <v>9884</v>
      </c>
      <c r="M1549" s="76"/>
      <c r="N1549" s="76"/>
      <c r="O1549" s="76"/>
      <c r="P1549" s="76"/>
      <c r="Q1549" s="76"/>
      <c r="R1549" s="76"/>
      <c r="Z1549" s="70"/>
      <c r="AA1549" s="70"/>
      <c r="AB1549" s="70"/>
      <c r="AC1549" s="70"/>
    </row>
    <row r="1550" spans="1:29" s="26" customFormat="1" x14ac:dyDescent="0.3">
      <c r="A1550" s="25" t="s">
        <v>6965</v>
      </c>
      <c r="B1550" s="25"/>
      <c r="C1550" s="26" t="s">
        <v>3005</v>
      </c>
      <c r="D1550" s="70"/>
      <c r="G1550" s="70" t="s">
        <v>1293</v>
      </c>
      <c r="H1550" s="26">
        <v>1</v>
      </c>
      <c r="I1550" s="70" t="s">
        <v>6966</v>
      </c>
      <c r="J1550" s="26" t="s">
        <v>5478</v>
      </c>
      <c r="K1550" s="26" t="s">
        <v>6967</v>
      </c>
      <c r="L1550" s="26" t="s">
        <v>10680</v>
      </c>
      <c r="M1550" s="76"/>
      <c r="N1550" s="76"/>
      <c r="O1550" s="76"/>
      <c r="P1550" s="76"/>
      <c r="Q1550" s="76"/>
      <c r="R1550" s="76"/>
      <c r="Z1550" s="70"/>
      <c r="AA1550" s="70"/>
      <c r="AB1550" s="70"/>
      <c r="AC1550" s="70"/>
    </row>
    <row r="1551" spans="1:29" s="26" customFormat="1" x14ac:dyDescent="0.3">
      <c r="A1551" s="25" t="s">
        <v>6968</v>
      </c>
      <c r="B1551" s="25"/>
      <c r="C1551" s="26" t="s">
        <v>3005</v>
      </c>
      <c r="D1551" s="70"/>
      <c r="G1551" s="70" t="s">
        <v>1293</v>
      </c>
      <c r="H1551" s="26">
        <v>1</v>
      </c>
      <c r="I1551" s="70" t="s">
        <v>6969</v>
      </c>
      <c r="J1551" s="26" t="s">
        <v>6970</v>
      </c>
      <c r="K1551" s="26" t="s">
        <v>5764</v>
      </c>
      <c r="L1551" s="26" t="s">
        <v>9880</v>
      </c>
      <c r="M1551" s="76"/>
      <c r="N1551" s="76"/>
      <c r="O1551" s="76"/>
      <c r="P1551" s="76"/>
      <c r="Q1551" s="76"/>
      <c r="R1551" s="76"/>
      <c r="Z1551" s="70"/>
      <c r="AA1551" s="70"/>
      <c r="AB1551" s="70"/>
      <c r="AC1551" s="70"/>
    </row>
    <row r="1552" spans="1:29" s="24" customFormat="1" x14ac:dyDescent="0.3">
      <c r="A1552" s="23">
        <v>436</v>
      </c>
      <c r="B1552" s="23">
        <v>432</v>
      </c>
      <c r="C1552" s="24" t="s">
        <v>2165</v>
      </c>
      <c r="D1552" s="69" t="s">
        <v>1295</v>
      </c>
      <c r="E1552" s="24" t="s">
        <v>1294</v>
      </c>
      <c r="F1552" s="24" t="s">
        <v>1296</v>
      </c>
      <c r="G1552" s="69" t="s">
        <v>1297</v>
      </c>
      <c r="H1552" s="24">
        <v>1</v>
      </c>
      <c r="I1552" s="69"/>
      <c r="J1552" s="24" t="s">
        <v>4187</v>
      </c>
      <c r="K1552" s="24" t="s">
        <v>1298</v>
      </c>
      <c r="M1552" s="75" t="s">
        <v>15</v>
      </c>
      <c r="N1552" s="75"/>
      <c r="O1552" s="75" t="s">
        <v>58</v>
      </c>
      <c r="P1552" s="75" t="s">
        <v>58</v>
      </c>
      <c r="Q1552" s="75" t="s">
        <v>66</v>
      </c>
      <c r="R1552" s="75"/>
      <c r="Z1552" s="69"/>
      <c r="AA1552" s="69"/>
      <c r="AB1552" s="69"/>
      <c r="AC1552" s="69"/>
    </row>
    <row r="1553" spans="1:31" s="26" customFormat="1" x14ac:dyDescent="0.3">
      <c r="A1553" s="25" t="s">
        <v>6971</v>
      </c>
      <c r="B1553" s="25"/>
      <c r="C1553" s="26" t="s">
        <v>3005</v>
      </c>
      <c r="D1553" s="70"/>
      <c r="G1553" s="70" t="s">
        <v>1297</v>
      </c>
      <c r="H1553" s="26">
        <v>-1</v>
      </c>
      <c r="I1553" s="70" t="s">
        <v>6972</v>
      </c>
      <c r="J1553" s="26" t="s">
        <v>4187</v>
      </c>
      <c r="K1553" s="26" t="s">
        <v>6973</v>
      </c>
      <c r="L1553" s="26" t="s">
        <v>10681</v>
      </c>
      <c r="M1553" s="76"/>
      <c r="N1553" s="76"/>
      <c r="O1553" s="76"/>
      <c r="P1553" s="76"/>
      <c r="Q1553" s="76"/>
      <c r="R1553" s="76"/>
      <c r="Z1553" s="70"/>
      <c r="AA1553" s="70"/>
      <c r="AB1553" s="70"/>
      <c r="AC1553" s="70"/>
    </row>
    <row r="1554" spans="1:31" s="26" customFormat="1" x14ac:dyDescent="0.3">
      <c r="A1554" s="25" t="s">
        <v>6974</v>
      </c>
      <c r="B1554" s="25"/>
      <c r="C1554" s="26" t="s">
        <v>3005</v>
      </c>
      <c r="D1554" s="70"/>
      <c r="G1554" s="70" t="s">
        <v>1297</v>
      </c>
      <c r="H1554" s="26">
        <v>-1</v>
      </c>
      <c r="I1554" s="70" t="s">
        <v>6975</v>
      </c>
      <c r="J1554" s="26" t="s">
        <v>3775</v>
      </c>
      <c r="K1554" s="26" t="s">
        <v>6976</v>
      </c>
      <c r="L1554" s="26" t="s">
        <v>10682</v>
      </c>
      <c r="M1554" s="76"/>
      <c r="N1554" s="76"/>
      <c r="O1554" s="76"/>
      <c r="P1554" s="76"/>
      <c r="Q1554" s="76"/>
      <c r="R1554" s="76"/>
      <c r="Z1554" s="70"/>
      <c r="AA1554" s="70"/>
      <c r="AB1554" s="70"/>
      <c r="AC1554" s="70"/>
    </row>
    <row r="1555" spans="1:31" s="26" customFormat="1" x14ac:dyDescent="0.3">
      <c r="A1555" s="25" t="s">
        <v>6977</v>
      </c>
      <c r="B1555" s="25"/>
      <c r="C1555" s="26" t="s">
        <v>3005</v>
      </c>
      <c r="D1555" s="70"/>
      <c r="G1555" s="70" t="s">
        <v>1297</v>
      </c>
      <c r="H1555" s="26">
        <v>-1</v>
      </c>
      <c r="I1555" s="70" t="s">
        <v>6978</v>
      </c>
      <c r="J1555" s="26" t="s">
        <v>6979</v>
      </c>
      <c r="K1555" s="26" t="s">
        <v>6980</v>
      </c>
      <c r="L1555" s="26" t="s">
        <v>10683</v>
      </c>
      <c r="M1555" s="76"/>
      <c r="N1555" s="76"/>
      <c r="O1555" s="76"/>
      <c r="P1555" s="76"/>
      <c r="Q1555" s="76"/>
      <c r="R1555" s="76"/>
      <c r="Z1555" s="70"/>
      <c r="AA1555" s="70"/>
      <c r="AB1555" s="70"/>
      <c r="AC1555" s="70"/>
    </row>
    <row r="1556" spans="1:31" s="26" customFormat="1" x14ac:dyDescent="0.3">
      <c r="A1556" s="25" t="s">
        <v>6981</v>
      </c>
      <c r="B1556" s="25"/>
      <c r="C1556" s="26" t="s">
        <v>3005</v>
      </c>
      <c r="D1556" s="70"/>
      <c r="G1556" s="70" t="s">
        <v>1297</v>
      </c>
      <c r="H1556" s="26">
        <v>2</v>
      </c>
      <c r="I1556" s="70" t="s">
        <v>6982</v>
      </c>
      <c r="J1556" s="26" t="s">
        <v>6734</v>
      </c>
      <c r="K1556" s="26" t="s">
        <v>6983</v>
      </c>
      <c r="L1556" s="26" t="s">
        <v>10684</v>
      </c>
      <c r="M1556" s="76"/>
      <c r="N1556" s="76"/>
      <c r="O1556" s="76"/>
      <c r="P1556" s="76"/>
      <c r="Q1556" s="76"/>
      <c r="R1556" s="76"/>
      <c r="Z1556" s="70"/>
      <c r="AA1556" s="70"/>
      <c r="AB1556" s="70"/>
      <c r="AC1556" s="70"/>
    </row>
    <row r="1557" spans="1:31" s="24" customFormat="1" x14ac:dyDescent="0.3">
      <c r="A1557" s="23">
        <v>437</v>
      </c>
      <c r="B1557" s="23">
        <v>433</v>
      </c>
      <c r="C1557" s="24" t="s">
        <v>2165</v>
      </c>
      <c r="D1557" s="69" t="s">
        <v>1295</v>
      </c>
      <c r="E1557" s="24" t="s">
        <v>1294</v>
      </c>
      <c r="F1557" s="24" t="s">
        <v>1299</v>
      </c>
      <c r="G1557" s="69" t="s">
        <v>1300</v>
      </c>
      <c r="H1557" s="24">
        <v>5</v>
      </c>
      <c r="I1557" s="69"/>
      <c r="J1557" s="24" t="s">
        <v>5475</v>
      </c>
      <c r="K1557" s="24" t="s">
        <v>68</v>
      </c>
      <c r="M1557" s="75" t="s">
        <v>65</v>
      </c>
      <c r="N1557" s="75" t="s">
        <v>2017</v>
      </c>
      <c r="O1557" s="75"/>
      <c r="P1557" s="75"/>
      <c r="Q1557" s="75"/>
      <c r="R1557" s="75"/>
      <c r="Z1557" s="69"/>
      <c r="AA1557" s="69"/>
      <c r="AB1557" s="69"/>
      <c r="AC1557" s="69"/>
    </row>
    <row r="1558" spans="1:31" s="26" customFormat="1" x14ac:dyDescent="0.3">
      <c r="A1558" s="25" t="s">
        <v>6984</v>
      </c>
      <c r="B1558" s="25"/>
      <c r="C1558" s="26" t="s">
        <v>3005</v>
      </c>
      <c r="D1558" s="70"/>
      <c r="G1558" s="70" t="s">
        <v>1300</v>
      </c>
      <c r="H1558" s="26">
        <v>1</v>
      </c>
      <c r="I1558" s="70" t="s">
        <v>6162</v>
      </c>
      <c r="J1558" s="26" t="s">
        <v>5942</v>
      </c>
      <c r="K1558" s="26" t="s">
        <v>6985</v>
      </c>
      <c r="L1558" s="26" t="s">
        <v>10685</v>
      </c>
      <c r="M1558" s="76"/>
      <c r="N1558" s="76"/>
      <c r="O1558" s="76"/>
      <c r="P1558" s="76"/>
      <c r="Q1558" s="76"/>
      <c r="R1558" s="76"/>
      <c r="Z1558" s="70"/>
      <c r="AA1558" s="70"/>
      <c r="AB1558" s="70"/>
      <c r="AC1558" s="70"/>
    </row>
    <row r="1559" spans="1:31" s="26" customFormat="1" x14ac:dyDescent="0.3">
      <c r="A1559" s="25" t="s">
        <v>6986</v>
      </c>
      <c r="B1559" s="25"/>
      <c r="C1559" s="26" t="s">
        <v>3005</v>
      </c>
      <c r="D1559" s="70"/>
      <c r="G1559" s="70" t="s">
        <v>1300</v>
      </c>
      <c r="H1559" s="26">
        <v>1</v>
      </c>
      <c r="I1559" s="70" t="s">
        <v>4085</v>
      </c>
      <c r="J1559" s="26" t="s">
        <v>3137</v>
      </c>
      <c r="K1559" s="26" t="s">
        <v>2027</v>
      </c>
      <c r="L1559" s="26" t="s">
        <v>10686</v>
      </c>
      <c r="M1559" s="76"/>
      <c r="N1559" s="76"/>
      <c r="O1559" s="76"/>
      <c r="P1559" s="76"/>
      <c r="Q1559" s="76"/>
      <c r="R1559" s="76"/>
      <c r="Z1559" s="70"/>
      <c r="AA1559" s="70"/>
      <c r="AB1559" s="70"/>
      <c r="AC1559" s="70"/>
    </row>
    <row r="1560" spans="1:31" s="26" customFormat="1" x14ac:dyDescent="0.3">
      <c r="A1560" s="25" t="s">
        <v>6987</v>
      </c>
      <c r="B1560" s="25"/>
      <c r="C1560" s="26" t="s">
        <v>3005</v>
      </c>
      <c r="D1560" s="70"/>
      <c r="G1560" s="70" t="s">
        <v>1300</v>
      </c>
      <c r="H1560" s="26">
        <v>1</v>
      </c>
      <c r="I1560" s="70" t="s">
        <v>6659</v>
      </c>
      <c r="J1560" s="26" t="s">
        <v>5475</v>
      </c>
      <c r="K1560" s="26" t="s">
        <v>6988</v>
      </c>
      <c r="L1560" s="26" t="s">
        <v>10687</v>
      </c>
      <c r="M1560" s="76"/>
      <c r="N1560" s="76"/>
      <c r="O1560" s="76"/>
      <c r="P1560" s="76"/>
      <c r="Q1560" s="76"/>
      <c r="R1560" s="76"/>
      <c r="Z1560" s="70"/>
      <c r="AA1560" s="70"/>
      <c r="AB1560" s="70"/>
      <c r="AC1560" s="70"/>
    </row>
    <row r="1561" spans="1:31" s="26" customFormat="1" x14ac:dyDescent="0.3">
      <c r="A1561" s="25" t="s">
        <v>6989</v>
      </c>
      <c r="B1561" s="25"/>
      <c r="C1561" s="26" t="s">
        <v>3005</v>
      </c>
      <c r="D1561" s="70"/>
      <c r="G1561" s="70" t="s">
        <v>1300</v>
      </c>
      <c r="H1561" s="26">
        <v>1</v>
      </c>
      <c r="I1561" s="70" t="s">
        <v>6226</v>
      </c>
      <c r="J1561" s="26" t="s">
        <v>3804</v>
      </c>
      <c r="K1561" s="26" t="s">
        <v>6990</v>
      </c>
      <c r="L1561" s="26" t="s">
        <v>10688</v>
      </c>
      <c r="M1561" s="76"/>
      <c r="N1561" s="76"/>
      <c r="O1561" s="76"/>
      <c r="P1561" s="76"/>
      <c r="Q1561" s="76"/>
      <c r="R1561" s="76"/>
      <c r="Z1561" s="70"/>
      <c r="AA1561" s="70"/>
      <c r="AB1561" s="70"/>
      <c r="AC1561" s="70"/>
    </row>
    <row r="1562" spans="1:31" s="26" customFormat="1" x14ac:dyDescent="0.3">
      <c r="A1562" s="25" t="s">
        <v>6991</v>
      </c>
      <c r="B1562" s="25"/>
      <c r="C1562" s="26" t="s">
        <v>3005</v>
      </c>
      <c r="D1562" s="70"/>
      <c r="G1562" s="70" t="s">
        <v>1300</v>
      </c>
      <c r="H1562" s="26">
        <v>1</v>
      </c>
      <c r="I1562" s="70" t="s">
        <v>6992</v>
      </c>
      <c r="J1562" s="26" t="s">
        <v>5274</v>
      </c>
      <c r="K1562" s="26" t="s">
        <v>5128</v>
      </c>
      <c r="L1562" s="26" t="s">
        <v>9831</v>
      </c>
      <c r="M1562" s="76"/>
      <c r="N1562" s="76"/>
      <c r="O1562" s="76"/>
      <c r="P1562" s="76"/>
      <c r="Q1562" s="76"/>
      <c r="R1562" s="76"/>
      <c r="Z1562" s="70"/>
      <c r="AA1562" s="70"/>
      <c r="AB1562" s="70"/>
      <c r="AC1562" s="70"/>
    </row>
    <row r="1563" spans="1:31" s="24" customFormat="1" x14ac:dyDescent="0.3">
      <c r="A1563" s="23">
        <v>438</v>
      </c>
      <c r="B1563" s="23">
        <v>434</v>
      </c>
      <c r="C1563" s="24" t="s">
        <v>2165</v>
      </c>
      <c r="D1563" s="69" t="s">
        <v>1295</v>
      </c>
      <c r="E1563" s="24" t="s">
        <v>1294</v>
      </c>
      <c r="F1563" s="24" t="s">
        <v>1301</v>
      </c>
      <c r="G1563" s="69" t="s">
        <v>1302</v>
      </c>
      <c r="I1563" s="69"/>
      <c r="J1563" s="24" t="s">
        <v>6963</v>
      </c>
      <c r="K1563" s="24" t="s">
        <v>68</v>
      </c>
      <c r="L1563" s="24" t="s">
        <v>9845</v>
      </c>
      <c r="M1563" s="75" t="s">
        <v>65</v>
      </c>
      <c r="N1563" s="75" t="s">
        <v>2017</v>
      </c>
      <c r="O1563" s="75"/>
      <c r="P1563" s="75"/>
      <c r="Q1563" s="75"/>
      <c r="R1563" s="75"/>
      <c r="V1563" s="24" t="s">
        <v>1299</v>
      </c>
      <c r="Z1563" s="69"/>
      <c r="AA1563" s="69"/>
      <c r="AB1563" s="69"/>
      <c r="AC1563" s="69"/>
    </row>
    <row r="1564" spans="1:31" s="24" customFormat="1" x14ac:dyDescent="0.3">
      <c r="A1564" s="23">
        <v>439</v>
      </c>
      <c r="B1564" s="23">
        <v>435</v>
      </c>
      <c r="C1564" s="24" t="s">
        <v>2165</v>
      </c>
      <c r="D1564" s="69" t="s">
        <v>1295</v>
      </c>
      <c r="E1564" s="24" t="s">
        <v>1294</v>
      </c>
      <c r="F1564" s="24" t="s">
        <v>1303</v>
      </c>
      <c r="G1564" s="69" t="s">
        <v>1304</v>
      </c>
      <c r="I1564" s="69"/>
      <c r="J1564" s="24" t="s">
        <v>6963</v>
      </c>
      <c r="K1564" s="24" t="s">
        <v>68</v>
      </c>
      <c r="L1564" s="24" t="s">
        <v>9846</v>
      </c>
      <c r="M1564" s="75" t="s">
        <v>65</v>
      </c>
      <c r="N1564" s="75" t="s">
        <v>2017</v>
      </c>
      <c r="O1564" s="75" t="s">
        <v>85</v>
      </c>
      <c r="P1564" s="75" t="s">
        <v>85</v>
      </c>
      <c r="Q1564" s="75" t="s">
        <v>85</v>
      </c>
      <c r="R1564" s="75" t="s">
        <v>2166</v>
      </c>
      <c r="T1564" s="24" t="s">
        <v>2174</v>
      </c>
      <c r="Z1564" s="69"/>
      <c r="AA1564" s="69"/>
      <c r="AB1564" s="69"/>
      <c r="AC1564" s="69"/>
      <c r="AD1564" s="24" t="s">
        <v>123</v>
      </c>
      <c r="AE1564" s="24" t="s">
        <v>2707</v>
      </c>
    </row>
    <row r="1565" spans="1:31" s="24" customFormat="1" x14ac:dyDescent="0.3">
      <c r="A1565" s="23">
        <v>440</v>
      </c>
      <c r="B1565" s="23">
        <v>436</v>
      </c>
      <c r="C1565" s="24" t="s">
        <v>2165</v>
      </c>
      <c r="D1565" s="69" t="s">
        <v>1295</v>
      </c>
      <c r="E1565" s="24" t="s">
        <v>1294</v>
      </c>
      <c r="F1565" s="24" t="s">
        <v>1305</v>
      </c>
      <c r="G1565" s="69" t="s">
        <v>1306</v>
      </c>
      <c r="H1565" s="24">
        <v>4</v>
      </c>
      <c r="I1565" s="69"/>
      <c r="J1565" s="24" t="s">
        <v>3509</v>
      </c>
      <c r="K1565" s="24" t="s">
        <v>43</v>
      </c>
      <c r="M1565" s="75" t="s">
        <v>15</v>
      </c>
      <c r="N1565" s="75"/>
      <c r="O1565" s="75"/>
      <c r="P1565" s="75"/>
      <c r="Q1565" s="75"/>
      <c r="R1565" s="75"/>
      <c r="T1565" s="24" t="s">
        <v>2254</v>
      </c>
      <c r="Z1565" s="69"/>
      <c r="AA1565" s="69"/>
      <c r="AB1565" s="69"/>
      <c r="AC1565" s="69"/>
      <c r="AE1565" s="24" t="s">
        <v>2708</v>
      </c>
    </row>
    <row r="1566" spans="1:31" s="26" customFormat="1" x14ac:dyDescent="0.3">
      <c r="A1566" s="25" t="s">
        <v>6993</v>
      </c>
      <c r="B1566" s="25"/>
      <c r="C1566" s="26" t="s">
        <v>3005</v>
      </c>
      <c r="D1566" s="70"/>
      <c r="G1566" s="70" t="s">
        <v>1306</v>
      </c>
      <c r="H1566" s="26">
        <v>-1</v>
      </c>
      <c r="I1566" s="70" t="s">
        <v>6994</v>
      </c>
      <c r="J1566" s="26" t="s">
        <v>5475</v>
      </c>
      <c r="K1566" s="26" t="s">
        <v>4583</v>
      </c>
      <c r="M1566" s="76"/>
      <c r="N1566" s="76"/>
      <c r="O1566" s="76"/>
      <c r="P1566" s="76"/>
      <c r="Q1566" s="76"/>
      <c r="R1566" s="76"/>
      <c r="Z1566" s="70"/>
      <c r="AA1566" s="70"/>
      <c r="AB1566" s="70"/>
      <c r="AC1566" s="70"/>
    </row>
    <row r="1567" spans="1:31" s="26" customFormat="1" x14ac:dyDescent="0.3">
      <c r="A1567" s="25" t="s">
        <v>6995</v>
      </c>
      <c r="B1567" s="25"/>
      <c r="C1567" s="26" t="s">
        <v>3005</v>
      </c>
      <c r="D1567" s="70"/>
      <c r="G1567" s="70" t="s">
        <v>1306</v>
      </c>
      <c r="H1567" s="26">
        <v>-1</v>
      </c>
      <c r="I1567" s="70" t="s">
        <v>3814</v>
      </c>
      <c r="J1567" s="26" t="s">
        <v>6748</v>
      </c>
      <c r="K1567" s="26" t="s">
        <v>3750</v>
      </c>
      <c r="L1567" s="26" t="s">
        <v>10061</v>
      </c>
      <c r="M1567" s="76"/>
      <c r="N1567" s="76"/>
      <c r="O1567" s="76"/>
      <c r="P1567" s="76"/>
      <c r="Q1567" s="76"/>
      <c r="R1567" s="76"/>
      <c r="Z1567" s="70"/>
      <c r="AA1567" s="70"/>
      <c r="AB1567" s="70"/>
      <c r="AC1567" s="70"/>
    </row>
    <row r="1568" spans="1:31" s="26" customFormat="1" x14ac:dyDescent="0.3">
      <c r="A1568" s="25" t="s">
        <v>6996</v>
      </c>
      <c r="B1568" s="25"/>
      <c r="C1568" s="26" t="s">
        <v>3005</v>
      </c>
      <c r="D1568" s="70"/>
      <c r="G1568" s="70" t="s">
        <v>1306</v>
      </c>
      <c r="H1568" s="26">
        <v>-1</v>
      </c>
      <c r="I1568" s="70" t="s">
        <v>6997</v>
      </c>
      <c r="J1568" s="26" t="s">
        <v>6058</v>
      </c>
      <c r="K1568" s="26" t="s">
        <v>3182</v>
      </c>
      <c r="L1568" s="26" t="s">
        <v>9974</v>
      </c>
      <c r="M1568" s="76"/>
      <c r="N1568" s="76"/>
      <c r="O1568" s="76"/>
      <c r="P1568" s="76"/>
      <c r="Q1568" s="76"/>
      <c r="R1568" s="76"/>
      <c r="Z1568" s="70"/>
      <c r="AA1568" s="70"/>
      <c r="AB1568" s="70"/>
      <c r="AC1568" s="70"/>
    </row>
    <row r="1569" spans="1:31" s="26" customFormat="1" x14ac:dyDescent="0.3">
      <c r="A1569" s="25" t="s">
        <v>6998</v>
      </c>
      <c r="B1569" s="25"/>
      <c r="C1569" s="26" t="s">
        <v>3005</v>
      </c>
      <c r="D1569" s="70"/>
      <c r="G1569" s="70" t="s">
        <v>1306</v>
      </c>
      <c r="H1569" s="26">
        <v>-1</v>
      </c>
      <c r="I1569" s="70" t="s">
        <v>6264</v>
      </c>
      <c r="J1569" s="26" t="s">
        <v>6999</v>
      </c>
      <c r="K1569" s="26" t="s">
        <v>7000</v>
      </c>
      <c r="L1569" s="26" t="s">
        <v>10689</v>
      </c>
      <c r="M1569" s="76"/>
      <c r="N1569" s="76"/>
      <c r="O1569" s="76"/>
      <c r="P1569" s="76"/>
      <c r="Q1569" s="76"/>
      <c r="R1569" s="76"/>
      <c r="Z1569" s="70"/>
      <c r="AA1569" s="70"/>
      <c r="AB1569" s="70"/>
      <c r="AC1569" s="70"/>
    </row>
    <row r="1570" spans="1:31" s="26" customFormat="1" x14ac:dyDescent="0.3">
      <c r="A1570" s="25" t="s">
        <v>7001</v>
      </c>
      <c r="B1570" s="25"/>
      <c r="C1570" s="26" t="s">
        <v>3005</v>
      </c>
      <c r="D1570" s="70"/>
      <c r="G1570" s="70" t="s">
        <v>1306</v>
      </c>
      <c r="H1570" s="26">
        <v>-1</v>
      </c>
      <c r="I1570" s="70" t="s">
        <v>7002</v>
      </c>
      <c r="J1570" s="26" t="s">
        <v>3787</v>
      </c>
      <c r="K1570" s="26" t="s">
        <v>7003</v>
      </c>
      <c r="L1570" s="26" t="s">
        <v>10474</v>
      </c>
      <c r="M1570" s="76"/>
      <c r="N1570" s="76"/>
      <c r="O1570" s="76"/>
      <c r="P1570" s="76"/>
      <c r="Q1570" s="76"/>
      <c r="R1570" s="76"/>
      <c r="Z1570" s="70"/>
      <c r="AA1570" s="70"/>
      <c r="AB1570" s="70"/>
      <c r="AC1570" s="70"/>
    </row>
    <row r="1571" spans="1:31" s="26" customFormat="1" x14ac:dyDescent="0.3">
      <c r="A1571" s="25" t="s">
        <v>7004</v>
      </c>
      <c r="B1571" s="25"/>
      <c r="C1571" s="26" t="s">
        <v>3005</v>
      </c>
      <c r="D1571" s="70"/>
      <c r="G1571" s="70" t="s">
        <v>1306</v>
      </c>
      <c r="H1571" s="26">
        <v>-1</v>
      </c>
      <c r="I1571" s="70" t="s">
        <v>3774</v>
      </c>
      <c r="J1571" s="26" t="s">
        <v>3775</v>
      </c>
      <c r="K1571" s="26" t="s">
        <v>7005</v>
      </c>
      <c r="L1571" s="26" t="s">
        <v>10690</v>
      </c>
      <c r="M1571" s="76"/>
      <c r="N1571" s="76"/>
      <c r="O1571" s="76"/>
      <c r="P1571" s="76"/>
      <c r="Q1571" s="76"/>
      <c r="R1571" s="76"/>
      <c r="Z1571" s="70"/>
      <c r="AA1571" s="70"/>
      <c r="AB1571" s="70"/>
      <c r="AC1571" s="70"/>
    </row>
    <row r="1572" spans="1:31" s="26" customFormat="1" x14ac:dyDescent="0.3">
      <c r="A1572" s="25" t="s">
        <v>7006</v>
      </c>
      <c r="B1572" s="25"/>
      <c r="C1572" s="26" t="s">
        <v>3005</v>
      </c>
      <c r="D1572" s="70"/>
      <c r="G1572" s="70" t="s">
        <v>1306</v>
      </c>
      <c r="H1572" s="26">
        <v>-1</v>
      </c>
      <c r="I1572" s="70" t="s">
        <v>3767</v>
      </c>
      <c r="J1572" s="26" t="s">
        <v>3443</v>
      </c>
      <c r="K1572" s="26" t="s">
        <v>7007</v>
      </c>
      <c r="L1572" s="26" t="s">
        <v>10691</v>
      </c>
      <c r="M1572" s="76"/>
      <c r="N1572" s="76"/>
      <c r="O1572" s="76"/>
      <c r="P1572" s="76"/>
      <c r="Q1572" s="76"/>
      <c r="R1572" s="76"/>
      <c r="Z1572" s="70"/>
      <c r="AA1572" s="70"/>
      <c r="AB1572" s="70"/>
      <c r="AC1572" s="70"/>
    </row>
    <row r="1573" spans="1:31" s="26" customFormat="1" x14ac:dyDescent="0.3">
      <c r="A1573" s="25" t="s">
        <v>7008</v>
      </c>
      <c r="B1573" s="25"/>
      <c r="C1573" s="26" t="s">
        <v>3005</v>
      </c>
      <c r="D1573" s="70"/>
      <c r="G1573" s="70" t="s">
        <v>1306</v>
      </c>
      <c r="H1573" s="26">
        <v>-1</v>
      </c>
      <c r="I1573" s="70" t="s">
        <v>7009</v>
      </c>
      <c r="J1573" s="26" t="s">
        <v>3794</v>
      </c>
      <c r="K1573" s="26" t="s">
        <v>7010</v>
      </c>
      <c r="M1573" s="76"/>
      <c r="N1573" s="76"/>
      <c r="O1573" s="76"/>
      <c r="P1573" s="76"/>
      <c r="Q1573" s="76"/>
      <c r="R1573" s="76"/>
      <c r="Z1573" s="70"/>
      <c r="AA1573" s="70"/>
      <c r="AB1573" s="70"/>
      <c r="AC1573" s="70"/>
    </row>
    <row r="1574" spans="1:31" s="26" customFormat="1" x14ac:dyDescent="0.3">
      <c r="A1574" s="25" t="s">
        <v>7011</v>
      </c>
      <c r="B1574" s="25"/>
      <c r="C1574" s="26" t="s">
        <v>3005</v>
      </c>
      <c r="D1574" s="70"/>
      <c r="G1574" s="70" t="s">
        <v>1306</v>
      </c>
      <c r="H1574" s="26">
        <v>-1</v>
      </c>
      <c r="I1574" s="70" t="s">
        <v>4129</v>
      </c>
      <c r="J1574" s="26" t="s">
        <v>5293</v>
      </c>
      <c r="K1574" s="26" t="s">
        <v>7012</v>
      </c>
      <c r="L1574" s="26" t="s">
        <v>10326</v>
      </c>
      <c r="M1574" s="76"/>
      <c r="N1574" s="76"/>
      <c r="O1574" s="76"/>
      <c r="P1574" s="76"/>
      <c r="Q1574" s="76"/>
      <c r="R1574" s="76"/>
      <c r="Z1574" s="70"/>
      <c r="AA1574" s="70"/>
      <c r="AB1574" s="70"/>
      <c r="AC1574" s="70"/>
    </row>
    <row r="1575" spans="1:31" s="26" customFormat="1" x14ac:dyDescent="0.3">
      <c r="A1575" s="25" t="s">
        <v>7013</v>
      </c>
      <c r="B1575" s="25"/>
      <c r="C1575" s="26" t="s">
        <v>3005</v>
      </c>
      <c r="D1575" s="70"/>
      <c r="G1575" s="70" t="s">
        <v>1306</v>
      </c>
      <c r="H1575" s="26">
        <v>2</v>
      </c>
      <c r="I1575" s="70" t="s">
        <v>7014</v>
      </c>
      <c r="J1575" s="26" t="s">
        <v>7015</v>
      </c>
      <c r="K1575" s="26" t="s">
        <v>7016</v>
      </c>
      <c r="M1575" s="76"/>
      <c r="N1575" s="76"/>
      <c r="O1575" s="76"/>
      <c r="P1575" s="76"/>
      <c r="Q1575" s="76"/>
      <c r="R1575" s="76"/>
      <c r="Z1575" s="70"/>
      <c r="AA1575" s="70"/>
      <c r="AB1575" s="70"/>
      <c r="AC1575" s="70"/>
    </row>
    <row r="1576" spans="1:31" s="26" customFormat="1" x14ac:dyDescent="0.3">
      <c r="A1576" s="25" t="s">
        <v>7017</v>
      </c>
      <c r="B1576" s="25"/>
      <c r="C1576" s="26" t="s">
        <v>3005</v>
      </c>
      <c r="D1576" s="70"/>
      <c r="G1576" s="70" t="s">
        <v>1306</v>
      </c>
      <c r="H1576" s="26">
        <v>-1</v>
      </c>
      <c r="I1576" s="70" t="s">
        <v>7018</v>
      </c>
      <c r="J1576" s="26" t="s">
        <v>7019</v>
      </c>
      <c r="K1576" s="26" t="s">
        <v>7020</v>
      </c>
      <c r="L1576" s="26" t="s">
        <v>10692</v>
      </c>
      <c r="M1576" s="76"/>
      <c r="N1576" s="76"/>
      <c r="O1576" s="76"/>
      <c r="P1576" s="76"/>
      <c r="Q1576" s="76"/>
      <c r="R1576" s="76"/>
      <c r="Z1576" s="70"/>
      <c r="AA1576" s="70"/>
      <c r="AB1576" s="70"/>
      <c r="AC1576" s="70"/>
    </row>
    <row r="1577" spans="1:31" s="26" customFormat="1" x14ac:dyDescent="0.3">
      <c r="A1577" s="25" t="s">
        <v>7021</v>
      </c>
      <c r="B1577" s="25"/>
      <c r="C1577" s="26" t="s">
        <v>3005</v>
      </c>
      <c r="D1577" s="70"/>
      <c r="G1577" s="70" t="s">
        <v>1306</v>
      </c>
      <c r="H1577" s="26">
        <v>-1</v>
      </c>
      <c r="I1577" s="70" t="s">
        <v>3826</v>
      </c>
      <c r="J1577" s="26" t="s">
        <v>6670</v>
      </c>
      <c r="K1577" s="26" t="s">
        <v>7022</v>
      </c>
      <c r="L1577" s="26" t="s">
        <v>10693</v>
      </c>
      <c r="M1577" s="76"/>
      <c r="N1577" s="76"/>
      <c r="O1577" s="76"/>
      <c r="P1577" s="76"/>
      <c r="Q1577" s="76"/>
      <c r="R1577" s="76"/>
      <c r="Z1577" s="70"/>
      <c r="AA1577" s="70"/>
      <c r="AB1577" s="70"/>
      <c r="AC1577" s="70"/>
    </row>
    <row r="1578" spans="1:31" s="26" customFormat="1" x14ac:dyDescent="0.3">
      <c r="A1578" s="25" t="s">
        <v>7023</v>
      </c>
      <c r="B1578" s="25"/>
      <c r="C1578" s="26" t="s">
        <v>3005</v>
      </c>
      <c r="D1578" s="70"/>
      <c r="G1578" s="70" t="s">
        <v>1306</v>
      </c>
      <c r="H1578" s="26">
        <v>-1</v>
      </c>
      <c r="I1578" s="70" t="s">
        <v>3723</v>
      </c>
      <c r="J1578" s="26" t="s">
        <v>6899</v>
      </c>
      <c r="K1578" s="26" t="s">
        <v>6551</v>
      </c>
      <c r="L1578" s="26" t="s">
        <v>10694</v>
      </c>
      <c r="M1578" s="76"/>
      <c r="N1578" s="76"/>
      <c r="O1578" s="76"/>
      <c r="P1578" s="76"/>
      <c r="Q1578" s="76"/>
      <c r="R1578" s="76"/>
      <c r="Z1578" s="70"/>
      <c r="AA1578" s="70"/>
      <c r="AB1578" s="70"/>
      <c r="AC1578" s="70"/>
    </row>
    <row r="1579" spans="1:31" s="26" customFormat="1" x14ac:dyDescent="0.3">
      <c r="A1579" s="25" t="s">
        <v>7024</v>
      </c>
      <c r="B1579" s="25"/>
      <c r="C1579" s="26" t="s">
        <v>3005</v>
      </c>
      <c r="D1579" s="70"/>
      <c r="G1579" s="70" t="s">
        <v>1306</v>
      </c>
      <c r="H1579" s="26">
        <v>-1</v>
      </c>
      <c r="I1579" s="70" t="s">
        <v>5111</v>
      </c>
      <c r="J1579" s="26" t="s">
        <v>4014</v>
      </c>
      <c r="K1579" s="26" t="s">
        <v>7025</v>
      </c>
      <c r="L1579" s="26" t="s">
        <v>10695</v>
      </c>
      <c r="M1579" s="76"/>
      <c r="N1579" s="76"/>
      <c r="O1579" s="76"/>
      <c r="P1579" s="76"/>
      <c r="Q1579" s="76"/>
      <c r="R1579" s="76"/>
      <c r="Z1579" s="70"/>
      <c r="AA1579" s="70"/>
      <c r="AB1579" s="70"/>
      <c r="AC1579" s="70"/>
    </row>
    <row r="1580" spans="1:31" s="26" customFormat="1" x14ac:dyDescent="0.3">
      <c r="A1580" s="25" t="s">
        <v>7026</v>
      </c>
      <c r="B1580" s="25"/>
      <c r="C1580" s="26" t="s">
        <v>3005</v>
      </c>
      <c r="D1580" s="70"/>
      <c r="G1580" s="70" t="s">
        <v>1306</v>
      </c>
      <c r="H1580" s="26">
        <v>-1</v>
      </c>
      <c r="I1580" s="70" t="s">
        <v>6960</v>
      </c>
      <c r="J1580" s="26" t="s">
        <v>6006</v>
      </c>
      <c r="K1580" s="26" t="s">
        <v>7027</v>
      </c>
      <c r="M1580" s="76"/>
      <c r="N1580" s="76"/>
      <c r="O1580" s="76"/>
      <c r="P1580" s="76"/>
      <c r="Q1580" s="76"/>
      <c r="R1580" s="76"/>
      <c r="T1580" s="26" t="s">
        <v>2200</v>
      </c>
      <c r="Z1580" s="70"/>
      <c r="AA1580" s="70"/>
      <c r="AB1580" s="70"/>
      <c r="AC1580" s="70"/>
      <c r="AE1580" s="26" t="s">
        <v>7028</v>
      </c>
    </row>
    <row r="1581" spans="1:31" s="26" customFormat="1" x14ac:dyDescent="0.3">
      <c r="A1581" s="25" t="s">
        <v>7029</v>
      </c>
      <c r="B1581" s="25"/>
      <c r="C1581" s="26" t="s">
        <v>3005</v>
      </c>
      <c r="D1581" s="70"/>
      <c r="G1581" s="70" t="s">
        <v>1306</v>
      </c>
      <c r="H1581" s="26">
        <v>-1</v>
      </c>
      <c r="I1581" s="70" t="s">
        <v>7030</v>
      </c>
      <c r="J1581" s="26" t="s">
        <v>7031</v>
      </c>
      <c r="K1581" s="26" t="s">
        <v>7032</v>
      </c>
      <c r="L1581" s="26" t="s">
        <v>10696</v>
      </c>
      <c r="M1581" s="76"/>
      <c r="N1581" s="76"/>
      <c r="O1581" s="76"/>
      <c r="P1581" s="76"/>
      <c r="Q1581" s="76"/>
      <c r="R1581" s="76"/>
      <c r="Z1581" s="70"/>
      <c r="AA1581" s="70"/>
      <c r="AB1581" s="70"/>
      <c r="AC1581" s="70"/>
    </row>
    <row r="1582" spans="1:31" s="26" customFormat="1" x14ac:dyDescent="0.3">
      <c r="A1582" s="25" t="s">
        <v>7033</v>
      </c>
      <c r="B1582" s="25"/>
      <c r="C1582" s="26" t="s">
        <v>3005</v>
      </c>
      <c r="D1582" s="70"/>
      <c r="G1582" s="70" t="s">
        <v>1306</v>
      </c>
      <c r="H1582" s="26">
        <v>-1</v>
      </c>
      <c r="I1582" s="70" t="s">
        <v>7034</v>
      </c>
      <c r="J1582" s="26" t="s">
        <v>5328</v>
      </c>
      <c r="K1582" s="26" t="s">
        <v>3453</v>
      </c>
      <c r="L1582" s="26" t="s">
        <v>10697</v>
      </c>
      <c r="M1582" s="76"/>
      <c r="N1582" s="76"/>
      <c r="O1582" s="76"/>
      <c r="P1582" s="76"/>
      <c r="Q1582" s="76"/>
      <c r="R1582" s="76"/>
      <c r="Z1582" s="70"/>
      <c r="AA1582" s="70"/>
      <c r="AB1582" s="70"/>
      <c r="AC1582" s="70"/>
    </row>
    <row r="1583" spans="1:31" s="26" customFormat="1" x14ac:dyDescent="0.3">
      <c r="A1583" s="25" t="s">
        <v>7035</v>
      </c>
      <c r="B1583" s="25"/>
      <c r="C1583" s="26" t="s">
        <v>3005</v>
      </c>
      <c r="D1583" s="70"/>
      <c r="G1583" s="70" t="s">
        <v>1306</v>
      </c>
      <c r="H1583" s="26">
        <v>5</v>
      </c>
      <c r="I1583" s="70" t="s">
        <v>3176</v>
      </c>
      <c r="J1583" s="26" t="s">
        <v>3509</v>
      </c>
      <c r="K1583" s="26" t="s">
        <v>7036</v>
      </c>
      <c r="L1583" s="26" t="s">
        <v>10698</v>
      </c>
      <c r="M1583" s="76"/>
      <c r="N1583" s="76"/>
      <c r="O1583" s="76"/>
      <c r="P1583" s="76"/>
      <c r="Q1583" s="76"/>
      <c r="R1583" s="76"/>
      <c r="Z1583" s="70"/>
      <c r="AA1583" s="70"/>
      <c r="AB1583" s="70"/>
      <c r="AC1583" s="70"/>
    </row>
    <row r="1584" spans="1:31" s="26" customFormat="1" x14ac:dyDescent="0.3">
      <c r="A1584" s="25" t="s">
        <v>7037</v>
      </c>
      <c r="B1584" s="25"/>
      <c r="C1584" s="26" t="s">
        <v>3005</v>
      </c>
      <c r="D1584" s="70"/>
      <c r="G1584" s="70" t="s">
        <v>1306</v>
      </c>
      <c r="H1584" s="26">
        <v>4</v>
      </c>
      <c r="I1584" s="70" t="s">
        <v>7038</v>
      </c>
      <c r="J1584" s="26" t="s">
        <v>7039</v>
      </c>
      <c r="K1584" s="26" t="s">
        <v>7040</v>
      </c>
      <c r="L1584" s="26" t="s">
        <v>10699</v>
      </c>
      <c r="M1584" s="76"/>
      <c r="N1584" s="76"/>
      <c r="O1584" s="76"/>
      <c r="P1584" s="76"/>
      <c r="Q1584" s="76"/>
      <c r="R1584" s="76"/>
      <c r="T1584" s="26" t="s">
        <v>2200</v>
      </c>
      <c r="Z1584" s="70"/>
      <c r="AA1584" s="70"/>
      <c r="AB1584" s="70"/>
      <c r="AC1584" s="70"/>
      <c r="AE1584" s="26" t="s">
        <v>7028</v>
      </c>
    </row>
    <row r="1585" spans="1:30" s="26" customFormat="1" x14ac:dyDescent="0.3">
      <c r="A1585" s="25" t="s">
        <v>7041</v>
      </c>
      <c r="B1585" s="25"/>
      <c r="C1585" s="26" t="s">
        <v>3005</v>
      </c>
      <c r="D1585" s="70"/>
      <c r="G1585" s="70" t="s">
        <v>1306</v>
      </c>
      <c r="H1585" s="26">
        <v>3</v>
      </c>
      <c r="I1585" s="70" t="s">
        <v>4247</v>
      </c>
      <c r="J1585" s="26" t="s">
        <v>5475</v>
      </c>
      <c r="K1585" s="26" t="s">
        <v>6043</v>
      </c>
      <c r="L1585" s="26" t="s">
        <v>9831</v>
      </c>
      <c r="M1585" s="76"/>
      <c r="N1585" s="76"/>
      <c r="O1585" s="76"/>
      <c r="P1585" s="76"/>
      <c r="Q1585" s="76"/>
      <c r="R1585" s="76"/>
      <c r="Z1585" s="70"/>
      <c r="AA1585" s="70"/>
      <c r="AB1585" s="70"/>
      <c r="AC1585" s="70"/>
    </row>
    <row r="1586" spans="1:30" s="24" customFormat="1" x14ac:dyDescent="0.3">
      <c r="A1586" s="23">
        <v>441</v>
      </c>
      <c r="B1586" s="23">
        <v>437</v>
      </c>
      <c r="C1586" s="24" t="s">
        <v>2165</v>
      </c>
      <c r="D1586" s="69" t="s">
        <v>1308</v>
      </c>
      <c r="E1586" s="24" t="s">
        <v>1307</v>
      </c>
      <c r="F1586" s="24" t="s">
        <v>1309</v>
      </c>
      <c r="G1586" s="69" t="s">
        <v>1310</v>
      </c>
      <c r="I1586" s="69"/>
      <c r="J1586" s="24" t="s">
        <v>6999</v>
      </c>
      <c r="K1586" s="24" t="s">
        <v>43</v>
      </c>
      <c r="M1586" s="75" t="s">
        <v>19</v>
      </c>
      <c r="N1586" s="75"/>
      <c r="O1586" s="75"/>
      <c r="P1586" s="75"/>
      <c r="Q1586" s="75"/>
      <c r="R1586" s="75" t="s">
        <v>2166</v>
      </c>
      <c r="V1586" s="24" t="s">
        <v>2171</v>
      </c>
      <c r="Z1586" s="69"/>
      <c r="AA1586" s="69"/>
      <c r="AB1586" s="69"/>
      <c r="AC1586" s="69"/>
      <c r="AD1586" s="24" t="s">
        <v>11338</v>
      </c>
    </row>
    <row r="1587" spans="1:30" s="26" customFormat="1" x14ac:dyDescent="0.3">
      <c r="A1587" s="25" t="s">
        <v>7042</v>
      </c>
      <c r="B1587" s="25"/>
      <c r="C1587" s="26" t="s">
        <v>3005</v>
      </c>
      <c r="D1587" s="70"/>
      <c r="G1587" s="70" t="s">
        <v>1310</v>
      </c>
      <c r="H1587" s="26">
        <v>-1</v>
      </c>
      <c r="I1587" s="70" t="s">
        <v>7043</v>
      </c>
      <c r="J1587" s="26" t="s">
        <v>3832</v>
      </c>
      <c r="K1587" s="26" t="s">
        <v>7044</v>
      </c>
      <c r="L1587" s="26" t="s">
        <v>10700</v>
      </c>
      <c r="M1587" s="76"/>
      <c r="N1587" s="76"/>
      <c r="O1587" s="76"/>
      <c r="P1587" s="76"/>
      <c r="Q1587" s="76"/>
      <c r="R1587" s="76"/>
      <c r="Z1587" s="70"/>
      <c r="AA1587" s="70"/>
      <c r="AB1587" s="70"/>
      <c r="AC1587" s="70"/>
    </row>
    <row r="1588" spans="1:30" s="26" customFormat="1" x14ac:dyDescent="0.3">
      <c r="A1588" s="25" t="s">
        <v>7045</v>
      </c>
      <c r="B1588" s="25"/>
      <c r="C1588" s="26" t="s">
        <v>3005</v>
      </c>
      <c r="D1588" s="70"/>
      <c r="G1588" s="70" t="s">
        <v>1310</v>
      </c>
      <c r="H1588" s="26">
        <v>-1</v>
      </c>
      <c r="I1588" s="70" t="s">
        <v>7046</v>
      </c>
      <c r="J1588" s="26" t="s">
        <v>6999</v>
      </c>
      <c r="K1588" s="26" t="s">
        <v>7047</v>
      </c>
      <c r="L1588" s="26" t="s">
        <v>10067</v>
      </c>
      <c r="M1588" s="76"/>
      <c r="N1588" s="76"/>
      <c r="O1588" s="76"/>
      <c r="P1588" s="76"/>
      <c r="Q1588" s="76"/>
      <c r="R1588" s="76"/>
      <c r="Z1588" s="70"/>
      <c r="AA1588" s="70"/>
      <c r="AB1588" s="70"/>
      <c r="AC1588" s="70"/>
    </row>
    <row r="1589" spans="1:30" s="26" customFormat="1" x14ac:dyDescent="0.3">
      <c r="A1589" s="25" t="s">
        <v>7048</v>
      </c>
      <c r="B1589" s="25"/>
      <c r="C1589" s="26" t="s">
        <v>3005</v>
      </c>
      <c r="D1589" s="70"/>
      <c r="G1589" s="70" t="s">
        <v>1310</v>
      </c>
      <c r="H1589" s="26">
        <v>-1</v>
      </c>
      <c r="I1589" s="70" t="s">
        <v>3576</v>
      </c>
      <c r="J1589" s="26" t="s">
        <v>7049</v>
      </c>
      <c r="K1589" s="26" t="s">
        <v>3736</v>
      </c>
      <c r="L1589" s="26" t="s">
        <v>3736</v>
      </c>
      <c r="M1589" s="76"/>
      <c r="N1589" s="76"/>
      <c r="O1589" s="76"/>
      <c r="P1589" s="76"/>
      <c r="Q1589" s="76"/>
      <c r="R1589" s="76"/>
      <c r="Z1589" s="70"/>
      <c r="AA1589" s="70"/>
      <c r="AB1589" s="70"/>
      <c r="AC1589" s="70"/>
    </row>
    <row r="1590" spans="1:30" s="26" customFormat="1" x14ac:dyDescent="0.3">
      <c r="A1590" s="25" t="s">
        <v>7050</v>
      </c>
      <c r="B1590" s="25"/>
      <c r="C1590" s="26" t="s">
        <v>3005</v>
      </c>
      <c r="D1590" s="70"/>
      <c r="G1590" s="70" t="s">
        <v>1310</v>
      </c>
      <c r="H1590" s="26">
        <v>-1</v>
      </c>
      <c r="I1590" s="70" t="s">
        <v>7051</v>
      </c>
      <c r="J1590" s="26" t="s">
        <v>4335</v>
      </c>
      <c r="K1590" s="26" t="s">
        <v>7052</v>
      </c>
      <c r="L1590" s="26" t="s">
        <v>10701</v>
      </c>
      <c r="M1590" s="76"/>
      <c r="N1590" s="76"/>
      <c r="O1590" s="76"/>
      <c r="P1590" s="76"/>
      <c r="Q1590" s="76"/>
      <c r="R1590" s="76"/>
      <c r="Z1590" s="70"/>
      <c r="AA1590" s="70"/>
      <c r="AB1590" s="70"/>
      <c r="AC1590" s="70"/>
    </row>
    <row r="1591" spans="1:30" s="26" customFormat="1" x14ac:dyDescent="0.3">
      <c r="A1591" s="25" t="s">
        <v>7053</v>
      </c>
      <c r="B1591" s="25"/>
      <c r="C1591" s="26" t="s">
        <v>3005</v>
      </c>
      <c r="D1591" s="70"/>
      <c r="G1591" s="70" t="s">
        <v>1310</v>
      </c>
      <c r="H1591" s="26">
        <v>-1</v>
      </c>
      <c r="I1591" s="70" t="s">
        <v>4288</v>
      </c>
      <c r="J1591" s="26" t="s">
        <v>7054</v>
      </c>
      <c r="K1591" s="26" t="s">
        <v>7055</v>
      </c>
      <c r="L1591" s="26" t="s">
        <v>10702</v>
      </c>
      <c r="M1591" s="76"/>
      <c r="N1591" s="76"/>
      <c r="O1591" s="76"/>
      <c r="P1591" s="76"/>
      <c r="Q1591" s="76"/>
      <c r="R1591" s="76"/>
      <c r="Z1591" s="70"/>
      <c r="AA1591" s="70"/>
      <c r="AB1591" s="70"/>
      <c r="AC1591" s="70"/>
    </row>
    <row r="1592" spans="1:30" s="26" customFormat="1" x14ac:dyDescent="0.3">
      <c r="A1592" s="25" t="s">
        <v>7056</v>
      </c>
      <c r="B1592" s="25"/>
      <c r="C1592" s="26" t="s">
        <v>3005</v>
      </c>
      <c r="D1592" s="70"/>
      <c r="G1592" s="70" t="s">
        <v>1310</v>
      </c>
      <c r="H1592" s="26">
        <v>-1</v>
      </c>
      <c r="I1592" s="70" t="s">
        <v>5378</v>
      </c>
      <c r="J1592" s="26" t="s">
        <v>7057</v>
      </c>
      <c r="K1592" s="26" t="s">
        <v>3757</v>
      </c>
      <c r="L1592" s="26" t="s">
        <v>3757</v>
      </c>
      <c r="M1592" s="76"/>
      <c r="N1592" s="76"/>
      <c r="O1592" s="76"/>
      <c r="P1592" s="76"/>
      <c r="Q1592" s="76"/>
      <c r="R1592" s="76"/>
      <c r="Z1592" s="70"/>
      <c r="AA1592" s="70"/>
      <c r="AB1592" s="70"/>
      <c r="AC1592" s="70"/>
    </row>
    <row r="1593" spans="1:30" s="26" customFormat="1" x14ac:dyDescent="0.3">
      <c r="A1593" s="25" t="s">
        <v>7058</v>
      </c>
      <c r="B1593" s="25"/>
      <c r="C1593" s="26" t="s">
        <v>3005</v>
      </c>
      <c r="D1593" s="70"/>
      <c r="G1593" s="70" t="s">
        <v>1310</v>
      </c>
      <c r="H1593" s="26">
        <v>-1</v>
      </c>
      <c r="I1593" s="70" t="s">
        <v>7059</v>
      </c>
      <c r="J1593" s="26" t="s">
        <v>7054</v>
      </c>
      <c r="K1593" s="26" t="s">
        <v>5732</v>
      </c>
      <c r="L1593" s="26" t="s">
        <v>5732</v>
      </c>
      <c r="M1593" s="76"/>
      <c r="N1593" s="76"/>
      <c r="O1593" s="76"/>
      <c r="P1593" s="76"/>
      <c r="Q1593" s="76"/>
      <c r="R1593" s="76"/>
      <c r="Z1593" s="70"/>
      <c r="AA1593" s="70"/>
      <c r="AB1593" s="70"/>
      <c r="AC1593" s="70"/>
    </row>
    <row r="1594" spans="1:30" s="24" customFormat="1" x14ac:dyDescent="0.3">
      <c r="A1594" s="23">
        <v>442</v>
      </c>
      <c r="B1594" s="23">
        <v>438</v>
      </c>
      <c r="C1594" s="24" t="s">
        <v>2165</v>
      </c>
      <c r="D1594" s="69" t="s">
        <v>1308</v>
      </c>
      <c r="E1594" s="24" t="s">
        <v>1307</v>
      </c>
      <c r="F1594" s="24" t="s">
        <v>1311</v>
      </c>
      <c r="G1594" s="69" t="s">
        <v>1312</v>
      </c>
      <c r="H1594" s="24">
        <v>1</v>
      </c>
      <c r="I1594" s="69"/>
      <c r="J1594" s="24" t="s">
        <v>6999</v>
      </c>
      <c r="K1594" s="24" t="s">
        <v>43</v>
      </c>
      <c r="M1594" s="75" t="s">
        <v>236</v>
      </c>
      <c r="N1594" s="75"/>
      <c r="O1594" s="75"/>
      <c r="P1594" s="75"/>
      <c r="Q1594" s="75"/>
      <c r="R1594" s="75"/>
      <c r="Z1594" s="69"/>
      <c r="AA1594" s="69"/>
      <c r="AB1594" s="69"/>
      <c r="AC1594" s="69"/>
      <c r="AD1594" s="24" t="s">
        <v>11339</v>
      </c>
    </row>
    <row r="1595" spans="1:30" s="26" customFormat="1" x14ac:dyDescent="0.3">
      <c r="A1595" s="25" t="s">
        <v>7060</v>
      </c>
      <c r="B1595" s="25"/>
      <c r="C1595" s="26" t="s">
        <v>3005</v>
      </c>
      <c r="D1595" s="70"/>
      <c r="G1595" s="70" t="s">
        <v>1312</v>
      </c>
      <c r="H1595" s="26">
        <v>-1</v>
      </c>
      <c r="I1595" s="70" t="s">
        <v>7061</v>
      </c>
      <c r="J1595" s="26" t="s">
        <v>7062</v>
      </c>
      <c r="K1595" s="26" t="s">
        <v>7063</v>
      </c>
      <c r="L1595" s="26" t="s">
        <v>10703</v>
      </c>
      <c r="M1595" s="76"/>
      <c r="N1595" s="76"/>
      <c r="O1595" s="76"/>
      <c r="P1595" s="76"/>
      <c r="Q1595" s="76"/>
      <c r="R1595" s="76"/>
      <c r="U1595" s="26" t="s">
        <v>7064</v>
      </c>
      <c r="Z1595" s="70"/>
      <c r="AA1595" s="70"/>
      <c r="AB1595" s="70"/>
      <c r="AC1595" s="70"/>
    </row>
    <row r="1596" spans="1:30" s="26" customFormat="1" x14ac:dyDescent="0.3">
      <c r="A1596" s="25" t="s">
        <v>7065</v>
      </c>
      <c r="B1596" s="25"/>
      <c r="C1596" s="26" t="s">
        <v>3005</v>
      </c>
      <c r="D1596" s="70"/>
      <c r="G1596" s="70" t="s">
        <v>1312</v>
      </c>
      <c r="H1596" s="26">
        <v>-1</v>
      </c>
      <c r="I1596" s="70" t="s">
        <v>7066</v>
      </c>
      <c r="J1596" s="26" t="s">
        <v>7067</v>
      </c>
      <c r="K1596" s="26" t="s">
        <v>2185</v>
      </c>
      <c r="L1596" s="26" t="s">
        <v>10704</v>
      </c>
      <c r="M1596" s="76"/>
      <c r="N1596" s="76"/>
      <c r="O1596" s="76"/>
      <c r="P1596" s="76"/>
      <c r="Q1596" s="76"/>
      <c r="R1596" s="76"/>
      <c r="U1596" s="26" t="s">
        <v>7068</v>
      </c>
      <c r="Z1596" s="70"/>
      <c r="AA1596" s="70"/>
      <c r="AB1596" s="70"/>
      <c r="AC1596" s="70"/>
    </row>
    <row r="1597" spans="1:30" s="26" customFormat="1" x14ac:dyDescent="0.3">
      <c r="A1597" s="25" t="s">
        <v>7069</v>
      </c>
      <c r="B1597" s="25"/>
      <c r="C1597" s="26" t="s">
        <v>3005</v>
      </c>
      <c r="D1597" s="70"/>
      <c r="G1597" s="70" t="s">
        <v>1312</v>
      </c>
      <c r="H1597" s="26">
        <v>-1</v>
      </c>
      <c r="I1597" s="70" t="s">
        <v>6949</v>
      </c>
      <c r="J1597" s="26" t="s">
        <v>6192</v>
      </c>
      <c r="K1597" s="26" t="s">
        <v>7070</v>
      </c>
      <c r="L1597" s="26" t="s">
        <v>10705</v>
      </c>
      <c r="M1597" s="76"/>
      <c r="N1597" s="76"/>
      <c r="O1597" s="76"/>
      <c r="P1597" s="76"/>
      <c r="Q1597" s="76"/>
      <c r="R1597" s="76"/>
      <c r="U1597" s="26" t="s">
        <v>7071</v>
      </c>
      <c r="Z1597" s="70"/>
      <c r="AA1597" s="70"/>
      <c r="AB1597" s="70"/>
      <c r="AC1597" s="70"/>
    </row>
    <row r="1598" spans="1:30" s="26" customFormat="1" x14ac:dyDescent="0.3">
      <c r="A1598" s="25" t="s">
        <v>7072</v>
      </c>
      <c r="B1598" s="25"/>
      <c r="C1598" s="26" t="s">
        <v>3005</v>
      </c>
      <c r="D1598" s="70"/>
      <c r="G1598" s="70" t="s">
        <v>1312</v>
      </c>
      <c r="H1598" s="26">
        <v>-1</v>
      </c>
      <c r="I1598" s="70" t="s">
        <v>7073</v>
      </c>
      <c r="J1598" s="26" t="s">
        <v>7057</v>
      </c>
      <c r="K1598" s="26" t="s">
        <v>7074</v>
      </c>
      <c r="L1598" s="26" t="s">
        <v>10706</v>
      </c>
      <c r="M1598" s="76"/>
      <c r="N1598" s="76"/>
      <c r="O1598" s="76"/>
      <c r="P1598" s="76"/>
      <c r="Q1598" s="76"/>
      <c r="R1598" s="76"/>
      <c r="U1598" s="26" t="s">
        <v>7075</v>
      </c>
      <c r="Z1598" s="70"/>
      <c r="AA1598" s="70"/>
      <c r="AB1598" s="70"/>
      <c r="AC1598" s="70"/>
    </row>
    <row r="1599" spans="1:30" s="26" customFormat="1" x14ac:dyDescent="0.3">
      <c r="A1599" s="25" t="s">
        <v>7076</v>
      </c>
      <c r="B1599" s="25"/>
      <c r="C1599" s="26" t="s">
        <v>3005</v>
      </c>
      <c r="D1599" s="70"/>
      <c r="G1599" s="70" t="s">
        <v>1312</v>
      </c>
      <c r="H1599" s="26">
        <v>-1</v>
      </c>
      <c r="I1599" s="70" t="s">
        <v>7077</v>
      </c>
      <c r="J1599" s="26" t="s">
        <v>4383</v>
      </c>
      <c r="K1599" s="26" t="s">
        <v>3761</v>
      </c>
      <c r="L1599" s="26" t="s">
        <v>10062</v>
      </c>
      <c r="M1599" s="76"/>
      <c r="N1599" s="76"/>
      <c r="O1599" s="76"/>
      <c r="P1599" s="76"/>
      <c r="Q1599" s="76"/>
      <c r="R1599" s="76"/>
      <c r="Z1599" s="70"/>
      <c r="AA1599" s="70"/>
      <c r="AB1599" s="70"/>
      <c r="AC1599" s="70"/>
    </row>
    <row r="1600" spans="1:30" s="26" customFormat="1" x14ac:dyDescent="0.3">
      <c r="A1600" s="25" t="s">
        <v>7078</v>
      </c>
      <c r="B1600" s="25"/>
      <c r="C1600" s="26" t="s">
        <v>3005</v>
      </c>
      <c r="D1600" s="70"/>
      <c r="G1600" s="70" t="s">
        <v>1312</v>
      </c>
      <c r="H1600" s="26">
        <v>-1</v>
      </c>
      <c r="I1600" s="70" t="s">
        <v>7079</v>
      </c>
      <c r="J1600" s="26" t="s">
        <v>7062</v>
      </c>
      <c r="K1600" s="26" t="s">
        <v>7080</v>
      </c>
      <c r="L1600" s="26" t="s">
        <v>10707</v>
      </c>
      <c r="M1600" s="76"/>
      <c r="N1600" s="76"/>
      <c r="O1600" s="76"/>
      <c r="P1600" s="76"/>
      <c r="Q1600" s="76"/>
      <c r="R1600" s="76"/>
      <c r="U1600" s="26" t="s">
        <v>7081</v>
      </c>
      <c r="Z1600" s="70"/>
      <c r="AA1600" s="70"/>
      <c r="AB1600" s="70"/>
      <c r="AC1600" s="70"/>
    </row>
    <row r="1601" spans="1:31" s="26" customFormat="1" x14ac:dyDescent="0.3">
      <c r="A1601" s="25" t="s">
        <v>7082</v>
      </c>
      <c r="B1601" s="25"/>
      <c r="C1601" s="26" t="s">
        <v>3005</v>
      </c>
      <c r="D1601" s="70"/>
      <c r="G1601" s="70" t="s">
        <v>1312</v>
      </c>
      <c r="H1601" s="26">
        <v>-1</v>
      </c>
      <c r="I1601" s="70" t="s">
        <v>7083</v>
      </c>
      <c r="J1601" s="26" t="s">
        <v>4407</v>
      </c>
      <c r="K1601" s="26" t="s">
        <v>3489</v>
      </c>
      <c r="L1601" s="26" t="s">
        <v>10708</v>
      </c>
      <c r="M1601" s="76"/>
      <c r="N1601" s="76"/>
      <c r="O1601" s="76"/>
      <c r="P1601" s="76"/>
      <c r="Q1601" s="76"/>
      <c r="R1601" s="76"/>
      <c r="Z1601" s="70"/>
      <c r="AA1601" s="70"/>
      <c r="AB1601" s="70"/>
      <c r="AC1601" s="70"/>
    </row>
    <row r="1602" spans="1:31" s="26" customFormat="1" x14ac:dyDescent="0.3">
      <c r="A1602" s="25" t="s">
        <v>7084</v>
      </c>
      <c r="B1602" s="25"/>
      <c r="C1602" s="26" t="s">
        <v>3005</v>
      </c>
      <c r="D1602" s="70"/>
      <c r="G1602" s="70" t="s">
        <v>1312</v>
      </c>
      <c r="H1602" s="26">
        <v>-1</v>
      </c>
      <c r="I1602" s="70" t="s">
        <v>4316</v>
      </c>
      <c r="J1602" s="26" t="s">
        <v>7085</v>
      </c>
      <c r="K1602" s="26" t="s">
        <v>7086</v>
      </c>
      <c r="L1602" s="26" t="s">
        <v>10709</v>
      </c>
      <c r="M1602" s="76"/>
      <c r="N1602" s="76"/>
      <c r="O1602" s="76"/>
      <c r="P1602" s="76"/>
      <c r="Q1602" s="76"/>
      <c r="R1602" s="76"/>
      <c r="Z1602" s="70"/>
      <c r="AA1602" s="70"/>
      <c r="AB1602" s="70"/>
      <c r="AC1602" s="70"/>
    </row>
    <row r="1603" spans="1:31" s="26" customFormat="1" x14ac:dyDescent="0.3">
      <c r="A1603" s="25" t="s">
        <v>7087</v>
      </c>
      <c r="B1603" s="25"/>
      <c r="C1603" s="26" t="s">
        <v>3005</v>
      </c>
      <c r="D1603" s="70"/>
      <c r="G1603" s="70" t="s">
        <v>1312</v>
      </c>
      <c r="H1603" s="26">
        <v>-1</v>
      </c>
      <c r="I1603" s="70" t="s">
        <v>7088</v>
      </c>
      <c r="J1603" s="26" t="s">
        <v>7089</v>
      </c>
      <c r="K1603" s="26" t="s">
        <v>7090</v>
      </c>
      <c r="L1603" s="26" t="s">
        <v>10710</v>
      </c>
      <c r="M1603" s="76"/>
      <c r="N1603" s="76"/>
      <c r="O1603" s="76"/>
      <c r="P1603" s="76"/>
      <c r="Q1603" s="76"/>
      <c r="R1603" s="76"/>
      <c r="Z1603" s="70"/>
      <c r="AA1603" s="70"/>
      <c r="AB1603" s="70"/>
      <c r="AC1603" s="70"/>
    </row>
    <row r="1604" spans="1:31" s="26" customFormat="1" x14ac:dyDescent="0.3">
      <c r="A1604" s="25" t="s">
        <v>7091</v>
      </c>
      <c r="B1604" s="25"/>
      <c r="C1604" s="26" t="s">
        <v>3005</v>
      </c>
      <c r="D1604" s="70"/>
      <c r="G1604" s="70" t="s">
        <v>1312</v>
      </c>
      <c r="H1604" s="26">
        <v>-1</v>
      </c>
      <c r="I1604" s="70" t="s">
        <v>7092</v>
      </c>
      <c r="J1604" s="26" t="s">
        <v>7093</v>
      </c>
      <c r="K1604" s="26" t="s">
        <v>7094</v>
      </c>
      <c r="L1604" s="26" t="s">
        <v>10711</v>
      </c>
      <c r="M1604" s="76"/>
      <c r="N1604" s="76"/>
      <c r="O1604" s="76"/>
      <c r="P1604" s="76"/>
      <c r="Q1604" s="76"/>
      <c r="R1604" s="76"/>
      <c r="Z1604" s="70"/>
      <c r="AA1604" s="70"/>
      <c r="AB1604" s="70"/>
      <c r="AC1604" s="70"/>
    </row>
    <row r="1605" spans="1:31" s="26" customFormat="1" x14ac:dyDescent="0.3">
      <c r="A1605" s="25" t="s">
        <v>7095</v>
      </c>
      <c r="B1605" s="25"/>
      <c r="C1605" s="26" t="s">
        <v>3005</v>
      </c>
      <c r="D1605" s="70"/>
      <c r="G1605" s="70" t="s">
        <v>1312</v>
      </c>
      <c r="H1605" s="26">
        <v>-1</v>
      </c>
      <c r="I1605" s="70" t="s">
        <v>7096</v>
      </c>
      <c r="J1605" s="26" t="s">
        <v>7097</v>
      </c>
      <c r="K1605" s="26" t="s">
        <v>7098</v>
      </c>
      <c r="L1605" s="26" t="s">
        <v>10712</v>
      </c>
      <c r="M1605" s="76"/>
      <c r="N1605" s="76"/>
      <c r="O1605" s="76"/>
      <c r="P1605" s="76"/>
      <c r="Q1605" s="76"/>
      <c r="R1605" s="76"/>
      <c r="Z1605" s="70"/>
      <c r="AA1605" s="70"/>
      <c r="AB1605" s="70"/>
      <c r="AC1605" s="70"/>
    </row>
    <row r="1606" spans="1:31" s="26" customFormat="1" x14ac:dyDescent="0.3">
      <c r="A1606" s="25" t="s">
        <v>7099</v>
      </c>
      <c r="B1606" s="25"/>
      <c r="C1606" s="26" t="s">
        <v>3005</v>
      </c>
      <c r="D1606" s="70"/>
      <c r="G1606" s="70" t="s">
        <v>1312</v>
      </c>
      <c r="H1606" s="26">
        <v>-1</v>
      </c>
      <c r="I1606" s="70" t="s">
        <v>7100</v>
      </c>
      <c r="J1606" s="26" t="s">
        <v>3443</v>
      </c>
      <c r="K1606" s="26" t="s">
        <v>3788</v>
      </c>
      <c r="M1606" s="76"/>
      <c r="N1606" s="76"/>
      <c r="O1606" s="76"/>
      <c r="P1606" s="76"/>
      <c r="Q1606" s="76"/>
      <c r="R1606" s="76"/>
      <c r="Z1606" s="70"/>
      <c r="AA1606" s="70"/>
      <c r="AB1606" s="70"/>
      <c r="AC1606" s="70"/>
    </row>
    <row r="1607" spans="1:31" s="26" customFormat="1" x14ac:dyDescent="0.3">
      <c r="A1607" s="25" t="s">
        <v>7101</v>
      </c>
      <c r="B1607" s="25"/>
      <c r="C1607" s="26" t="s">
        <v>3005</v>
      </c>
      <c r="D1607" s="70"/>
      <c r="G1607" s="70" t="s">
        <v>1312</v>
      </c>
      <c r="H1607" s="26">
        <v>-1</v>
      </c>
      <c r="I1607" s="70" t="s">
        <v>7102</v>
      </c>
      <c r="J1607" s="26" t="s">
        <v>3775</v>
      </c>
      <c r="K1607" s="26" t="s">
        <v>7103</v>
      </c>
      <c r="L1607" s="26" t="s">
        <v>10713</v>
      </c>
      <c r="M1607" s="76"/>
      <c r="N1607" s="76"/>
      <c r="O1607" s="76"/>
      <c r="P1607" s="76"/>
      <c r="Q1607" s="76"/>
      <c r="R1607" s="76"/>
      <c r="Z1607" s="70"/>
      <c r="AA1607" s="70"/>
      <c r="AB1607" s="70"/>
      <c r="AC1607" s="70"/>
    </row>
    <row r="1608" spans="1:31" s="26" customFormat="1" x14ac:dyDescent="0.3">
      <c r="A1608" s="25" t="s">
        <v>7104</v>
      </c>
      <c r="B1608" s="25"/>
      <c r="C1608" s="26" t="s">
        <v>3005</v>
      </c>
      <c r="D1608" s="70"/>
      <c r="G1608" s="70" t="s">
        <v>1312</v>
      </c>
      <c r="H1608" s="26">
        <v>-1</v>
      </c>
      <c r="I1608" s="70" t="s">
        <v>7105</v>
      </c>
      <c r="J1608" s="26" t="s">
        <v>5832</v>
      </c>
      <c r="K1608" s="26" t="s">
        <v>3765</v>
      </c>
      <c r="M1608" s="76"/>
      <c r="N1608" s="76"/>
      <c r="O1608" s="76"/>
      <c r="P1608" s="76"/>
      <c r="Q1608" s="76"/>
      <c r="R1608" s="76"/>
      <c r="Z1608" s="70"/>
      <c r="AA1608" s="70"/>
      <c r="AB1608" s="70"/>
      <c r="AC1608" s="70"/>
    </row>
    <row r="1609" spans="1:31" s="26" customFormat="1" x14ac:dyDescent="0.3">
      <c r="A1609" s="25" t="s">
        <v>7106</v>
      </c>
      <c r="B1609" s="25"/>
      <c r="C1609" s="26" t="s">
        <v>3005</v>
      </c>
      <c r="D1609" s="70"/>
      <c r="G1609" s="70" t="s">
        <v>1312</v>
      </c>
      <c r="H1609" s="26">
        <v>2</v>
      </c>
      <c r="I1609" s="70" t="s">
        <v>7107</v>
      </c>
      <c r="J1609" s="26" t="s">
        <v>6999</v>
      </c>
      <c r="K1609" s="26" t="s">
        <v>7108</v>
      </c>
      <c r="L1609" s="26" t="s">
        <v>10714</v>
      </c>
      <c r="M1609" s="76"/>
      <c r="N1609" s="76"/>
      <c r="O1609" s="76"/>
      <c r="P1609" s="76"/>
      <c r="Q1609" s="76"/>
      <c r="R1609" s="76"/>
      <c r="Z1609" s="70"/>
      <c r="AA1609" s="70"/>
      <c r="AB1609" s="70"/>
      <c r="AC1609" s="70"/>
    </row>
    <row r="1610" spans="1:31" s="24" customFormat="1" x14ac:dyDescent="0.3">
      <c r="A1610" s="23">
        <v>443</v>
      </c>
      <c r="B1610" s="23">
        <v>439</v>
      </c>
      <c r="C1610" s="24" t="s">
        <v>2165</v>
      </c>
      <c r="D1610" s="69" t="s">
        <v>1308</v>
      </c>
      <c r="E1610" s="24" t="s">
        <v>1307</v>
      </c>
      <c r="F1610" s="24" t="s">
        <v>1313</v>
      </c>
      <c r="G1610" s="69" t="s">
        <v>1314</v>
      </c>
      <c r="I1610" s="69"/>
      <c r="J1610" s="24" t="s">
        <v>3832</v>
      </c>
      <c r="K1610" s="24" t="s">
        <v>1315</v>
      </c>
      <c r="L1610" s="24" t="s">
        <v>9847</v>
      </c>
      <c r="M1610" s="75" t="s">
        <v>19</v>
      </c>
      <c r="N1610" s="75"/>
      <c r="O1610" s="75"/>
      <c r="P1610" s="75"/>
      <c r="Q1610" s="75"/>
      <c r="R1610" s="75" t="s">
        <v>2166</v>
      </c>
      <c r="T1610" s="24" t="s">
        <v>2330</v>
      </c>
      <c r="Z1610" s="69"/>
      <c r="AA1610" s="69" t="s">
        <v>2709</v>
      </c>
      <c r="AB1610" s="69"/>
      <c r="AC1610" s="69"/>
      <c r="AE1610" s="24" t="s">
        <v>2710</v>
      </c>
    </row>
    <row r="1611" spans="1:31" s="24" customFormat="1" x14ac:dyDescent="0.3">
      <c r="A1611" s="23">
        <v>444</v>
      </c>
      <c r="B1611" s="23">
        <v>440</v>
      </c>
      <c r="C1611" s="24" t="s">
        <v>2165</v>
      </c>
      <c r="D1611" s="69" t="s">
        <v>1308</v>
      </c>
      <c r="E1611" s="24" t="s">
        <v>1307</v>
      </c>
      <c r="F1611" s="24" t="s">
        <v>1316</v>
      </c>
      <c r="G1611" s="69" t="s">
        <v>1317</v>
      </c>
      <c r="H1611" s="24">
        <v>3</v>
      </c>
      <c r="I1611" s="69"/>
      <c r="J1611" s="24" t="s">
        <v>3174</v>
      </c>
      <c r="K1611" s="24" t="s">
        <v>68</v>
      </c>
      <c r="M1611" s="75" t="s">
        <v>65</v>
      </c>
      <c r="N1611" s="75" t="s">
        <v>2015</v>
      </c>
      <c r="O1611" s="75"/>
      <c r="P1611" s="75"/>
      <c r="Q1611" s="75"/>
      <c r="R1611" s="75"/>
      <c r="Z1611" s="69"/>
      <c r="AA1611" s="69"/>
      <c r="AB1611" s="69"/>
      <c r="AC1611" s="69"/>
    </row>
    <row r="1612" spans="1:31" s="26" customFormat="1" x14ac:dyDescent="0.3">
      <c r="A1612" s="25" t="s">
        <v>7109</v>
      </c>
      <c r="B1612" s="25"/>
      <c r="C1612" s="26" t="s">
        <v>3005</v>
      </c>
      <c r="D1612" s="70"/>
      <c r="G1612" s="70" t="s">
        <v>1317</v>
      </c>
      <c r="H1612" s="26">
        <v>1</v>
      </c>
      <c r="I1612" s="70" t="s">
        <v>7110</v>
      </c>
      <c r="J1612" s="26" t="s">
        <v>7111</v>
      </c>
      <c r="K1612" s="26" t="s">
        <v>4253</v>
      </c>
      <c r="L1612" s="26" t="s">
        <v>9884</v>
      </c>
      <c r="M1612" s="76"/>
      <c r="N1612" s="76"/>
      <c r="O1612" s="76"/>
      <c r="P1612" s="76"/>
      <c r="Q1612" s="76"/>
      <c r="R1612" s="76"/>
      <c r="Z1612" s="70"/>
      <c r="AA1612" s="70"/>
      <c r="AB1612" s="70"/>
      <c r="AC1612" s="70"/>
    </row>
    <row r="1613" spans="1:31" s="26" customFormat="1" x14ac:dyDescent="0.3">
      <c r="A1613" s="25" t="s">
        <v>7112</v>
      </c>
      <c r="B1613" s="25"/>
      <c r="C1613" s="26" t="s">
        <v>3005</v>
      </c>
      <c r="D1613" s="70"/>
      <c r="G1613" s="70" t="s">
        <v>1317</v>
      </c>
      <c r="H1613" s="26">
        <v>1</v>
      </c>
      <c r="I1613" s="70" t="s">
        <v>7113</v>
      </c>
      <c r="J1613" s="26" t="s">
        <v>3174</v>
      </c>
      <c r="K1613" s="26" t="s">
        <v>3908</v>
      </c>
      <c r="L1613" s="26" t="s">
        <v>10715</v>
      </c>
      <c r="M1613" s="76"/>
      <c r="N1613" s="76"/>
      <c r="O1613" s="76"/>
      <c r="P1613" s="76"/>
      <c r="Q1613" s="76"/>
      <c r="R1613" s="76"/>
      <c r="Z1613" s="70"/>
      <c r="AA1613" s="70"/>
      <c r="AB1613" s="70"/>
      <c r="AC1613" s="70"/>
    </row>
    <row r="1614" spans="1:31" s="26" customFormat="1" x14ac:dyDescent="0.3">
      <c r="A1614" s="25" t="s">
        <v>7114</v>
      </c>
      <c r="B1614" s="25"/>
      <c r="C1614" s="26" t="s">
        <v>3005</v>
      </c>
      <c r="D1614" s="70"/>
      <c r="G1614" s="70" t="s">
        <v>1317</v>
      </c>
      <c r="H1614" s="26">
        <v>1</v>
      </c>
      <c r="I1614" s="70" t="s">
        <v>7115</v>
      </c>
      <c r="J1614" s="26" t="s">
        <v>6327</v>
      </c>
      <c r="K1614" s="26" t="s">
        <v>6818</v>
      </c>
      <c r="M1614" s="76"/>
      <c r="N1614" s="76"/>
      <c r="O1614" s="76"/>
      <c r="P1614" s="76"/>
      <c r="Q1614" s="76"/>
      <c r="R1614" s="76"/>
      <c r="Z1614" s="70"/>
      <c r="AA1614" s="70"/>
      <c r="AB1614" s="70"/>
      <c r="AC1614" s="70"/>
    </row>
    <row r="1615" spans="1:31" s="24" customFormat="1" x14ac:dyDescent="0.3">
      <c r="A1615" s="23">
        <v>445</v>
      </c>
      <c r="B1615" s="23">
        <v>441</v>
      </c>
      <c r="C1615" s="24" t="s">
        <v>2165</v>
      </c>
      <c r="D1615" s="69" t="s">
        <v>1308</v>
      </c>
      <c r="E1615" s="24" t="s">
        <v>1307</v>
      </c>
      <c r="F1615" s="24" t="s">
        <v>1318</v>
      </c>
      <c r="G1615" s="69" t="s">
        <v>1319</v>
      </c>
      <c r="H1615" s="24">
        <v>5</v>
      </c>
      <c r="I1615" s="69"/>
      <c r="J1615" s="24" t="s">
        <v>3174</v>
      </c>
      <c r="K1615" s="24" t="s">
        <v>1320</v>
      </c>
      <c r="M1615" s="75" t="s">
        <v>15</v>
      </c>
      <c r="N1615" s="75"/>
      <c r="O1615" s="75"/>
      <c r="P1615" s="75"/>
      <c r="Q1615" s="75"/>
      <c r="R1615" s="75"/>
      <c r="V1615" s="24" t="s">
        <v>2711</v>
      </c>
      <c r="Z1615" s="69"/>
      <c r="AA1615" s="69"/>
      <c r="AB1615" s="69"/>
      <c r="AC1615" s="69"/>
      <c r="AD1615" s="24" t="s">
        <v>123</v>
      </c>
    </row>
    <row r="1616" spans="1:31" s="26" customFormat="1" x14ac:dyDescent="0.3">
      <c r="A1616" s="25" t="s">
        <v>7116</v>
      </c>
      <c r="B1616" s="25"/>
      <c r="C1616" s="26" t="s">
        <v>3005</v>
      </c>
      <c r="D1616" s="70"/>
      <c r="G1616" s="70" t="s">
        <v>1319</v>
      </c>
      <c r="H1616" s="26">
        <v>-1</v>
      </c>
      <c r="I1616" s="70" t="s">
        <v>5090</v>
      </c>
      <c r="J1616" s="26" t="s">
        <v>7117</v>
      </c>
      <c r="K1616" s="26" t="s">
        <v>7118</v>
      </c>
      <c r="L1616" s="26" t="s">
        <v>10716</v>
      </c>
      <c r="M1616" s="76"/>
      <c r="N1616" s="76"/>
      <c r="O1616" s="76"/>
      <c r="P1616" s="76"/>
      <c r="Q1616" s="76"/>
      <c r="R1616" s="76"/>
      <c r="Z1616" s="70"/>
      <c r="AA1616" s="70"/>
      <c r="AB1616" s="70"/>
      <c r="AC1616" s="70"/>
    </row>
    <row r="1617" spans="1:31" s="26" customFormat="1" x14ac:dyDescent="0.3">
      <c r="A1617" s="25" t="s">
        <v>7119</v>
      </c>
      <c r="B1617" s="25"/>
      <c r="C1617" s="26" t="s">
        <v>3005</v>
      </c>
      <c r="D1617" s="70"/>
      <c r="G1617" s="70" t="s">
        <v>1319</v>
      </c>
      <c r="H1617" s="26">
        <v>-1</v>
      </c>
      <c r="I1617" s="70" t="s">
        <v>7120</v>
      </c>
      <c r="J1617" s="26" t="s">
        <v>3174</v>
      </c>
      <c r="K1617" s="26" t="s">
        <v>7121</v>
      </c>
      <c r="L1617" s="26" t="s">
        <v>10717</v>
      </c>
      <c r="M1617" s="76"/>
      <c r="N1617" s="76"/>
      <c r="O1617" s="76"/>
      <c r="P1617" s="76"/>
      <c r="Q1617" s="76"/>
      <c r="R1617" s="76"/>
      <c r="Z1617" s="70"/>
      <c r="AA1617" s="70"/>
      <c r="AB1617" s="70"/>
      <c r="AC1617" s="70"/>
    </row>
    <row r="1618" spans="1:31" s="26" customFormat="1" x14ac:dyDescent="0.3">
      <c r="A1618" s="25" t="s">
        <v>7122</v>
      </c>
      <c r="B1618" s="25"/>
      <c r="C1618" s="26" t="s">
        <v>3005</v>
      </c>
      <c r="D1618" s="70"/>
      <c r="G1618" s="70" t="s">
        <v>1319</v>
      </c>
      <c r="H1618" s="26">
        <v>-1</v>
      </c>
      <c r="I1618" s="70" t="s">
        <v>7123</v>
      </c>
      <c r="J1618" s="26" t="s">
        <v>7124</v>
      </c>
      <c r="K1618" s="26" t="s">
        <v>7125</v>
      </c>
      <c r="L1618" s="26" t="s">
        <v>10718</v>
      </c>
      <c r="M1618" s="76"/>
      <c r="N1618" s="76"/>
      <c r="O1618" s="76"/>
      <c r="P1618" s="76"/>
      <c r="Q1618" s="76"/>
      <c r="R1618" s="76"/>
      <c r="T1618" s="26" t="s">
        <v>2200</v>
      </c>
      <c r="Z1618" s="70"/>
      <c r="AA1618" s="70"/>
      <c r="AB1618" s="70"/>
      <c r="AC1618" s="70"/>
      <c r="AE1618" s="26" t="s">
        <v>7126</v>
      </c>
    </row>
    <row r="1619" spans="1:31" s="26" customFormat="1" x14ac:dyDescent="0.3">
      <c r="A1619" s="25" t="s">
        <v>7127</v>
      </c>
      <c r="B1619" s="25"/>
      <c r="C1619" s="26" t="s">
        <v>3005</v>
      </c>
      <c r="D1619" s="70"/>
      <c r="G1619" s="70" t="s">
        <v>1319</v>
      </c>
      <c r="H1619" s="26">
        <v>-1</v>
      </c>
      <c r="I1619" s="70" t="s">
        <v>7128</v>
      </c>
      <c r="J1619" s="26" t="s">
        <v>7129</v>
      </c>
      <c r="K1619" s="26" t="s">
        <v>7130</v>
      </c>
      <c r="L1619" s="26" t="s">
        <v>10719</v>
      </c>
      <c r="M1619" s="76"/>
      <c r="N1619" s="76"/>
      <c r="O1619" s="76"/>
      <c r="P1619" s="76"/>
      <c r="Q1619" s="76"/>
      <c r="R1619" s="76"/>
      <c r="Z1619" s="70"/>
      <c r="AA1619" s="70"/>
      <c r="AB1619" s="70"/>
      <c r="AC1619" s="70"/>
    </row>
    <row r="1620" spans="1:31" s="26" customFormat="1" x14ac:dyDescent="0.3">
      <c r="A1620" s="25" t="s">
        <v>7131</v>
      </c>
      <c r="B1620" s="25"/>
      <c r="C1620" s="26" t="s">
        <v>3005</v>
      </c>
      <c r="D1620" s="70"/>
      <c r="G1620" s="70" t="s">
        <v>1319</v>
      </c>
      <c r="H1620" s="26">
        <v>-1</v>
      </c>
      <c r="I1620" s="70" t="s">
        <v>3717</v>
      </c>
      <c r="J1620" s="26" t="s">
        <v>5832</v>
      </c>
      <c r="K1620" s="26" t="s">
        <v>2679</v>
      </c>
      <c r="M1620" s="76"/>
      <c r="N1620" s="76"/>
      <c r="O1620" s="76"/>
      <c r="P1620" s="76"/>
      <c r="Q1620" s="76"/>
      <c r="R1620" s="76"/>
      <c r="Z1620" s="70"/>
      <c r="AA1620" s="70"/>
      <c r="AB1620" s="70"/>
      <c r="AC1620" s="70"/>
    </row>
    <row r="1621" spans="1:31" s="26" customFormat="1" x14ac:dyDescent="0.3">
      <c r="A1621" s="25" t="s">
        <v>7132</v>
      </c>
      <c r="B1621" s="25"/>
      <c r="C1621" s="26" t="s">
        <v>3005</v>
      </c>
      <c r="D1621" s="70"/>
      <c r="G1621" s="70" t="s">
        <v>1319</v>
      </c>
      <c r="H1621" s="26">
        <v>3</v>
      </c>
      <c r="I1621" s="70" t="s">
        <v>3694</v>
      </c>
      <c r="J1621" s="26" t="s">
        <v>3137</v>
      </c>
      <c r="K1621" s="26" t="s">
        <v>6291</v>
      </c>
      <c r="M1621" s="76"/>
      <c r="N1621" s="76"/>
      <c r="O1621" s="76"/>
      <c r="P1621" s="76"/>
      <c r="Q1621" s="76"/>
      <c r="R1621" s="76"/>
      <c r="Z1621" s="70"/>
      <c r="AA1621" s="70"/>
      <c r="AB1621" s="70"/>
      <c r="AC1621" s="70"/>
    </row>
    <row r="1622" spans="1:31" s="26" customFormat="1" x14ac:dyDescent="0.3">
      <c r="A1622" s="25" t="s">
        <v>7133</v>
      </c>
      <c r="B1622" s="25"/>
      <c r="C1622" s="26" t="s">
        <v>3005</v>
      </c>
      <c r="D1622" s="70"/>
      <c r="G1622" s="70" t="s">
        <v>1319</v>
      </c>
      <c r="H1622" s="26">
        <v>2</v>
      </c>
      <c r="I1622" s="70" t="s">
        <v>6162</v>
      </c>
      <c r="J1622" s="26" t="s">
        <v>7111</v>
      </c>
      <c r="K1622" s="26" t="s">
        <v>6319</v>
      </c>
      <c r="L1622" s="26" t="s">
        <v>10720</v>
      </c>
      <c r="M1622" s="76"/>
      <c r="N1622" s="76"/>
      <c r="O1622" s="76"/>
      <c r="P1622" s="76"/>
      <c r="Q1622" s="76"/>
      <c r="R1622" s="76"/>
      <c r="Z1622" s="70"/>
      <c r="AA1622" s="70"/>
      <c r="AB1622" s="70"/>
      <c r="AC1622" s="70"/>
    </row>
    <row r="1623" spans="1:31" s="26" customFormat="1" x14ac:dyDescent="0.3">
      <c r="A1623" s="25" t="s">
        <v>7134</v>
      </c>
      <c r="B1623" s="25"/>
      <c r="C1623" s="26" t="s">
        <v>3005</v>
      </c>
      <c r="D1623" s="70"/>
      <c r="G1623" s="70" t="s">
        <v>1319</v>
      </c>
      <c r="H1623" s="26">
        <v>2</v>
      </c>
      <c r="I1623" s="70" t="s">
        <v>4120</v>
      </c>
      <c r="J1623" s="26" t="s">
        <v>5181</v>
      </c>
      <c r="K1623" s="26" t="s">
        <v>5290</v>
      </c>
      <c r="L1623" s="26" t="s">
        <v>10721</v>
      </c>
      <c r="M1623" s="76"/>
      <c r="N1623" s="76"/>
      <c r="O1623" s="76"/>
      <c r="P1623" s="76"/>
      <c r="Q1623" s="76"/>
      <c r="R1623" s="76"/>
      <c r="Y1623" s="26" t="s">
        <v>7135</v>
      </c>
      <c r="Z1623" s="70"/>
      <c r="AA1623" s="70"/>
      <c r="AB1623" s="70" t="s">
        <v>7136</v>
      </c>
      <c r="AC1623" s="70"/>
    </row>
    <row r="1624" spans="1:31" s="26" customFormat="1" x14ac:dyDescent="0.3">
      <c r="A1624" s="25" t="s">
        <v>7137</v>
      </c>
      <c r="B1624" s="25"/>
      <c r="C1624" s="26" t="s">
        <v>3005</v>
      </c>
      <c r="D1624" s="70"/>
      <c r="G1624" s="70" t="s">
        <v>1319</v>
      </c>
      <c r="H1624" s="26">
        <v>2</v>
      </c>
      <c r="I1624" s="70" t="s">
        <v>5555</v>
      </c>
      <c r="J1624" s="26" t="s">
        <v>7138</v>
      </c>
      <c r="K1624" s="26" t="s">
        <v>6818</v>
      </c>
      <c r="M1624" s="76"/>
      <c r="N1624" s="76"/>
      <c r="O1624" s="76"/>
      <c r="P1624" s="76"/>
      <c r="Q1624" s="76"/>
      <c r="R1624" s="76"/>
      <c r="Z1624" s="70"/>
      <c r="AA1624" s="70"/>
      <c r="AB1624" s="70"/>
      <c r="AC1624" s="70"/>
    </row>
    <row r="1625" spans="1:31" s="26" customFormat="1" x14ac:dyDescent="0.3">
      <c r="A1625" s="25" t="s">
        <v>7139</v>
      </c>
      <c r="B1625" s="25"/>
      <c r="C1625" s="26" t="s">
        <v>3005</v>
      </c>
      <c r="D1625" s="70"/>
      <c r="G1625" s="70" t="s">
        <v>1319</v>
      </c>
      <c r="H1625" s="26">
        <v>3</v>
      </c>
      <c r="I1625" s="70" t="s">
        <v>4247</v>
      </c>
      <c r="J1625" s="26" t="s">
        <v>7140</v>
      </c>
      <c r="K1625" s="26" t="s">
        <v>6043</v>
      </c>
      <c r="M1625" s="76"/>
      <c r="N1625" s="76"/>
      <c r="O1625" s="76"/>
      <c r="P1625" s="76"/>
      <c r="Q1625" s="76"/>
      <c r="R1625" s="76"/>
      <c r="Z1625" s="70"/>
      <c r="AA1625" s="70"/>
      <c r="AB1625" s="70"/>
      <c r="AC1625" s="70"/>
    </row>
    <row r="1626" spans="1:31" s="26" customFormat="1" x14ac:dyDescent="0.3">
      <c r="A1626" s="25" t="s">
        <v>7141</v>
      </c>
      <c r="B1626" s="25"/>
      <c r="C1626" s="26" t="s">
        <v>3005</v>
      </c>
      <c r="D1626" s="70"/>
      <c r="G1626" s="70" t="s">
        <v>1319</v>
      </c>
      <c r="H1626" s="26">
        <v>-1</v>
      </c>
      <c r="I1626" s="70" t="s">
        <v>6831</v>
      </c>
      <c r="J1626" s="26" t="s">
        <v>7142</v>
      </c>
      <c r="K1626" s="26" t="s">
        <v>7143</v>
      </c>
      <c r="M1626" s="76"/>
      <c r="N1626" s="76"/>
      <c r="O1626" s="76"/>
      <c r="P1626" s="76"/>
      <c r="Q1626" s="76"/>
      <c r="R1626" s="76"/>
      <c r="Z1626" s="70"/>
      <c r="AA1626" s="70"/>
      <c r="AB1626" s="70"/>
      <c r="AC1626" s="70"/>
    </row>
    <row r="1627" spans="1:31" s="26" customFormat="1" x14ac:dyDescent="0.3">
      <c r="A1627" s="25" t="s">
        <v>7144</v>
      </c>
      <c r="B1627" s="25"/>
      <c r="C1627" s="26" t="s">
        <v>3005</v>
      </c>
      <c r="D1627" s="70"/>
      <c r="G1627" s="70" t="s">
        <v>1319</v>
      </c>
      <c r="H1627" s="26">
        <v>-1</v>
      </c>
      <c r="I1627" s="70" t="s">
        <v>7145</v>
      </c>
      <c r="J1627" s="26" t="s">
        <v>7146</v>
      </c>
      <c r="K1627" s="26" t="s">
        <v>7147</v>
      </c>
      <c r="L1627" s="26" t="s">
        <v>10722</v>
      </c>
      <c r="M1627" s="76"/>
      <c r="N1627" s="76"/>
      <c r="O1627" s="76"/>
      <c r="P1627" s="76"/>
      <c r="Q1627" s="76"/>
      <c r="R1627" s="76"/>
      <c r="Z1627" s="70"/>
      <c r="AA1627" s="70"/>
      <c r="AB1627" s="70"/>
      <c r="AC1627" s="70"/>
    </row>
    <row r="1628" spans="1:31" s="26" customFormat="1" x14ac:dyDescent="0.3">
      <c r="A1628" s="25" t="s">
        <v>7148</v>
      </c>
      <c r="B1628" s="25"/>
      <c r="C1628" s="26" t="s">
        <v>3005</v>
      </c>
      <c r="D1628" s="70"/>
      <c r="G1628" s="70" t="s">
        <v>1319</v>
      </c>
      <c r="H1628" s="26">
        <v>-1</v>
      </c>
      <c r="I1628" s="70" t="s">
        <v>6300</v>
      </c>
      <c r="J1628" s="26" t="s">
        <v>4014</v>
      </c>
      <c r="K1628" s="26" t="s">
        <v>7149</v>
      </c>
      <c r="M1628" s="76"/>
      <c r="N1628" s="76"/>
      <c r="O1628" s="76"/>
      <c r="P1628" s="76"/>
      <c r="Q1628" s="76"/>
      <c r="R1628" s="76"/>
      <c r="Z1628" s="70"/>
      <c r="AA1628" s="70"/>
      <c r="AB1628" s="70"/>
      <c r="AC1628" s="70"/>
    </row>
    <row r="1629" spans="1:31" s="26" customFormat="1" x14ac:dyDescent="0.3">
      <c r="A1629" s="25" t="s">
        <v>7150</v>
      </c>
      <c r="B1629" s="25"/>
      <c r="C1629" s="26" t="s">
        <v>3005</v>
      </c>
      <c r="D1629" s="70"/>
      <c r="G1629" s="70" t="s">
        <v>1319</v>
      </c>
      <c r="H1629" s="26">
        <v>-1</v>
      </c>
      <c r="I1629" s="70" t="s">
        <v>7151</v>
      </c>
      <c r="J1629" s="26" t="s">
        <v>4305</v>
      </c>
      <c r="K1629" s="26" t="s">
        <v>6551</v>
      </c>
      <c r="L1629" s="26" t="s">
        <v>10723</v>
      </c>
      <c r="M1629" s="76"/>
      <c r="N1629" s="76"/>
      <c r="O1629" s="76"/>
      <c r="P1629" s="76"/>
      <c r="Q1629" s="76"/>
      <c r="R1629" s="76"/>
      <c r="Z1629" s="70"/>
      <c r="AA1629" s="70"/>
      <c r="AB1629" s="70"/>
      <c r="AC1629" s="70"/>
    </row>
    <row r="1630" spans="1:31" s="24" customFormat="1" x14ac:dyDescent="0.3">
      <c r="A1630" s="23">
        <v>446</v>
      </c>
      <c r="B1630" s="23">
        <v>442</v>
      </c>
      <c r="C1630" s="24" t="s">
        <v>2165</v>
      </c>
      <c r="D1630" s="69" t="s">
        <v>1308</v>
      </c>
      <c r="E1630" s="24" t="s">
        <v>1307</v>
      </c>
      <c r="F1630" s="24" t="s">
        <v>1321</v>
      </c>
      <c r="G1630" s="69" t="s">
        <v>1322</v>
      </c>
      <c r="I1630" s="69"/>
      <c r="J1630" s="24" t="s">
        <v>5080</v>
      </c>
      <c r="K1630" s="24" t="s">
        <v>1323</v>
      </c>
      <c r="L1630" s="24" t="s">
        <v>9848</v>
      </c>
      <c r="M1630" s="75" t="s">
        <v>65</v>
      </c>
      <c r="N1630" s="75" t="s">
        <v>2031</v>
      </c>
      <c r="O1630" s="75" t="s">
        <v>67</v>
      </c>
      <c r="P1630" s="75" t="s">
        <v>67</v>
      </c>
      <c r="Q1630" s="75" t="s">
        <v>85</v>
      </c>
      <c r="R1630" s="75"/>
      <c r="T1630" s="24" t="s">
        <v>2179</v>
      </c>
      <c r="V1630" s="24" t="s">
        <v>2711</v>
      </c>
      <c r="Z1630" s="69"/>
      <c r="AA1630" s="69"/>
      <c r="AB1630" s="69"/>
      <c r="AC1630" s="69"/>
      <c r="AE1630" s="24" t="s">
        <v>2712</v>
      </c>
    </row>
    <row r="1631" spans="1:31" s="24" customFormat="1" x14ac:dyDescent="0.3">
      <c r="A1631" s="23">
        <v>447</v>
      </c>
      <c r="B1631" s="23">
        <v>443</v>
      </c>
      <c r="C1631" s="24" t="s">
        <v>2165</v>
      </c>
      <c r="D1631" s="69" t="s">
        <v>1325</v>
      </c>
      <c r="E1631" s="24" t="s">
        <v>1324</v>
      </c>
      <c r="F1631" s="24" t="s">
        <v>1326</v>
      </c>
      <c r="G1631" s="69" t="s">
        <v>1327</v>
      </c>
      <c r="H1631" s="24">
        <v>2</v>
      </c>
      <c r="I1631" s="69"/>
      <c r="J1631" s="24" t="s">
        <v>5085</v>
      </c>
      <c r="K1631" s="24" t="s">
        <v>68</v>
      </c>
      <c r="M1631" s="75" t="s">
        <v>65</v>
      </c>
      <c r="N1631" s="75" t="s">
        <v>2020</v>
      </c>
      <c r="O1631" s="75"/>
      <c r="P1631" s="75"/>
      <c r="Q1631" s="75"/>
      <c r="R1631" s="75"/>
      <c r="T1631" s="24" t="s">
        <v>2174</v>
      </c>
      <c r="V1631" s="24" t="s">
        <v>2713</v>
      </c>
      <c r="W1631" s="24" t="s">
        <v>2714</v>
      </c>
      <c r="Z1631" s="69"/>
      <c r="AA1631" s="69"/>
      <c r="AB1631" s="69"/>
      <c r="AC1631" s="69"/>
      <c r="AE1631" s="24" t="s">
        <v>2715</v>
      </c>
    </row>
    <row r="1632" spans="1:31" s="26" customFormat="1" x14ac:dyDescent="0.3">
      <c r="A1632" s="25" t="s">
        <v>7152</v>
      </c>
      <c r="B1632" s="25"/>
      <c r="C1632" s="26" t="s">
        <v>3005</v>
      </c>
      <c r="D1632" s="70"/>
      <c r="G1632" s="70" t="s">
        <v>1327</v>
      </c>
      <c r="H1632" s="26">
        <v>1</v>
      </c>
      <c r="I1632" s="70" t="s">
        <v>7153</v>
      </c>
      <c r="J1632" s="26" t="s">
        <v>5030</v>
      </c>
      <c r="K1632" s="26" t="s">
        <v>7154</v>
      </c>
      <c r="L1632" s="26" t="s">
        <v>10724</v>
      </c>
      <c r="M1632" s="76"/>
      <c r="N1632" s="76"/>
      <c r="O1632" s="76"/>
      <c r="P1632" s="76"/>
      <c r="Q1632" s="76"/>
      <c r="R1632" s="76"/>
      <c r="Z1632" s="70"/>
      <c r="AA1632" s="70"/>
      <c r="AB1632" s="70"/>
      <c r="AC1632" s="70"/>
    </row>
    <row r="1633" spans="1:31" s="26" customFormat="1" x14ac:dyDescent="0.3">
      <c r="A1633" s="25" t="s">
        <v>7155</v>
      </c>
      <c r="B1633" s="25"/>
      <c r="C1633" s="26" t="s">
        <v>3005</v>
      </c>
      <c r="D1633" s="70"/>
      <c r="G1633" s="70" t="s">
        <v>1327</v>
      </c>
      <c r="H1633" s="26">
        <v>1</v>
      </c>
      <c r="I1633" s="70" t="s">
        <v>7156</v>
      </c>
      <c r="J1633" s="26" t="s">
        <v>5085</v>
      </c>
      <c r="K1633" s="26" t="s">
        <v>6990</v>
      </c>
      <c r="L1633" s="26" t="s">
        <v>10725</v>
      </c>
      <c r="M1633" s="76"/>
      <c r="N1633" s="76"/>
      <c r="O1633" s="76"/>
      <c r="P1633" s="76"/>
      <c r="Q1633" s="76"/>
      <c r="R1633" s="76"/>
      <c r="Z1633" s="70"/>
      <c r="AA1633" s="70"/>
      <c r="AB1633" s="70"/>
      <c r="AC1633" s="70"/>
    </row>
    <row r="1634" spans="1:31" s="24" customFormat="1" x14ac:dyDescent="0.3">
      <c r="A1634" s="23">
        <v>448</v>
      </c>
      <c r="B1634" s="23">
        <v>444</v>
      </c>
      <c r="C1634" s="24" t="s">
        <v>2165</v>
      </c>
      <c r="D1634" s="69" t="s">
        <v>1325</v>
      </c>
      <c r="E1634" s="24" t="s">
        <v>1324</v>
      </c>
      <c r="F1634" s="24" t="s">
        <v>1328</v>
      </c>
      <c r="G1634" s="69" t="s">
        <v>1329</v>
      </c>
      <c r="I1634" s="69"/>
      <c r="J1634" s="24" t="s">
        <v>5303</v>
      </c>
      <c r="K1634" s="24" t="s">
        <v>1330</v>
      </c>
      <c r="L1634" s="24" t="s">
        <v>9849</v>
      </c>
      <c r="M1634" s="75" t="s">
        <v>65</v>
      </c>
      <c r="N1634" s="75" t="s">
        <v>2020</v>
      </c>
      <c r="O1634" s="75"/>
      <c r="P1634" s="75"/>
      <c r="Q1634" s="75"/>
      <c r="R1634" s="75"/>
      <c r="T1634" s="24" t="s">
        <v>2179</v>
      </c>
      <c r="V1634" s="24" t="s">
        <v>2713</v>
      </c>
      <c r="W1634" s="24" t="s">
        <v>2716</v>
      </c>
      <c r="Z1634" s="69"/>
      <c r="AA1634" s="69"/>
      <c r="AB1634" s="69"/>
      <c r="AC1634" s="69"/>
      <c r="AE1634" s="24" t="s">
        <v>2717</v>
      </c>
    </row>
    <row r="1635" spans="1:31" s="24" customFormat="1" x14ac:dyDescent="0.3">
      <c r="A1635" s="23">
        <v>449</v>
      </c>
      <c r="B1635" s="23">
        <v>445</v>
      </c>
      <c r="C1635" s="24" t="s">
        <v>2165</v>
      </c>
      <c r="D1635" s="69" t="s">
        <v>1325</v>
      </c>
      <c r="E1635" s="24" t="s">
        <v>1324</v>
      </c>
      <c r="F1635" s="24" t="s">
        <v>1331</v>
      </c>
      <c r="G1635" s="69" t="s">
        <v>1332</v>
      </c>
      <c r="H1635" s="24">
        <v>2</v>
      </c>
      <c r="I1635" s="69"/>
      <c r="J1635" s="24" t="s">
        <v>5272</v>
      </c>
      <c r="K1635" s="24" t="s">
        <v>68</v>
      </c>
      <c r="M1635" s="75" t="s">
        <v>65</v>
      </c>
      <c r="N1635" s="75" t="s">
        <v>2019</v>
      </c>
      <c r="O1635" s="75"/>
      <c r="P1635" s="75"/>
      <c r="Q1635" s="75"/>
      <c r="R1635" s="75"/>
      <c r="Z1635" s="69"/>
      <c r="AA1635" s="69"/>
      <c r="AB1635" s="69"/>
      <c r="AC1635" s="69"/>
    </row>
    <row r="1636" spans="1:31" s="26" customFormat="1" x14ac:dyDescent="0.3">
      <c r="A1636" s="25" t="s">
        <v>7157</v>
      </c>
      <c r="B1636" s="25"/>
      <c r="C1636" s="26" t="s">
        <v>3005</v>
      </c>
      <c r="D1636" s="70"/>
      <c r="G1636" s="70" t="s">
        <v>1332</v>
      </c>
      <c r="H1636" s="26">
        <v>1</v>
      </c>
      <c r="I1636" s="70" t="s">
        <v>7158</v>
      </c>
      <c r="J1636" s="26" t="s">
        <v>7159</v>
      </c>
      <c r="K1636" s="26" t="s">
        <v>7160</v>
      </c>
      <c r="L1636" s="26" t="s">
        <v>10726</v>
      </c>
      <c r="M1636" s="76"/>
      <c r="N1636" s="76"/>
      <c r="O1636" s="76"/>
      <c r="P1636" s="76"/>
      <c r="Q1636" s="76"/>
      <c r="R1636" s="76"/>
      <c r="Z1636" s="70"/>
      <c r="AA1636" s="70"/>
      <c r="AB1636" s="70"/>
      <c r="AC1636" s="70"/>
    </row>
    <row r="1637" spans="1:31" s="26" customFormat="1" x14ac:dyDescent="0.3">
      <c r="A1637" s="25" t="s">
        <v>7161</v>
      </c>
      <c r="B1637" s="25"/>
      <c r="C1637" s="26" t="s">
        <v>3005</v>
      </c>
      <c r="D1637" s="70"/>
      <c r="G1637" s="70" t="s">
        <v>1332</v>
      </c>
      <c r="H1637" s="26">
        <v>1</v>
      </c>
      <c r="I1637" s="70" t="s">
        <v>7162</v>
      </c>
      <c r="J1637" s="26" t="s">
        <v>5272</v>
      </c>
      <c r="K1637" s="26" t="s">
        <v>7163</v>
      </c>
      <c r="L1637" s="26" t="s">
        <v>10727</v>
      </c>
      <c r="M1637" s="76"/>
      <c r="N1637" s="76"/>
      <c r="O1637" s="76"/>
      <c r="P1637" s="76"/>
      <c r="Q1637" s="76"/>
      <c r="R1637" s="76"/>
      <c r="Z1637" s="70"/>
      <c r="AA1637" s="70"/>
      <c r="AB1637" s="70"/>
      <c r="AC1637" s="70"/>
    </row>
    <row r="1638" spans="1:31" s="24" customFormat="1" x14ac:dyDescent="0.3">
      <c r="A1638" s="23">
        <v>450</v>
      </c>
      <c r="B1638" s="23">
        <v>446</v>
      </c>
      <c r="C1638" s="24" t="s">
        <v>2165</v>
      </c>
      <c r="D1638" s="69" t="s">
        <v>1325</v>
      </c>
      <c r="E1638" s="24" t="s">
        <v>1324</v>
      </c>
      <c r="F1638" s="24" t="s">
        <v>1333</v>
      </c>
      <c r="G1638" s="69" t="s">
        <v>1334</v>
      </c>
      <c r="I1638" s="69"/>
      <c r="J1638" s="24" t="s">
        <v>5274</v>
      </c>
      <c r="K1638" s="24" t="s">
        <v>1335</v>
      </c>
      <c r="L1638" s="24" t="s">
        <v>9848</v>
      </c>
      <c r="M1638" s="75" t="s">
        <v>65</v>
      </c>
      <c r="N1638" s="75" t="s">
        <v>2031</v>
      </c>
      <c r="O1638" s="75" t="s">
        <v>66</v>
      </c>
      <c r="P1638" s="75" t="s">
        <v>66</v>
      </c>
      <c r="Q1638" s="75" t="s">
        <v>67</v>
      </c>
      <c r="R1638" s="75"/>
      <c r="T1638" s="24" t="s">
        <v>2179</v>
      </c>
      <c r="V1638" s="24" t="s">
        <v>1331</v>
      </c>
      <c r="Z1638" s="69"/>
      <c r="AA1638" s="69"/>
      <c r="AB1638" s="69"/>
      <c r="AC1638" s="69"/>
      <c r="AE1638" s="24" t="s">
        <v>2718</v>
      </c>
    </row>
    <row r="1639" spans="1:31" s="24" customFormat="1" x14ac:dyDescent="0.3">
      <c r="A1639" s="23">
        <v>451</v>
      </c>
      <c r="B1639" s="23">
        <v>447</v>
      </c>
      <c r="C1639" s="24" t="s">
        <v>2165</v>
      </c>
      <c r="D1639" s="69" t="s">
        <v>1325</v>
      </c>
      <c r="E1639" s="24" t="s">
        <v>1324</v>
      </c>
      <c r="F1639" s="24" t="s">
        <v>1336</v>
      </c>
      <c r="G1639" s="69" t="s">
        <v>1337</v>
      </c>
      <c r="I1639" s="69"/>
      <c r="J1639" s="24" t="s">
        <v>5085</v>
      </c>
      <c r="K1639" s="24" t="s">
        <v>1338</v>
      </c>
      <c r="L1639" s="24" t="s">
        <v>9850</v>
      </c>
      <c r="M1639" s="75" t="s">
        <v>65</v>
      </c>
      <c r="N1639" s="75" t="s">
        <v>2022</v>
      </c>
      <c r="O1639" s="75"/>
      <c r="P1639" s="75"/>
      <c r="Q1639" s="75"/>
      <c r="R1639" s="75"/>
      <c r="T1639" s="24" t="s">
        <v>2179</v>
      </c>
      <c r="V1639" s="24" t="s">
        <v>1331</v>
      </c>
      <c r="Z1639" s="69"/>
      <c r="AA1639" s="69"/>
      <c r="AB1639" s="69"/>
      <c r="AC1639" s="69"/>
      <c r="AE1639" s="24" t="s">
        <v>2719</v>
      </c>
    </row>
    <row r="1640" spans="1:31" s="24" customFormat="1" x14ac:dyDescent="0.3">
      <c r="A1640" s="23">
        <v>452</v>
      </c>
      <c r="B1640" s="23">
        <v>448</v>
      </c>
      <c r="C1640" s="24" t="s">
        <v>2165</v>
      </c>
      <c r="D1640" s="69" t="s">
        <v>1325</v>
      </c>
      <c r="E1640" s="24" t="s">
        <v>1324</v>
      </c>
      <c r="F1640" s="24" t="s">
        <v>1339</v>
      </c>
      <c r="G1640" s="69" t="s">
        <v>1340</v>
      </c>
      <c r="I1640" s="69"/>
      <c r="J1640" s="24" t="s">
        <v>3385</v>
      </c>
      <c r="K1640" s="24" t="s">
        <v>68</v>
      </c>
      <c r="L1640" s="24" t="s">
        <v>9851</v>
      </c>
      <c r="M1640" s="75" t="s">
        <v>65</v>
      </c>
      <c r="N1640" s="75" t="s">
        <v>2015</v>
      </c>
      <c r="O1640" s="75"/>
      <c r="P1640" s="75"/>
      <c r="Q1640" s="75"/>
      <c r="R1640" s="75"/>
      <c r="T1640" s="24" t="s">
        <v>2179</v>
      </c>
      <c r="V1640" s="24" t="s">
        <v>2720</v>
      </c>
      <c r="W1640" s="24" t="s">
        <v>2721</v>
      </c>
      <c r="Z1640" s="69"/>
      <c r="AA1640" s="69"/>
      <c r="AB1640" s="69"/>
      <c r="AC1640" s="69"/>
      <c r="AE1640" s="24" t="s">
        <v>2722</v>
      </c>
    </row>
    <row r="1641" spans="1:31" s="24" customFormat="1" x14ac:dyDescent="0.3">
      <c r="A1641" s="23">
        <v>453</v>
      </c>
      <c r="B1641" s="23">
        <v>449</v>
      </c>
      <c r="C1641" s="24" t="s">
        <v>2165</v>
      </c>
      <c r="D1641" s="69" t="s">
        <v>1325</v>
      </c>
      <c r="E1641" s="24" t="s">
        <v>1324</v>
      </c>
      <c r="F1641" s="24" t="s">
        <v>1341</v>
      </c>
      <c r="G1641" s="69" t="s">
        <v>1342</v>
      </c>
      <c r="H1641" s="24">
        <v>2</v>
      </c>
      <c r="I1641" s="69"/>
      <c r="J1641" s="24" t="s">
        <v>6565</v>
      </c>
      <c r="K1641" s="24" t="s">
        <v>998</v>
      </c>
      <c r="M1641" s="75" t="s">
        <v>65</v>
      </c>
      <c r="N1641" s="75" t="s">
        <v>2025</v>
      </c>
      <c r="O1641" s="75"/>
      <c r="P1641" s="75"/>
      <c r="Q1641" s="75"/>
      <c r="R1641" s="75"/>
      <c r="Z1641" s="69"/>
      <c r="AA1641" s="69"/>
      <c r="AB1641" s="69"/>
      <c r="AC1641" s="69"/>
    </row>
    <row r="1642" spans="1:31" s="26" customFormat="1" x14ac:dyDescent="0.3">
      <c r="A1642" s="25" t="s">
        <v>7164</v>
      </c>
      <c r="B1642" s="25"/>
      <c r="C1642" s="26" t="s">
        <v>3005</v>
      </c>
      <c r="D1642" s="70"/>
      <c r="G1642" s="70" t="s">
        <v>1342</v>
      </c>
      <c r="H1642" s="26">
        <v>1</v>
      </c>
      <c r="I1642" s="70" t="s">
        <v>7165</v>
      </c>
      <c r="J1642" s="26" t="s">
        <v>5307</v>
      </c>
      <c r="K1642" s="26" t="s">
        <v>7166</v>
      </c>
      <c r="L1642" s="26" t="s">
        <v>10728</v>
      </c>
      <c r="M1642" s="76"/>
      <c r="N1642" s="76"/>
      <c r="O1642" s="76"/>
      <c r="P1642" s="76"/>
      <c r="Q1642" s="76"/>
      <c r="R1642" s="76"/>
      <c r="Z1642" s="70"/>
      <c r="AA1642" s="70"/>
      <c r="AB1642" s="70"/>
      <c r="AC1642" s="70"/>
    </row>
    <row r="1643" spans="1:31" s="26" customFormat="1" x14ac:dyDescent="0.3">
      <c r="A1643" s="25" t="s">
        <v>7167</v>
      </c>
      <c r="B1643" s="25"/>
      <c r="C1643" s="26" t="s">
        <v>3005</v>
      </c>
      <c r="D1643" s="70"/>
      <c r="G1643" s="70" t="s">
        <v>1342</v>
      </c>
      <c r="H1643" s="26">
        <v>1</v>
      </c>
      <c r="I1643" s="70" t="s">
        <v>7168</v>
      </c>
      <c r="J1643" s="26" t="s">
        <v>6565</v>
      </c>
      <c r="K1643" s="26" t="s">
        <v>7169</v>
      </c>
      <c r="L1643" s="26" t="s">
        <v>10729</v>
      </c>
      <c r="M1643" s="76"/>
      <c r="N1643" s="76"/>
      <c r="O1643" s="76"/>
      <c r="P1643" s="76"/>
      <c r="Q1643" s="76"/>
      <c r="R1643" s="76"/>
      <c r="Z1643" s="70"/>
      <c r="AA1643" s="70"/>
      <c r="AB1643" s="70"/>
      <c r="AC1643" s="70"/>
    </row>
    <row r="1644" spans="1:31" s="24" customFormat="1" x14ac:dyDescent="0.3">
      <c r="A1644" s="23">
        <v>454</v>
      </c>
      <c r="B1644" s="23">
        <v>450</v>
      </c>
      <c r="C1644" s="24" t="s">
        <v>2165</v>
      </c>
      <c r="D1644" s="69" t="s">
        <v>1344</v>
      </c>
      <c r="E1644" s="24" t="s">
        <v>1343</v>
      </c>
      <c r="F1644" s="24" t="s">
        <v>1345</v>
      </c>
      <c r="G1644" s="69" t="s">
        <v>1346</v>
      </c>
      <c r="H1644" s="24">
        <v>2</v>
      </c>
      <c r="I1644" s="69"/>
      <c r="J1644" s="24" t="s">
        <v>3323</v>
      </c>
      <c r="K1644" s="24" t="s">
        <v>836</v>
      </c>
      <c r="M1644" s="75" t="s">
        <v>15</v>
      </c>
      <c r="N1644" s="75"/>
      <c r="O1644" s="75"/>
      <c r="P1644" s="75"/>
      <c r="Q1644" s="75"/>
      <c r="R1644" s="75"/>
      <c r="Z1644" s="69"/>
      <c r="AA1644" s="69"/>
      <c r="AB1644" s="69"/>
      <c r="AC1644" s="69"/>
    </row>
    <row r="1645" spans="1:31" s="26" customFormat="1" x14ac:dyDescent="0.3">
      <c r="A1645" s="25" t="s">
        <v>7170</v>
      </c>
      <c r="B1645" s="25"/>
      <c r="C1645" s="26" t="s">
        <v>3005</v>
      </c>
      <c r="D1645" s="70"/>
      <c r="G1645" s="70" t="s">
        <v>1346</v>
      </c>
      <c r="H1645" s="26">
        <v>-1</v>
      </c>
      <c r="I1645" s="70" t="s">
        <v>7171</v>
      </c>
      <c r="J1645" s="26" t="s">
        <v>7172</v>
      </c>
      <c r="K1645" s="26" t="s">
        <v>7173</v>
      </c>
      <c r="L1645" s="26" t="s">
        <v>10730</v>
      </c>
      <c r="M1645" s="76"/>
      <c r="N1645" s="76"/>
      <c r="O1645" s="76"/>
      <c r="P1645" s="76"/>
      <c r="Q1645" s="76"/>
      <c r="R1645" s="76"/>
      <c r="Z1645" s="70"/>
      <c r="AA1645" s="70"/>
      <c r="AB1645" s="70"/>
      <c r="AC1645" s="70"/>
    </row>
    <row r="1646" spans="1:31" s="26" customFormat="1" x14ac:dyDescent="0.3">
      <c r="A1646" s="25" t="s">
        <v>7174</v>
      </c>
      <c r="B1646" s="25"/>
      <c r="C1646" s="26" t="s">
        <v>3005</v>
      </c>
      <c r="D1646" s="70"/>
      <c r="G1646" s="70" t="s">
        <v>1346</v>
      </c>
      <c r="H1646" s="26">
        <v>-1</v>
      </c>
      <c r="I1646" s="70" t="s">
        <v>5927</v>
      </c>
      <c r="J1646" s="26" t="s">
        <v>5280</v>
      </c>
      <c r="K1646" s="26" t="s">
        <v>3757</v>
      </c>
      <c r="L1646" s="26" t="s">
        <v>3757</v>
      </c>
      <c r="M1646" s="76"/>
      <c r="N1646" s="76"/>
      <c r="O1646" s="76"/>
      <c r="P1646" s="76"/>
      <c r="Q1646" s="76"/>
      <c r="R1646" s="76"/>
      <c r="Z1646" s="70"/>
      <c r="AA1646" s="70"/>
      <c r="AB1646" s="70"/>
      <c r="AC1646" s="70"/>
    </row>
    <row r="1647" spans="1:31" s="26" customFormat="1" x14ac:dyDescent="0.3">
      <c r="A1647" s="25" t="s">
        <v>7175</v>
      </c>
      <c r="B1647" s="25"/>
      <c r="C1647" s="26" t="s">
        <v>3005</v>
      </c>
      <c r="D1647" s="70"/>
      <c r="G1647" s="70" t="s">
        <v>1346</v>
      </c>
      <c r="H1647" s="26">
        <v>-1</v>
      </c>
      <c r="I1647" s="70" t="s">
        <v>3713</v>
      </c>
      <c r="J1647" s="26" t="s">
        <v>4653</v>
      </c>
      <c r="K1647" s="26" t="s">
        <v>3736</v>
      </c>
      <c r="L1647" s="26" t="s">
        <v>3736</v>
      </c>
      <c r="M1647" s="76"/>
      <c r="N1647" s="76"/>
      <c r="O1647" s="76"/>
      <c r="P1647" s="76"/>
      <c r="Q1647" s="76"/>
      <c r="R1647" s="76"/>
      <c r="Z1647" s="70"/>
      <c r="AA1647" s="70"/>
      <c r="AB1647" s="70"/>
      <c r="AC1647" s="70"/>
    </row>
    <row r="1648" spans="1:31" s="26" customFormat="1" x14ac:dyDescent="0.3">
      <c r="A1648" s="25" t="s">
        <v>7176</v>
      </c>
      <c r="B1648" s="25"/>
      <c r="C1648" s="26" t="s">
        <v>3005</v>
      </c>
      <c r="D1648" s="70"/>
      <c r="G1648" s="70" t="s">
        <v>1346</v>
      </c>
      <c r="H1648" s="26">
        <v>-1</v>
      </c>
      <c r="I1648" s="70" t="s">
        <v>7177</v>
      </c>
      <c r="J1648" s="26" t="s">
        <v>7178</v>
      </c>
      <c r="K1648" s="26" t="s">
        <v>3750</v>
      </c>
      <c r="L1648" s="26" t="s">
        <v>10731</v>
      </c>
      <c r="M1648" s="76"/>
      <c r="N1648" s="76"/>
      <c r="O1648" s="76"/>
      <c r="P1648" s="76"/>
      <c r="Q1648" s="76"/>
      <c r="R1648" s="76"/>
      <c r="Z1648" s="70"/>
      <c r="AA1648" s="70"/>
      <c r="AB1648" s="70"/>
      <c r="AC1648" s="70"/>
    </row>
    <row r="1649" spans="1:29" s="26" customFormat="1" x14ac:dyDescent="0.3">
      <c r="A1649" s="25" t="s">
        <v>7179</v>
      </c>
      <c r="B1649" s="25"/>
      <c r="C1649" s="26" t="s">
        <v>3005</v>
      </c>
      <c r="D1649" s="70"/>
      <c r="G1649" s="70" t="s">
        <v>1346</v>
      </c>
      <c r="H1649" s="26">
        <v>-1</v>
      </c>
      <c r="I1649" s="70" t="s">
        <v>7180</v>
      </c>
      <c r="J1649" s="26" t="s">
        <v>7181</v>
      </c>
      <c r="K1649" s="26" t="s">
        <v>7182</v>
      </c>
      <c r="L1649" s="26" t="s">
        <v>5604</v>
      </c>
      <c r="M1649" s="76"/>
      <c r="N1649" s="76"/>
      <c r="O1649" s="76"/>
      <c r="P1649" s="76"/>
      <c r="Q1649" s="76"/>
      <c r="R1649" s="76"/>
      <c r="Z1649" s="70"/>
      <c r="AA1649" s="70"/>
      <c r="AB1649" s="70"/>
      <c r="AC1649" s="70"/>
    </row>
    <row r="1650" spans="1:29" s="26" customFormat="1" x14ac:dyDescent="0.3">
      <c r="A1650" s="25" t="s">
        <v>7183</v>
      </c>
      <c r="B1650" s="25"/>
      <c r="C1650" s="26" t="s">
        <v>3005</v>
      </c>
      <c r="D1650" s="70"/>
      <c r="G1650" s="70" t="s">
        <v>1346</v>
      </c>
      <c r="H1650" s="26">
        <v>-1</v>
      </c>
      <c r="I1650" s="70" t="s">
        <v>5051</v>
      </c>
      <c r="J1650" s="26" t="s">
        <v>7184</v>
      </c>
      <c r="K1650" s="26" t="s">
        <v>7185</v>
      </c>
      <c r="L1650" s="26" t="s">
        <v>9974</v>
      </c>
      <c r="M1650" s="76"/>
      <c r="N1650" s="76"/>
      <c r="O1650" s="76"/>
      <c r="P1650" s="76"/>
      <c r="Q1650" s="76"/>
      <c r="R1650" s="76"/>
      <c r="Z1650" s="70"/>
      <c r="AA1650" s="70"/>
      <c r="AB1650" s="70"/>
      <c r="AC1650" s="70"/>
    </row>
    <row r="1651" spans="1:29" s="26" customFormat="1" x14ac:dyDescent="0.3">
      <c r="A1651" s="25" t="s">
        <v>7186</v>
      </c>
      <c r="B1651" s="25"/>
      <c r="C1651" s="26" t="s">
        <v>3005</v>
      </c>
      <c r="D1651" s="70"/>
      <c r="G1651" s="70" t="s">
        <v>1346</v>
      </c>
      <c r="H1651" s="26">
        <v>-1</v>
      </c>
      <c r="I1651" s="70" t="s">
        <v>7187</v>
      </c>
      <c r="J1651" s="26" t="s">
        <v>7188</v>
      </c>
      <c r="K1651" s="26" t="s">
        <v>7189</v>
      </c>
      <c r="L1651" s="26" t="s">
        <v>10732</v>
      </c>
      <c r="M1651" s="76"/>
      <c r="N1651" s="76"/>
      <c r="O1651" s="76"/>
      <c r="P1651" s="76"/>
      <c r="Q1651" s="76"/>
      <c r="R1651" s="76"/>
      <c r="Z1651" s="70"/>
      <c r="AA1651" s="70"/>
      <c r="AB1651" s="70"/>
      <c r="AC1651" s="70"/>
    </row>
    <row r="1652" spans="1:29" s="26" customFormat="1" x14ac:dyDescent="0.3">
      <c r="A1652" s="25" t="s">
        <v>7190</v>
      </c>
      <c r="B1652" s="25"/>
      <c r="C1652" s="26" t="s">
        <v>3005</v>
      </c>
      <c r="D1652" s="70"/>
      <c r="G1652" s="70" t="s">
        <v>1346</v>
      </c>
      <c r="H1652" s="26">
        <v>-1</v>
      </c>
      <c r="I1652" s="70" t="s">
        <v>7191</v>
      </c>
      <c r="J1652" s="26" t="s">
        <v>7192</v>
      </c>
      <c r="K1652" s="26" t="s">
        <v>7193</v>
      </c>
      <c r="L1652" s="26" t="s">
        <v>10733</v>
      </c>
      <c r="M1652" s="76"/>
      <c r="N1652" s="76"/>
      <c r="O1652" s="76"/>
      <c r="P1652" s="76"/>
      <c r="Q1652" s="76"/>
      <c r="R1652" s="76"/>
      <c r="Z1652" s="70"/>
      <c r="AA1652" s="70"/>
      <c r="AB1652" s="70"/>
      <c r="AC1652" s="70"/>
    </row>
    <row r="1653" spans="1:29" s="26" customFormat="1" x14ac:dyDescent="0.3">
      <c r="A1653" s="25" t="s">
        <v>7194</v>
      </c>
      <c r="B1653" s="25"/>
      <c r="C1653" s="26" t="s">
        <v>3005</v>
      </c>
      <c r="D1653" s="70"/>
      <c r="G1653" s="70" t="s">
        <v>1346</v>
      </c>
      <c r="H1653" s="26">
        <v>-1</v>
      </c>
      <c r="I1653" s="70" t="s">
        <v>7195</v>
      </c>
      <c r="J1653" s="26" t="s">
        <v>7181</v>
      </c>
      <c r="K1653" s="26" t="s">
        <v>7196</v>
      </c>
      <c r="L1653" s="26" t="s">
        <v>10734</v>
      </c>
      <c r="M1653" s="76"/>
      <c r="N1653" s="76"/>
      <c r="O1653" s="76"/>
      <c r="P1653" s="76"/>
      <c r="Q1653" s="76"/>
      <c r="R1653" s="76"/>
      <c r="Z1653" s="70"/>
      <c r="AA1653" s="70"/>
      <c r="AB1653" s="70"/>
      <c r="AC1653" s="70"/>
    </row>
    <row r="1654" spans="1:29" s="26" customFormat="1" x14ac:dyDescent="0.3">
      <c r="A1654" s="25" t="s">
        <v>7197</v>
      </c>
      <c r="B1654" s="25"/>
      <c r="C1654" s="26" t="s">
        <v>3005</v>
      </c>
      <c r="D1654" s="70"/>
      <c r="G1654" s="70" t="s">
        <v>1346</v>
      </c>
      <c r="H1654" s="26">
        <v>-1</v>
      </c>
      <c r="I1654" s="70" t="s">
        <v>7198</v>
      </c>
      <c r="J1654" s="26" t="s">
        <v>7181</v>
      </c>
      <c r="K1654" s="26" t="s">
        <v>7199</v>
      </c>
      <c r="L1654" s="26" t="s">
        <v>10735</v>
      </c>
      <c r="M1654" s="76"/>
      <c r="N1654" s="76"/>
      <c r="O1654" s="76"/>
      <c r="P1654" s="76"/>
      <c r="Q1654" s="76"/>
      <c r="R1654" s="76"/>
      <c r="Z1654" s="70"/>
      <c r="AA1654" s="70"/>
      <c r="AB1654" s="70"/>
      <c r="AC1654" s="70"/>
    </row>
    <row r="1655" spans="1:29" s="26" customFormat="1" x14ac:dyDescent="0.3">
      <c r="A1655" s="25" t="s">
        <v>7200</v>
      </c>
      <c r="B1655" s="25"/>
      <c r="C1655" s="26" t="s">
        <v>3005</v>
      </c>
      <c r="D1655" s="70"/>
      <c r="G1655" s="70" t="s">
        <v>1346</v>
      </c>
      <c r="H1655" s="26">
        <v>-1</v>
      </c>
      <c r="I1655" s="70" t="s">
        <v>5970</v>
      </c>
      <c r="J1655" s="26" t="s">
        <v>6155</v>
      </c>
      <c r="K1655" s="26" t="s">
        <v>3215</v>
      </c>
      <c r="L1655" s="26" t="s">
        <v>5732</v>
      </c>
      <c r="M1655" s="76"/>
      <c r="N1655" s="76"/>
      <c r="O1655" s="76"/>
      <c r="P1655" s="76"/>
      <c r="Q1655" s="76"/>
      <c r="R1655" s="76"/>
      <c r="Z1655" s="70"/>
      <c r="AA1655" s="70"/>
      <c r="AB1655" s="70"/>
      <c r="AC1655" s="70"/>
    </row>
    <row r="1656" spans="1:29" s="26" customFormat="1" x14ac:dyDescent="0.3">
      <c r="A1656" s="25" t="s">
        <v>7201</v>
      </c>
      <c r="B1656" s="25"/>
      <c r="C1656" s="26" t="s">
        <v>3005</v>
      </c>
      <c r="D1656" s="70"/>
      <c r="G1656" s="70" t="s">
        <v>1346</v>
      </c>
      <c r="H1656" s="26">
        <v>-1</v>
      </c>
      <c r="I1656" s="70" t="s">
        <v>7202</v>
      </c>
      <c r="J1656" s="26" t="s">
        <v>7203</v>
      </c>
      <c r="K1656" s="26" t="s">
        <v>7204</v>
      </c>
      <c r="L1656" s="26" t="s">
        <v>10736</v>
      </c>
      <c r="M1656" s="76"/>
      <c r="N1656" s="76"/>
      <c r="O1656" s="76"/>
      <c r="P1656" s="76"/>
      <c r="Q1656" s="76"/>
      <c r="R1656" s="76"/>
      <c r="Z1656" s="70"/>
      <c r="AA1656" s="70"/>
      <c r="AB1656" s="70"/>
      <c r="AC1656" s="70"/>
    </row>
    <row r="1657" spans="1:29" s="26" customFormat="1" x14ac:dyDescent="0.3">
      <c r="A1657" s="25" t="s">
        <v>7205</v>
      </c>
      <c r="B1657" s="25"/>
      <c r="C1657" s="26" t="s">
        <v>3005</v>
      </c>
      <c r="D1657" s="70"/>
      <c r="G1657" s="70" t="s">
        <v>1346</v>
      </c>
      <c r="H1657" s="26">
        <v>-1</v>
      </c>
      <c r="I1657" s="70" t="s">
        <v>7206</v>
      </c>
      <c r="J1657" s="26" t="s">
        <v>7207</v>
      </c>
      <c r="K1657" s="26" t="s">
        <v>7208</v>
      </c>
      <c r="L1657" s="26" t="s">
        <v>10737</v>
      </c>
      <c r="M1657" s="76"/>
      <c r="N1657" s="76"/>
      <c r="O1657" s="76"/>
      <c r="P1657" s="76"/>
      <c r="Q1657" s="76"/>
      <c r="R1657" s="76"/>
      <c r="Z1657" s="70"/>
      <c r="AA1657" s="70"/>
      <c r="AB1657" s="70"/>
      <c r="AC1657" s="70"/>
    </row>
    <row r="1658" spans="1:29" s="26" customFormat="1" x14ac:dyDescent="0.3">
      <c r="A1658" s="25" t="s">
        <v>7209</v>
      </c>
      <c r="B1658" s="25"/>
      <c r="C1658" s="26" t="s">
        <v>3005</v>
      </c>
      <c r="D1658" s="70"/>
      <c r="G1658" s="70" t="s">
        <v>1346</v>
      </c>
      <c r="H1658" s="26">
        <v>-1</v>
      </c>
      <c r="I1658" s="70" t="s">
        <v>7210</v>
      </c>
      <c r="J1658" s="26" t="s">
        <v>7181</v>
      </c>
      <c r="K1658" s="26" t="s">
        <v>7211</v>
      </c>
      <c r="L1658" s="26" t="s">
        <v>10457</v>
      </c>
      <c r="M1658" s="76"/>
      <c r="N1658" s="76"/>
      <c r="O1658" s="76"/>
      <c r="P1658" s="76"/>
      <c r="Q1658" s="76"/>
      <c r="R1658" s="76"/>
      <c r="Z1658" s="70"/>
      <c r="AA1658" s="70"/>
      <c r="AB1658" s="70"/>
      <c r="AC1658" s="70"/>
    </row>
    <row r="1659" spans="1:29" s="26" customFormat="1" x14ac:dyDescent="0.3">
      <c r="A1659" s="25" t="s">
        <v>7212</v>
      </c>
      <c r="B1659" s="25"/>
      <c r="C1659" s="26" t="s">
        <v>3005</v>
      </c>
      <c r="D1659" s="70"/>
      <c r="G1659" s="70" t="s">
        <v>1346</v>
      </c>
      <c r="H1659" s="26">
        <v>-1</v>
      </c>
      <c r="I1659" s="70" t="s">
        <v>7213</v>
      </c>
      <c r="J1659" s="26" t="s">
        <v>7181</v>
      </c>
      <c r="K1659" s="26" t="s">
        <v>7214</v>
      </c>
      <c r="L1659" s="26" t="s">
        <v>10738</v>
      </c>
      <c r="M1659" s="76"/>
      <c r="N1659" s="76"/>
      <c r="O1659" s="76"/>
      <c r="P1659" s="76"/>
      <c r="Q1659" s="76"/>
      <c r="R1659" s="76"/>
      <c r="Z1659" s="70"/>
      <c r="AA1659" s="70"/>
      <c r="AB1659" s="70"/>
      <c r="AC1659" s="70"/>
    </row>
    <row r="1660" spans="1:29" s="26" customFormat="1" x14ac:dyDescent="0.3">
      <c r="A1660" s="25" t="s">
        <v>7215</v>
      </c>
      <c r="B1660" s="25"/>
      <c r="C1660" s="26" t="s">
        <v>3005</v>
      </c>
      <c r="D1660" s="70"/>
      <c r="G1660" s="70" t="s">
        <v>1346</v>
      </c>
      <c r="H1660" s="26">
        <v>-1</v>
      </c>
      <c r="I1660" s="70" t="s">
        <v>5241</v>
      </c>
      <c r="J1660" s="26" t="s">
        <v>3181</v>
      </c>
      <c r="K1660" s="26" t="s">
        <v>5140</v>
      </c>
      <c r="L1660" s="26" t="s">
        <v>10474</v>
      </c>
      <c r="M1660" s="76"/>
      <c r="N1660" s="76"/>
      <c r="O1660" s="76"/>
      <c r="P1660" s="76"/>
      <c r="Q1660" s="76"/>
      <c r="R1660" s="76"/>
      <c r="Z1660" s="70"/>
      <c r="AA1660" s="70"/>
      <c r="AB1660" s="70"/>
      <c r="AC1660" s="70"/>
    </row>
    <row r="1661" spans="1:29" s="26" customFormat="1" x14ac:dyDescent="0.3">
      <c r="A1661" s="25" t="s">
        <v>7216</v>
      </c>
      <c r="B1661" s="25"/>
      <c r="C1661" s="26" t="s">
        <v>3005</v>
      </c>
      <c r="D1661" s="70"/>
      <c r="G1661" s="70" t="s">
        <v>1346</v>
      </c>
      <c r="H1661" s="26">
        <v>-1</v>
      </c>
      <c r="I1661" s="70" t="s">
        <v>7217</v>
      </c>
      <c r="J1661" s="26" t="s">
        <v>7181</v>
      </c>
      <c r="K1661" s="26" t="s">
        <v>7103</v>
      </c>
      <c r="L1661" s="26" t="s">
        <v>10739</v>
      </c>
      <c r="M1661" s="76"/>
      <c r="N1661" s="76"/>
      <c r="O1661" s="76"/>
      <c r="P1661" s="76"/>
      <c r="Q1661" s="76"/>
      <c r="R1661" s="76"/>
      <c r="Z1661" s="70"/>
      <c r="AA1661" s="70"/>
      <c r="AB1661" s="70"/>
      <c r="AC1661" s="70"/>
    </row>
    <row r="1662" spans="1:29" s="26" customFormat="1" x14ac:dyDescent="0.3">
      <c r="A1662" s="25" t="s">
        <v>7218</v>
      </c>
      <c r="B1662" s="25"/>
      <c r="C1662" s="26" t="s">
        <v>3005</v>
      </c>
      <c r="D1662" s="70"/>
      <c r="G1662" s="70" t="s">
        <v>1346</v>
      </c>
      <c r="H1662" s="26">
        <v>-1</v>
      </c>
      <c r="I1662" s="70" t="s">
        <v>3767</v>
      </c>
      <c r="J1662" s="26" t="s">
        <v>7181</v>
      </c>
      <c r="K1662" s="26" t="s">
        <v>5148</v>
      </c>
      <c r="L1662" s="26" t="s">
        <v>10740</v>
      </c>
      <c r="M1662" s="76"/>
      <c r="N1662" s="76"/>
      <c r="O1662" s="76"/>
      <c r="P1662" s="76"/>
      <c r="Q1662" s="76"/>
      <c r="R1662" s="76"/>
      <c r="Z1662" s="70"/>
      <c r="AA1662" s="70"/>
      <c r="AB1662" s="70"/>
      <c r="AC1662" s="70"/>
    </row>
    <row r="1663" spans="1:29" s="26" customFormat="1" x14ac:dyDescent="0.3">
      <c r="A1663" s="25" t="s">
        <v>7219</v>
      </c>
      <c r="B1663" s="25"/>
      <c r="C1663" s="26" t="s">
        <v>3005</v>
      </c>
      <c r="D1663" s="70"/>
      <c r="G1663" s="70" t="s">
        <v>1346</v>
      </c>
      <c r="H1663" s="26">
        <v>-1</v>
      </c>
      <c r="I1663" s="70" t="s">
        <v>3786</v>
      </c>
      <c r="J1663" s="26" t="s">
        <v>3181</v>
      </c>
      <c r="K1663" s="26" t="s">
        <v>7220</v>
      </c>
      <c r="L1663" s="26" t="s">
        <v>10741</v>
      </c>
      <c r="M1663" s="76"/>
      <c r="N1663" s="76"/>
      <c r="O1663" s="76"/>
      <c r="P1663" s="76"/>
      <c r="Q1663" s="76"/>
      <c r="R1663" s="76"/>
      <c r="Z1663" s="70"/>
      <c r="AA1663" s="70"/>
      <c r="AB1663" s="70"/>
      <c r="AC1663" s="70"/>
    </row>
    <row r="1664" spans="1:29" s="26" customFormat="1" x14ac:dyDescent="0.3">
      <c r="A1664" s="25" t="s">
        <v>7221</v>
      </c>
      <c r="B1664" s="25"/>
      <c r="C1664" s="26" t="s">
        <v>3005</v>
      </c>
      <c r="D1664" s="70"/>
      <c r="G1664" s="70" t="s">
        <v>1346</v>
      </c>
      <c r="H1664" s="26">
        <v>-1</v>
      </c>
      <c r="I1664" s="70" t="s">
        <v>7222</v>
      </c>
      <c r="J1664" s="26" t="s">
        <v>5280</v>
      </c>
      <c r="K1664" s="26" t="s">
        <v>7223</v>
      </c>
      <c r="L1664" s="26" t="s">
        <v>3453</v>
      </c>
      <c r="M1664" s="76"/>
      <c r="N1664" s="76"/>
      <c r="O1664" s="76"/>
      <c r="P1664" s="76"/>
      <c r="Q1664" s="76"/>
      <c r="R1664" s="76"/>
      <c r="Z1664" s="70"/>
      <c r="AA1664" s="70"/>
      <c r="AB1664" s="70"/>
      <c r="AC1664" s="70"/>
    </row>
    <row r="1665" spans="1:31" s="26" customFormat="1" x14ac:dyDescent="0.3">
      <c r="A1665" s="25" t="s">
        <v>7224</v>
      </c>
      <c r="B1665" s="25"/>
      <c r="C1665" s="26" t="s">
        <v>3005</v>
      </c>
      <c r="D1665" s="70"/>
      <c r="G1665" s="70" t="s">
        <v>1346</v>
      </c>
      <c r="H1665" s="26">
        <v>2</v>
      </c>
      <c r="I1665" s="70" t="s">
        <v>7225</v>
      </c>
      <c r="J1665" s="26" t="s">
        <v>3323</v>
      </c>
      <c r="K1665" s="26" t="s">
        <v>7226</v>
      </c>
      <c r="L1665" s="26" t="s">
        <v>9660</v>
      </c>
      <c r="M1665" s="76"/>
      <c r="N1665" s="76"/>
      <c r="O1665" s="76"/>
      <c r="P1665" s="76"/>
      <c r="Q1665" s="76"/>
      <c r="R1665" s="76"/>
      <c r="Z1665" s="70"/>
      <c r="AA1665" s="70"/>
      <c r="AB1665" s="70"/>
      <c r="AC1665" s="70"/>
    </row>
    <row r="1666" spans="1:31" s="26" customFormat="1" x14ac:dyDescent="0.3">
      <c r="A1666" s="25" t="s">
        <v>7227</v>
      </c>
      <c r="B1666" s="25"/>
      <c r="C1666" s="26" t="s">
        <v>3005</v>
      </c>
      <c r="D1666" s="70"/>
      <c r="G1666" s="70" t="s">
        <v>1346</v>
      </c>
      <c r="H1666" s="26">
        <v>-1</v>
      </c>
      <c r="I1666" s="70" t="s">
        <v>7228</v>
      </c>
      <c r="J1666" s="26" t="s">
        <v>7229</v>
      </c>
      <c r="K1666" s="26" t="s">
        <v>7230</v>
      </c>
      <c r="L1666" s="26" t="s">
        <v>10742</v>
      </c>
      <c r="M1666" s="76"/>
      <c r="N1666" s="76"/>
      <c r="O1666" s="76"/>
      <c r="P1666" s="76"/>
      <c r="Q1666" s="76"/>
      <c r="R1666" s="76"/>
      <c r="Z1666" s="70"/>
      <c r="AA1666" s="70"/>
      <c r="AB1666" s="70"/>
      <c r="AC1666" s="70"/>
    </row>
    <row r="1667" spans="1:31" s="26" customFormat="1" x14ac:dyDescent="0.3">
      <c r="A1667" s="25" t="s">
        <v>7231</v>
      </c>
      <c r="B1667" s="25"/>
      <c r="C1667" s="26" t="s">
        <v>3005</v>
      </c>
      <c r="D1667" s="70"/>
      <c r="G1667" s="70" t="s">
        <v>1346</v>
      </c>
      <c r="H1667" s="26">
        <v>3</v>
      </c>
      <c r="I1667" s="70" t="s">
        <v>7232</v>
      </c>
      <c r="J1667" s="26" t="s">
        <v>7233</v>
      </c>
      <c r="K1667" s="26" t="s">
        <v>7234</v>
      </c>
      <c r="L1667" s="26" t="s">
        <v>10743</v>
      </c>
      <c r="M1667" s="76"/>
      <c r="N1667" s="76"/>
      <c r="O1667" s="76"/>
      <c r="P1667" s="76"/>
      <c r="Q1667" s="76"/>
      <c r="R1667" s="76"/>
      <c r="Z1667" s="70"/>
      <c r="AA1667" s="70"/>
      <c r="AB1667" s="70"/>
      <c r="AC1667" s="70"/>
    </row>
    <row r="1668" spans="1:31" s="24" customFormat="1" x14ac:dyDescent="0.3">
      <c r="A1668" s="23">
        <v>455</v>
      </c>
      <c r="B1668" s="23">
        <v>451</v>
      </c>
      <c r="C1668" s="24" t="s">
        <v>2165</v>
      </c>
      <c r="D1668" s="69" t="s">
        <v>1344</v>
      </c>
      <c r="E1668" s="24" t="s">
        <v>1343</v>
      </c>
      <c r="F1668" s="24" t="s">
        <v>1347</v>
      </c>
      <c r="G1668" s="69" t="s">
        <v>1348</v>
      </c>
      <c r="H1668" s="24">
        <v>3</v>
      </c>
      <c r="I1668" s="69"/>
      <c r="J1668" s="24" t="s">
        <v>5303</v>
      </c>
      <c r="K1668" s="24" t="s">
        <v>68</v>
      </c>
      <c r="M1668" s="75" t="s">
        <v>65</v>
      </c>
      <c r="N1668" s="75" t="s">
        <v>2015</v>
      </c>
      <c r="O1668" s="75" t="s">
        <v>58</v>
      </c>
      <c r="P1668" s="75" t="s">
        <v>58</v>
      </c>
      <c r="Q1668" s="75" t="s">
        <v>130</v>
      </c>
      <c r="R1668" s="75"/>
      <c r="Z1668" s="69"/>
      <c r="AA1668" s="69"/>
      <c r="AB1668" s="69"/>
      <c r="AC1668" s="69"/>
    </row>
    <row r="1669" spans="1:31" s="26" customFormat="1" x14ac:dyDescent="0.3">
      <c r="A1669" s="25" t="s">
        <v>7235</v>
      </c>
      <c r="B1669" s="25"/>
      <c r="C1669" s="26" t="s">
        <v>3005</v>
      </c>
      <c r="D1669" s="70"/>
      <c r="G1669" s="70" t="s">
        <v>1348</v>
      </c>
      <c r="H1669" s="26">
        <v>1</v>
      </c>
      <c r="I1669" s="70" t="s">
        <v>7236</v>
      </c>
      <c r="J1669" s="26" t="s">
        <v>7237</v>
      </c>
      <c r="K1669" s="26" t="s">
        <v>7238</v>
      </c>
      <c r="L1669" s="26" t="s">
        <v>9787</v>
      </c>
      <c r="M1669" s="76"/>
      <c r="N1669" s="76"/>
      <c r="O1669" s="76"/>
      <c r="P1669" s="76"/>
      <c r="Q1669" s="76"/>
      <c r="R1669" s="76"/>
      <c r="Z1669" s="70"/>
      <c r="AA1669" s="70"/>
      <c r="AB1669" s="70"/>
      <c r="AC1669" s="70"/>
    </row>
    <row r="1670" spans="1:31" s="26" customFormat="1" x14ac:dyDescent="0.3">
      <c r="A1670" s="25" t="s">
        <v>7239</v>
      </c>
      <c r="B1670" s="25"/>
      <c r="C1670" s="26" t="s">
        <v>3005</v>
      </c>
      <c r="D1670" s="70"/>
      <c r="G1670" s="70" t="s">
        <v>1348</v>
      </c>
      <c r="H1670" s="26">
        <v>1</v>
      </c>
      <c r="I1670" s="70" t="s">
        <v>7240</v>
      </c>
      <c r="J1670" s="26" t="s">
        <v>5303</v>
      </c>
      <c r="K1670" s="26" t="s">
        <v>7241</v>
      </c>
      <c r="L1670" s="26" t="s">
        <v>10744</v>
      </c>
      <c r="M1670" s="76"/>
      <c r="N1670" s="76"/>
      <c r="O1670" s="76"/>
      <c r="P1670" s="76"/>
      <c r="Q1670" s="76"/>
      <c r="R1670" s="76"/>
      <c r="Z1670" s="70"/>
      <c r="AA1670" s="70"/>
      <c r="AB1670" s="70"/>
      <c r="AC1670" s="70"/>
    </row>
    <row r="1671" spans="1:31" s="26" customFormat="1" x14ac:dyDescent="0.3">
      <c r="A1671" s="25" t="s">
        <v>7242</v>
      </c>
      <c r="B1671" s="25"/>
      <c r="C1671" s="26" t="s">
        <v>3005</v>
      </c>
      <c r="D1671" s="70"/>
      <c r="G1671" s="70" t="s">
        <v>1348</v>
      </c>
      <c r="H1671" s="26">
        <v>1</v>
      </c>
      <c r="I1671" s="70" t="s">
        <v>3607</v>
      </c>
      <c r="J1671" s="26" t="s">
        <v>6305</v>
      </c>
      <c r="K1671" s="26" t="s">
        <v>7243</v>
      </c>
      <c r="L1671" s="26" t="s">
        <v>10745</v>
      </c>
      <c r="M1671" s="76"/>
      <c r="N1671" s="76"/>
      <c r="O1671" s="76"/>
      <c r="P1671" s="76"/>
      <c r="Q1671" s="76"/>
      <c r="R1671" s="76"/>
      <c r="Z1671" s="70"/>
      <c r="AA1671" s="70"/>
      <c r="AB1671" s="70"/>
      <c r="AC1671" s="70"/>
    </row>
    <row r="1672" spans="1:31" s="24" customFormat="1" x14ac:dyDescent="0.3">
      <c r="A1672" s="23">
        <v>456</v>
      </c>
      <c r="B1672" s="23">
        <v>452</v>
      </c>
      <c r="C1672" s="24" t="s">
        <v>2165</v>
      </c>
      <c r="D1672" s="69" t="s">
        <v>1344</v>
      </c>
      <c r="E1672" s="24" t="s">
        <v>1343</v>
      </c>
      <c r="F1672" s="24" t="s">
        <v>1349</v>
      </c>
      <c r="G1672" s="69" t="s">
        <v>1350</v>
      </c>
      <c r="H1672" s="24">
        <v>2</v>
      </c>
      <c r="I1672" s="69"/>
      <c r="J1672" s="24" t="s">
        <v>5181</v>
      </c>
      <c r="K1672" s="24" t="s">
        <v>68</v>
      </c>
      <c r="L1672" s="24" t="s">
        <v>9660</v>
      </c>
      <c r="M1672" s="75" t="s">
        <v>65</v>
      </c>
      <c r="N1672" s="75" t="s">
        <v>2015</v>
      </c>
      <c r="O1672" s="75" t="s">
        <v>66</v>
      </c>
      <c r="P1672" s="75" t="s">
        <v>66</v>
      </c>
      <c r="Q1672" s="75" t="s">
        <v>85</v>
      </c>
      <c r="R1672" s="75"/>
      <c r="Z1672" s="69"/>
      <c r="AA1672" s="69"/>
      <c r="AB1672" s="69"/>
      <c r="AC1672" s="69"/>
    </row>
    <row r="1673" spans="1:31" s="26" customFormat="1" x14ac:dyDescent="0.3">
      <c r="A1673" s="25" t="s">
        <v>7244</v>
      </c>
      <c r="B1673" s="25"/>
      <c r="C1673" s="26" t="s">
        <v>3005</v>
      </c>
      <c r="D1673" s="70"/>
      <c r="G1673" s="70" t="s">
        <v>1350</v>
      </c>
      <c r="H1673" s="26">
        <v>1</v>
      </c>
      <c r="I1673" s="70" t="s">
        <v>6656</v>
      </c>
      <c r="J1673" s="26" t="s">
        <v>5181</v>
      </c>
      <c r="K1673" s="26" t="s">
        <v>7245</v>
      </c>
      <c r="M1673" s="76"/>
      <c r="N1673" s="76"/>
      <c r="O1673" s="76"/>
      <c r="P1673" s="76"/>
      <c r="Q1673" s="76"/>
      <c r="R1673" s="76"/>
      <c r="Z1673" s="70"/>
      <c r="AA1673" s="70"/>
      <c r="AB1673" s="70"/>
      <c r="AC1673" s="70"/>
    </row>
    <row r="1674" spans="1:31" s="26" customFormat="1" x14ac:dyDescent="0.3">
      <c r="A1674" s="25" t="s">
        <v>7246</v>
      </c>
      <c r="B1674" s="25"/>
      <c r="C1674" s="26" t="s">
        <v>3005</v>
      </c>
      <c r="D1674" s="70"/>
      <c r="G1674" s="70" t="s">
        <v>1350</v>
      </c>
      <c r="H1674" s="26">
        <v>1</v>
      </c>
      <c r="I1674" s="70" t="s">
        <v>7247</v>
      </c>
      <c r="J1674" s="26" t="s">
        <v>7237</v>
      </c>
      <c r="K1674" s="26" t="s">
        <v>7248</v>
      </c>
      <c r="M1674" s="76"/>
      <c r="N1674" s="76"/>
      <c r="O1674" s="76"/>
      <c r="P1674" s="76"/>
      <c r="Q1674" s="76"/>
      <c r="R1674" s="76"/>
      <c r="Z1674" s="70"/>
      <c r="AA1674" s="70"/>
      <c r="AB1674" s="70"/>
      <c r="AC1674" s="70"/>
    </row>
    <row r="1675" spans="1:31" s="24" customFormat="1" x14ac:dyDescent="0.3">
      <c r="A1675" s="23">
        <v>457</v>
      </c>
      <c r="B1675" s="23">
        <v>453</v>
      </c>
      <c r="C1675" s="24" t="s">
        <v>2165</v>
      </c>
      <c r="D1675" s="69" t="s">
        <v>1344</v>
      </c>
      <c r="E1675" s="24" t="s">
        <v>1343</v>
      </c>
      <c r="F1675" s="24" t="s">
        <v>1351</v>
      </c>
      <c r="G1675" s="69" t="s">
        <v>1352</v>
      </c>
      <c r="I1675" s="69"/>
      <c r="J1675" s="24" t="s">
        <v>7249</v>
      </c>
      <c r="K1675" s="24" t="s">
        <v>1353</v>
      </c>
      <c r="L1675" s="24" t="s">
        <v>9852</v>
      </c>
      <c r="M1675" s="75" t="s">
        <v>19</v>
      </c>
      <c r="N1675" s="75"/>
      <c r="O1675" s="75"/>
      <c r="P1675" s="75"/>
      <c r="Q1675" s="75"/>
      <c r="R1675" s="75" t="s">
        <v>2166</v>
      </c>
      <c r="T1675" s="24" t="s">
        <v>2179</v>
      </c>
      <c r="U1675" s="24" t="s">
        <v>2723</v>
      </c>
      <c r="V1675" s="24" t="s">
        <v>2171</v>
      </c>
      <c r="W1675" s="24" t="s">
        <v>2724</v>
      </c>
      <c r="Y1675" s="24" t="s">
        <v>2725</v>
      </c>
      <c r="Z1675" s="69"/>
      <c r="AA1675" s="69"/>
      <c r="AB1675" s="69"/>
      <c r="AC1675" s="69"/>
      <c r="AD1675" s="24" t="s">
        <v>11340</v>
      </c>
      <c r="AE1675" s="24" t="s">
        <v>2726</v>
      </c>
    </row>
    <row r="1676" spans="1:31" s="24" customFormat="1" x14ac:dyDescent="0.3">
      <c r="A1676" s="23">
        <v>458</v>
      </c>
      <c r="B1676" s="23">
        <v>454</v>
      </c>
      <c r="C1676" s="24" t="s">
        <v>2165</v>
      </c>
      <c r="D1676" s="69" t="s">
        <v>1344</v>
      </c>
      <c r="E1676" s="24" t="s">
        <v>1343</v>
      </c>
      <c r="F1676" s="24" t="s">
        <v>1354</v>
      </c>
      <c r="G1676" s="69" t="s">
        <v>1355</v>
      </c>
      <c r="H1676" s="24">
        <v>1</v>
      </c>
      <c r="I1676" s="69"/>
      <c r="J1676" s="24" t="s">
        <v>4293</v>
      </c>
      <c r="K1676" s="24" t="s">
        <v>1356</v>
      </c>
      <c r="M1676" s="75" t="s">
        <v>236</v>
      </c>
      <c r="N1676" s="75"/>
      <c r="O1676" s="75" t="s">
        <v>58</v>
      </c>
      <c r="P1676" s="75" t="s">
        <v>58</v>
      </c>
      <c r="Q1676" s="75" t="s">
        <v>66</v>
      </c>
      <c r="R1676" s="75"/>
      <c r="U1676" s="24" t="s">
        <v>2727</v>
      </c>
      <c r="V1676" s="24" t="s">
        <v>2728</v>
      </c>
      <c r="W1676" s="24" t="s">
        <v>2728</v>
      </c>
      <c r="Y1676" s="24" t="s">
        <v>2729</v>
      </c>
      <c r="Z1676" s="69"/>
      <c r="AA1676" s="69"/>
      <c r="AB1676" s="69"/>
      <c r="AC1676" s="69"/>
    </row>
    <row r="1677" spans="1:31" s="26" customFormat="1" x14ac:dyDescent="0.3">
      <c r="A1677" s="25" t="s">
        <v>7250</v>
      </c>
      <c r="B1677" s="25"/>
      <c r="C1677" s="26" t="s">
        <v>3005</v>
      </c>
      <c r="D1677" s="70"/>
      <c r="G1677" s="70" t="s">
        <v>1355</v>
      </c>
      <c r="H1677" s="26">
        <v>-1</v>
      </c>
      <c r="I1677" s="70" t="s">
        <v>7251</v>
      </c>
      <c r="J1677" s="26" t="s">
        <v>4293</v>
      </c>
      <c r="K1677" s="26" t="s">
        <v>7252</v>
      </c>
      <c r="L1677" s="26" t="s">
        <v>10746</v>
      </c>
      <c r="M1677" s="76"/>
      <c r="N1677" s="76"/>
      <c r="O1677" s="76"/>
      <c r="P1677" s="76"/>
      <c r="Q1677" s="76"/>
      <c r="R1677" s="76"/>
      <c r="U1677" s="26" t="s">
        <v>7253</v>
      </c>
      <c r="Z1677" s="70"/>
      <c r="AA1677" s="70"/>
      <c r="AB1677" s="70"/>
      <c r="AC1677" s="70"/>
    </row>
    <row r="1678" spans="1:31" s="26" customFormat="1" x14ac:dyDescent="0.3">
      <c r="A1678" s="25" t="s">
        <v>7254</v>
      </c>
      <c r="B1678" s="25"/>
      <c r="C1678" s="26" t="s">
        <v>3005</v>
      </c>
      <c r="D1678" s="70"/>
      <c r="G1678" s="70" t="s">
        <v>1355</v>
      </c>
      <c r="H1678" s="26">
        <v>-1</v>
      </c>
      <c r="I1678" s="70" t="s">
        <v>6905</v>
      </c>
      <c r="J1678" s="26" t="s">
        <v>7255</v>
      </c>
      <c r="K1678" s="26" t="s">
        <v>7256</v>
      </c>
      <c r="L1678" s="26" t="s">
        <v>10406</v>
      </c>
      <c r="M1678" s="76"/>
      <c r="N1678" s="76"/>
      <c r="O1678" s="76"/>
      <c r="P1678" s="76"/>
      <c r="Q1678" s="76"/>
      <c r="R1678" s="76"/>
      <c r="Z1678" s="70"/>
      <c r="AA1678" s="70"/>
      <c r="AB1678" s="70"/>
      <c r="AC1678" s="70"/>
    </row>
    <row r="1679" spans="1:31" s="26" customFormat="1" x14ac:dyDescent="0.3">
      <c r="A1679" s="25" t="s">
        <v>7257</v>
      </c>
      <c r="B1679" s="25"/>
      <c r="C1679" s="26" t="s">
        <v>3005</v>
      </c>
      <c r="D1679" s="70"/>
      <c r="G1679" s="70" t="s">
        <v>1355</v>
      </c>
      <c r="H1679" s="26">
        <v>2</v>
      </c>
      <c r="I1679" s="70" t="s">
        <v>7258</v>
      </c>
      <c r="J1679" s="26" t="s">
        <v>5801</v>
      </c>
      <c r="K1679" s="26" t="s">
        <v>7259</v>
      </c>
      <c r="L1679" s="26" t="s">
        <v>10747</v>
      </c>
      <c r="M1679" s="76"/>
      <c r="N1679" s="76"/>
      <c r="O1679" s="76"/>
      <c r="P1679" s="76"/>
      <c r="Q1679" s="76"/>
      <c r="R1679" s="76"/>
      <c r="U1679" s="26" t="s">
        <v>7260</v>
      </c>
      <c r="Z1679" s="70"/>
      <c r="AA1679" s="70"/>
      <c r="AB1679" s="70"/>
      <c r="AC1679" s="70"/>
    </row>
    <row r="1680" spans="1:31" s="24" customFormat="1" x14ac:dyDescent="0.3">
      <c r="A1680" s="23">
        <v>459</v>
      </c>
      <c r="B1680" s="23">
        <v>455</v>
      </c>
      <c r="C1680" s="24" t="s">
        <v>2165</v>
      </c>
      <c r="D1680" s="69" t="s">
        <v>1344</v>
      </c>
      <c r="E1680" s="24" t="s">
        <v>1343</v>
      </c>
      <c r="F1680" s="24" t="s">
        <v>1357</v>
      </c>
      <c r="G1680" s="69" t="s">
        <v>1358</v>
      </c>
      <c r="I1680" s="69"/>
      <c r="J1680" s="24" t="s">
        <v>5085</v>
      </c>
      <c r="K1680" s="24" t="s">
        <v>68</v>
      </c>
      <c r="L1680" s="24" t="s">
        <v>9853</v>
      </c>
      <c r="M1680" s="75" t="s">
        <v>65</v>
      </c>
      <c r="N1680" s="75" t="s">
        <v>2030</v>
      </c>
      <c r="O1680" s="75"/>
      <c r="P1680" s="75"/>
      <c r="Q1680" s="75"/>
      <c r="R1680" s="75"/>
      <c r="V1680" s="24" t="s">
        <v>2730</v>
      </c>
      <c r="W1680" s="24" t="s">
        <v>2730</v>
      </c>
      <c r="Y1680" s="24" t="s">
        <v>2731</v>
      </c>
      <c r="Z1680" s="69"/>
      <c r="AA1680" s="69"/>
      <c r="AB1680" s="69"/>
      <c r="AC1680" s="69"/>
    </row>
    <row r="1681" spans="1:31" s="24" customFormat="1" x14ac:dyDescent="0.3">
      <c r="A1681" s="23">
        <v>460</v>
      </c>
      <c r="B1681" s="23">
        <v>456</v>
      </c>
      <c r="C1681" s="24" t="s">
        <v>2165</v>
      </c>
      <c r="D1681" s="69" t="s">
        <v>1344</v>
      </c>
      <c r="E1681" s="24" t="s">
        <v>1343</v>
      </c>
      <c r="F1681" s="24" t="s">
        <v>1359</v>
      </c>
      <c r="G1681" s="69" t="s">
        <v>1360</v>
      </c>
      <c r="H1681" s="24">
        <v>3</v>
      </c>
      <c r="I1681" s="69"/>
      <c r="J1681" s="24" t="s">
        <v>5085</v>
      </c>
      <c r="K1681" s="24" t="s">
        <v>68</v>
      </c>
      <c r="M1681" s="75" t="s">
        <v>732</v>
      </c>
      <c r="N1681" s="75"/>
      <c r="O1681" s="75"/>
      <c r="P1681" s="75"/>
      <c r="Q1681" s="75"/>
      <c r="R1681" s="75"/>
      <c r="V1681" s="24" t="s">
        <v>2732</v>
      </c>
      <c r="W1681" s="24" t="s">
        <v>2732</v>
      </c>
      <c r="Y1681" s="24" t="s">
        <v>2733</v>
      </c>
      <c r="Z1681" s="69"/>
      <c r="AA1681" s="69"/>
      <c r="AB1681" s="69"/>
      <c r="AC1681" s="69"/>
    </row>
    <row r="1682" spans="1:31" s="26" customFormat="1" x14ac:dyDescent="0.3">
      <c r="A1682" s="25" t="s">
        <v>7261</v>
      </c>
      <c r="B1682" s="25"/>
      <c r="C1682" s="26" t="s">
        <v>3005</v>
      </c>
      <c r="D1682" s="70"/>
      <c r="G1682" s="70" t="s">
        <v>1360</v>
      </c>
      <c r="H1682" s="26">
        <v>2</v>
      </c>
      <c r="I1682" s="70" t="s">
        <v>7262</v>
      </c>
      <c r="J1682" s="26" t="s">
        <v>7263</v>
      </c>
      <c r="K1682" s="26" t="s">
        <v>5976</v>
      </c>
      <c r="M1682" s="76"/>
      <c r="N1682" s="76"/>
      <c r="O1682" s="76"/>
      <c r="P1682" s="76"/>
      <c r="Q1682" s="76"/>
      <c r="R1682" s="76"/>
      <c r="T1682" s="26" t="s">
        <v>2254</v>
      </c>
      <c r="Y1682" s="26" t="s">
        <v>7264</v>
      </c>
      <c r="Z1682" s="70"/>
      <c r="AA1682" s="70"/>
      <c r="AB1682" s="70" t="s">
        <v>7265</v>
      </c>
      <c r="AC1682" s="70"/>
      <c r="AE1682" s="26" t="s">
        <v>7266</v>
      </c>
    </row>
    <row r="1683" spans="1:31" s="26" customFormat="1" x14ac:dyDescent="0.3">
      <c r="A1683" s="25" t="s">
        <v>7267</v>
      </c>
      <c r="B1683" s="25"/>
      <c r="C1683" s="26" t="s">
        <v>3005</v>
      </c>
      <c r="D1683" s="70"/>
      <c r="G1683" s="70" t="s">
        <v>1360</v>
      </c>
      <c r="H1683" s="26">
        <v>2</v>
      </c>
      <c r="I1683" s="70" t="s">
        <v>7268</v>
      </c>
      <c r="J1683" s="26" t="s">
        <v>5085</v>
      </c>
      <c r="K1683" s="26" t="s">
        <v>5290</v>
      </c>
      <c r="L1683" s="26" t="s">
        <v>10748</v>
      </c>
      <c r="M1683" s="76"/>
      <c r="N1683" s="76"/>
      <c r="O1683" s="76"/>
      <c r="P1683" s="76"/>
      <c r="Q1683" s="76"/>
      <c r="R1683" s="76"/>
      <c r="Z1683" s="70"/>
      <c r="AA1683" s="70"/>
      <c r="AB1683" s="70"/>
      <c r="AC1683" s="70"/>
    </row>
    <row r="1684" spans="1:31" s="26" customFormat="1" x14ac:dyDescent="0.3">
      <c r="A1684" s="25" t="s">
        <v>7269</v>
      </c>
      <c r="B1684" s="25"/>
      <c r="C1684" s="26" t="s">
        <v>3005</v>
      </c>
      <c r="D1684" s="70"/>
      <c r="G1684" s="70" t="s">
        <v>1360</v>
      </c>
      <c r="H1684" s="26">
        <v>2</v>
      </c>
      <c r="I1684" s="70" t="s">
        <v>3155</v>
      </c>
      <c r="J1684" s="26" t="s">
        <v>7015</v>
      </c>
      <c r="K1684" s="26" t="s">
        <v>7016</v>
      </c>
      <c r="L1684" s="26" t="s">
        <v>10749</v>
      </c>
      <c r="M1684" s="76"/>
      <c r="N1684" s="76"/>
      <c r="O1684" s="76"/>
      <c r="P1684" s="76"/>
      <c r="Q1684" s="76"/>
      <c r="R1684" s="76"/>
      <c r="Z1684" s="70"/>
      <c r="AA1684" s="70"/>
      <c r="AB1684" s="70"/>
      <c r="AC1684" s="70"/>
    </row>
    <row r="1685" spans="1:31" s="24" customFormat="1" x14ac:dyDescent="0.3">
      <c r="A1685" s="23">
        <v>461</v>
      </c>
      <c r="B1685" s="23">
        <v>457</v>
      </c>
      <c r="C1685" s="24" t="s">
        <v>2165</v>
      </c>
      <c r="D1685" s="69" t="s">
        <v>1362</v>
      </c>
      <c r="E1685" s="24" t="s">
        <v>1361</v>
      </c>
      <c r="F1685" s="24" t="s">
        <v>1363</v>
      </c>
      <c r="G1685" s="69" t="s">
        <v>1364</v>
      </c>
      <c r="H1685" s="24">
        <v>3</v>
      </c>
      <c r="I1685" s="69"/>
      <c r="J1685" s="24" t="s">
        <v>3447</v>
      </c>
      <c r="K1685" s="24" t="s">
        <v>1365</v>
      </c>
      <c r="M1685" s="75" t="s">
        <v>15</v>
      </c>
      <c r="N1685" s="75"/>
      <c r="O1685" s="75"/>
      <c r="P1685" s="75"/>
      <c r="Q1685" s="75"/>
      <c r="R1685" s="75"/>
      <c r="Z1685" s="69"/>
      <c r="AA1685" s="69"/>
      <c r="AB1685" s="69"/>
      <c r="AC1685" s="69"/>
    </row>
    <row r="1686" spans="1:31" s="26" customFormat="1" x14ac:dyDescent="0.3">
      <c r="A1686" s="25" t="s">
        <v>7270</v>
      </c>
      <c r="B1686" s="25"/>
      <c r="C1686" s="26" t="s">
        <v>3005</v>
      </c>
      <c r="D1686" s="70"/>
      <c r="G1686" s="70" t="s">
        <v>1364</v>
      </c>
      <c r="H1686" s="26">
        <v>-1</v>
      </c>
      <c r="I1686" s="70" t="s">
        <v>7271</v>
      </c>
      <c r="J1686" s="26" t="s">
        <v>3787</v>
      </c>
      <c r="K1686" s="26" t="s">
        <v>7272</v>
      </c>
      <c r="L1686" s="26" t="s">
        <v>10750</v>
      </c>
      <c r="M1686" s="76"/>
      <c r="N1686" s="76"/>
      <c r="O1686" s="76"/>
      <c r="P1686" s="76"/>
      <c r="Q1686" s="76"/>
      <c r="R1686" s="76"/>
      <c r="Z1686" s="70"/>
      <c r="AA1686" s="70"/>
      <c r="AB1686" s="70"/>
      <c r="AC1686" s="70"/>
    </row>
    <row r="1687" spans="1:31" s="26" customFormat="1" x14ac:dyDescent="0.3">
      <c r="A1687" s="25" t="s">
        <v>7273</v>
      </c>
      <c r="B1687" s="25"/>
      <c r="C1687" s="26" t="s">
        <v>3005</v>
      </c>
      <c r="D1687" s="70"/>
      <c r="G1687" s="70" t="s">
        <v>1364</v>
      </c>
      <c r="H1687" s="26">
        <v>-1</v>
      </c>
      <c r="I1687" s="70" t="s">
        <v>7274</v>
      </c>
      <c r="J1687" s="26" t="s">
        <v>3447</v>
      </c>
      <c r="K1687" s="26" t="s">
        <v>7275</v>
      </c>
      <c r="L1687" s="26" t="s">
        <v>10751</v>
      </c>
      <c r="M1687" s="76"/>
      <c r="N1687" s="76"/>
      <c r="O1687" s="76"/>
      <c r="P1687" s="76"/>
      <c r="Q1687" s="76"/>
      <c r="R1687" s="76"/>
      <c r="Z1687" s="70"/>
      <c r="AA1687" s="70"/>
      <c r="AB1687" s="70"/>
      <c r="AC1687" s="70"/>
    </row>
    <row r="1688" spans="1:31" s="26" customFormat="1" x14ac:dyDescent="0.3">
      <c r="A1688" s="25" t="s">
        <v>7276</v>
      </c>
      <c r="B1688" s="25"/>
      <c r="C1688" s="26" t="s">
        <v>3005</v>
      </c>
      <c r="D1688" s="70"/>
      <c r="G1688" s="70" t="s">
        <v>1364</v>
      </c>
      <c r="H1688" s="26">
        <v>-1</v>
      </c>
      <c r="I1688" s="70" t="s">
        <v>3723</v>
      </c>
      <c r="J1688" s="26" t="s">
        <v>7277</v>
      </c>
      <c r="K1688" s="26" t="s">
        <v>6551</v>
      </c>
      <c r="L1688" s="26" t="s">
        <v>10752</v>
      </c>
      <c r="M1688" s="76"/>
      <c r="N1688" s="76"/>
      <c r="O1688" s="76"/>
      <c r="P1688" s="76"/>
      <c r="Q1688" s="76"/>
      <c r="R1688" s="76"/>
      <c r="Z1688" s="70"/>
      <c r="AA1688" s="70"/>
      <c r="AB1688" s="70"/>
      <c r="AC1688" s="70"/>
    </row>
    <row r="1689" spans="1:31" s="26" customFormat="1" x14ac:dyDescent="0.3">
      <c r="A1689" s="25" t="s">
        <v>7278</v>
      </c>
      <c r="B1689" s="25"/>
      <c r="C1689" s="26" t="s">
        <v>3005</v>
      </c>
      <c r="D1689" s="70"/>
      <c r="G1689" s="70" t="s">
        <v>1364</v>
      </c>
      <c r="H1689" s="26">
        <v>-1</v>
      </c>
      <c r="I1689" s="70" t="s">
        <v>7279</v>
      </c>
      <c r="J1689" s="26" t="s">
        <v>7280</v>
      </c>
      <c r="K1689" s="26" t="s">
        <v>7281</v>
      </c>
      <c r="L1689" s="26" t="s">
        <v>10753</v>
      </c>
      <c r="M1689" s="76"/>
      <c r="N1689" s="76"/>
      <c r="O1689" s="76"/>
      <c r="P1689" s="76"/>
      <c r="Q1689" s="76"/>
      <c r="R1689" s="76"/>
      <c r="Z1689" s="70"/>
      <c r="AA1689" s="70"/>
      <c r="AB1689" s="70"/>
      <c r="AC1689" s="70"/>
    </row>
    <row r="1690" spans="1:31" s="26" customFormat="1" x14ac:dyDescent="0.3">
      <c r="A1690" s="25" t="s">
        <v>7282</v>
      </c>
      <c r="B1690" s="25"/>
      <c r="C1690" s="26" t="s">
        <v>3005</v>
      </c>
      <c r="D1690" s="70"/>
      <c r="G1690" s="70" t="s">
        <v>1364</v>
      </c>
      <c r="H1690" s="26">
        <v>2</v>
      </c>
      <c r="I1690" s="70" t="s">
        <v>3140</v>
      </c>
      <c r="J1690" s="26" t="s">
        <v>3137</v>
      </c>
      <c r="K1690" s="26" t="s">
        <v>6815</v>
      </c>
      <c r="L1690" s="26" t="s">
        <v>10754</v>
      </c>
      <c r="M1690" s="76"/>
      <c r="N1690" s="76"/>
      <c r="O1690" s="76"/>
      <c r="P1690" s="76"/>
      <c r="Q1690" s="76"/>
      <c r="R1690" s="76"/>
      <c r="Z1690" s="70"/>
      <c r="AA1690" s="70"/>
      <c r="AB1690" s="70"/>
      <c r="AC1690" s="70"/>
    </row>
    <row r="1691" spans="1:31" s="26" customFormat="1" x14ac:dyDescent="0.3">
      <c r="A1691" s="25" t="s">
        <v>7283</v>
      </c>
      <c r="B1691" s="25"/>
      <c r="C1691" s="26" t="s">
        <v>3005</v>
      </c>
      <c r="D1691" s="70"/>
      <c r="G1691" s="70" t="s">
        <v>1364</v>
      </c>
      <c r="H1691" s="26">
        <v>3</v>
      </c>
      <c r="I1691" s="70" t="s">
        <v>7284</v>
      </c>
      <c r="J1691" s="26" t="s">
        <v>7285</v>
      </c>
      <c r="K1691" s="26" t="s">
        <v>4237</v>
      </c>
      <c r="L1691" s="26" t="s">
        <v>10755</v>
      </c>
      <c r="M1691" s="76"/>
      <c r="N1691" s="76"/>
      <c r="O1691" s="76"/>
      <c r="P1691" s="76"/>
      <c r="Q1691" s="76"/>
      <c r="R1691" s="76"/>
      <c r="Z1691" s="70"/>
      <c r="AA1691" s="70"/>
      <c r="AB1691" s="70"/>
      <c r="AC1691" s="70"/>
    </row>
    <row r="1692" spans="1:31" s="26" customFormat="1" x14ac:dyDescent="0.3">
      <c r="A1692" s="25" t="s">
        <v>7286</v>
      </c>
      <c r="B1692" s="25"/>
      <c r="C1692" s="26" t="s">
        <v>3005</v>
      </c>
      <c r="D1692" s="70"/>
      <c r="G1692" s="70" t="s">
        <v>1364</v>
      </c>
      <c r="H1692" s="26">
        <v>4</v>
      </c>
      <c r="I1692" s="70" t="s">
        <v>6162</v>
      </c>
      <c r="J1692" s="26" t="s">
        <v>5942</v>
      </c>
      <c r="K1692" s="26" t="s">
        <v>7287</v>
      </c>
      <c r="L1692" s="26" t="s">
        <v>10756</v>
      </c>
      <c r="M1692" s="76"/>
      <c r="N1692" s="76"/>
      <c r="O1692" s="76"/>
      <c r="P1692" s="76"/>
      <c r="Q1692" s="76"/>
      <c r="R1692" s="76"/>
      <c r="Z1692" s="70"/>
      <c r="AA1692" s="70"/>
      <c r="AB1692" s="70"/>
      <c r="AC1692" s="70"/>
    </row>
    <row r="1693" spans="1:31" s="24" customFormat="1" x14ac:dyDescent="0.3">
      <c r="A1693" s="23">
        <v>462</v>
      </c>
      <c r="B1693" s="23">
        <v>458</v>
      </c>
      <c r="C1693" s="24" t="s">
        <v>2165</v>
      </c>
      <c r="D1693" s="69" t="s">
        <v>1362</v>
      </c>
      <c r="E1693" s="24" t="s">
        <v>1361</v>
      </c>
      <c r="F1693" s="24" t="s">
        <v>1366</v>
      </c>
      <c r="G1693" s="69" t="s">
        <v>1367</v>
      </c>
      <c r="H1693" s="24">
        <v>1</v>
      </c>
      <c r="I1693" s="69"/>
      <c r="J1693" s="24" t="s">
        <v>3529</v>
      </c>
      <c r="K1693" s="24" t="s">
        <v>1368</v>
      </c>
      <c r="M1693" s="75" t="s">
        <v>15</v>
      </c>
      <c r="N1693" s="75"/>
      <c r="O1693" s="75"/>
      <c r="P1693" s="75"/>
      <c r="Q1693" s="75"/>
      <c r="R1693" s="75"/>
      <c r="Z1693" s="69"/>
      <c r="AA1693" s="69"/>
      <c r="AB1693" s="69"/>
      <c r="AC1693" s="69"/>
    </row>
    <row r="1694" spans="1:31" s="26" customFormat="1" x14ac:dyDescent="0.3">
      <c r="A1694" s="25" t="s">
        <v>7288</v>
      </c>
      <c r="B1694" s="25"/>
      <c r="C1694" s="26" t="s">
        <v>3005</v>
      </c>
      <c r="D1694" s="70"/>
      <c r="G1694" s="70" t="s">
        <v>1367</v>
      </c>
      <c r="H1694" s="26">
        <v>-1</v>
      </c>
      <c r="I1694" s="70" t="s">
        <v>6465</v>
      </c>
      <c r="J1694" s="26" t="s">
        <v>5328</v>
      </c>
      <c r="K1694" s="26" t="s">
        <v>7289</v>
      </c>
      <c r="L1694" s="26" t="s">
        <v>10757</v>
      </c>
      <c r="M1694" s="76"/>
      <c r="N1694" s="76"/>
      <c r="O1694" s="76"/>
      <c r="P1694" s="76"/>
      <c r="Q1694" s="76"/>
      <c r="R1694" s="76"/>
      <c r="Z1694" s="70"/>
      <c r="AA1694" s="70"/>
      <c r="AB1694" s="70"/>
      <c r="AC1694" s="70"/>
    </row>
    <row r="1695" spans="1:31" s="26" customFormat="1" x14ac:dyDescent="0.3">
      <c r="A1695" s="25" t="s">
        <v>7290</v>
      </c>
      <c r="B1695" s="25"/>
      <c r="C1695" s="26" t="s">
        <v>3005</v>
      </c>
      <c r="D1695" s="70"/>
      <c r="G1695" s="70" t="s">
        <v>1367</v>
      </c>
      <c r="H1695" s="26">
        <v>-1</v>
      </c>
      <c r="I1695" s="70" t="s">
        <v>7291</v>
      </c>
      <c r="J1695" s="26" t="s">
        <v>7292</v>
      </c>
      <c r="K1695" s="26" t="s">
        <v>7293</v>
      </c>
      <c r="L1695" s="26" t="s">
        <v>10758</v>
      </c>
      <c r="M1695" s="76"/>
      <c r="N1695" s="76"/>
      <c r="O1695" s="76"/>
      <c r="P1695" s="76"/>
      <c r="Q1695" s="76"/>
      <c r="R1695" s="76"/>
      <c r="Z1695" s="70"/>
      <c r="AA1695" s="70"/>
      <c r="AB1695" s="70"/>
      <c r="AC1695" s="70"/>
    </row>
    <row r="1696" spans="1:31" s="26" customFormat="1" x14ac:dyDescent="0.3">
      <c r="A1696" s="25" t="s">
        <v>7294</v>
      </c>
      <c r="B1696" s="25"/>
      <c r="C1696" s="26" t="s">
        <v>3005</v>
      </c>
      <c r="D1696" s="70"/>
      <c r="G1696" s="70" t="s">
        <v>1367</v>
      </c>
      <c r="H1696" s="26">
        <v>-1</v>
      </c>
      <c r="I1696" s="70" t="s">
        <v>7295</v>
      </c>
      <c r="J1696" s="26" t="s">
        <v>7296</v>
      </c>
      <c r="K1696" s="26" t="s">
        <v>7297</v>
      </c>
      <c r="L1696" s="26" t="s">
        <v>10759</v>
      </c>
      <c r="M1696" s="76"/>
      <c r="N1696" s="76"/>
      <c r="O1696" s="76"/>
      <c r="P1696" s="76"/>
      <c r="Q1696" s="76"/>
      <c r="R1696" s="76"/>
      <c r="Z1696" s="70"/>
      <c r="AA1696" s="70"/>
      <c r="AB1696" s="70"/>
      <c r="AC1696" s="70"/>
    </row>
    <row r="1697" spans="1:30" s="26" customFormat="1" x14ac:dyDescent="0.3">
      <c r="A1697" s="25" t="s">
        <v>7298</v>
      </c>
      <c r="B1697" s="25"/>
      <c r="C1697" s="26" t="s">
        <v>3005</v>
      </c>
      <c r="D1697" s="70"/>
      <c r="G1697" s="70" t="s">
        <v>1367</v>
      </c>
      <c r="H1697" s="26">
        <v>-1</v>
      </c>
      <c r="I1697" s="70" t="s">
        <v>7299</v>
      </c>
      <c r="J1697" s="26" t="s">
        <v>7300</v>
      </c>
      <c r="K1697" s="26" t="s">
        <v>7301</v>
      </c>
      <c r="L1697" s="26" t="s">
        <v>10760</v>
      </c>
      <c r="M1697" s="76"/>
      <c r="N1697" s="76"/>
      <c r="O1697" s="76"/>
      <c r="P1697" s="76"/>
      <c r="Q1697" s="76"/>
      <c r="R1697" s="76"/>
      <c r="Z1697" s="70"/>
      <c r="AA1697" s="70"/>
      <c r="AB1697" s="70"/>
      <c r="AC1697" s="70"/>
    </row>
    <row r="1698" spans="1:30" s="26" customFormat="1" x14ac:dyDescent="0.3">
      <c r="A1698" s="25" t="s">
        <v>7302</v>
      </c>
      <c r="B1698" s="25"/>
      <c r="C1698" s="26" t="s">
        <v>3005</v>
      </c>
      <c r="D1698" s="70"/>
      <c r="G1698" s="70" t="s">
        <v>1367</v>
      </c>
      <c r="H1698" s="26">
        <v>-1</v>
      </c>
      <c r="I1698" s="70" t="s">
        <v>7303</v>
      </c>
      <c r="J1698" s="26" t="s">
        <v>7304</v>
      </c>
      <c r="K1698" s="26" t="s">
        <v>7305</v>
      </c>
      <c r="L1698" s="26" t="s">
        <v>10761</v>
      </c>
      <c r="M1698" s="76"/>
      <c r="N1698" s="76"/>
      <c r="O1698" s="76"/>
      <c r="P1698" s="76"/>
      <c r="Q1698" s="76"/>
      <c r="R1698" s="76"/>
      <c r="Z1698" s="70"/>
      <c r="AA1698" s="70"/>
      <c r="AB1698" s="70"/>
      <c r="AC1698" s="70"/>
    </row>
    <row r="1699" spans="1:30" s="26" customFormat="1" x14ac:dyDescent="0.3">
      <c r="A1699" s="25" t="s">
        <v>7306</v>
      </c>
      <c r="B1699" s="25"/>
      <c r="C1699" s="26" t="s">
        <v>3005</v>
      </c>
      <c r="D1699" s="70"/>
      <c r="G1699" s="70" t="s">
        <v>1367</v>
      </c>
      <c r="H1699" s="26">
        <v>-1</v>
      </c>
      <c r="I1699" s="70" t="s">
        <v>7307</v>
      </c>
      <c r="J1699" s="26" t="s">
        <v>7308</v>
      </c>
      <c r="K1699" s="26" t="s">
        <v>7309</v>
      </c>
      <c r="L1699" s="26" t="s">
        <v>10762</v>
      </c>
      <c r="M1699" s="76"/>
      <c r="N1699" s="76"/>
      <c r="O1699" s="76"/>
      <c r="P1699" s="76"/>
      <c r="Q1699" s="76"/>
      <c r="R1699" s="76"/>
      <c r="Z1699" s="70"/>
      <c r="AA1699" s="70"/>
      <c r="AB1699" s="70"/>
      <c r="AC1699" s="70"/>
    </row>
    <row r="1700" spans="1:30" s="26" customFormat="1" x14ac:dyDescent="0.3">
      <c r="A1700" s="25" t="s">
        <v>7310</v>
      </c>
      <c r="B1700" s="25"/>
      <c r="C1700" s="26" t="s">
        <v>3005</v>
      </c>
      <c r="D1700" s="70"/>
      <c r="G1700" s="70" t="s">
        <v>1367</v>
      </c>
      <c r="H1700" s="26">
        <v>-1</v>
      </c>
      <c r="I1700" s="70" t="s">
        <v>3966</v>
      </c>
      <c r="J1700" s="26" t="s">
        <v>7311</v>
      </c>
      <c r="K1700" s="26" t="s">
        <v>7312</v>
      </c>
      <c r="L1700" s="26" t="s">
        <v>10763</v>
      </c>
      <c r="M1700" s="76"/>
      <c r="N1700" s="76"/>
      <c r="O1700" s="76"/>
      <c r="P1700" s="76"/>
      <c r="Q1700" s="76"/>
      <c r="R1700" s="76"/>
      <c r="Z1700" s="70"/>
      <c r="AA1700" s="70"/>
      <c r="AB1700" s="70"/>
      <c r="AC1700" s="70"/>
    </row>
    <row r="1701" spans="1:30" s="26" customFormat="1" x14ac:dyDescent="0.3">
      <c r="A1701" s="25" t="s">
        <v>7313</v>
      </c>
      <c r="B1701" s="25"/>
      <c r="C1701" s="26" t="s">
        <v>3005</v>
      </c>
      <c r="D1701" s="70"/>
      <c r="G1701" s="70" t="s">
        <v>1367</v>
      </c>
      <c r="H1701" s="26">
        <v>-1</v>
      </c>
      <c r="I1701" s="70" t="s">
        <v>7314</v>
      </c>
      <c r="J1701" s="26" t="s">
        <v>3529</v>
      </c>
      <c r="K1701" s="26" t="s">
        <v>7315</v>
      </c>
      <c r="L1701" s="26" t="s">
        <v>10764</v>
      </c>
      <c r="M1701" s="76"/>
      <c r="N1701" s="76"/>
      <c r="O1701" s="76"/>
      <c r="P1701" s="76"/>
      <c r="Q1701" s="76"/>
      <c r="R1701" s="76"/>
      <c r="Z1701" s="70"/>
      <c r="AA1701" s="70"/>
      <c r="AB1701" s="70"/>
      <c r="AC1701" s="70"/>
    </row>
    <row r="1702" spans="1:30" s="26" customFormat="1" x14ac:dyDescent="0.3">
      <c r="A1702" s="25" t="s">
        <v>7316</v>
      </c>
      <c r="B1702" s="25"/>
      <c r="C1702" s="26" t="s">
        <v>3005</v>
      </c>
      <c r="D1702" s="70"/>
      <c r="G1702" s="70" t="s">
        <v>1367</v>
      </c>
      <c r="H1702" s="26">
        <v>2</v>
      </c>
      <c r="I1702" s="70" t="s">
        <v>7317</v>
      </c>
      <c r="J1702" s="26" t="s">
        <v>7318</v>
      </c>
      <c r="K1702" s="26" t="s">
        <v>2015</v>
      </c>
      <c r="L1702" s="26" t="s">
        <v>9660</v>
      </c>
      <c r="M1702" s="76"/>
      <c r="N1702" s="76"/>
      <c r="O1702" s="76"/>
      <c r="P1702" s="76"/>
      <c r="Q1702" s="76"/>
      <c r="R1702" s="76"/>
      <c r="Z1702" s="70"/>
      <c r="AA1702" s="70"/>
      <c r="AB1702" s="70"/>
      <c r="AC1702" s="70"/>
    </row>
    <row r="1703" spans="1:30" s="24" customFormat="1" x14ac:dyDescent="0.3">
      <c r="A1703" s="23">
        <v>463</v>
      </c>
      <c r="B1703" s="23">
        <v>459</v>
      </c>
      <c r="C1703" s="24" t="s">
        <v>2165</v>
      </c>
      <c r="D1703" s="69" t="s">
        <v>1370</v>
      </c>
      <c r="E1703" s="24" t="s">
        <v>1369</v>
      </c>
      <c r="F1703" s="24" t="s">
        <v>1371</v>
      </c>
      <c r="G1703" s="69" t="s">
        <v>1372</v>
      </c>
      <c r="I1703" s="69"/>
      <c r="J1703" s="24" t="s">
        <v>7319</v>
      </c>
      <c r="K1703" s="24" t="s">
        <v>270</v>
      </c>
      <c r="L1703" s="24" t="s">
        <v>9854</v>
      </c>
      <c r="M1703" s="75" t="s">
        <v>19</v>
      </c>
      <c r="N1703" s="75"/>
      <c r="O1703" s="75" t="s">
        <v>58</v>
      </c>
      <c r="P1703" s="75" t="s">
        <v>58</v>
      </c>
      <c r="Q1703" s="75" t="s">
        <v>130</v>
      </c>
      <c r="R1703" s="75" t="s">
        <v>2166</v>
      </c>
      <c r="V1703" s="24" t="s">
        <v>2171</v>
      </c>
      <c r="Z1703" s="69"/>
      <c r="AA1703" s="69"/>
      <c r="AB1703" s="69"/>
      <c r="AC1703" s="69"/>
      <c r="AD1703" s="24" t="s">
        <v>1373</v>
      </c>
    </row>
    <row r="1704" spans="1:30" s="24" customFormat="1" x14ac:dyDescent="0.3">
      <c r="A1704" s="23">
        <v>464</v>
      </c>
      <c r="B1704" s="23">
        <v>460</v>
      </c>
      <c r="C1704" s="24" t="s">
        <v>2165</v>
      </c>
      <c r="D1704" s="69" t="s">
        <v>1375</v>
      </c>
      <c r="E1704" s="24" t="s">
        <v>1374</v>
      </c>
      <c r="F1704" s="24" t="s">
        <v>1376</v>
      </c>
      <c r="G1704" s="69" t="s">
        <v>1377</v>
      </c>
      <c r="H1704" s="24">
        <v>4</v>
      </c>
      <c r="I1704" s="69"/>
      <c r="J1704" s="24" t="s">
        <v>7320</v>
      </c>
      <c r="K1704" s="24" t="s">
        <v>1378</v>
      </c>
      <c r="M1704" s="75" t="s">
        <v>15</v>
      </c>
      <c r="N1704" s="75"/>
      <c r="O1704" s="75"/>
      <c r="P1704" s="75"/>
      <c r="Q1704" s="75"/>
      <c r="R1704" s="75"/>
      <c r="Z1704" s="69"/>
      <c r="AA1704" s="69"/>
      <c r="AB1704" s="69"/>
      <c r="AC1704" s="69"/>
    </row>
    <row r="1705" spans="1:30" s="26" customFormat="1" x14ac:dyDescent="0.3">
      <c r="A1705" s="25" t="s">
        <v>7321</v>
      </c>
      <c r="B1705" s="25"/>
      <c r="C1705" s="26" t="s">
        <v>3005</v>
      </c>
      <c r="D1705" s="70"/>
      <c r="G1705" s="70" t="s">
        <v>1377</v>
      </c>
      <c r="H1705" s="26">
        <v>3</v>
      </c>
      <c r="I1705" s="70" t="s">
        <v>5029</v>
      </c>
      <c r="J1705" s="26" t="s">
        <v>6632</v>
      </c>
      <c r="K1705" s="26" t="s">
        <v>7322</v>
      </c>
      <c r="L1705" s="26" t="s">
        <v>10765</v>
      </c>
      <c r="M1705" s="76"/>
      <c r="N1705" s="76"/>
      <c r="O1705" s="76"/>
      <c r="P1705" s="76"/>
      <c r="Q1705" s="76"/>
      <c r="R1705" s="76"/>
      <c r="Z1705" s="70"/>
      <c r="AA1705" s="70"/>
      <c r="AB1705" s="70"/>
      <c r="AC1705" s="70"/>
    </row>
    <row r="1706" spans="1:30" s="26" customFormat="1" x14ac:dyDescent="0.3">
      <c r="A1706" s="25" t="s">
        <v>7323</v>
      </c>
      <c r="B1706" s="25"/>
      <c r="C1706" s="26" t="s">
        <v>3005</v>
      </c>
      <c r="D1706" s="70"/>
      <c r="G1706" s="70" t="s">
        <v>1377</v>
      </c>
      <c r="H1706" s="26">
        <v>3</v>
      </c>
      <c r="I1706" s="70" t="s">
        <v>7324</v>
      </c>
      <c r="J1706" s="26" t="s">
        <v>6632</v>
      </c>
      <c r="K1706" s="26" t="s">
        <v>6298</v>
      </c>
      <c r="L1706" s="26" t="s">
        <v>10727</v>
      </c>
      <c r="M1706" s="76"/>
      <c r="N1706" s="76"/>
      <c r="O1706" s="76"/>
      <c r="P1706" s="76"/>
      <c r="Q1706" s="76"/>
      <c r="R1706" s="76"/>
      <c r="Z1706" s="70"/>
      <c r="AA1706" s="70"/>
      <c r="AB1706" s="70"/>
      <c r="AC1706" s="70"/>
    </row>
    <row r="1707" spans="1:30" s="26" customFormat="1" x14ac:dyDescent="0.3">
      <c r="A1707" s="25" t="s">
        <v>7325</v>
      </c>
      <c r="B1707" s="25"/>
      <c r="C1707" s="26" t="s">
        <v>3005</v>
      </c>
      <c r="D1707" s="70"/>
      <c r="G1707" s="70" t="s">
        <v>1377</v>
      </c>
      <c r="H1707" s="26">
        <v>2</v>
      </c>
      <c r="I1707" s="70" t="s">
        <v>6820</v>
      </c>
      <c r="J1707" s="26" t="s">
        <v>5085</v>
      </c>
      <c r="K1707" s="26" t="s">
        <v>7326</v>
      </c>
      <c r="L1707" s="26" t="s">
        <v>10766</v>
      </c>
      <c r="M1707" s="76"/>
      <c r="N1707" s="76"/>
      <c r="O1707" s="76"/>
      <c r="P1707" s="76"/>
      <c r="Q1707" s="76"/>
      <c r="R1707" s="76"/>
      <c r="Z1707" s="70"/>
      <c r="AA1707" s="70"/>
      <c r="AB1707" s="70"/>
      <c r="AC1707" s="70"/>
    </row>
    <row r="1708" spans="1:30" s="26" customFormat="1" x14ac:dyDescent="0.3">
      <c r="A1708" s="25" t="s">
        <v>7327</v>
      </c>
      <c r="B1708" s="25"/>
      <c r="C1708" s="26" t="s">
        <v>3005</v>
      </c>
      <c r="D1708" s="70"/>
      <c r="G1708" s="70" t="s">
        <v>1377</v>
      </c>
      <c r="H1708" s="26">
        <v>3</v>
      </c>
      <c r="I1708" s="70" t="s">
        <v>4149</v>
      </c>
      <c r="J1708" s="26" t="s">
        <v>7328</v>
      </c>
      <c r="K1708" s="26" t="s">
        <v>7329</v>
      </c>
      <c r="L1708" s="26" t="s">
        <v>10767</v>
      </c>
      <c r="M1708" s="76"/>
      <c r="N1708" s="76"/>
      <c r="O1708" s="76"/>
      <c r="P1708" s="76"/>
      <c r="Q1708" s="76"/>
      <c r="R1708" s="76"/>
      <c r="Z1708" s="70"/>
      <c r="AA1708" s="70"/>
      <c r="AB1708" s="70"/>
      <c r="AC1708" s="70"/>
    </row>
    <row r="1709" spans="1:30" s="26" customFormat="1" x14ac:dyDescent="0.3">
      <c r="A1709" s="25" t="s">
        <v>7330</v>
      </c>
      <c r="B1709" s="25"/>
      <c r="C1709" s="26" t="s">
        <v>3005</v>
      </c>
      <c r="D1709" s="70"/>
      <c r="G1709" s="70" t="s">
        <v>1377</v>
      </c>
      <c r="H1709" s="26">
        <v>-1</v>
      </c>
      <c r="I1709" s="70" t="s">
        <v>7331</v>
      </c>
      <c r="J1709" s="26" t="s">
        <v>7320</v>
      </c>
      <c r="K1709" s="26" t="s">
        <v>7332</v>
      </c>
      <c r="L1709" s="26" t="s">
        <v>10768</v>
      </c>
      <c r="M1709" s="76"/>
      <c r="N1709" s="76"/>
      <c r="O1709" s="76"/>
      <c r="P1709" s="76"/>
      <c r="Q1709" s="76"/>
      <c r="R1709" s="76"/>
      <c r="Z1709" s="70"/>
      <c r="AA1709" s="70"/>
      <c r="AB1709" s="70"/>
      <c r="AC1709" s="70"/>
    </row>
    <row r="1710" spans="1:30" s="24" customFormat="1" x14ac:dyDescent="0.3">
      <c r="A1710" s="23">
        <v>465</v>
      </c>
      <c r="B1710" s="23">
        <v>461</v>
      </c>
      <c r="C1710" s="24" t="s">
        <v>2165</v>
      </c>
      <c r="D1710" s="69" t="s">
        <v>1380</v>
      </c>
      <c r="E1710" s="24" t="s">
        <v>1379</v>
      </c>
      <c r="F1710" s="24" t="s">
        <v>1381</v>
      </c>
      <c r="G1710" s="69" t="s">
        <v>1382</v>
      </c>
      <c r="H1710" s="24">
        <v>9</v>
      </c>
      <c r="I1710" s="69"/>
      <c r="J1710" s="24" t="s">
        <v>3358</v>
      </c>
      <c r="K1710" s="24" t="s">
        <v>68</v>
      </c>
      <c r="M1710" s="75" t="s">
        <v>65</v>
      </c>
      <c r="N1710" s="75" t="s">
        <v>2015</v>
      </c>
      <c r="O1710" s="75"/>
      <c r="P1710" s="75"/>
      <c r="Q1710" s="75"/>
      <c r="R1710" s="75"/>
      <c r="Z1710" s="69" t="s">
        <v>2734</v>
      </c>
      <c r="AA1710" s="69" t="s">
        <v>2734</v>
      </c>
      <c r="AB1710" s="69"/>
      <c r="AC1710" s="69" t="s">
        <v>11401</v>
      </c>
    </row>
    <row r="1711" spans="1:30" s="26" customFormat="1" x14ac:dyDescent="0.3">
      <c r="A1711" s="25" t="s">
        <v>7333</v>
      </c>
      <c r="B1711" s="25"/>
      <c r="C1711" s="26" t="s">
        <v>3005</v>
      </c>
      <c r="D1711" s="70"/>
      <c r="G1711" s="70" t="s">
        <v>1382</v>
      </c>
      <c r="H1711" s="26">
        <v>1</v>
      </c>
      <c r="I1711" s="70" t="s">
        <v>7334</v>
      </c>
      <c r="J1711" s="26" t="s">
        <v>4240</v>
      </c>
      <c r="K1711" s="26" t="s">
        <v>7335</v>
      </c>
      <c r="L1711" s="26" t="s">
        <v>10769</v>
      </c>
      <c r="M1711" s="76"/>
      <c r="N1711" s="76"/>
      <c r="O1711" s="76"/>
      <c r="P1711" s="76"/>
      <c r="Q1711" s="76"/>
      <c r="R1711" s="76"/>
      <c r="Z1711" s="70"/>
      <c r="AA1711" s="70"/>
      <c r="AB1711" s="70"/>
      <c r="AC1711" s="70"/>
    </row>
    <row r="1712" spans="1:30" s="26" customFormat="1" x14ac:dyDescent="0.3">
      <c r="A1712" s="25" t="s">
        <v>7336</v>
      </c>
      <c r="B1712" s="25"/>
      <c r="C1712" s="26" t="s">
        <v>3005</v>
      </c>
      <c r="D1712" s="70"/>
      <c r="G1712" s="70" t="s">
        <v>1382</v>
      </c>
      <c r="H1712" s="26">
        <v>1</v>
      </c>
      <c r="I1712" s="70" t="s">
        <v>7337</v>
      </c>
      <c r="J1712" s="26" t="s">
        <v>5030</v>
      </c>
      <c r="K1712" s="26" t="s">
        <v>7160</v>
      </c>
      <c r="L1712" s="26" t="s">
        <v>10765</v>
      </c>
      <c r="M1712" s="76"/>
      <c r="N1712" s="76"/>
      <c r="O1712" s="76"/>
      <c r="P1712" s="76"/>
      <c r="Q1712" s="76"/>
      <c r="R1712" s="76"/>
      <c r="Z1712" s="70"/>
      <c r="AA1712" s="70"/>
      <c r="AB1712" s="70"/>
      <c r="AC1712" s="70"/>
    </row>
    <row r="1713" spans="1:31" s="26" customFormat="1" x14ac:dyDescent="0.3">
      <c r="A1713" s="25" t="s">
        <v>7338</v>
      </c>
      <c r="B1713" s="25"/>
      <c r="C1713" s="26" t="s">
        <v>3005</v>
      </c>
      <c r="D1713" s="70"/>
      <c r="G1713" s="70" t="s">
        <v>1382</v>
      </c>
      <c r="H1713" s="26">
        <v>1</v>
      </c>
      <c r="I1713" s="70" t="s">
        <v>7339</v>
      </c>
      <c r="J1713" s="26" t="s">
        <v>7340</v>
      </c>
      <c r="K1713" s="26" t="s">
        <v>7341</v>
      </c>
      <c r="L1713" s="26" t="s">
        <v>10770</v>
      </c>
      <c r="M1713" s="76"/>
      <c r="N1713" s="76"/>
      <c r="O1713" s="76"/>
      <c r="P1713" s="76"/>
      <c r="Q1713" s="76"/>
      <c r="R1713" s="76"/>
      <c r="Z1713" s="70"/>
      <c r="AA1713" s="70"/>
      <c r="AB1713" s="70"/>
      <c r="AC1713" s="70"/>
    </row>
    <row r="1714" spans="1:31" s="26" customFormat="1" x14ac:dyDescent="0.3">
      <c r="A1714" s="25" t="s">
        <v>7342</v>
      </c>
      <c r="B1714" s="25"/>
      <c r="C1714" s="26" t="s">
        <v>3005</v>
      </c>
      <c r="D1714" s="70"/>
      <c r="G1714" s="70" t="s">
        <v>1382</v>
      </c>
      <c r="H1714" s="26">
        <v>1</v>
      </c>
      <c r="I1714" s="70" t="s">
        <v>5570</v>
      </c>
      <c r="J1714" s="26" t="s">
        <v>3358</v>
      </c>
      <c r="K1714" s="26" t="s">
        <v>7343</v>
      </c>
      <c r="L1714" s="26" t="s">
        <v>10771</v>
      </c>
      <c r="M1714" s="76"/>
      <c r="N1714" s="76"/>
      <c r="O1714" s="76"/>
      <c r="P1714" s="76"/>
      <c r="Q1714" s="76"/>
      <c r="R1714" s="76"/>
      <c r="Z1714" s="70"/>
      <c r="AA1714" s="70"/>
      <c r="AB1714" s="70"/>
      <c r="AC1714" s="70"/>
    </row>
    <row r="1715" spans="1:31" s="26" customFormat="1" x14ac:dyDescent="0.3">
      <c r="A1715" s="25" t="s">
        <v>7344</v>
      </c>
      <c r="B1715" s="25"/>
      <c r="C1715" s="26" t="s">
        <v>3005</v>
      </c>
      <c r="D1715" s="70"/>
      <c r="G1715" s="70" t="s">
        <v>1382</v>
      </c>
      <c r="H1715" s="26">
        <v>1</v>
      </c>
      <c r="I1715" s="70" t="s">
        <v>7345</v>
      </c>
      <c r="J1715" s="26" t="s">
        <v>5030</v>
      </c>
      <c r="K1715" s="26" t="s">
        <v>2027</v>
      </c>
      <c r="L1715" s="26" t="s">
        <v>9797</v>
      </c>
      <c r="M1715" s="76"/>
      <c r="N1715" s="76"/>
      <c r="O1715" s="76"/>
      <c r="P1715" s="76"/>
      <c r="Q1715" s="76"/>
      <c r="R1715" s="76"/>
      <c r="Z1715" s="70"/>
      <c r="AA1715" s="70"/>
      <c r="AB1715" s="70"/>
      <c r="AC1715" s="70"/>
    </row>
    <row r="1716" spans="1:31" s="26" customFormat="1" x14ac:dyDescent="0.3">
      <c r="A1716" s="25" t="s">
        <v>7346</v>
      </c>
      <c r="B1716" s="25"/>
      <c r="C1716" s="26" t="s">
        <v>3005</v>
      </c>
      <c r="D1716" s="70"/>
      <c r="G1716" s="70" t="s">
        <v>1382</v>
      </c>
      <c r="H1716" s="26">
        <v>1</v>
      </c>
      <c r="I1716" s="70" t="s">
        <v>3251</v>
      </c>
      <c r="J1716" s="26" t="s">
        <v>4240</v>
      </c>
      <c r="K1716" s="26" t="s">
        <v>7347</v>
      </c>
      <c r="L1716" s="26" t="s">
        <v>10772</v>
      </c>
      <c r="M1716" s="76"/>
      <c r="N1716" s="76"/>
      <c r="O1716" s="76"/>
      <c r="P1716" s="76"/>
      <c r="Q1716" s="76"/>
      <c r="R1716" s="76"/>
      <c r="Z1716" s="70"/>
      <c r="AA1716" s="70"/>
      <c r="AB1716" s="70"/>
      <c r="AC1716" s="70"/>
    </row>
    <row r="1717" spans="1:31" s="26" customFormat="1" x14ac:dyDescent="0.3">
      <c r="A1717" s="25" t="s">
        <v>7348</v>
      </c>
      <c r="B1717" s="25"/>
      <c r="C1717" s="26" t="s">
        <v>3005</v>
      </c>
      <c r="D1717" s="70"/>
      <c r="G1717" s="70" t="s">
        <v>1382</v>
      </c>
      <c r="H1717" s="26">
        <v>1</v>
      </c>
      <c r="I1717" s="70" t="s">
        <v>5230</v>
      </c>
      <c r="J1717" s="26" t="s">
        <v>4248</v>
      </c>
      <c r="K1717" s="26" t="s">
        <v>7349</v>
      </c>
      <c r="L1717" s="26" t="s">
        <v>10773</v>
      </c>
      <c r="M1717" s="76"/>
      <c r="N1717" s="76"/>
      <c r="O1717" s="76"/>
      <c r="P1717" s="76"/>
      <c r="Q1717" s="76"/>
      <c r="R1717" s="76"/>
      <c r="Z1717" s="70"/>
      <c r="AA1717" s="70"/>
      <c r="AB1717" s="70"/>
      <c r="AC1717" s="70"/>
    </row>
    <row r="1718" spans="1:31" s="26" customFormat="1" x14ac:dyDescent="0.3">
      <c r="A1718" s="25" t="s">
        <v>7350</v>
      </c>
      <c r="B1718" s="25"/>
      <c r="C1718" s="26" t="s">
        <v>3005</v>
      </c>
      <c r="D1718" s="70"/>
      <c r="G1718" s="70" t="s">
        <v>1382</v>
      </c>
      <c r="H1718" s="26">
        <v>1</v>
      </c>
      <c r="I1718" s="70" t="s">
        <v>4247</v>
      </c>
      <c r="J1718" s="26" t="s">
        <v>7351</v>
      </c>
      <c r="K1718" s="26" t="s">
        <v>7352</v>
      </c>
      <c r="L1718" s="26" t="s">
        <v>9813</v>
      </c>
      <c r="M1718" s="76"/>
      <c r="N1718" s="76"/>
      <c r="O1718" s="76"/>
      <c r="P1718" s="76"/>
      <c r="Q1718" s="76"/>
      <c r="R1718" s="76"/>
      <c r="Z1718" s="70"/>
      <c r="AA1718" s="70"/>
      <c r="AB1718" s="70"/>
      <c r="AC1718" s="70"/>
    </row>
    <row r="1719" spans="1:31" s="26" customFormat="1" x14ac:dyDescent="0.3">
      <c r="A1719" s="25" t="s">
        <v>7353</v>
      </c>
      <c r="B1719" s="25"/>
      <c r="C1719" s="26" t="s">
        <v>3005</v>
      </c>
      <c r="D1719" s="70"/>
      <c r="G1719" s="70" t="s">
        <v>1382</v>
      </c>
      <c r="H1719" s="26">
        <v>1</v>
      </c>
      <c r="I1719" s="70" t="s">
        <v>7354</v>
      </c>
      <c r="J1719" s="26" t="s">
        <v>7340</v>
      </c>
      <c r="K1719" s="26" t="s">
        <v>7355</v>
      </c>
      <c r="L1719" s="26" t="s">
        <v>10774</v>
      </c>
      <c r="M1719" s="76"/>
      <c r="N1719" s="76"/>
      <c r="O1719" s="76"/>
      <c r="P1719" s="76"/>
      <c r="Q1719" s="76"/>
      <c r="R1719" s="76"/>
      <c r="Z1719" s="70"/>
      <c r="AA1719" s="70"/>
      <c r="AB1719" s="70"/>
      <c r="AC1719" s="70"/>
    </row>
    <row r="1720" spans="1:31" s="24" customFormat="1" x14ac:dyDescent="0.3">
      <c r="A1720" s="23">
        <v>466</v>
      </c>
      <c r="B1720" s="23">
        <v>462</v>
      </c>
      <c r="C1720" s="24" t="s">
        <v>2165</v>
      </c>
      <c r="D1720" s="69" t="s">
        <v>1380</v>
      </c>
      <c r="E1720" s="24" t="s">
        <v>1379</v>
      </c>
      <c r="F1720" s="24" t="s">
        <v>1383</v>
      </c>
      <c r="G1720" s="69" t="s">
        <v>1384</v>
      </c>
      <c r="I1720" s="69"/>
      <c r="J1720" s="24" t="s">
        <v>5085</v>
      </c>
      <c r="K1720" s="24" t="s">
        <v>68</v>
      </c>
      <c r="L1720" s="24" t="s">
        <v>9855</v>
      </c>
      <c r="M1720" s="75" t="s">
        <v>65</v>
      </c>
      <c r="N1720" s="75" t="s">
        <v>2030</v>
      </c>
      <c r="O1720" s="75" t="s">
        <v>58</v>
      </c>
      <c r="P1720" s="75" t="s">
        <v>58</v>
      </c>
      <c r="Q1720" s="75" t="s">
        <v>130</v>
      </c>
      <c r="R1720" s="75"/>
      <c r="Z1720" s="69" t="s">
        <v>2735</v>
      </c>
      <c r="AA1720" s="69" t="s">
        <v>2735</v>
      </c>
      <c r="AB1720" s="69"/>
      <c r="AC1720" s="69" t="s">
        <v>11402</v>
      </c>
    </row>
    <row r="1721" spans="1:31" s="24" customFormat="1" x14ac:dyDescent="0.3">
      <c r="A1721" s="23">
        <v>467</v>
      </c>
      <c r="B1721" s="23">
        <v>463</v>
      </c>
      <c r="C1721" s="24" t="s">
        <v>2165</v>
      </c>
      <c r="D1721" s="69" t="s">
        <v>1380</v>
      </c>
      <c r="E1721" s="24" t="s">
        <v>1379</v>
      </c>
      <c r="F1721" s="24" t="s">
        <v>1385</v>
      </c>
      <c r="G1721" s="69" t="s">
        <v>1386</v>
      </c>
      <c r="H1721" s="24">
        <v>3</v>
      </c>
      <c r="I1721" s="69"/>
      <c r="J1721" s="24" t="s">
        <v>7356</v>
      </c>
      <c r="K1721" s="24" t="s">
        <v>68</v>
      </c>
      <c r="M1721" s="75" t="s">
        <v>65</v>
      </c>
      <c r="N1721" s="75" t="s">
        <v>2015</v>
      </c>
      <c r="O1721" s="75" t="s">
        <v>58</v>
      </c>
      <c r="P1721" s="75" t="s">
        <v>58</v>
      </c>
      <c r="Q1721" s="75" t="s">
        <v>130</v>
      </c>
      <c r="R1721" s="75"/>
      <c r="Z1721" s="69"/>
      <c r="AA1721" s="69" t="s">
        <v>2736</v>
      </c>
      <c r="AB1721" s="69"/>
      <c r="AC1721" s="69"/>
    </row>
    <row r="1722" spans="1:31" s="26" customFormat="1" x14ac:dyDescent="0.3">
      <c r="A1722" s="25" t="s">
        <v>7357</v>
      </c>
      <c r="B1722" s="25"/>
      <c r="C1722" s="26" t="s">
        <v>3005</v>
      </c>
      <c r="D1722" s="70"/>
      <c r="G1722" s="70" t="s">
        <v>1386</v>
      </c>
      <c r="H1722" s="26">
        <v>1</v>
      </c>
      <c r="I1722" s="70" t="s">
        <v>7358</v>
      </c>
      <c r="J1722" s="26" t="s">
        <v>6845</v>
      </c>
      <c r="K1722" s="26" t="s">
        <v>7359</v>
      </c>
      <c r="L1722" s="26" t="s">
        <v>9884</v>
      </c>
      <c r="M1722" s="76"/>
      <c r="N1722" s="76"/>
      <c r="O1722" s="76"/>
      <c r="P1722" s="76"/>
      <c r="Q1722" s="76"/>
      <c r="R1722" s="76"/>
      <c r="Z1722" s="70"/>
      <c r="AA1722" s="70"/>
      <c r="AB1722" s="70"/>
      <c r="AC1722" s="70"/>
    </row>
    <row r="1723" spans="1:31" s="26" customFormat="1" x14ac:dyDescent="0.3">
      <c r="A1723" s="25" t="s">
        <v>7360</v>
      </c>
      <c r="B1723" s="25"/>
      <c r="C1723" s="26" t="s">
        <v>3005</v>
      </c>
      <c r="D1723" s="70"/>
      <c r="G1723" s="70" t="s">
        <v>1386</v>
      </c>
      <c r="H1723" s="26">
        <v>1</v>
      </c>
      <c r="I1723" s="70" t="s">
        <v>7361</v>
      </c>
      <c r="J1723" s="26" t="s">
        <v>7356</v>
      </c>
      <c r="K1723" s="26" t="s">
        <v>5061</v>
      </c>
      <c r="L1723" s="26" t="s">
        <v>10775</v>
      </c>
      <c r="M1723" s="76"/>
      <c r="N1723" s="76"/>
      <c r="O1723" s="76"/>
      <c r="P1723" s="76"/>
      <c r="Q1723" s="76"/>
      <c r="R1723" s="76"/>
      <c r="Z1723" s="70"/>
      <c r="AA1723" s="70"/>
      <c r="AB1723" s="70"/>
      <c r="AC1723" s="70"/>
    </row>
    <row r="1724" spans="1:31" s="26" customFormat="1" x14ac:dyDescent="0.3">
      <c r="A1724" s="25" t="s">
        <v>7362</v>
      </c>
      <c r="B1724" s="25"/>
      <c r="C1724" s="26" t="s">
        <v>3005</v>
      </c>
      <c r="D1724" s="70"/>
      <c r="G1724" s="70" t="s">
        <v>1386</v>
      </c>
      <c r="H1724" s="26">
        <v>1</v>
      </c>
      <c r="I1724" s="70" t="s">
        <v>7363</v>
      </c>
      <c r="J1724" s="26" t="s">
        <v>6308</v>
      </c>
      <c r="K1724" s="26" t="s">
        <v>2025</v>
      </c>
      <c r="L1724" s="26" t="s">
        <v>9880</v>
      </c>
      <c r="M1724" s="76"/>
      <c r="N1724" s="76"/>
      <c r="O1724" s="76"/>
      <c r="P1724" s="76"/>
      <c r="Q1724" s="76"/>
      <c r="R1724" s="76"/>
      <c r="Z1724" s="70"/>
      <c r="AA1724" s="70"/>
      <c r="AB1724" s="70"/>
      <c r="AC1724" s="70"/>
    </row>
    <row r="1725" spans="1:31" s="24" customFormat="1" x14ac:dyDescent="0.3">
      <c r="A1725" s="23">
        <v>468</v>
      </c>
      <c r="B1725" s="23">
        <v>464</v>
      </c>
      <c r="C1725" s="24" t="s">
        <v>2165</v>
      </c>
      <c r="D1725" s="69" t="s">
        <v>1388</v>
      </c>
      <c r="E1725" s="24" t="s">
        <v>1387</v>
      </c>
      <c r="F1725" s="24" t="s">
        <v>1389</v>
      </c>
      <c r="G1725" s="69" t="s">
        <v>1390</v>
      </c>
      <c r="H1725" s="24">
        <v>2</v>
      </c>
      <c r="I1725" s="69"/>
      <c r="J1725" s="24" t="s">
        <v>4187</v>
      </c>
      <c r="K1725" s="24" t="s">
        <v>1391</v>
      </c>
      <c r="M1725" s="75" t="s">
        <v>15</v>
      </c>
      <c r="N1725" s="75"/>
      <c r="O1725" s="75"/>
      <c r="P1725" s="75"/>
      <c r="Q1725" s="75"/>
      <c r="R1725" s="75"/>
      <c r="V1725" s="24" t="s">
        <v>2737</v>
      </c>
      <c r="W1725" s="24" t="s">
        <v>2738</v>
      </c>
      <c r="Y1725" s="24" t="s">
        <v>2739</v>
      </c>
      <c r="Z1725" s="69"/>
      <c r="AA1725" s="69"/>
      <c r="AB1725" s="69"/>
      <c r="AC1725" s="69"/>
      <c r="AD1725" s="24" t="s">
        <v>123</v>
      </c>
    </row>
    <row r="1726" spans="1:31" s="26" customFormat="1" x14ac:dyDescent="0.3">
      <c r="A1726" s="25" t="s">
        <v>7364</v>
      </c>
      <c r="B1726" s="25"/>
      <c r="C1726" s="26" t="s">
        <v>3005</v>
      </c>
      <c r="D1726" s="70"/>
      <c r="G1726" s="70" t="s">
        <v>1390</v>
      </c>
      <c r="H1726" s="26">
        <v>-1</v>
      </c>
      <c r="I1726" s="70" t="s">
        <v>7365</v>
      </c>
      <c r="J1726" s="26" t="s">
        <v>7366</v>
      </c>
      <c r="K1726" s="26" t="s">
        <v>7367</v>
      </c>
      <c r="L1726" s="26" t="s">
        <v>10776</v>
      </c>
      <c r="M1726" s="76"/>
      <c r="N1726" s="76"/>
      <c r="O1726" s="76"/>
      <c r="P1726" s="76"/>
      <c r="Q1726" s="76"/>
      <c r="R1726" s="76"/>
      <c r="T1726" s="26" t="s">
        <v>2200</v>
      </c>
      <c r="Z1726" s="70"/>
      <c r="AA1726" s="70"/>
      <c r="AB1726" s="70"/>
      <c r="AC1726" s="70"/>
      <c r="AE1726" s="26" t="s">
        <v>7368</v>
      </c>
    </row>
    <row r="1727" spans="1:31" s="26" customFormat="1" x14ac:dyDescent="0.3">
      <c r="A1727" s="25" t="s">
        <v>7369</v>
      </c>
      <c r="B1727" s="25"/>
      <c r="C1727" s="26" t="s">
        <v>3005</v>
      </c>
      <c r="D1727" s="70"/>
      <c r="G1727" s="70" t="s">
        <v>1390</v>
      </c>
      <c r="H1727" s="26">
        <v>2</v>
      </c>
      <c r="I1727" s="70" t="s">
        <v>5319</v>
      </c>
      <c r="J1727" s="26" t="s">
        <v>7370</v>
      </c>
      <c r="K1727" s="26" t="s">
        <v>5976</v>
      </c>
      <c r="L1727" s="26" t="s">
        <v>9843</v>
      </c>
      <c r="M1727" s="76"/>
      <c r="N1727" s="76"/>
      <c r="O1727" s="76"/>
      <c r="P1727" s="76"/>
      <c r="Q1727" s="76"/>
      <c r="R1727" s="76"/>
      <c r="Z1727" s="70"/>
      <c r="AA1727" s="70"/>
      <c r="AB1727" s="70"/>
      <c r="AC1727" s="70"/>
    </row>
    <row r="1728" spans="1:31" s="26" customFormat="1" x14ac:dyDescent="0.3">
      <c r="A1728" s="25" t="s">
        <v>7371</v>
      </c>
      <c r="B1728" s="25"/>
      <c r="C1728" s="26" t="s">
        <v>3005</v>
      </c>
      <c r="D1728" s="70"/>
      <c r="G1728" s="70" t="s">
        <v>1390</v>
      </c>
      <c r="H1728" s="26">
        <v>2</v>
      </c>
      <c r="I1728" s="70" t="s">
        <v>5230</v>
      </c>
      <c r="J1728" s="26" t="s">
        <v>3144</v>
      </c>
      <c r="K1728" s="26" t="s">
        <v>5290</v>
      </c>
      <c r="L1728" s="26" t="s">
        <v>9880</v>
      </c>
      <c r="M1728" s="76"/>
      <c r="N1728" s="76"/>
      <c r="O1728" s="76"/>
      <c r="P1728" s="76"/>
      <c r="Q1728" s="76"/>
      <c r="R1728" s="76"/>
      <c r="Z1728" s="70"/>
      <c r="AA1728" s="70"/>
      <c r="AB1728" s="70"/>
      <c r="AC1728" s="70"/>
    </row>
    <row r="1729" spans="1:29" s="26" customFormat="1" x14ac:dyDescent="0.3">
      <c r="A1729" s="25" t="s">
        <v>7372</v>
      </c>
      <c r="B1729" s="25"/>
      <c r="C1729" s="26" t="s">
        <v>3005</v>
      </c>
      <c r="D1729" s="70"/>
      <c r="G1729" s="70" t="s">
        <v>1390</v>
      </c>
      <c r="H1729" s="26">
        <v>-1</v>
      </c>
      <c r="I1729" s="70" t="s">
        <v>3446</v>
      </c>
      <c r="J1729" s="26" t="s">
        <v>4187</v>
      </c>
      <c r="K1729" s="26" t="s">
        <v>7373</v>
      </c>
      <c r="L1729" s="26" t="s">
        <v>10777</v>
      </c>
      <c r="M1729" s="76"/>
      <c r="N1729" s="76"/>
      <c r="O1729" s="76"/>
      <c r="P1729" s="76"/>
      <c r="Q1729" s="76"/>
      <c r="R1729" s="76"/>
      <c r="Z1729" s="70"/>
      <c r="AA1729" s="70"/>
      <c r="AB1729" s="70"/>
      <c r="AC1729" s="70"/>
    </row>
    <row r="1730" spans="1:29" s="26" customFormat="1" x14ac:dyDescent="0.3">
      <c r="A1730" s="25" t="s">
        <v>7374</v>
      </c>
      <c r="B1730" s="25"/>
      <c r="C1730" s="26" t="s">
        <v>3005</v>
      </c>
      <c r="D1730" s="70"/>
      <c r="G1730" s="70" t="s">
        <v>1390</v>
      </c>
      <c r="H1730" s="26">
        <v>-1</v>
      </c>
      <c r="I1730" s="70" t="s">
        <v>7375</v>
      </c>
      <c r="J1730" s="26" t="s">
        <v>4335</v>
      </c>
      <c r="K1730" s="26" t="s">
        <v>7376</v>
      </c>
      <c r="L1730" s="26" t="s">
        <v>10778</v>
      </c>
      <c r="M1730" s="76"/>
      <c r="N1730" s="76"/>
      <c r="O1730" s="76"/>
      <c r="P1730" s="76"/>
      <c r="Q1730" s="76"/>
      <c r="R1730" s="76"/>
      <c r="Z1730" s="70"/>
      <c r="AA1730" s="70"/>
      <c r="AB1730" s="70"/>
      <c r="AC1730" s="70"/>
    </row>
    <row r="1731" spans="1:29" s="26" customFormat="1" x14ac:dyDescent="0.3">
      <c r="A1731" s="25" t="s">
        <v>7377</v>
      </c>
      <c r="B1731" s="25"/>
      <c r="C1731" s="26" t="s">
        <v>3005</v>
      </c>
      <c r="D1731" s="70"/>
      <c r="G1731" s="70" t="s">
        <v>1390</v>
      </c>
      <c r="H1731" s="26">
        <v>-1</v>
      </c>
      <c r="I1731" s="70" t="s">
        <v>5758</v>
      </c>
      <c r="J1731" s="26" t="s">
        <v>5759</v>
      </c>
      <c r="K1731" s="26" t="s">
        <v>7378</v>
      </c>
      <c r="L1731" s="26" t="s">
        <v>10779</v>
      </c>
      <c r="M1731" s="76"/>
      <c r="N1731" s="76"/>
      <c r="O1731" s="76"/>
      <c r="P1731" s="76"/>
      <c r="Q1731" s="76"/>
      <c r="R1731" s="76"/>
      <c r="Z1731" s="70"/>
      <c r="AA1731" s="70"/>
      <c r="AB1731" s="70"/>
      <c r="AC1731" s="70"/>
    </row>
    <row r="1732" spans="1:29" s="26" customFormat="1" x14ac:dyDescent="0.3">
      <c r="A1732" s="25" t="s">
        <v>7379</v>
      </c>
      <c r="B1732" s="25"/>
      <c r="C1732" s="26" t="s">
        <v>3005</v>
      </c>
      <c r="D1732" s="70"/>
      <c r="G1732" s="70" t="s">
        <v>1390</v>
      </c>
      <c r="H1732" s="26">
        <v>-1</v>
      </c>
      <c r="I1732" s="70" t="s">
        <v>7380</v>
      </c>
      <c r="J1732" s="26" t="s">
        <v>7381</v>
      </c>
      <c r="K1732" s="26" t="s">
        <v>7382</v>
      </c>
      <c r="L1732" s="26" t="s">
        <v>10780</v>
      </c>
      <c r="M1732" s="76"/>
      <c r="N1732" s="76"/>
      <c r="O1732" s="76"/>
      <c r="P1732" s="76"/>
      <c r="Q1732" s="76"/>
      <c r="R1732" s="76"/>
      <c r="Z1732" s="70"/>
      <c r="AA1732" s="70"/>
      <c r="AB1732" s="70"/>
      <c r="AC1732" s="70"/>
    </row>
    <row r="1733" spans="1:29" s="26" customFormat="1" x14ac:dyDescent="0.3">
      <c r="A1733" s="25" t="s">
        <v>7383</v>
      </c>
      <c r="B1733" s="25"/>
      <c r="C1733" s="26" t="s">
        <v>3005</v>
      </c>
      <c r="D1733" s="70"/>
      <c r="G1733" s="70" t="s">
        <v>1390</v>
      </c>
      <c r="H1733" s="26">
        <v>-1</v>
      </c>
      <c r="I1733" s="70" t="s">
        <v>7384</v>
      </c>
      <c r="J1733" s="26" t="s">
        <v>7385</v>
      </c>
      <c r="K1733" s="26" t="s">
        <v>7386</v>
      </c>
      <c r="L1733" s="26" t="s">
        <v>10781</v>
      </c>
      <c r="M1733" s="76"/>
      <c r="N1733" s="76"/>
      <c r="O1733" s="76"/>
      <c r="P1733" s="76"/>
      <c r="Q1733" s="76"/>
      <c r="R1733" s="76"/>
      <c r="Z1733" s="70"/>
      <c r="AA1733" s="70"/>
      <c r="AB1733" s="70"/>
      <c r="AC1733" s="70"/>
    </row>
    <row r="1734" spans="1:29" s="26" customFormat="1" x14ac:dyDescent="0.3">
      <c r="A1734" s="25" t="s">
        <v>7387</v>
      </c>
      <c r="B1734" s="25"/>
      <c r="C1734" s="26" t="s">
        <v>3005</v>
      </c>
      <c r="D1734" s="70"/>
      <c r="G1734" s="70" t="s">
        <v>1390</v>
      </c>
      <c r="H1734" s="26">
        <v>-1</v>
      </c>
      <c r="I1734" s="70" t="s">
        <v>7388</v>
      </c>
      <c r="J1734" s="26" t="s">
        <v>7184</v>
      </c>
      <c r="K1734" s="26" t="s">
        <v>7389</v>
      </c>
      <c r="L1734" s="26" t="s">
        <v>10782</v>
      </c>
      <c r="M1734" s="76"/>
      <c r="N1734" s="76"/>
      <c r="O1734" s="76"/>
      <c r="P1734" s="76"/>
      <c r="Q1734" s="76"/>
      <c r="R1734" s="76"/>
      <c r="Z1734" s="70"/>
      <c r="AA1734" s="70"/>
      <c r="AB1734" s="70"/>
      <c r="AC1734" s="70"/>
    </row>
    <row r="1735" spans="1:29" s="26" customFormat="1" x14ac:dyDescent="0.3">
      <c r="A1735" s="25" t="s">
        <v>7390</v>
      </c>
      <c r="B1735" s="25"/>
      <c r="C1735" s="26" t="s">
        <v>3005</v>
      </c>
      <c r="D1735" s="70"/>
      <c r="G1735" s="70" t="s">
        <v>1390</v>
      </c>
      <c r="H1735" s="26">
        <v>-1</v>
      </c>
      <c r="I1735" s="70" t="s">
        <v>6275</v>
      </c>
      <c r="J1735" s="26" t="s">
        <v>7391</v>
      </c>
      <c r="K1735" s="26" t="s">
        <v>7392</v>
      </c>
      <c r="L1735" s="26" t="s">
        <v>10783</v>
      </c>
      <c r="M1735" s="76"/>
      <c r="N1735" s="76"/>
      <c r="O1735" s="76"/>
      <c r="P1735" s="76"/>
      <c r="Q1735" s="76"/>
      <c r="R1735" s="76"/>
      <c r="Z1735" s="70"/>
      <c r="AA1735" s="70"/>
      <c r="AB1735" s="70"/>
      <c r="AC1735" s="70"/>
    </row>
    <row r="1736" spans="1:29" s="26" customFormat="1" x14ac:dyDescent="0.3">
      <c r="A1736" s="25" t="s">
        <v>7393</v>
      </c>
      <c r="B1736" s="25"/>
      <c r="C1736" s="26" t="s">
        <v>3005</v>
      </c>
      <c r="D1736" s="70"/>
      <c r="G1736" s="70" t="s">
        <v>1390</v>
      </c>
      <c r="H1736" s="26">
        <v>-1</v>
      </c>
      <c r="I1736" s="70" t="s">
        <v>7394</v>
      </c>
      <c r="J1736" s="26" t="s">
        <v>3195</v>
      </c>
      <c r="K1736" s="26" t="s">
        <v>7395</v>
      </c>
      <c r="L1736" s="26" t="s">
        <v>10784</v>
      </c>
      <c r="M1736" s="76"/>
      <c r="N1736" s="76"/>
      <c r="O1736" s="76"/>
      <c r="P1736" s="76"/>
      <c r="Q1736" s="76"/>
      <c r="R1736" s="76"/>
      <c r="Z1736" s="70"/>
      <c r="AA1736" s="70"/>
      <c r="AB1736" s="70"/>
      <c r="AC1736" s="70"/>
    </row>
    <row r="1737" spans="1:29" s="26" customFormat="1" x14ac:dyDescent="0.3">
      <c r="A1737" s="25" t="s">
        <v>7396</v>
      </c>
      <c r="B1737" s="25"/>
      <c r="C1737" s="26" t="s">
        <v>3005</v>
      </c>
      <c r="D1737" s="70"/>
      <c r="G1737" s="70" t="s">
        <v>1390</v>
      </c>
      <c r="H1737" s="26">
        <v>-1</v>
      </c>
      <c r="I1737" s="70" t="s">
        <v>7397</v>
      </c>
      <c r="J1737" s="26" t="s">
        <v>7398</v>
      </c>
      <c r="K1737" s="26" t="s">
        <v>7399</v>
      </c>
      <c r="L1737" s="26" t="s">
        <v>10785</v>
      </c>
      <c r="M1737" s="76"/>
      <c r="N1737" s="76"/>
      <c r="O1737" s="76"/>
      <c r="P1737" s="76"/>
      <c r="Q1737" s="76"/>
      <c r="R1737" s="76"/>
      <c r="Z1737" s="70"/>
      <c r="AA1737" s="70"/>
      <c r="AB1737" s="70"/>
      <c r="AC1737" s="70"/>
    </row>
    <row r="1738" spans="1:29" s="26" customFormat="1" x14ac:dyDescent="0.3">
      <c r="A1738" s="25" t="s">
        <v>7400</v>
      </c>
      <c r="B1738" s="25"/>
      <c r="C1738" s="26" t="s">
        <v>3005</v>
      </c>
      <c r="D1738" s="70"/>
      <c r="G1738" s="70" t="s">
        <v>1390</v>
      </c>
      <c r="H1738" s="26">
        <v>-1</v>
      </c>
      <c r="I1738" s="70" t="s">
        <v>6389</v>
      </c>
      <c r="J1738" s="26" t="s">
        <v>7401</v>
      </c>
      <c r="K1738" s="26" t="s">
        <v>7402</v>
      </c>
      <c r="L1738" s="26" t="s">
        <v>10786</v>
      </c>
      <c r="M1738" s="76"/>
      <c r="N1738" s="76"/>
      <c r="O1738" s="76"/>
      <c r="P1738" s="76"/>
      <c r="Q1738" s="76"/>
      <c r="R1738" s="76"/>
      <c r="Z1738" s="70"/>
      <c r="AA1738" s="70"/>
      <c r="AB1738" s="70"/>
      <c r="AC1738" s="70"/>
    </row>
    <row r="1739" spans="1:29" s="26" customFormat="1" x14ac:dyDescent="0.3">
      <c r="A1739" s="25" t="s">
        <v>7403</v>
      </c>
      <c r="B1739" s="25"/>
      <c r="C1739" s="26" t="s">
        <v>3005</v>
      </c>
      <c r="D1739" s="70"/>
      <c r="G1739" s="70" t="s">
        <v>1390</v>
      </c>
      <c r="H1739" s="26">
        <v>-1</v>
      </c>
      <c r="I1739" s="70" t="s">
        <v>7404</v>
      </c>
      <c r="J1739" s="26" t="s">
        <v>7405</v>
      </c>
      <c r="K1739" s="26" t="s">
        <v>3099</v>
      </c>
      <c r="L1739" s="26" t="s">
        <v>10787</v>
      </c>
      <c r="M1739" s="76"/>
      <c r="N1739" s="76"/>
      <c r="O1739" s="76"/>
      <c r="P1739" s="76"/>
      <c r="Q1739" s="76"/>
      <c r="R1739" s="76"/>
      <c r="Z1739" s="70"/>
      <c r="AA1739" s="70"/>
      <c r="AB1739" s="70"/>
      <c r="AC1739" s="70"/>
    </row>
    <row r="1740" spans="1:29" s="26" customFormat="1" x14ac:dyDescent="0.3">
      <c r="A1740" s="25" t="s">
        <v>7406</v>
      </c>
      <c r="B1740" s="25"/>
      <c r="C1740" s="26" t="s">
        <v>3005</v>
      </c>
      <c r="D1740" s="70"/>
      <c r="G1740" s="70" t="s">
        <v>1390</v>
      </c>
      <c r="H1740" s="26">
        <v>-1</v>
      </c>
      <c r="I1740" s="70" t="s">
        <v>7407</v>
      </c>
      <c r="J1740" s="26" t="s">
        <v>7408</v>
      </c>
      <c r="K1740" s="26" t="s">
        <v>7409</v>
      </c>
      <c r="L1740" s="26" t="s">
        <v>10788</v>
      </c>
      <c r="M1740" s="76"/>
      <c r="N1740" s="76"/>
      <c r="O1740" s="76"/>
      <c r="P1740" s="76"/>
      <c r="Q1740" s="76"/>
      <c r="R1740" s="76"/>
      <c r="Z1740" s="70"/>
      <c r="AA1740" s="70"/>
      <c r="AB1740" s="70"/>
      <c r="AC1740" s="70"/>
    </row>
    <row r="1741" spans="1:29" s="26" customFormat="1" x14ac:dyDescent="0.3">
      <c r="A1741" s="25" t="s">
        <v>7410</v>
      </c>
      <c r="B1741" s="25"/>
      <c r="C1741" s="26" t="s">
        <v>3005</v>
      </c>
      <c r="D1741" s="70"/>
      <c r="G1741" s="70" t="s">
        <v>1390</v>
      </c>
      <c r="H1741" s="26">
        <v>-1</v>
      </c>
      <c r="I1741" s="70" t="s">
        <v>7411</v>
      </c>
      <c r="J1741" s="26" t="s">
        <v>3939</v>
      </c>
      <c r="K1741" s="26" t="s">
        <v>7412</v>
      </c>
      <c r="L1741" s="26" t="s">
        <v>10789</v>
      </c>
      <c r="M1741" s="76"/>
      <c r="N1741" s="76"/>
      <c r="O1741" s="76"/>
      <c r="P1741" s="76"/>
      <c r="Q1741" s="76"/>
      <c r="R1741" s="76"/>
      <c r="Z1741" s="70"/>
      <c r="AA1741" s="70"/>
      <c r="AB1741" s="70"/>
      <c r="AC1741" s="70"/>
    </row>
    <row r="1742" spans="1:29" s="24" customFormat="1" x14ac:dyDescent="0.3">
      <c r="A1742" s="23">
        <v>469</v>
      </c>
      <c r="B1742" s="23">
        <v>465</v>
      </c>
      <c r="C1742" s="24" t="s">
        <v>2165</v>
      </c>
      <c r="D1742" s="69" t="s">
        <v>1388</v>
      </c>
      <c r="E1742" s="24" t="s">
        <v>1387</v>
      </c>
      <c r="F1742" s="24" t="s">
        <v>1392</v>
      </c>
      <c r="G1742" s="69" t="s">
        <v>1393</v>
      </c>
      <c r="H1742" s="24">
        <v>1</v>
      </c>
      <c r="I1742" s="69"/>
      <c r="J1742" s="24" t="s">
        <v>5746</v>
      </c>
      <c r="K1742" s="24" t="s">
        <v>1394</v>
      </c>
      <c r="M1742" s="75" t="s">
        <v>15</v>
      </c>
      <c r="N1742" s="75"/>
      <c r="O1742" s="75"/>
      <c r="P1742" s="75"/>
      <c r="Q1742" s="75"/>
      <c r="R1742" s="75"/>
      <c r="Z1742" s="69"/>
      <c r="AA1742" s="69"/>
      <c r="AB1742" s="69"/>
      <c r="AC1742" s="69"/>
    </row>
    <row r="1743" spans="1:29" s="26" customFormat="1" x14ac:dyDescent="0.3">
      <c r="A1743" s="25" t="s">
        <v>7413</v>
      </c>
      <c r="B1743" s="25"/>
      <c r="C1743" s="26" t="s">
        <v>3005</v>
      </c>
      <c r="D1743" s="70"/>
      <c r="G1743" s="70" t="s">
        <v>1393</v>
      </c>
      <c r="H1743" s="26">
        <v>-1</v>
      </c>
      <c r="I1743" s="70" t="s">
        <v>7414</v>
      </c>
      <c r="J1743" s="26" t="s">
        <v>4632</v>
      </c>
      <c r="K1743" s="26" t="s">
        <v>7415</v>
      </c>
      <c r="L1743" s="26" t="s">
        <v>10790</v>
      </c>
      <c r="M1743" s="76"/>
      <c r="N1743" s="76"/>
      <c r="O1743" s="76"/>
      <c r="P1743" s="76"/>
      <c r="Q1743" s="76"/>
      <c r="R1743" s="76"/>
      <c r="Z1743" s="70"/>
      <c r="AA1743" s="70"/>
      <c r="AB1743" s="70"/>
      <c r="AC1743" s="70"/>
    </row>
    <row r="1744" spans="1:29" s="26" customFormat="1" x14ac:dyDescent="0.3">
      <c r="A1744" s="25" t="s">
        <v>7416</v>
      </c>
      <c r="B1744" s="25"/>
      <c r="C1744" s="26" t="s">
        <v>3005</v>
      </c>
      <c r="D1744" s="70"/>
      <c r="G1744" s="70" t="s">
        <v>1393</v>
      </c>
      <c r="H1744" s="26">
        <v>-1</v>
      </c>
      <c r="I1744" s="70" t="s">
        <v>7417</v>
      </c>
      <c r="J1744" s="26" t="s">
        <v>7418</v>
      </c>
      <c r="K1744" s="26" t="s">
        <v>7419</v>
      </c>
      <c r="L1744" s="26" t="s">
        <v>10791</v>
      </c>
      <c r="M1744" s="76"/>
      <c r="N1744" s="76"/>
      <c r="O1744" s="76"/>
      <c r="P1744" s="76"/>
      <c r="Q1744" s="76"/>
      <c r="R1744" s="76"/>
      <c r="Z1744" s="70"/>
      <c r="AA1744" s="70"/>
      <c r="AB1744" s="70"/>
      <c r="AC1744" s="70"/>
    </row>
    <row r="1745" spans="1:29" s="26" customFormat="1" x14ac:dyDescent="0.3">
      <c r="A1745" s="25" t="s">
        <v>7420</v>
      </c>
      <c r="B1745" s="25"/>
      <c r="C1745" s="26" t="s">
        <v>3005</v>
      </c>
      <c r="D1745" s="70"/>
      <c r="G1745" s="70" t="s">
        <v>1393</v>
      </c>
      <c r="H1745" s="26">
        <v>-1</v>
      </c>
      <c r="I1745" s="70" t="s">
        <v>7421</v>
      </c>
      <c r="J1745" s="26" t="s">
        <v>6495</v>
      </c>
      <c r="K1745" s="26" t="s">
        <v>7422</v>
      </c>
      <c r="L1745" s="26" t="s">
        <v>10792</v>
      </c>
      <c r="M1745" s="76"/>
      <c r="N1745" s="76"/>
      <c r="O1745" s="76"/>
      <c r="P1745" s="76"/>
      <c r="Q1745" s="76"/>
      <c r="R1745" s="76"/>
      <c r="Z1745" s="70"/>
      <c r="AA1745" s="70"/>
      <c r="AB1745" s="70"/>
      <c r="AC1745" s="70"/>
    </row>
    <row r="1746" spans="1:29" s="26" customFormat="1" x14ac:dyDescent="0.3">
      <c r="A1746" s="25" t="s">
        <v>7423</v>
      </c>
      <c r="B1746" s="25"/>
      <c r="C1746" s="26" t="s">
        <v>3005</v>
      </c>
      <c r="D1746" s="70"/>
      <c r="G1746" s="70" t="s">
        <v>1393</v>
      </c>
      <c r="H1746" s="26">
        <v>-1</v>
      </c>
      <c r="I1746" s="70" t="s">
        <v>7424</v>
      </c>
      <c r="J1746" s="26" t="s">
        <v>3043</v>
      </c>
      <c r="K1746" s="26" t="s">
        <v>7425</v>
      </c>
      <c r="L1746" s="26" t="s">
        <v>10793</v>
      </c>
      <c r="M1746" s="76"/>
      <c r="N1746" s="76"/>
      <c r="O1746" s="76"/>
      <c r="P1746" s="76"/>
      <c r="Q1746" s="76"/>
      <c r="R1746" s="76"/>
      <c r="Z1746" s="70"/>
      <c r="AA1746" s="70"/>
      <c r="AB1746" s="70"/>
      <c r="AC1746" s="70"/>
    </row>
    <row r="1747" spans="1:29" s="26" customFormat="1" x14ac:dyDescent="0.3">
      <c r="A1747" s="25" t="s">
        <v>7426</v>
      </c>
      <c r="B1747" s="25"/>
      <c r="C1747" s="26" t="s">
        <v>3005</v>
      </c>
      <c r="D1747" s="70"/>
      <c r="G1747" s="70" t="s">
        <v>1393</v>
      </c>
      <c r="H1747" s="26">
        <v>-1</v>
      </c>
      <c r="I1747" s="70" t="s">
        <v>7427</v>
      </c>
      <c r="J1747" s="26" t="s">
        <v>5746</v>
      </c>
      <c r="K1747" s="26" t="s">
        <v>7428</v>
      </c>
      <c r="L1747" s="26" t="s">
        <v>10794</v>
      </c>
      <c r="M1747" s="76"/>
      <c r="N1747" s="76"/>
      <c r="O1747" s="76"/>
      <c r="P1747" s="76"/>
      <c r="Q1747" s="76"/>
      <c r="R1747" s="76"/>
      <c r="Z1747" s="70"/>
      <c r="AA1747" s="70"/>
      <c r="AB1747" s="70"/>
      <c r="AC1747" s="70"/>
    </row>
    <row r="1748" spans="1:29" s="26" customFormat="1" x14ac:dyDescent="0.3">
      <c r="A1748" s="25" t="s">
        <v>7429</v>
      </c>
      <c r="B1748" s="25"/>
      <c r="C1748" s="26" t="s">
        <v>3005</v>
      </c>
      <c r="D1748" s="70"/>
      <c r="G1748" s="70" t="s">
        <v>1393</v>
      </c>
      <c r="H1748" s="26">
        <v>-1</v>
      </c>
      <c r="I1748" s="70" t="s">
        <v>7430</v>
      </c>
      <c r="J1748" s="26" t="s">
        <v>7431</v>
      </c>
      <c r="K1748" s="26" t="s">
        <v>7432</v>
      </c>
      <c r="M1748" s="76"/>
      <c r="N1748" s="76"/>
      <c r="O1748" s="76"/>
      <c r="P1748" s="76"/>
      <c r="Q1748" s="76"/>
      <c r="R1748" s="76"/>
      <c r="Z1748" s="70"/>
      <c r="AA1748" s="70"/>
      <c r="AB1748" s="70"/>
      <c r="AC1748" s="70"/>
    </row>
    <row r="1749" spans="1:29" s="26" customFormat="1" x14ac:dyDescent="0.3">
      <c r="A1749" s="25" t="s">
        <v>7433</v>
      </c>
      <c r="B1749" s="25"/>
      <c r="C1749" s="26" t="s">
        <v>3005</v>
      </c>
      <c r="D1749" s="70"/>
      <c r="G1749" s="70" t="s">
        <v>1393</v>
      </c>
      <c r="H1749" s="26">
        <v>-1</v>
      </c>
      <c r="I1749" s="70" t="s">
        <v>3013</v>
      </c>
      <c r="J1749" s="26" t="s">
        <v>7434</v>
      </c>
      <c r="K1749" s="26" t="s">
        <v>3840</v>
      </c>
      <c r="M1749" s="76"/>
      <c r="N1749" s="76"/>
      <c r="O1749" s="76"/>
      <c r="P1749" s="76"/>
      <c r="Q1749" s="76"/>
      <c r="R1749" s="76"/>
      <c r="Z1749" s="70"/>
      <c r="AA1749" s="70"/>
      <c r="AB1749" s="70"/>
      <c r="AC1749" s="70"/>
    </row>
    <row r="1750" spans="1:29" s="26" customFormat="1" x14ac:dyDescent="0.3">
      <c r="A1750" s="25" t="s">
        <v>7435</v>
      </c>
      <c r="B1750" s="25"/>
      <c r="C1750" s="26" t="s">
        <v>3005</v>
      </c>
      <c r="D1750" s="70"/>
      <c r="G1750" s="70" t="s">
        <v>1393</v>
      </c>
      <c r="H1750" s="26">
        <v>-1</v>
      </c>
      <c r="I1750" s="70" t="s">
        <v>7436</v>
      </c>
      <c r="J1750" s="26" t="s">
        <v>7437</v>
      </c>
      <c r="K1750" s="26" t="s">
        <v>7438</v>
      </c>
      <c r="L1750" s="26" t="s">
        <v>10795</v>
      </c>
      <c r="M1750" s="76"/>
      <c r="N1750" s="76"/>
      <c r="O1750" s="76"/>
      <c r="P1750" s="76"/>
      <c r="Q1750" s="76"/>
      <c r="R1750" s="76"/>
      <c r="Z1750" s="70"/>
      <c r="AA1750" s="70"/>
      <c r="AB1750" s="70"/>
      <c r="AC1750" s="70"/>
    </row>
    <row r="1751" spans="1:29" s="26" customFormat="1" x14ac:dyDescent="0.3">
      <c r="A1751" s="25" t="s">
        <v>7439</v>
      </c>
      <c r="B1751" s="25"/>
      <c r="C1751" s="26" t="s">
        <v>3005</v>
      </c>
      <c r="D1751" s="70"/>
      <c r="G1751" s="70" t="s">
        <v>1393</v>
      </c>
      <c r="H1751" s="26">
        <v>-1</v>
      </c>
      <c r="I1751" s="70" t="s">
        <v>7440</v>
      </c>
      <c r="J1751" s="26" t="s">
        <v>7441</v>
      </c>
      <c r="K1751" s="26" t="s">
        <v>5751</v>
      </c>
      <c r="L1751" s="26" t="s">
        <v>10796</v>
      </c>
      <c r="M1751" s="76"/>
      <c r="N1751" s="76"/>
      <c r="O1751" s="76"/>
      <c r="P1751" s="76"/>
      <c r="Q1751" s="76"/>
      <c r="R1751" s="76"/>
      <c r="Z1751" s="70"/>
      <c r="AA1751" s="70"/>
      <c r="AB1751" s="70"/>
      <c r="AC1751" s="70"/>
    </row>
    <row r="1752" spans="1:29" s="26" customFormat="1" x14ac:dyDescent="0.3">
      <c r="A1752" s="25" t="s">
        <v>7442</v>
      </c>
      <c r="B1752" s="25"/>
      <c r="C1752" s="26" t="s">
        <v>3005</v>
      </c>
      <c r="D1752" s="70"/>
      <c r="G1752" s="70" t="s">
        <v>1393</v>
      </c>
      <c r="H1752" s="26">
        <v>-1</v>
      </c>
      <c r="I1752" s="70" t="s">
        <v>7443</v>
      </c>
      <c r="J1752" s="26" t="s">
        <v>3760</v>
      </c>
      <c r="K1752" s="26" t="s">
        <v>3761</v>
      </c>
      <c r="M1752" s="76"/>
      <c r="N1752" s="76"/>
      <c r="O1752" s="76"/>
      <c r="P1752" s="76"/>
      <c r="Q1752" s="76"/>
      <c r="R1752" s="76"/>
      <c r="Z1752" s="70"/>
      <c r="AA1752" s="70"/>
      <c r="AB1752" s="70"/>
      <c r="AC1752" s="70"/>
    </row>
    <row r="1753" spans="1:29" s="26" customFormat="1" x14ac:dyDescent="0.3">
      <c r="A1753" s="25" t="s">
        <v>7444</v>
      </c>
      <c r="B1753" s="25"/>
      <c r="C1753" s="26" t="s">
        <v>3005</v>
      </c>
      <c r="D1753" s="70"/>
      <c r="G1753" s="70" t="s">
        <v>1393</v>
      </c>
      <c r="H1753" s="26">
        <v>-1</v>
      </c>
      <c r="I1753" s="70" t="s">
        <v>5894</v>
      </c>
      <c r="J1753" s="26" t="s">
        <v>7445</v>
      </c>
      <c r="K1753" s="26" t="s">
        <v>7446</v>
      </c>
      <c r="M1753" s="76"/>
      <c r="N1753" s="76"/>
      <c r="O1753" s="76"/>
      <c r="P1753" s="76"/>
      <c r="Q1753" s="76"/>
      <c r="R1753" s="76"/>
      <c r="Z1753" s="70"/>
      <c r="AA1753" s="70"/>
      <c r="AB1753" s="70"/>
      <c r="AC1753" s="70"/>
    </row>
    <row r="1754" spans="1:29" s="26" customFormat="1" x14ac:dyDescent="0.3">
      <c r="A1754" s="25" t="s">
        <v>7447</v>
      </c>
      <c r="B1754" s="25"/>
      <c r="C1754" s="26" t="s">
        <v>3005</v>
      </c>
      <c r="D1754" s="70"/>
      <c r="G1754" s="70" t="s">
        <v>1393</v>
      </c>
      <c r="H1754" s="26">
        <v>1</v>
      </c>
      <c r="I1754" s="70" t="s">
        <v>7448</v>
      </c>
      <c r="J1754" s="26" t="s">
        <v>4335</v>
      </c>
      <c r="K1754" s="26" t="s">
        <v>3757</v>
      </c>
      <c r="L1754" s="26" t="s">
        <v>10797</v>
      </c>
      <c r="M1754" s="76"/>
      <c r="N1754" s="76"/>
      <c r="O1754" s="76"/>
      <c r="P1754" s="76"/>
      <c r="Q1754" s="76"/>
      <c r="R1754" s="76"/>
      <c r="Z1754" s="70"/>
      <c r="AA1754" s="70"/>
      <c r="AB1754" s="70"/>
      <c r="AC1754" s="70"/>
    </row>
    <row r="1755" spans="1:29" s="26" customFormat="1" x14ac:dyDescent="0.3">
      <c r="A1755" s="25" t="s">
        <v>7449</v>
      </c>
      <c r="B1755" s="25"/>
      <c r="C1755" s="26" t="s">
        <v>3005</v>
      </c>
      <c r="D1755" s="70"/>
      <c r="G1755" s="70" t="s">
        <v>1393</v>
      </c>
      <c r="H1755" s="26">
        <v>3</v>
      </c>
      <c r="I1755" s="70" t="s">
        <v>7450</v>
      </c>
      <c r="J1755" s="26" t="s">
        <v>5030</v>
      </c>
      <c r="K1755" s="26" t="s">
        <v>4237</v>
      </c>
      <c r="M1755" s="76"/>
      <c r="N1755" s="76"/>
      <c r="O1755" s="76"/>
      <c r="P1755" s="76"/>
      <c r="Q1755" s="76"/>
      <c r="R1755" s="76"/>
      <c r="Z1755" s="70"/>
      <c r="AA1755" s="70"/>
      <c r="AB1755" s="70"/>
      <c r="AC1755" s="70"/>
    </row>
    <row r="1756" spans="1:29" s="24" customFormat="1" x14ac:dyDescent="0.3">
      <c r="A1756" s="23">
        <v>470</v>
      </c>
      <c r="B1756" s="23">
        <v>466</v>
      </c>
      <c r="C1756" s="24" t="s">
        <v>2165</v>
      </c>
      <c r="D1756" s="69" t="s">
        <v>1396</v>
      </c>
      <c r="E1756" s="24" t="s">
        <v>1395</v>
      </c>
      <c r="F1756" s="24" t="s">
        <v>1397</v>
      </c>
      <c r="G1756" s="69" t="s">
        <v>1398</v>
      </c>
      <c r="H1756" s="24">
        <v>1</v>
      </c>
      <c r="I1756" s="69"/>
      <c r="J1756" s="24" t="s">
        <v>3877</v>
      </c>
      <c r="K1756" s="24" t="s">
        <v>43</v>
      </c>
      <c r="M1756" s="75" t="s">
        <v>15</v>
      </c>
      <c r="N1756" s="75"/>
      <c r="O1756" s="75"/>
      <c r="P1756" s="75"/>
      <c r="Q1756" s="75"/>
      <c r="R1756" s="75"/>
      <c r="Z1756" s="69" t="s">
        <v>2740</v>
      </c>
      <c r="AA1756" s="69"/>
      <c r="AB1756" s="69" t="s">
        <v>2740</v>
      </c>
      <c r="AC1756" s="69"/>
    </row>
    <row r="1757" spans="1:29" s="26" customFormat="1" x14ac:dyDescent="0.3">
      <c r="A1757" s="25" t="s">
        <v>7451</v>
      </c>
      <c r="B1757" s="25"/>
      <c r="C1757" s="26" t="s">
        <v>3005</v>
      </c>
      <c r="D1757" s="70"/>
      <c r="G1757" s="70" t="s">
        <v>1398</v>
      </c>
      <c r="H1757" s="26">
        <v>2</v>
      </c>
      <c r="I1757" s="70" t="s">
        <v>7452</v>
      </c>
      <c r="J1757" s="26" t="s">
        <v>3877</v>
      </c>
      <c r="K1757" s="26" t="s">
        <v>7453</v>
      </c>
      <c r="L1757" s="26" t="s">
        <v>10798</v>
      </c>
      <c r="M1757" s="76"/>
      <c r="N1757" s="76"/>
      <c r="O1757" s="76"/>
      <c r="P1757" s="76"/>
      <c r="Q1757" s="76"/>
      <c r="R1757" s="76"/>
      <c r="Z1757" s="70"/>
      <c r="AA1757" s="70"/>
      <c r="AB1757" s="70"/>
      <c r="AC1757" s="70"/>
    </row>
    <row r="1758" spans="1:29" s="26" customFormat="1" x14ac:dyDescent="0.3">
      <c r="A1758" s="25" t="s">
        <v>7454</v>
      </c>
      <c r="B1758" s="25"/>
      <c r="C1758" s="26" t="s">
        <v>3005</v>
      </c>
      <c r="D1758" s="70"/>
      <c r="G1758" s="70" t="s">
        <v>1398</v>
      </c>
      <c r="H1758" s="26">
        <v>-1</v>
      </c>
      <c r="I1758" s="70" t="s">
        <v>7455</v>
      </c>
      <c r="J1758" s="26" t="s">
        <v>5800</v>
      </c>
      <c r="K1758" s="26" t="s">
        <v>6976</v>
      </c>
      <c r="L1758" s="26" t="s">
        <v>10799</v>
      </c>
      <c r="M1758" s="76"/>
      <c r="N1758" s="76"/>
      <c r="O1758" s="76"/>
      <c r="P1758" s="76"/>
      <c r="Q1758" s="76"/>
      <c r="R1758" s="76"/>
      <c r="Z1758" s="70"/>
      <c r="AA1758" s="70"/>
      <c r="AB1758" s="70"/>
      <c r="AC1758" s="70"/>
    </row>
    <row r="1759" spans="1:29" s="26" customFormat="1" x14ac:dyDescent="0.3">
      <c r="A1759" s="25" t="s">
        <v>7456</v>
      </c>
      <c r="B1759" s="25"/>
      <c r="C1759" s="26" t="s">
        <v>3005</v>
      </c>
      <c r="D1759" s="70"/>
      <c r="G1759" s="70" t="s">
        <v>1398</v>
      </c>
      <c r="H1759" s="26">
        <v>-1</v>
      </c>
      <c r="I1759" s="70" t="s">
        <v>3793</v>
      </c>
      <c r="J1759" s="26" t="s">
        <v>7457</v>
      </c>
      <c r="K1759" s="26" t="s">
        <v>7458</v>
      </c>
      <c r="L1759" s="26" t="s">
        <v>10800</v>
      </c>
      <c r="M1759" s="76"/>
      <c r="N1759" s="76"/>
      <c r="O1759" s="76"/>
      <c r="P1759" s="76"/>
      <c r="Q1759" s="76"/>
      <c r="R1759" s="76"/>
      <c r="Z1759" s="70"/>
      <c r="AA1759" s="70"/>
      <c r="AB1759" s="70"/>
      <c r="AC1759" s="70"/>
    </row>
    <row r="1760" spans="1:29" s="26" customFormat="1" x14ac:dyDescent="0.3">
      <c r="A1760" s="25" t="s">
        <v>7459</v>
      </c>
      <c r="B1760" s="25"/>
      <c r="C1760" s="26" t="s">
        <v>3005</v>
      </c>
      <c r="D1760" s="70"/>
      <c r="G1760" s="70" t="s">
        <v>1398</v>
      </c>
      <c r="H1760" s="26">
        <v>-1</v>
      </c>
      <c r="I1760" s="70" t="s">
        <v>7460</v>
      </c>
      <c r="J1760" s="26" t="s">
        <v>7461</v>
      </c>
      <c r="K1760" s="26" t="s">
        <v>7462</v>
      </c>
      <c r="L1760" s="26" t="s">
        <v>10801</v>
      </c>
      <c r="M1760" s="76"/>
      <c r="N1760" s="76"/>
      <c r="O1760" s="76"/>
      <c r="P1760" s="76"/>
      <c r="Q1760" s="76"/>
      <c r="R1760" s="76"/>
      <c r="Z1760" s="70"/>
      <c r="AA1760" s="70"/>
      <c r="AB1760" s="70"/>
      <c r="AC1760" s="70"/>
    </row>
    <row r="1761" spans="1:31" s="24" customFormat="1" x14ac:dyDescent="0.3">
      <c r="A1761" s="23">
        <v>471</v>
      </c>
      <c r="B1761" s="23">
        <v>467</v>
      </c>
      <c r="C1761" s="24" t="s">
        <v>2165</v>
      </c>
      <c r="D1761" s="69" t="s">
        <v>1396</v>
      </c>
      <c r="E1761" s="24" t="s">
        <v>1395</v>
      </c>
      <c r="F1761" s="24" t="s">
        <v>1399</v>
      </c>
      <c r="G1761" s="69" t="s">
        <v>1400</v>
      </c>
      <c r="H1761" s="24">
        <v>5</v>
      </c>
      <c r="I1761" s="69"/>
      <c r="J1761" s="24" t="s">
        <v>7463</v>
      </c>
      <c r="K1761" s="24" t="s">
        <v>68</v>
      </c>
      <c r="M1761" s="75" t="s">
        <v>65</v>
      </c>
      <c r="N1761" s="75" t="s">
        <v>2015</v>
      </c>
      <c r="O1761" s="75"/>
      <c r="P1761" s="75"/>
      <c r="Q1761" s="75"/>
      <c r="R1761" s="75"/>
      <c r="Z1761" s="69" t="s">
        <v>2741</v>
      </c>
      <c r="AA1761" s="69"/>
      <c r="AB1761" s="69" t="s">
        <v>2742</v>
      </c>
      <c r="AC1761" s="69"/>
    </row>
    <row r="1762" spans="1:31" s="26" customFormat="1" x14ac:dyDescent="0.3">
      <c r="A1762" s="25" t="s">
        <v>7464</v>
      </c>
      <c r="B1762" s="25"/>
      <c r="C1762" s="26" t="s">
        <v>3005</v>
      </c>
      <c r="D1762" s="70"/>
      <c r="G1762" s="70" t="s">
        <v>1400</v>
      </c>
      <c r="H1762" s="26">
        <v>1</v>
      </c>
      <c r="I1762" s="70" t="s">
        <v>7465</v>
      </c>
      <c r="J1762" s="26" t="s">
        <v>7466</v>
      </c>
      <c r="K1762" s="26" t="s">
        <v>4253</v>
      </c>
      <c r="L1762" s="26" t="s">
        <v>10288</v>
      </c>
      <c r="M1762" s="76"/>
      <c r="N1762" s="76"/>
      <c r="O1762" s="76"/>
      <c r="P1762" s="76"/>
      <c r="Q1762" s="76"/>
      <c r="R1762" s="76"/>
      <c r="Z1762" s="70"/>
      <c r="AA1762" s="70"/>
      <c r="AB1762" s="70"/>
      <c r="AC1762" s="70"/>
    </row>
    <row r="1763" spans="1:31" s="26" customFormat="1" x14ac:dyDescent="0.3">
      <c r="A1763" s="25" t="s">
        <v>7467</v>
      </c>
      <c r="B1763" s="25"/>
      <c r="C1763" s="26" t="s">
        <v>3005</v>
      </c>
      <c r="D1763" s="70"/>
      <c r="G1763" s="70" t="s">
        <v>1400</v>
      </c>
      <c r="H1763" s="26">
        <v>1</v>
      </c>
      <c r="I1763" s="70" t="s">
        <v>7468</v>
      </c>
      <c r="J1763" s="26" t="s">
        <v>7463</v>
      </c>
      <c r="K1763" s="26" t="s">
        <v>7469</v>
      </c>
      <c r="L1763" s="26" t="s">
        <v>10802</v>
      </c>
      <c r="M1763" s="76"/>
      <c r="N1763" s="76"/>
      <c r="O1763" s="76"/>
      <c r="P1763" s="76"/>
      <c r="Q1763" s="76"/>
      <c r="R1763" s="76"/>
      <c r="Z1763" s="70"/>
      <c r="AA1763" s="70"/>
      <c r="AB1763" s="70"/>
      <c r="AC1763" s="70"/>
    </row>
    <row r="1764" spans="1:31" s="26" customFormat="1" x14ac:dyDescent="0.3">
      <c r="A1764" s="25" t="s">
        <v>7470</v>
      </c>
      <c r="B1764" s="25"/>
      <c r="C1764" s="26" t="s">
        <v>3005</v>
      </c>
      <c r="D1764" s="70"/>
      <c r="G1764" s="70" t="s">
        <v>1400</v>
      </c>
      <c r="H1764" s="26">
        <v>1</v>
      </c>
      <c r="I1764" s="70" t="s">
        <v>7471</v>
      </c>
      <c r="J1764" s="26" t="s">
        <v>7472</v>
      </c>
      <c r="K1764" s="26" t="s">
        <v>7473</v>
      </c>
      <c r="L1764" s="26" t="s">
        <v>10803</v>
      </c>
      <c r="M1764" s="76"/>
      <c r="N1764" s="76"/>
      <c r="O1764" s="76"/>
      <c r="P1764" s="76"/>
      <c r="Q1764" s="76"/>
      <c r="R1764" s="76"/>
      <c r="Z1764" s="70"/>
      <c r="AA1764" s="70"/>
      <c r="AB1764" s="70"/>
      <c r="AC1764" s="70"/>
    </row>
    <row r="1765" spans="1:31" s="26" customFormat="1" x14ac:dyDescent="0.3">
      <c r="A1765" s="25" t="s">
        <v>7474</v>
      </c>
      <c r="B1765" s="25"/>
      <c r="C1765" s="26" t="s">
        <v>3005</v>
      </c>
      <c r="D1765" s="70"/>
      <c r="G1765" s="70" t="s">
        <v>1400</v>
      </c>
      <c r="H1765" s="26">
        <v>1</v>
      </c>
      <c r="I1765" s="70" t="s">
        <v>3267</v>
      </c>
      <c r="J1765" s="26" t="s">
        <v>6030</v>
      </c>
      <c r="K1765" s="26" t="s">
        <v>7475</v>
      </c>
      <c r="L1765" s="26" t="s">
        <v>10804</v>
      </c>
      <c r="M1765" s="76"/>
      <c r="N1765" s="76"/>
      <c r="O1765" s="76"/>
      <c r="P1765" s="76"/>
      <c r="Q1765" s="76"/>
      <c r="R1765" s="76"/>
      <c r="Z1765" s="70"/>
      <c r="AA1765" s="70"/>
      <c r="AB1765" s="70"/>
      <c r="AC1765" s="70"/>
    </row>
    <row r="1766" spans="1:31" s="26" customFormat="1" x14ac:dyDescent="0.3">
      <c r="A1766" s="25" t="s">
        <v>7476</v>
      </c>
      <c r="B1766" s="25"/>
      <c r="C1766" s="26" t="s">
        <v>3005</v>
      </c>
      <c r="D1766" s="70"/>
      <c r="G1766" s="70" t="s">
        <v>1400</v>
      </c>
      <c r="H1766" s="26">
        <v>1</v>
      </c>
      <c r="I1766" s="70" t="s">
        <v>6226</v>
      </c>
      <c r="J1766" s="26" t="s">
        <v>5303</v>
      </c>
      <c r="K1766" s="26" t="s">
        <v>7477</v>
      </c>
      <c r="L1766" s="26" t="s">
        <v>10805</v>
      </c>
      <c r="M1766" s="76"/>
      <c r="N1766" s="76"/>
      <c r="O1766" s="76"/>
      <c r="P1766" s="76"/>
      <c r="Q1766" s="76"/>
      <c r="R1766" s="76"/>
      <c r="Z1766" s="70"/>
      <c r="AA1766" s="70"/>
      <c r="AB1766" s="70"/>
      <c r="AC1766" s="70"/>
    </row>
    <row r="1767" spans="1:31" s="24" customFormat="1" x14ac:dyDescent="0.3">
      <c r="A1767" s="23">
        <v>472</v>
      </c>
      <c r="B1767" s="23">
        <v>468</v>
      </c>
      <c r="C1767" s="24" t="s">
        <v>2165</v>
      </c>
      <c r="D1767" s="69" t="s">
        <v>1396</v>
      </c>
      <c r="E1767" s="24" t="s">
        <v>1395</v>
      </c>
      <c r="F1767" s="24" t="s">
        <v>1401</v>
      </c>
      <c r="G1767" s="69" t="s">
        <v>1402</v>
      </c>
      <c r="H1767" s="24">
        <v>3</v>
      </c>
      <c r="I1767" s="69"/>
      <c r="J1767" s="24" t="s">
        <v>3158</v>
      </c>
      <c r="K1767" s="24" t="s">
        <v>1403</v>
      </c>
      <c r="M1767" s="75" t="s">
        <v>15</v>
      </c>
      <c r="N1767" s="75"/>
      <c r="O1767" s="75"/>
      <c r="P1767" s="75"/>
      <c r="Q1767" s="75"/>
      <c r="R1767" s="75"/>
      <c r="Z1767" s="69"/>
      <c r="AA1767" s="69"/>
      <c r="AB1767" s="69"/>
      <c r="AC1767" s="69"/>
    </row>
    <row r="1768" spans="1:31" s="26" customFormat="1" x14ac:dyDescent="0.3">
      <c r="A1768" s="25" t="s">
        <v>7478</v>
      </c>
      <c r="B1768" s="25"/>
      <c r="C1768" s="26" t="s">
        <v>3005</v>
      </c>
      <c r="D1768" s="70"/>
      <c r="G1768" s="70" t="s">
        <v>1402</v>
      </c>
      <c r="H1768" s="26">
        <v>-1</v>
      </c>
      <c r="I1768" s="70" t="s">
        <v>7479</v>
      </c>
      <c r="J1768" s="26" t="s">
        <v>5738</v>
      </c>
      <c r="K1768" s="26" t="s">
        <v>7480</v>
      </c>
      <c r="L1768" s="26" t="s">
        <v>10806</v>
      </c>
      <c r="M1768" s="76"/>
      <c r="N1768" s="76"/>
      <c r="O1768" s="76"/>
      <c r="P1768" s="76"/>
      <c r="Q1768" s="76"/>
      <c r="R1768" s="76"/>
      <c r="Z1768" s="70"/>
      <c r="AA1768" s="70"/>
      <c r="AB1768" s="70"/>
      <c r="AC1768" s="70"/>
    </row>
    <row r="1769" spans="1:31" s="26" customFormat="1" x14ac:dyDescent="0.3">
      <c r="A1769" s="25" t="s">
        <v>7481</v>
      </c>
      <c r="B1769" s="25"/>
      <c r="C1769" s="26" t="s">
        <v>3005</v>
      </c>
      <c r="D1769" s="70"/>
      <c r="G1769" s="70" t="s">
        <v>1402</v>
      </c>
      <c r="H1769" s="26">
        <v>-1</v>
      </c>
      <c r="I1769" s="70" t="s">
        <v>7482</v>
      </c>
      <c r="J1769" s="26" t="s">
        <v>3447</v>
      </c>
      <c r="K1769" s="26" t="s">
        <v>7483</v>
      </c>
      <c r="L1769" s="26" t="s">
        <v>10807</v>
      </c>
      <c r="M1769" s="76"/>
      <c r="N1769" s="76"/>
      <c r="O1769" s="76"/>
      <c r="P1769" s="76"/>
      <c r="Q1769" s="76"/>
      <c r="R1769" s="76"/>
      <c r="Z1769" s="70"/>
      <c r="AA1769" s="70"/>
      <c r="AB1769" s="70"/>
      <c r="AC1769" s="70"/>
    </row>
    <row r="1770" spans="1:31" s="26" customFormat="1" x14ac:dyDescent="0.3">
      <c r="A1770" s="25" t="s">
        <v>7484</v>
      </c>
      <c r="B1770" s="25"/>
      <c r="C1770" s="26" t="s">
        <v>3005</v>
      </c>
      <c r="D1770" s="70"/>
      <c r="G1770" s="70" t="s">
        <v>1402</v>
      </c>
      <c r="H1770" s="26">
        <v>-1</v>
      </c>
      <c r="I1770" s="70" t="s">
        <v>7485</v>
      </c>
      <c r="J1770" s="26" t="s">
        <v>7486</v>
      </c>
      <c r="K1770" s="26" t="s">
        <v>7487</v>
      </c>
      <c r="L1770" s="26" t="s">
        <v>10808</v>
      </c>
      <c r="M1770" s="76"/>
      <c r="N1770" s="76"/>
      <c r="O1770" s="76"/>
      <c r="P1770" s="76"/>
      <c r="Q1770" s="76"/>
      <c r="R1770" s="76"/>
      <c r="T1770" s="26" t="s">
        <v>2200</v>
      </c>
      <c r="Z1770" s="70"/>
      <c r="AA1770" s="70"/>
      <c r="AB1770" s="70"/>
      <c r="AC1770" s="70"/>
      <c r="AE1770" s="26" t="s">
        <v>7488</v>
      </c>
    </row>
    <row r="1771" spans="1:31" s="26" customFormat="1" x14ac:dyDescent="0.3">
      <c r="A1771" s="25" t="s">
        <v>7489</v>
      </c>
      <c r="B1771" s="25"/>
      <c r="C1771" s="26" t="s">
        <v>3005</v>
      </c>
      <c r="D1771" s="70"/>
      <c r="G1771" s="70" t="s">
        <v>1402</v>
      </c>
      <c r="H1771" s="26">
        <v>2</v>
      </c>
      <c r="I1771" s="70" t="s">
        <v>7490</v>
      </c>
      <c r="J1771" s="26" t="s">
        <v>3158</v>
      </c>
      <c r="K1771" s="26" t="s">
        <v>7491</v>
      </c>
      <c r="L1771" s="26" t="s">
        <v>10809</v>
      </c>
      <c r="M1771" s="76"/>
      <c r="N1771" s="76"/>
      <c r="O1771" s="76"/>
      <c r="P1771" s="76"/>
      <c r="Q1771" s="76"/>
      <c r="R1771" s="76"/>
      <c r="Z1771" s="70"/>
      <c r="AA1771" s="70"/>
      <c r="AB1771" s="70"/>
      <c r="AC1771" s="70"/>
    </row>
    <row r="1772" spans="1:31" s="26" customFormat="1" x14ac:dyDescent="0.3">
      <c r="A1772" s="25" t="s">
        <v>7492</v>
      </c>
      <c r="B1772" s="25"/>
      <c r="C1772" s="26" t="s">
        <v>3005</v>
      </c>
      <c r="D1772" s="70"/>
      <c r="G1772" s="70" t="s">
        <v>1402</v>
      </c>
      <c r="H1772" s="26">
        <v>2</v>
      </c>
      <c r="I1772" s="70" t="s">
        <v>6162</v>
      </c>
      <c r="J1772" s="26" t="s">
        <v>7493</v>
      </c>
      <c r="K1772" s="26" t="s">
        <v>6210</v>
      </c>
      <c r="L1772" s="26" t="s">
        <v>10810</v>
      </c>
      <c r="M1772" s="76"/>
      <c r="N1772" s="76"/>
      <c r="O1772" s="76"/>
      <c r="P1772" s="76"/>
      <c r="Q1772" s="76"/>
      <c r="R1772" s="76"/>
      <c r="Z1772" s="70"/>
      <c r="AA1772" s="70"/>
      <c r="AB1772" s="70"/>
      <c r="AC1772" s="70"/>
    </row>
    <row r="1773" spans="1:31" s="26" customFormat="1" x14ac:dyDescent="0.3">
      <c r="A1773" s="25" t="s">
        <v>7494</v>
      </c>
      <c r="B1773" s="25"/>
      <c r="C1773" s="26" t="s">
        <v>3005</v>
      </c>
      <c r="D1773" s="70"/>
      <c r="G1773" s="70" t="s">
        <v>1402</v>
      </c>
      <c r="H1773" s="26">
        <v>2</v>
      </c>
      <c r="I1773" s="70" t="s">
        <v>4247</v>
      </c>
      <c r="J1773" s="26" t="s">
        <v>6500</v>
      </c>
      <c r="K1773" s="26" t="s">
        <v>5290</v>
      </c>
      <c r="L1773" s="26" t="s">
        <v>10811</v>
      </c>
      <c r="M1773" s="76"/>
      <c r="N1773" s="76"/>
      <c r="O1773" s="76"/>
      <c r="P1773" s="76"/>
      <c r="Q1773" s="76"/>
      <c r="R1773" s="76"/>
      <c r="Z1773" s="70"/>
      <c r="AA1773" s="70"/>
      <c r="AB1773" s="70"/>
      <c r="AC1773" s="70"/>
    </row>
    <row r="1774" spans="1:31" s="24" customFormat="1" x14ac:dyDescent="0.3">
      <c r="A1774" s="23">
        <v>473</v>
      </c>
      <c r="B1774" s="23">
        <v>469</v>
      </c>
      <c r="C1774" s="24" t="s">
        <v>2165</v>
      </c>
      <c r="D1774" s="69" t="s">
        <v>1396</v>
      </c>
      <c r="E1774" s="24" t="s">
        <v>1395</v>
      </c>
      <c r="F1774" s="24" t="s">
        <v>1404</v>
      </c>
      <c r="G1774" s="69" t="s">
        <v>1405</v>
      </c>
      <c r="H1774" s="24">
        <v>1</v>
      </c>
      <c r="I1774" s="69"/>
      <c r="J1774" s="24" t="s">
        <v>7495</v>
      </c>
      <c r="K1774" s="24" t="s">
        <v>1406</v>
      </c>
      <c r="M1774" s="75" t="s">
        <v>15</v>
      </c>
      <c r="N1774" s="75"/>
      <c r="O1774" s="75"/>
      <c r="P1774" s="75"/>
      <c r="Q1774" s="75"/>
      <c r="R1774" s="75"/>
      <c r="Z1774" s="69"/>
      <c r="AA1774" s="69"/>
      <c r="AB1774" s="69"/>
      <c r="AC1774" s="69"/>
    </row>
    <row r="1775" spans="1:31" s="26" customFormat="1" x14ac:dyDescent="0.3">
      <c r="A1775" s="25" t="s">
        <v>7496</v>
      </c>
      <c r="B1775" s="25"/>
      <c r="C1775" s="26" t="s">
        <v>3005</v>
      </c>
      <c r="D1775" s="70"/>
      <c r="G1775" s="70" t="s">
        <v>1405</v>
      </c>
      <c r="H1775" s="26">
        <v>-1</v>
      </c>
      <c r="I1775" s="70" t="s">
        <v>7497</v>
      </c>
      <c r="J1775" s="26" t="s">
        <v>3443</v>
      </c>
      <c r="K1775" s="26" t="s">
        <v>7498</v>
      </c>
      <c r="L1775" s="26" t="s">
        <v>10812</v>
      </c>
      <c r="M1775" s="76"/>
      <c r="N1775" s="76"/>
      <c r="O1775" s="76"/>
      <c r="P1775" s="76"/>
      <c r="Q1775" s="76"/>
      <c r="R1775" s="76"/>
      <c r="Z1775" s="70"/>
      <c r="AA1775" s="70"/>
      <c r="AB1775" s="70"/>
      <c r="AC1775" s="70"/>
    </row>
    <row r="1776" spans="1:31" s="26" customFormat="1" x14ac:dyDescent="0.3">
      <c r="A1776" s="25" t="s">
        <v>7499</v>
      </c>
      <c r="B1776" s="25"/>
      <c r="C1776" s="26" t="s">
        <v>3005</v>
      </c>
      <c r="D1776" s="70"/>
      <c r="G1776" s="70" t="s">
        <v>1405</v>
      </c>
      <c r="H1776" s="26">
        <v>-1</v>
      </c>
      <c r="I1776" s="70" t="s">
        <v>7500</v>
      </c>
      <c r="J1776" s="26" t="s">
        <v>7495</v>
      </c>
      <c r="K1776" s="26" t="s">
        <v>7501</v>
      </c>
      <c r="L1776" s="26" t="s">
        <v>10813</v>
      </c>
      <c r="M1776" s="76"/>
      <c r="N1776" s="76"/>
      <c r="O1776" s="76"/>
      <c r="P1776" s="76"/>
      <c r="Q1776" s="76"/>
      <c r="R1776" s="76"/>
      <c r="Z1776" s="70"/>
      <c r="AA1776" s="70"/>
      <c r="AB1776" s="70"/>
      <c r="AC1776" s="70"/>
    </row>
    <row r="1777" spans="1:31" s="26" customFormat="1" x14ac:dyDescent="0.3">
      <c r="A1777" s="25" t="s">
        <v>7502</v>
      </c>
      <c r="B1777" s="25"/>
      <c r="C1777" s="26" t="s">
        <v>3005</v>
      </c>
      <c r="D1777" s="70"/>
      <c r="G1777" s="70" t="s">
        <v>1405</v>
      </c>
      <c r="H1777" s="26">
        <v>-1</v>
      </c>
      <c r="I1777" s="70" t="s">
        <v>7503</v>
      </c>
      <c r="J1777" s="26" t="s">
        <v>7504</v>
      </c>
      <c r="K1777" s="26" t="s">
        <v>7505</v>
      </c>
      <c r="L1777" s="26" t="s">
        <v>10814</v>
      </c>
      <c r="M1777" s="76"/>
      <c r="N1777" s="76"/>
      <c r="O1777" s="76"/>
      <c r="P1777" s="76"/>
      <c r="Q1777" s="76"/>
      <c r="R1777" s="76"/>
      <c r="Z1777" s="70"/>
      <c r="AA1777" s="70"/>
      <c r="AB1777" s="70"/>
      <c r="AC1777" s="70"/>
    </row>
    <row r="1778" spans="1:31" s="26" customFormat="1" x14ac:dyDescent="0.3">
      <c r="A1778" s="25" t="s">
        <v>7506</v>
      </c>
      <c r="B1778" s="25"/>
      <c r="C1778" s="26" t="s">
        <v>3005</v>
      </c>
      <c r="D1778" s="70"/>
      <c r="G1778" s="70" t="s">
        <v>1405</v>
      </c>
      <c r="H1778" s="26">
        <v>2</v>
      </c>
      <c r="I1778" s="70" t="s">
        <v>7507</v>
      </c>
      <c r="J1778" s="26" t="s">
        <v>7508</v>
      </c>
      <c r="K1778" s="26" t="s">
        <v>7509</v>
      </c>
      <c r="L1778" s="26" t="s">
        <v>10815</v>
      </c>
      <c r="M1778" s="76"/>
      <c r="N1778" s="76"/>
      <c r="O1778" s="76"/>
      <c r="P1778" s="76"/>
      <c r="Q1778" s="76"/>
      <c r="R1778" s="76"/>
      <c r="T1778" s="26" t="s">
        <v>2200</v>
      </c>
      <c r="Z1778" s="70"/>
      <c r="AA1778" s="70"/>
      <c r="AB1778" s="70"/>
      <c r="AC1778" s="70"/>
      <c r="AE1778" s="26" t="s">
        <v>7510</v>
      </c>
    </row>
    <row r="1779" spans="1:31" s="24" customFormat="1" x14ac:dyDescent="0.3">
      <c r="A1779" s="23">
        <v>474</v>
      </c>
      <c r="B1779" s="23">
        <v>470</v>
      </c>
      <c r="C1779" s="24" t="s">
        <v>2165</v>
      </c>
      <c r="D1779" s="69" t="s">
        <v>1396</v>
      </c>
      <c r="E1779" s="24" t="s">
        <v>1395</v>
      </c>
      <c r="F1779" s="24" t="s">
        <v>1407</v>
      </c>
      <c r="G1779" s="69" t="s">
        <v>1408</v>
      </c>
      <c r="I1779" s="69"/>
      <c r="J1779" s="24" t="s">
        <v>6301</v>
      </c>
      <c r="K1779" s="24" t="s">
        <v>1409</v>
      </c>
      <c r="L1779" s="24" t="s">
        <v>9856</v>
      </c>
      <c r="M1779" s="75" t="s">
        <v>65</v>
      </c>
      <c r="N1779" s="75" t="s">
        <v>2030</v>
      </c>
      <c r="O1779" s="75"/>
      <c r="P1779" s="75"/>
      <c r="Q1779" s="75"/>
      <c r="R1779" s="75"/>
      <c r="T1779" s="24" t="s">
        <v>2179</v>
      </c>
      <c r="V1779" s="24" t="s">
        <v>1404</v>
      </c>
      <c r="Z1779" s="69"/>
      <c r="AA1779" s="69"/>
      <c r="AB1779" s="69"/>
      <c r="AC1779" s="69"/>
      <c r="AE1779" s="24" t="s">
        <v>2743</v>
      </c>
    </row>
    <row r="1780" spans="1:31" s="24" customFormat="1" x14ac:dyDescent="0.3">
      <c r="A1780" s="23">
        <v>475</v>
      </c>
      <c r="B1780" s="23">
        <v>471</v>
      </c>
      <c r="C1780" s="24" t="s">
        <v>2165</v>
      </c>
      <c r="D1780" s="69" t="s">
        <v>1396</v>
      </c>
      <c r="E1780" s="24" t="s">
        <v>1395</v>
      </c>
      <c r="F1780" s="24" t="s">
        <v>1410</v>
      </c>
      <c r="G1780" s="69" t="s">
        <v>1411</v>
      </c>
      <c r="I1780" s="69"/>
      <c r="J1780" s="24" t="s">
        <v>5085</v>
      </c>
      <c r="K1780" s="24" t="s">
        <v>1409</v>
      </c>
      <c r="L1780" s="24" t="s">
        <v>9857</v>
      </c>
      <c r="M1780" s="75" t="s">
        <v>65</v>
      </c>
      <c r="N1780" s="75" t="s">
        <v>2030</v>
      </c>
      <c r="O1780" s="75"/>
      <c r="P1780" s="75"/>
      <c r="Q1780" s="75" t="s">
        <v>130</v>
      </c>
      <c r="R1780" s="75"/>
      <c r="T1780" s="24" t="s">
        <v>2179</v>
      </c>
      <c r="V1780" s="24" t="s">
        <v>2744</v>
      </c>
      <c r="W1780" s="24" t="s">
        <v>2745</v>
      </c>
      <c r="Z1780" s="69"/>
      <c r="AA1780" s="69"/>
      <c r="AB1780" s="69"/>
      <c r="AC1780" s="69"/>
      <c r="AE1780" s="24" t="s">
        <v>2746</v>
      </c>
    </row>
    <row r="1781" spans="1:31" s="24" customFormat="1" x14ac:dyDescent="0.3">
      <c r="A1781" s="23">
        <v>476</v>
      </c>
      <c r="B1781" s="23">
        <v>472</v>
      </c>
      <c r="C1781" s="24" t="s">
        <v>2165</v>
      </c>
      <c r="D1781" s="69" t="s">
        <v>1396</v>
      </c>
      <c r="E1781" s="24" t="s">
        <v>1395</v>
      </c>
      <c r="F1781" s="24" t="s">
        <v>1412</v>
      </c>
      <c r="G1781" s="69" t="s">
        <v>1413</v>
      </c>
      <c r="I1781" s="69"/>
      <c r="J1781" s="24" t="s">
        <v>6301</v>
      </c>
      <c r="K1781" s="24" t="s">
        <v>68</v>
      </c>
      <c r="L1781" s="24" t="s">
        <v>9858</v>
      </c>
      <c r="M1781" s="75" t="s">
        <v>65</v>
      </c>
      <c r="N1781" s="75" t="s">
        <v>2016</v>
      </c>
      <c r="O1781" s="75"/>
      <c r="P1781" s="75"/>
      <c r="Q1781" s="75"/>
      <c r="R1781" s="75"/>
      <c r="Z1781" s="69"/>
      <c r="AA1781" s="69"/>
      <c r="AB1781" s="69"/>
      <c r="AC1781" s="69" t="s">
        <v>11403</v>
      </c>
    </row>
    <row r="1782" spans="1:31" s="24" customFormat="1" x14ac:dyDescent="0.3">
      <c r="A1782" s="23">
        <v>477</v>
      </c>
      <c r="B1782" s="23">
        <v>700</v>
      </c>
      <c r="C1782" s="24" t="s">
        <v>2165</v>
      </c>
      <c r="D1782" s="69" t="s">
        <v>1396</v>
      </c>
      <c r="E1782" s="24" t="s">
        <v>1395</v>
      </c>
      <c r="F1782" s="24" t="s">
        <v>1414</v>
      </c>
      <c r="G1782" s="69" t="s">
        <v>1415</v>
      </c>
      <c r="I1782" s="69"/>
      <c r="J1782" s="24" t="s">
        <v>3092</v>
      </c>
      <c r="K1782" s="24" t="s">
        <v>43</v>
      </c>
      <c r="M1782" s="75" t="s">
        <v>19</v>
      </c>
      <c r="N1782" s="75"/>
      <c r="O1782" s="75"/>
      <c r="P1782" s="75"/>
      <c r="Q1782" s="75"/>
      <c r="R1782" s="75" t="s">
        <v>2166</v>
      </c>
      <c r="V1782" s="24" t="s">
        <v>2171</v>
      </c>
      <c r="Z1782" s="69"/>
      <c r="AA1782" s="69"/>
      <c r="AB1782" s="69"/>
      <c r="AC1782" s="69"/>
      <c r="AD1782" s="24" t="s">
        <v>11341</v>
      </c>
    </row>
    <row r="1783" spans="1:31" s="26" customFormat="1" x14ac:dyDescent="0.3">
      <c r="A1783" s="25" t="s">
        <v>7511</v>
      </c>
      <c r="B1783" s="25"/>
      <c r="C1783" s="26" t="s">
        <v>3005</v>
      </c>
      <c r="D1783" s="70"/>
      <c r="G1783" s="70" t="s">
        <v>1415</v>
      </c>
      <c r="H1783" s="26">
        <v>-1</v>
      </c>
      <c r="I1783" s="70" t="s">
        <v>7512</v>
      </c>
      <c r="J1783" s="26" t="s">
        <v>3385</v>
      </c>
      <c r="K1783" s="26" t="s">
        <v>7513</v>
      </c>
      <c r="L1783" s="26" t="s">
        <v>10816</v>
      </c>
      <c r="M1783" s="76"/>
      <c r="N1783" s="76"/>
      <c r="O1783" s="76"/>
      <c r="P1783" s="76"/>
      <c r="Q1783" s="76"/>
      <c r="R1783" s="76"/>
      <c r="Z1783" s="70"/>
      <c r="AA1783" s="70"/>
      <c r="AB1783" s="70"/>
      <c r="AC1783" s="70"/>
    </row>
    <row r="1784" spans="1:31" s="26" customFormat="1" x14ac:dyDescent="0.3">
      <c r="A1784" s="25" t="s">
        <v>7514</v>
      </c>
      <c r="B1784" s="25"/>
      <c r="C1784" s="26" t="s">
        <v>3005</v>
      </c>
      <c r="D1784" s="70"/>
      <c r="G1784" s="70" t="s">
        <v>1415</v>
      </c>
      <c r="H1784" s="26">
        <v>-1</v>
      </c>
      <c r="I1784" s="70" t="s">
        <v>4316</v>
      </c>
      <c r="J1784" s="26" t="s">
        <v>7515</v>
      </c>
      <c r="K1784" s="26" t="s">
        <v>7516</v>
      </c>
      <c r="L1784" s="26" t="s">
        <v>10817</v>
      </c>
      <c r="M1784" s="76"/>
      <c r="N1784" s="76"/>
      <c r="O1784" s="76"/>
      <c r="P1784" s="76"/>
      <c r="Q1784" s="76"/>
      <c r="R1784" s="76"/>
      <c r="Z1784" s="70"/>
      <c r="AA1784" s="70"/>
      <c r="AB1784" s="70"/>
      <c r="AC1784" s="70"/>
    </row>
    <row r="1785" spans="1:31" s="26" customFormat="1" x14ac:dyDescent="0.3">
      <c r="A1785" s="25" t="s">
        <v>7517</v>
      </c>
      <c r="B1785" s="25"/>
      <c r="C1785" s="26" t="s">
        <v>3005</v>
      </c>
      <c r="D1785" s="70"/>
      <c r="G1785" s="70" t="s">
        <v>1415</v>
      </c>
      <c r="H1785" s="26">
        <v>-1</v>
      </c>
      <c r="I1785" s="70" t="s">
        <v>7518</v>
      </c>
      <c r="J1785" s="26" t="s">
        <v>7519</v>
      </c>
      <c r="K1785" s="26" t="s">
        <v>7520</v>
      </c>
      <c r="L1785" s="26" t="s">
        <v>10818</v>
      </c>
      <c r="M1785" s="76"/>
      <c r="N1785" s="76"/>
      <c r="O1785" s="76"/>
      <c r="P1785" s="76"/>
      <c r="Q1785" s="76"/>
      <c r="R1785" s="76"/>
      <c r="Z1785" s="70"/>
      <c r="AA1785" s="70"/>
      <c r="AB1785" s="70"/>
      <c r="AC1785" s="70"/>
    </row>
    <row r="1786" spans="1:31" s="26" customFormat="1" x14ac:dyDescent="0.3">
      <c r="A1786" s="25" t="s">
        <v>7521</v>
      </c>
      <c r="B1786" s="25"/>
      <c r="C1786" s="26" t="s">
        <v>3005</v>
      </c>
      <c r="D1786" s="70"/>
      <c r="G1786" s="70" t="s">
        <v>1415</v>
      </c>
      <c r="H1786" s="26">
        <v>-1</v>
      </c>
      <c r="I1786" s="70" t="s">
        <v>7522</v>
      </c>
      <c r="J1786" s="26" t="s">
        <v>7523</v>
      </c>
      <c r="K1786" s="26" t="s">
        <v>7524</v>
      </c>
      <c r="L1786" s="26" t="s">
        <v>10819</v>
      </c>
      <c r="M1786" s="76"/>
      <c r="N1786" s="76"/>
      <c r="O1786" s="76"/>
      <c r="P1786" s="76"/>
      <c r="Q1786" s="76"/>
      <c r="R1786" s="76"/>
      <c r="Z1786" s="70"/>
      <c r="AA1786" s="70"/>
      <c r="AB1786" s="70"/>
      <c r="AC1786" s="70"/>
    </row>
    <row r="1787" spans="1:31" s="26" customFormat="1" x14ac:dyDescent="0.3">
      <c r="A1787" s="25" t="s">
        <v>7525</v>
      </c>
      <c r="B1787" s="25"/>
      <c r="C1787" s="26" t="s">
        <v>3005</v>
      </c>
      <c r="D1787" s="70"/>
      <c r="G1787" s="70" t="s">
        <v>1415</v>
      </c>
      <c r="H1787" s="26">
        <v>-1</v>
      </c>
      <c r="I1787" s="70" t="s">
        <v>3640</v>
      </c>
      <c r="J1787" s="26" t="s">
        <v>7526</v>
      </c>
      <c r="K1787" s="26" t="s">
        <v>7527</v>
      </c>
      <c r="L1787" s="26" t="s">
        <v>10820</v>
      </c>
      <c r="M1787" s="76"/>
      <c r="N1787" s="76"/>
      <c r="O1787" s="76"/>
      <c r="P1787" s="76"/>
      <c r="Q1787" s="76"/>
      <c r="R1787" s="76"/>
      <c r="U1787" s="26" t="s">
        <v>7528</v>
      </c>
      <c r="Z1787" s="70"/>
      <c r="AA1787" s="70"/>
      <c r="AB1787" s="70"/>
      <c r="AC1787" s="70"/>
    </row>
    <row r="1788" spans="1:31" s="26" customFormat="1" x14ac:dyDescent="0.3">
      <c r="A1788" s="25" t="s">
        <v>7529</v>
      </c>
      <c r="B1788" s="25"/>
      <c r="C1788" s="26" t="s">
        <v>3005</v>
      </c>
      <c r="D1788" s="70"/>
      <c r="G1788" s="70" t="s">
        <v>1415</v>
      </c>
      <c r="H1788" s="26">
        <v>1</v>
      </c>
      <c r="I1788" s="70" t="s">
        <v>6960</v>
      </c>
      <c r="J1788" s="26" t="s">
        <v>7523</v>
      </c>
      <c r="K1788" s="26" t="s">
        <v>7530</v>
      </c>
      <c r="L1788" s="26" t="s">
        <v>10821</v>
      </c>
      <c r="M1788" s="76"/>
      <c r="N1788" s="76"/>
      <c r="O1788" s="76"/>
      <c r="P1788" s="76"/>
      <c r="Q1788" s="76"/>
      <c r="R1788" s="76"/>
      <c r="U1788" s="26" t="s">
        <v>7531</v>
      </c>
      <c r="Z1788" s="70"/>
      <c r="AA1788" s="70"/>
      <c r="AB1788" s="70"/>
      <c r="AC1788" s="70"/>
    </row>
    <row r="1789" spans="1:31" s="26" customFormat="1" x14ac:dyDescent="0.3">
      <c r="A1789" s="25" t="s">
        <v>7532</v>
      </c>
      <c r="B1789" s="25"/>
      <c r="C1789" s="26" t="s">
        <v>3005</v>
      </c>
      <c r="D1789" s="70"/>
      <c r="G1789" s="70" t="s">
        <v>1415</v>
      </c>
      <c r="H1789" s="26">
        <v>-1</v>
      </c>
      <c r="I1789" s="70" t="s">
        <v>7533</v>
      </c>
      <c r="J1789" s="26" t="s">
        <v>7523</v>
      </c>
      <c r="K1789" s="26" t="s">
        <v>7534</v>
      </c>
      <c r="L1789" s="26" t="s">
        <v>10822</v>
      </c>
      <c r="M1789" s="76"/>
      <c r="N1789" s="76"/>
      <c r="O1789" s="76"/>
      <c r="P1789" s="76"/>
      <c r="Q1789" s="76"/>
      <c r="R1789" s="76"/>
      <c r="U1789" s="26" t="s">
        <v>7535</v>
      </c>
      <c r="Z1789" s="70"/>
      <c r="AA1789" s="70"/>
      <c r="AB1789" s="70"/>
      <c r="AC1789" s="70"/>
    </row>
    <row r="1790" spans="1:31" s="26" customFormat="1" x14ac:dyDescent="0.3">
      <c r="A1790" s="25" t="s">
        <v>7536</v>
      </c>
      <c r="B1790" s="25"/>
      <c r="C1790" s="26" t="s">
        <v>3005</v>
      </c>
      <c r="D1790" s="70"/>
      <c r="G1790" s="70" t="s">
        <v>1415</v>
      </c>
      <c r="H1790" s="26">
        <v>-1</v>
      </c>
      <c r="I1790" s="70" t="s">
        <v>7537</v>
      </c>
      <c r="J1790" s="26" t="s">
        <v>3092</v>
      </c>
      <c r="K1790" s="26" t="s">
        <v>2185</v>
      </c>
      <c r="L1790" s="26" t="s">
        <v>10823</v>
      </c>
      <c r="M1790" s="76"/>
      <c r="N1790" s="76"/>
      <c r="O1790" s="76"/>
      <c r="P1790" s="76"/>
      <c r="Q1790" s="76"/>
      <c r="R1790" s="76"/>
      <c r="U1790" s="26" t="s">
        <v>7538</v>
      </c>
      <c r="Z1790" s="70"/>
      <c r="AA1790" s="70"/>
      <c r="AB1790" s="70"/>
      <c r="AC1790" s="70"/>
    </row>
    <row r="1791" spans="1:31" s="26" customFormat="1" x14ac:dyDescent="0.3">
      <c r="A1791" s="25" t="s">
        <v>7539</v>
      </c>
      <c r="B1791" s="25"/>
      <c r="C1791" s="26" t="s">
        <v>3005</v>
      </c>
      <c r="D1791" s="70"/>
      <c r="G1791" s="70" t="s">
        <v>1415</v>
      </c>
      <c r="H1791" s="26">
        <v>-1</v>
      </c>
      <c r="I1791" s="70" t="s">
        <v>7540</v>
      </c>
      <c r="J1791" s="26" t="s">
        <v>7541</v>
      </c>
      <c r="K1791" s="26" t="s">
        <v>3757</v>
      </c>
      <c r="M1791" s="76"/>
      <c r="N1791" s="76"/>
      <c r="O1791" s="76"/>
      <c r="P1791" s="76"/>
      <c r="Q1791" s="76"/>
      <c r="R1791" s="76"/>
      <c r="Z1791" s="70"/>
      <c r="AA1791" s="70"/>
      <c r="AB1791" s="70"/>
      <c r="AC1791" s="70"/>
    </row>
    <row r="1792" spans="1:31" s="26" customFormat="1" x14ac:dyDescent="0.3">
      <c r="A1792" s="25" t="s">
        <v>7542</v>
      </c>
      <c r="B1792" s="25"/>
      <c r="C1792" s="26" t="s">
        <v>3005</v>
      </c>
      <c r="D1792" s="70"/>
      <c r="G1792" s="70" t="s">
        <v>1415</v>
      </c>
      <c r="H1792" s="26">
        <v>-1</v>
      </c>
      <c r="I1792" s="70" t="s">
        <v>7543</v>
      </c>
      <c r="J1792" s="26" t="s">
        <v>3760</v>
      </c>
      <c r="K1792" s="26" t="s">
        <v>3761</v>
      </c>
      <c r="M1792" s="76"/>
      <c r="N1792" s="76"/>
      <c r="O1792" s="76"/>
      <c r="P1792" s="76"/>
      <c r="Q1792" s="76"/>
      <c r="R1792" s="76"/>
      <c r="Z1792" s="70"/>
      <c r="AA1792" s="70"/>
      <c r="AB1792" s="70"/>
      <c r="AC1792" s="70"/>
    </row>
    <row r="1793" spans="1:31" s="24" customFormat="1" x14ac:dyDescent="0.3">
      <c r="A1793" s="23">
        <v>478</v>
      </c>
      <c r="B1793" s="23">
        <v>473</v>
      </c>
      <c r="C1793" s="24" t="s">
        <v>2165</v>
      </c>
      <c r="D1793" s="69" t="s">
        <v>1396</v>
      </c>
      <c r="E1793" s="24" t="s">
        <v>1395</v>
      </c>
      <c r="F1793" s="24" t="s">
        <v>1416</v>
      </c>
      <c r="G1793" s="69" t="s">
        <v>1417</v>
      </c>
      <c r="H1793" s="24">
        <v>3</v>
      </c>
      <c r="I1793" s="69"/>
      <c r="J1793" s="24" t="s">
        <v>7544</v>
      </c>
      <c r="K1793" s="24" t="s">
        <v>68</v>
      </c>
      <c r="M1793" s="75" t="s">
        <v>65</v>
      </c>
      <c r="N1793" s="75" t="s">
        <v>2015</v>
      </c>
      <c r="O1793" s="75"/>
      <c r="P1793" s="75"/>
      <c r="Q1793" s="75"/>
      <c r="R1793" s="75"/>
      <c r="T1793" s="24" t="s">
        <v>2330</v>
      </c>
      <c r="Z1793" s="69"/>
      <c r="AA1793" s="69"/>
      <c r="AB1793" s="69"/>
      <c r="AC1793" s="69"/>
      <c r="AE1793" s="24" t="s">
        <v>2747</v>
      </c>
    </row>
    <row r="1794" spans="1:31" s="26" customFormat="1" x14ac:dyDescent="0.3">
      <c r="A1794" s="25" t="s">
        <v>7545</v>
      </c>
      <c r="B1794" s="25"/>
      <c r="C1794" s="26" t="s">
        <v>3005</v>
      </c>
      <c r="D1794" s="70"/>
      <c r="G1794" s="70" t="s">
        <v>1417</v>
      </c>
      <c r="H1794" s="26">
        <v>1</v>
      </c>
      <c r="I1794" s="70" t="s">
        <v>7546</v>
      </c>
      <c r="J1794" s="26" t="s">
        <v>7547</v>
      </c>
      <c r="K1794" s="26" t="s">
        <v>7548</v>
      </c>
      <c r="L1794" s="26" t="s">
        <v>10824</v>
      </c>
      <c r="M1794" s="76"/>
      <c r="N1794" s="76"/>
      <c r="O1794" s="76"/>
      <c r="P1794" s="76"/>
      <c r="Q1794" s="76"/>
      <c r="R1794" s="76"/>
      <c r="Z1794" s="70"/>
      <c r="AA1794" s="70"/>
      <c r="AB1794" s="70"/>
      <c r="AC1794" s="70"/>
    </row>
    <row r="1795" spans="1:31" s="26" customFormat="1" x14ac:dyDescent="0.3">
      <c r="A1795" s="25" t="s">
        <v>7549</v>
      </c>
      <c r="B1795" s="25"/>
      <c r="C1795" s="26" t="s">
        <v>3005</v>
      </c>
      <c r="D1795" s="70"/>
      <c r="G1795" s="70" t="s">
        <v>1417</v>
      </c>
      <c r="H1795" s="26">
        <v>1</v>
      </c>
      <c r="I1795" s="70" t="s">
        <v>7317</v>
      </c>
      <c r="J1795" s="26" t="s">
        <v>7544</v>
      </c>
      <c r="K1795" s="26" t="s">
        <v>5976</v>
      </c>
      <c r="L1795" s="26" t="s">
        <v>10825</v>
      </c>
      <c r="M1795" s="76"/>
      <c r="N1795" s="76"/>
      <c r="O1795" s="76"/>
      <c r="P1795" s="76"/>
      <c r="Q1795" s="76"/>
      <c r="R1795" s="76"/>
      <c r="Z1795" s="70"/>
      <c r="AA1795" s="70"/>
      <c r="AB1795" s="70"/>
      <c r="AC1795" s="70"/>
    </row>
    <row r="1796" spans="1:31" s="26" customFormat="1" x14ac:dyDescent="0.3">
      <c r="A1796" s="25" t="s">
        <v>7550</v>
      </c>
      <c r="B1796" s="25"/>
      <c r="C1796" s="26" t="s">
        <v>3005</v>
      </c>
      <c r="D1796" s="70"/>
      <c r="G1796" s="70" t="s">
        <v>1417</v>
      </c>
      <c r="H1796" s="26">
        <v>1</v>
      </c>
      <c r="I1796" s="70" t="s">
        <v>6021</v>
      </c>
      <c r="J1796" s="26" t="s">
        <v>7551</v>
      </c>
      <c r="K1796" s="26" t="s">
        <v>6333</v>
      </c>
      <c r="L1796" s="26" t="s">
        <v>10826</v>
      </c>
      <c r="M1796" s="76"/>
      <c r="N1796" s="76"/>
      <c r="O1796" s="76"/>
      <c r="P1796" s="76"/>
      <c r="Q1796" s="76"/>
      <c r="R1796" s="76"/>
      <c r="Z1796" s="70"/>
      <c r="AA1796" s="70"/>
      <c r="AB1796" s="70"/>
      <c r="AC1796" s="70"/>
    </row>
    <row r="1797" spans="1:31" s="24" customFormat="1" x14ac:dyDescent="0.3">
      <c r="A1797" s="23">
        <v>479</v>
      </c>
      <c r="B1797" s="23">
        <v>474</v>
      </c>
      <c r="C1797" s="24" t="s">
        <v>2165</v>
      </c>
      <c r="D1797" s="69" t="s">
        <v>1396</v>
      </c>
      <c r="E1797" s="24" t="s">
        <v>1395</v>
      </c>
      <c r="F1797" s="24" t="s">
        <v>1418</v>
      </c>
      <c r="G1797" s="69" t="s">
        <v>1419</v>
      </c>
      <c r="I1797" s="69"/>
      <c r="J1797" s="24" t="s">
        <v>5303</v>
      </c>
      <c r="K1797" s="24" t="s">
        <v>1420</v>
      </c>
      <c r="L1797" s="24" t="s">
        <v>9859</v>
      </c>
      <c r="M1797" s="75" t="s">
        <v>65</v>
      </c>
      <c r="N1797" s="75" t="s">
        <v>2032</v>
      </c>
      <c r="O1797" s="75" t="s">
        <v>732</v>
      </c>
      <c r="P1797" s="75"/>
      <c r="Q1797" s="75"/>
      <c r="R1797" s="75"/>
      <c r="T1797" s="24" t="s">
        <v>2179</v>
      </c>
      <c r="V1797" s="24" t="s">
        <v>1416</v>
      </c>
      <c r="Z1797" s="69"/>
      <c r="AA1797" s="69"/>
      <c r="AB1797" s="69"/>
      <c r="AC1797" s="69"/>
      <c r="AE1797" s="24" t="s">
        <v>2748</v>
      </c>
    </row>
    <row r="1798" spans="1:31" s="24" customFormat="1" x14ac:dyDescent="0.3">
      <c r="A1798" s="23">
        <v>480</v>
      </c>
      <c r="B1798" s="23">
        <v>475</v>
      </c>
      <c r="C1798" s="24" t="s">
        <v>2165</v>
      </c>
      <c r="D1798" s="69" t="s">
        <v>1396</v>
      </c>
      <c r="E1798" s="24" t="s">
        <v>1395</v>
      </c>
      <c r="F1798" s="24" t="s">
        <v>1421</v>
      </c>
      <c r="G1798" s="69" t="s">
        <v>1422</v>
      </c>
      <c r="I1798" s="69"/>
      <c r="J1798" s="24" t="s">
        <v>5303</v>
      </c>
      <c r="K1798" s="24" t="s">
        <v>1423</v>
      </c>
      <c r="L1798" s="24" t="s">
        <v>9860</v>
      </c>
      <c r="M1798" s="75" t="s">
        <v>65</v>
      </c>
      <c r="N1798" s="75" t="s">
        <v>2022</v>
      </c>
      <c r="O1798" s="75" t="s">
        <v>732</v>
      </c>
      <c r="P1798" s="75"/>
      <c r="Q1798" s="75"/>
      <c r="R1798" s="75"/>
      <c r="T1798" s="24" t="s">
        <v>2179</v>
      </c>
      <c r="V1798" s="24" t="s">
        <v>1416</v>
      </c>
      <c r="Z1798" s="69"/>
      <c r="AA1798" s="69"/>
      <c r="AB1798" s="69"/>
      <c r="AC1798" s="69"/>
      <c r="AE1798" s="24" t="s">
        <v>2749</v>
      </c>
    </row>
    <row r="1799" spans="1:31" s="24" customFormat="1" x14ac:dyDescent="0.3">
      <c r="A1799" s="23">
        <v>481</v>
      </c>
      <c r="B1799" s="23">
        <v>476</v>
      </c>
      <c r="C1799" s="24" t="s">
        <v>2165</v>
      </c>
      <c r="D1799" s="69" t="s">
        <v>1396</v>
      </c>
      <c r="E1799" s="24" t="s">
        <v>1395</v>
      </c>
      <c r="F1799" s="24" t="s">
        <v>1424</v>
      </c>
      <c r="G1799" s="69" t="s">
        <v>1425</v>
      </c>
      <c r="I1799" s="69"/>
      <c r="J1799" s="24" t="s">
        <v>5475</v>
      </c>
      <c r="K1799" s="24" t="s">
        <v>68</v>
      </c>
      <c r="L1799" s="24" t="s">
        <v>9861</v>
      </c>
      <c r="M1799" s="75" t="s">
        <v>65</v>
      </c>
      <c r="N1799" s="75" t="s">
        <v>2020</v>
      </c>
      <c r="O1799" s="75" t="s">
        <v>58</v>
      </c>
      <c r="P1799" s="75" t="s">
        <v>58</v>
      </c>
      <c r="Q1799" s="75" t="s">
        <v>66</v>
      </c>
      <c r="R1799" s="75"/>
      <c r="T1799" s="24" t="s">
        <v>2330</v>
      </c>
      <c r="Z1799" s="69"/>
      <c r="AA1799" s="69"/>
      <c r="AB1799" s="69"/>
      <c r="AC1799" s="69"/>
      <c r="AD1799" s="24" t="s">
        <v>123</v>
      </c>
      <c r="AE1799" s="24" t="s">
        <v>2750</v>
      </c>
    </row>
    <row r="1800" spans="1:31" s="24" customFormat="1" x14ac:dyDescent="0.3">
      <c r="A1800" s="23">
        <v>482</v>
      </c>
      <c r="B1800" s="23">
        <v>477</v>
      </c>
      <c r="C1800" s="24" t="s">
        <v>2165</v>
      </c>
      <c r="D1800" s="69" t="s">
        <v>1396</v>
      </c>
      <c r="E1800" s="24" t="s">
        <v>1395</v>
      </c>
      <c r="F1800" s="24" t="s">
        <v>1426</v>
      </c>
      <c r="G1800" s="69" t="s">
        <v>1427</v>
      </c>
      <c r="H1800" s="24">
        <v>3</v>
      </c>
      <c r="I1800" s="69"/>
      <c r="J1800" s="24" t="s">
        <v>5303</v>
      </c>
      <c r="K1800" s="24" t="s">
        <v>68</v>
      </c>
      <c r="M1800" s="75" t="s">
        <v>65</v>
      </c>
      <c r="N1800" s="75" t="s">
        <v>2015</v>
      </c>
      <c r="O1800" s="75" t="s">
        <v>67</v>
      </c>
      <c r="P1800" s="75" t="s">
        <v>67</v>
      </c>
      <c r="Q1800" s="75" t="s">
        <v>85</v>
      </c>
      <c r="R1800" s="75"/>
      <c r="T1800" s="24" t="s">
        <v>2330</v>
      </c>
      <c r="Z1800" s="69"/>
      <c r="AA1800" s="69"/>
      <c r="AB1800" s="69"/>
      <c r="AC1800" s="69"/>
      <c r="AD1800" s="24" t="s">
        <v>123</v>
      </c>
      <c r="AE1800" s="24" t="s">
        <v>2751</v>
      </c>
    </row>
    <row r="1801" spans="1:31" s="26" customFormat="1" x14ac:dyDescent="0.3">
      <c r="A1801" s="25" t="s">
        <v>7552</v>
      </c>
      <c r="B1801" s="25"/>
      <c r="C1801" s="26" t="s">
        <v>3005</v>
      </c>
      <c r="D1801" s="70"/>
      <c r="G1801" s="70" t="s">
        <v>1427</v>
      </c>
      <c r="H1801" s="26">
        <v>1</v>
      </c>
      <c r="I1801" s="70" t="s">
        <v>7553</v>
      </c>
      <c r="J1801" s="26" t="s">
        <v>5080</v>
      </c>
      <c r="K1801" s="26" t="s">
        <v>7554</v>
      </c>
      <c r="M1801" s="76"/>
      <c r="N1801" s="76"/>
      <c r="O1801" s="76"/>
      <c r="P1801" s="76"/>
      <c r="Q1801" s="76"/>
      <c r="R1801" s="76"/>
      <c r="Z1801" s="70"/>
      <c r="AA1801" s="70"/>
      <c r="AB1801" s="70"/>
      <c r="AC1801" s="70"/>
    </row>
    <row r="1802" spans="1:31" s="26" customFormat="1" x14ac:dyDescent="0.3">
      <c r="A1802" s="25" t="s">
        <v>7555</v>
      </c>
      <c r="B1802" s="25"/>
      <c r="C1802" s="26" t="s">
        <v>3005</v>
      </c>
      <c r="D1802" s="70"/>
      <c r="G1802" s="70" t="s">
        <v>1427</v>
      </c>
      <c r="H1802" s="26">
        <v>1</v>
      </c>
      <c r="I1802" s="70" t="s">
        <v>7556</v>
      </c>
      <c r="J1802" s="26" t="s">
        <v>5080</v>
      </c>
      <c r="K1802" s="26" t="s">
        <v>2027</v>
      </c>
      <c r="M1802" s="76"/>
      <c r="N1802" s="76"/>
      <c r="O1802" s="76"/>
      <c r="P1802" s="76"/>
      <c r="Q1802" s="76"/>
      <c r="R1802" s="76"/>
      <c r="Z1802" s="70"/>
      <c r="AA1802" s="70"/>
      <c r="AB1802" s="70"/>
      <c r="AC1802" s="70"/>
    </row>
    <row r="1803" spans="1:31" s="26" customFormat="1" x14ac:dyDescent="0.3">
      <c r="A1803" s="25" t="s">
        <v>7557</v>
      </c>
      <c r="B1803" s="25"/>
      <c r="C1803" s="26" t="s">
        <v>3005</v>
      </c>
      <c r="D1803" s="70"/>
      <c r="G1803" s="70" t="s">
        <v>1427</v>
      </c>
      <c r="H1803" s="26">
        <v>1</v>
      </c>
      <c r="I1803" s="70" t="s">
        <v>6589</v>
      </c>
      <c r="J1803" s="26" t="s">
        <v>5303</v>
      </c>
      <c r="K1803" s="26" t="s">
        <v>6590</v>
      </c>
      <c r="M1803" s="76"/>
      <c r="N1803" s="76"/>
      <c r="O1803" s="76"/>
      <c r="P1803" s="76"/>
      <c r="Q1803" s="76"/>
      <c r="R1803" s="76"/>
      <c r="Z1803" s="70"/>
      <c r="AA1803" s="70"/>
      <c r="AB1803" s="70"/>
      <c r="AC1803" s="70"/>
    </row>
    <row r="1804" spans="1:31" s="24" customFormat="1" x14ac:dyDescent="0.3">
      <c r="A1804" s="23">
        <v>483</v>
      </c>
      <c r="B1804" s="23">
        <v>478</v>
      </c>
      <c r="C1804" s="24" t="s">
        <v>2165</v>
      </c>
      <c r="D1804" s="69" t="s">
        <v>1396</v>
      </c>
      <c r="E1804" s="24" t="s">
        <v>1395</v>
      </c>
      <c r="F1804" s="24" t="s">
        <v>1428</v>
      </c>
      <c r="G1804" s="69" t="s">
        <v>1429</v>
      </c>
      <c r="H1804" s="24">
        <v>3</v>
      </c>
      <c r="I1804" s="69"/>
      <c r="J1804" s="24" t="s">
        <v>5091</v>
      </c>
      <c r="K1804" s="24" t="s">
        <v>68</v>
      </c>
      <c r="M1804" s="75" t="s">
        <v>65</v>
      </c>
      <c r="N1804" s="75" t="s">
        <v>2015</v>
      </c>
      <c r="O1804" s="75"/>
      <c r="P1804" s="75"/>
      <c r="Q1804" s="75"/>
      <c r="R1804" s="75"/>
      <c r="T1804" s="24" t="s">
        <v>2330</v>
      </c>
      <c r="Z1804" s="69"/>
      <c r="AA1804" s="69"/>
      <c r="AB1804" s="69"/>
      <c r="AC1804" s="69"/>
      <c r="AD1804" s="24" t="s">
        <v>123</v>
      </c>
      <c r="AE1804" s="24" t="s">
        <v>2752</v>
      </c>
    </row>
    <row r="1805" spans="1:31" s="26" customFormat="1" x14ac:dyDescent="0.3">
      <c r="A1805" s="25" t="s">
        <v>7558</v>
      </c>
      <c r="B1805" s="25"/>
      <c r="C1805" s="26" t="s">
        <v>3005</v>
      </c>
      <c r="D1805" s="70"/>
      <c r="G1805" s="70" t="s">
        <v>1429</v>
      </c>
      <c r="H1805" s="26">
        <v>1</v>
      </c>
      <c r="I1805" s="70" t="s">
        <v>5126</v>
      </c>
      <c r="J1805" s="26" t="s">
        <v>5091</v>
      </c>
      <c r="K1805" s="26" t="s">
        <v>7559</v>
      </c>
      <c r="L1805" s="26" t="s">
        <v>10827</v>
      </c>
      <c r="M1805" s="76"/>
      <c r="N1805" s="76"/>
      <c r="O1805" s="76"/>
      <c r="P1805" s="76"/>
      <c r="Q1805" s="76"/>
      <c r="R1805" s="76"/>
      <c r="Z1805" s="70"/>
      <c r="AA1805" s="70"/>
      <c r="AB1805" s="70"/>
      <c r="AC1805" s="70"/>
    </row>
    <row r="1806" spans="1:31" s="26" customFormat="1" x14ac:dyDescent="0.3">
      <c r="A1806" s="25" t="s">
        <v>7560</v>
      </c>
      <c r="B1806" s="25"/>
      <c r="C1806" s="26" t="s">
        <v>3005</v>
      </c>
      <c r="D1806" s="70"/>
      <c r="G1806" s="70" t="s">
        <v>1429</v>
      </c>
      <c r="H1806" s="26">
        <v>1</v>
      </c>
      <c r="I1806" s="70" t="s">
        <v>7232</v>
      </c>
      <c r="J1806" s="26" t="s">
        <v>7233</v>
      </c>
      <c r="K1806" s="26" t="s">
        <v>7561</v>
      </c>
      <c r="M1806" s="76"/>
      <c r="N1806" s="76"/>
      <c r="O1806" s="76"/>
      <c r="P1806" s="76"/>
      <c r="Q1806" s="76"/>
      <c r="R1806" s="76"/>
      <c r="Y1806" s="26" t="s">
        <v>7562</v>
      </c>
      <c r="Z1806" s="70"/>
      <c r="AA1806" s="70"/>
      <c r="AB1806" s="70" t="s">
        <v>7563</v>
      </c>
      <c r="AC1806" s="70"/>
    </row>
    <row r="1807" spans="1:31" s="26" customFormat="1" x14ac:dyDescent="0.3">
      <c r="A1807" s="25" t="s">
        <v>7564</v>
      </c>
      <c r="B1807" s="25"/>
      <c r="C1807" s="26" t="s">
        <v>3005</v>
      </c>
      <c r="D1807" s="70"/>
      <c r="G1807" s="70" t="s">
        <v>1429</v>
      </c>
      <c r="H1807" s="26">
        <v>1</v>
      </c>
      <c r="I1807" s="70" t="s">
        <v>4308</v>
      </c>
      <c r="J1807" s="26" t="s">
        <v>6308</v>
      </c>
      <c r="K1807" s="26" t="s">
        <v>6043</v>
      </c>
      <c r="M1807" s="76"/>
      <c r="N1807" s="76"/>
      <c r="O1807" s="76"/>
      <c r="P1807" s="76"/>
      <c r="Q1807" s="76"/>
      <c r="R1807" s="76"/>
      <c r="Y1807" s="26" t="s">
        <v>7565</v>
      </c>
      <c r="Z1807" s="70"/>
      <c r="AA1807" s="70"/>
      <c r="AB1807" s="70" t="s">
        <v>7566</v>
      </c>
      <c r="AC1807" s="70"/>
    </row>
    <row r="1808" spans="1:31" s="24" customFormat="1" x14ac:dyDescent="0.3">
      <c r="A1808" s="23">
        <v>484</v>
      </c>
      <c r="B1808" s="23">
        <v>479</v>
      </c>
      <c r="C1808" s="24" t="s">
        <v>2165</v>
      </c>
      <c r="D1808" s="69" t="s">
        <v>1396</v>
      </c>
      <c r="E1808" s="24" t="s">
        <v>1395</v>
      </c>
      <c r="F1808" s="24" t="s">
        <v>1430</v>
      </c>
      <c r="G1808" s="69" t="s">
        <v>1431</v>
      </c>
      <c r="H1808" s="24">
        <v>3</v>
      </c>
      <c r="I1808" s="69"/>
      <c r="J1808" s="24" t="s">
        <v>7567</v>
      </c>
      <c r="K1808" s="24" t="s">
        <v>1432</v>
      </c>
      <c r="M1808" s="75" t="s">
        <v>15</v>
      </c>
      <c r="N1808" s="75"/>
      <c r="O1808" s="75"/>
      <c r="P1808" s="75"/>
      <c r="Q1808" s="75"/>
      <c r="R1808" s="75"/>
      <c r="T1808" s="24" t="s">
        <v>2330</v>
      </c>
      <c r="V1808" s="24" t="s">
        <v>2753</v>
      </c>
      <c r="Z1808" s="69"/>
      <c r="AA1808" s="69"/>
      <c r="AB1808" s="69"/>
      <c r="AC1808" s="69"/>
      <c r="AD1808" s="24" t="s">
        <v>123</v>
      </c>
      <c r="AE1808" s="24" t="s">
        <v>2754</v>
      </c>
    </row>
    <row r="1809" spans="1:31" s="26" customFormat="1" x14ac:dyDescent="0.3">
      <c r="A1809" s="25" t="s">
        <v>7568</v>
      </c>
      <c r="B1809" s="25"/>
      <c r="C1809" s="26" t="s">
        <v>3005</v>
      </c>
      <c r="D1809" s="70"/>
      <c r="G1809" s="70" t="s">
        <v>1431</v>
      </c>
      <c r="H1809" s="26">
        <v>-1</v>
      </c>
      <c r="I1809" s="70" t="s">
        <v>7569</v>
      </c>
      <c r="J1809" s="26" t="s">
        <v>7567</v>
      </c>
      <c r="K1809" s="26" t="s">
        <v>7570</v>
      </c>
      <c r="L1809" s="26" t="s">
        <v>10828</v>
      </c>
      <c r="M1809" s="76"/>
      <c r="N1809" s="76"/>
      <c r="O1809" s="76"/>
      <c r="P1809" s="76"/>
      <c r="Q1809" s="76"/>
      <c r="R1809" s="76"/>
      <c r="U1809" s="26" t="s">
        <v>4337</v>
      </c>
      <c r="Z1809" s="70"/>
      <c r="AA1809" s="70"/>
      <c r="AB1809" s="70"/>
      <c r="AC1809" s="70"/>
    </row>
    <row r="1810" spans="1:31" s="26" customFormat="1" x14ac:dyDescent="0.3">
      <c r="A1810" s="25" t="s">
        <v>7571</v>
      </c>
      <c r="B1810" s="25"/>
      <c r="C1810" s="26" t="s">
        <v>3005</v>
      </c>
      <c r="D1810" s="70"/>
      <c r="G1810" s="70" t="s">
        <v>1431</v>
      </c>
      <c r="H1810" s="26">
        <v>-1</v>
      </c>
      <c r="I1810" s="70" t="s">
        <v>7572</v>
      </c>
      <c r="J1810" s="26" t="s">
        <v>7573</v>
      </c>
      <c r="K1810" s="26" t="s">
        <v>7574</v>
      </c>
      <c r="L1810" s="26" t="s">
        <v>10829</v>
      </c>
      <c r="M1810" s="76"/>
      <c r="N1810" s="76"/>
      <c r="O1810" s="76"/>
      <c r="P1810" s="76"/>
      <c r="Q1810" s="76"/>
      <c r="R1810" s="76"/>
      <c r="Z1810" s="70"/>
      <c r="AA1810" s="70"/>
      <c r="AB1810" s="70"/>
      <c r="AC1810" s="70"/>
    </row>
    <row r="1811" spans="1:31" s="26" customFormat="1" x14ac:dyDescent="0.3">
      <c r="A1811" s="25" t="s">
        <v>7575</v>
      </c>
      <c r="B1811" s="25"/>
      <c r="C1811" s="26" t="s">
        <v>3005</v>
      </c>
      <c r="D1811" s="70"/>
      <c r="G1811" s="70" t="s">
        <v>1431</v>
      </c>
      <c r="H1811" s="26">
        <v>-1</v>
      </c>
      <c r="I1811" s="70" t="s">
        <v>7576</v>
      </c>
      <c r="J1811" s="26" t="s">
        <v>7577</v>
      </c>
      <c r="K1811" s="26" t="s">
        <v>7578</v>
      </c>
      <c r="L1811" s="26" t="s">
        <v>10830</v>
      </c>
      <c r="M1811" s="76"/>
      <c r="N1811" s="76"/>
      <c r="O1811" s="76"/>
      <c r="P1811" s="76"/>
      <c r="Q1811" s="76"/>
      <c r="R1811" s="76"/>
      <c r="Z1811" s="70"/>
      <c r="AA1811" s="70"/>
      <c r="AB1811" s="70"/>
      <c r="AC1811" s="70"/>
    </row>
    <row r="1812" spans="1:31" s="26" customFormat="1" x14ac:dyDescent="0.3">
      <c r="A1812" s="25" t="s">
        <v>7579</v>
      </c>
      <c r="B1812" s="25"/>
      <c r="C1812" s="26" t="s">
        <v>3005</v>
      </c>
      <c r="D1812" s="70"/>
      <c r="G1812" s="70" t="s">
        <v>1431</v>
      </c>
      <c r="H1812" s="26">
        <v>-1</v>
      </c>
      <c r="I1812" s="70" t="s">
        <v>7580</v>
      </c>
      <c r="J1812" s="26" t="s">
        <v>4168</v>
      </c>
      <c r="K1812" s="26" t="s">
        <v>7581</v>
      </c>
      <c r="L1812" s="26" t="s">
        <v>10831</v>
      </c>
      <c r="M1812" s="76"/>
      <c r="N1812" s="76"/>
      <c r="O1812" s="76"/>
      <c r="P1812" s="76"/>
      <c r="Q1812" s="76"/>
      <c r="R1812" s="76"/>
      <c r="Z1812" s="70"/>
      <c r="AA1812" s="70"/>
      <c r="AB1812" s="70"/>
      <c r="AC1812" s="70"/>
    </row>
    <row r="1813" spans="1:31" s="26" customFormat="1" x14ac:dyDescent="0.3">
      <c r="A1813" s="25" t="s">
        <v>7582</v>
      </c>
      <c r="B1813" s="25"/>
      <c r="C1813" s="26" t="s">
        <v>3005</v>
      </c>
      <c r="D1813" s="70"/>
      <c r="G1813" s="70" t="s">
        <v>1431</v>
      </c>
      <c r="H1813" s="26">
        <v>-1</v>
      </c>
      <c r="I1813" s="70" t="s">
        <v>7583</v>
      </c>
      <c r="J1813" s="26" t="s">
        <v>7577</v>
      </c>
      <c r="K1813" s="26" t="s">
        <v>7584</v>
      </c>
      <c r="L1813" s="26" t="s">
        <v>10832</v>
      </c>
      <c r="M1813" s="76"/>
      <c r="N1813" s="76"/>
      <c r="O1813" s="76"/>
      <c r="P1813" s="76"/>
      <c r="Q1813" s="76"/>
      <c r="R1813" s="76"/>
      <c r="Z1813" s="70"/>
      <c r="AA1813" s="70"/>
      <c r="AB1813" s="70"/>
      <c r="AC1813" s="70"/>
    </row>
    <row r="1814" spans="1:31" s="26" customFormat="1" x14ac:dyDescent="0.3">
      <c r="A1814" s="25" t="s">
        <v>7585</v>
      </c>
      <c r="B1814" s="25"/>
      <c r="C1814" s="26" t="s">
        <v>3005</v>
      </c>
      <c r="D1814" s="70"/>
      <c r="G1814" s="70" t="s">
        <v>1431</v>
      </c>
      <c r="H1814" s="26">
        <v>-1</v>
      </c>
      <c r="I1814" s="70" t="s">
        <v>7586</v>
      </c>
      <c r="J1814" s="26" t="s">
        <v>7587</v>
      </c>
      <c r="K1814" s="26" t="s">
        <v>7588</v>
      </c>
      <c r="L1814" s="26" t="s">
        <v>10833</v>
      </c>
      <c r="M1814" s="76"/>
      <c r="N1814" s="76"/>
      <c r="O1814" s="76"/>
      <c r="P1814" s="76"/>
      <c r="Q1814" s="76"/>
      <c r="R1814" s="76"/>
      <c r="Z1814" s="70"/>
      <c r="AA1814" s="70"/>
      <c r="AB1814" s="70"/>
      <c r="AC1814" s="70"/>
    </row>
    <row r="1815" spans="1:31" s="26" customFormat="1" x14ac:dyDescent="0.3">
      <c r="A1815" s="25" t="s">
        <v>7589</v>
      </c>
      <c r="B1815" s="25"/>
      <c r="C1815" s="26" t="s">
        <v>3005</v>
      </c>
      <c r="D1815" s="70"/>
      <c r="G1815" s="70" t="s">
        <v>1431</v>
      </c>
      <c r="H1815" s="26">
        <v>-1</v>
      </c>
      <c r="I1815" s="70" t="s">
        <v>3720</v>
      </c>
      <c r="J1815" s="26" t="s">
        <v>7590</v>
      </c>
      <c r="K1815" s="26" t="s">
        <v>7591</v>
      </c>
      <c r="L1815" s="26" t="s">
        <v>10834</v>
      </c>
      <c r="M1815" s="76"/>
      <c r="N1815" s="76"/>
      <c r="O1815" s="76"/>
      <c r="P1815" s="76"/>
      <c r="Q1815" s="76"/>
      <c r="R1815" s="76"/>
      <c r="Z1815" s="70"/>
      <c r="AA1815" s="70"/>
      <c r="AB1815" s="70"/>
      <c r="AC1815" s="70"/>
    </row>
    <row r="1816" spans="1:31" s="26" customFormat="1" x14ac:dyDescent="0.3">
      <c r="A1816" s="25" t="s">
        <v>7592</v>
      </c>
      <c r="B1816" s="25"/>
      <c r="C1816" s="26" t="s">
        <v>3005</v>
      </c>
      <c r="D1816" s="70"/>
      <c r="G1816" s="70" t="s">
        <v>1431</v>
      </c>
      <c r="H1816" s="26">
        <v>-1</v>
      </c>
      <c r="I1816" s="70" t="s">
        <v>7593</v>
      </c>
      <c r="J1816" s="26" t="s">
        <v>7594</v>
      </c>
      <c r="K1816" s="26" t="s">
        <v>7595</v>
      </c>
      <c r="L1816" s="26" t="s">
        <v>10835</v>
      </c>
      <c r="M1816" s="76"/>
      <c r="N1816" s="76"/>
      <c r="O1816" s="76"/>
      <c r="P1816" s="76"/>
      <c r="Q1816" s="76"/>
      <c r="R1816" s="76"/>
      <c r="Z1816" s="70"/>
      <c r="AA1816" s="70"/>
      <c r="AB1816" s="70"/>
      <c r="AC1816" s="70"/>
    </row>
    <row r="1817" spans="1:31" s="26" customFormat="1" x14ac:dyDescent="0.3">
      <c r="A1817" s="25" t="s">
        <v>7596</v>
      </c>
      <c r="B1817" s="25"/>
      <c r="C1817" s="26" t="s">
        <v>3005</v>
      </c>
      <c r="D1817" s="70"/>
      <c r="G1817" s="70" t="s">
        <v>1431</v>
      </c>
      <c r="H1817" s="26">
        <v>-1</v>
      </c>
      <c r="I1817" s="70" t="s">
        <v>7597</v>
      </c>
      <c r="J1817" s="26" t="s">
        <v>7598</v>
      </c>
      <c r="K1817" s="26" t="s">
        <v>7599</v>
      </c>
      <c r="M1817" s="76"/>
      <c r="N1817" s="76"/>
      <c r="O1817" s="76"/>
      <c r="P1817" s="76"/>
      <c r="Q1817" s="76"/>
      <c r="R1817" s="76"/>
      <c r="T1817" s="26" t="s">
        <v>2200</v>
      </c>
      <c r="Z1817" s="70"/>
      <c r="AA1817" s="70"/>
      <c r="AB1817" s="70"/>
      <c r="AC1817" s="70"/>
      <c r="AE1817" s="26" t="s">
        <v>7600</v>
      </c>
    </row>
    <row r="1818" spans="1:31" s="26" customFormat="1" x14ac:dyDescent="0.3">
      <c r="A1818" s="25" t="s">
        <v>7601</v>
      </c>
      <c r="B1818" s="25"/>
      <c r="C1818" s="26" t="s">
        <v>3005</v>
      </c>
      <c r="D1818" s="70"/>
      <c r="G1818" s="70" t="s">
        <v>1431</v>
      </c>
      <c r="H1818" s="26">
        <v>2</v>
      </c>
      <c r="I1818" s="70" t="s">
        <v>7602</v>
      </c>
      <c r="J1818" s="26" t="s">
        <v>5307</v>
      </c>
      <c r="K1818" s="26" t="s">
        <v>7603</v>
      </c>
      <c r="L1818" s="26" t="s">
        <v>10836</v>
      </c>
      <c r="M1818" s="76"/>
      <c r="N1818" s="76"/>
      <c r="O1818" s="76"/>
      <c r="P1818" s="76"/>
      <c r="Q1818" s="76"/>
      <c r="R1818" s="76"/>
      <c r="Z1818" s="70"/>
      <c r="AA1818" s="70"/>
      <c r="AB1818" s="70"/>
      <c r="AC1818" s="70"/>
    </row>
    <row r="1819" spans="1:31" s="26" customFormat="1" x14ac:dyDescent="0.3">
      <c r="A1819" s="25" t="s">
        <v>7604</v>
      </c>
      <c r="B1819" s="25"/>
      <c r="C1819" s="26" t="s">
        <v>3005</v>
      </c>
      <c r="D1819" s="70"/>
      <c r="G1819" s="70" t="s">
        <v>1431</v>
      </c>
      <c r="H1819" s="26">
        <v>3</v>
      </c>
      <c r="I1819" s="70" t="s">
        <v>7605</v>
      </c>
      <c r="J1819" s="26" t="s">
        <v>5691</v>
      </c>
      <c r="K1819" s="26" t="s">
        <v>7606</v>
      </c>
      <c r="L1819" s="26" t="s">
        <v>10837</v>
      </c>
      <c r="M1819" s="76"/>
      <c r="N1819" s="76"/>
      <c r="O1819" s="76"/>
      <c r="P1819" s="76"/>
      <c r="Q1819" s="76"/>
      <c r="R1819" s="76"/>
      <c r="Z1819" s="70"/>
      <c r="AA1819" s="70"/>
      <c r="AB1819" s="70"/>
      <c r="AC1819" s="70"/>
    </row>
    <row r="1820" spans="1:31" s="26" customFormat="1" x14ac:dyDescent="0.3">
      <c r="A1820" s="25" t="s">
        <v>7607</v>
      </c>
      <c r="B1820" s="25"/>
      <c r="C1820" s="26" t="s">
        <v>3005</v>
      </c>
      <c r="D1820" s="70"/>
      <c r="G1820" s="70" t="s">
        <v>1431</v>
      </c>
      <c r="H1820" s="26">
        <v>4</v>
      </c>
      <c r="I1820" s="70" t="s">
        <v>7608</v>
      </c>
      <c r="J1820" s="26" t="s">
        <v>4240</v>
      </c>
      <c r="K1820" s="26" t="s">
        <v>7609</v>
      </c>
      <c r="L1820" s="26" t="s">
        <v>10669</v>
      </c>
      <c r="M1820" s="76"/>
      <c r="N1820" s="76"/>
      <c r="O1820" s="76"/>
      <c r="P1820" s="76"/>
      <c r="Q1820" s="76"/>
      <c r="R1820" s="76"/>
      <c r="Z1820" s="70"/>
      <c r="AA1820" s="70"/>
      <c r="AB1820" s="70"/>
      <c r="AC1820" s="70"/>
    </row>
    <row r="1821" spans="1:31" s="24" customFormat="1" x14ac:dyDescent="0.3">
      <c r="A1821" s="23">
        <v>485</v>
      </c>
      <c r="B1821" s="23">
        <v>480</v>
      </c>
      <c r="C1821" s="24" t="s">
        <v>2165</v>
      </c>
      <c r="D1821" s="69" t="s">
        <v>1434</v>
      </c>
      <c r="E1821" s="24" t="s">
        <v>1433</v>
      </c>
      <c r="F1821" s="24" t="s">
        <v>1435</v>
      </c>
      <c r="G1821" s="69" t="s">
        <v>1436</v>
      </c>
      <c r="H1821" s="24">
        <v>1</v>
      </c>
      <c r="I1821" s="69"/>
      <c r="J1821" s="24" t="s">
        <v>7610</v>
      </c>
      <c r="K1821" s="24" t="s">
        <v>1437</v>
      </c>
      <c r="M1821" s="75" t="s">
        <v>15</v>
      </c>
      <c r="N1821" s="75"/>
      <c r="O1821" s="75"/>
      <c r="P1821" s="75"/>
      <c r="Q1821" s="75"/>
      <c r="R1821" s="75"/>
      <c r="T1821" s="24" t="s">
        <v>2179</v>
      </c>
      <c r="V1821" s="24" t="s">
        <v>2755</v>
      </c>
      <c r="W1821" s="24" t="s">
        <v>2756</v>
      </c>
      <c r="Y1821" s="24" t="s">
        <v>2757</v>
      </c>
      <c r="Z1821" s="69"/>
      <c r="AA1821" s="69"/>
      <c r="AB1821" s="69"/>
      <c r="AC1821" s="69"/>
      <c r="AE1821" s="24" t="s">
        <v>2758</v>
      </c>
    </row>
    <row r="1822" spans="1:31" s="26" customFormat="1" x14ac:dyDescent="0.3">
      <c r="A1822" s="25" t="s">
        <v>7611</v>
      </c>
      <c r="B1822" s="25"/>
      <c r="C1822" s="26" t="s">
        <v>3005</v>
      </c>
      <c r="D1822" s="70"/>
      <c r="G1822" s="70" t="s">
        <v>1436</v>
      </c>
      <c r="H1822" s="26">
        <v>-1</v>
      </c>
      <c r="I1822" s="70" t="s">
        <v>3176</v>
      </c>
      <c r="J1822" s="26" t="s">
        <v>7610</v>
      </c>
      <c r="K1822" s="26" t="s">
        <v>7612</v>
      </c>
      <c r="L1822" s="26" t="s">
        <v>10838</v>
      </c>
      <c r="M1822" s="76"/>
      <c r="N1822" s="76"/>
      <c r="O1822" s="76"/>
      <c r="P1822" s="76"/>
      <c r="Q1822" s="76"/>
      <c r="R1822" s="76"/>
      <c r="Z1822" s="70"/>
      <c r="AA1822" s="70"/>
      <c r="AB1822" s="70"/>
      <c r="AC1822" s="70"/>
    </row>
    <row r="1823" spans="1:31" s="26" customFormat="1" x14ac:dyDescent="0.3">
      <c r="A1823" s="25" t="s">
        <v>7613</v>
      </c>
      <c r="B1823" s="25"/>
      <c r="C1823" s="26" t="s">
        <v>3005</v>
      </c>
      <c r="D1823" s="70"/>
      <c r="G1823" s="70" t="s">
        <v>1436</v>
      </c>
      <c r="H1823" s="26">
        <v>3</v>
      </c>
      <c r="I1823" s="70" t="s">
        <v>7614</v>
      </c>
      <c r="J1823" s="26" t="s">
        <v>7615</v>
      </c>
      <c r="K1823" s="26" t="s">
        <v>4237</v>
      </c>
      <c r="L1823" s="26" t="s">
        <v>10839</v>
      </c>
      <c r="M1823" s="76"/>
      <c r="N1823" s="76"/>
      <c r="O1823" s="76"/>
      <c r="P1823" s="76"/>
      <c r="Q1823" s="76"/>
      <c r="R1823" s="76"/>
      <c r="Z1823" s="70"/>
      <c r="AA1823" s="70"/>
      <c r="AB1823" s="70"/>
      <c r="AC1823" s="70"/>
    </row>
    <row r="1824" spans="1:31" s="24" customFormat="1" x14ac:dyDescent="0.3">
      <c r="A1824" s="23">
        <v>486</v>
      </c>
      <c r="B1824" s="23">
        <v>481</v>
      </c>
      <c r="C1824" s="24" t="s">
        <v>2165</v>
      </c>
      <c r="D1824" s="69" t="s">
        <v>1434</v>
      </c>
      <c r="E1824" s="24" t="s">
        <v>1433</v>
      </c>
      <c r="F1824" s="24" t="s">
        <v>1438</v>
      </c>
      <c r="G1824" s="69" t="s">
        <v>1439</v>
      </c>
      <c r="I1824" s="69"/>
      <c r="J1824" s="24" t="s">
        <v>3016</v>
      </c>
      <c r="K1824" s="24" t="s">
        <v>201</v>
      </c>
      <c r="M1824" s="75" t="s">
        <v>50</v>
      </c>
      <c r="N1824" s="75"/>
      <c r="O1824" s="75"/>
      <c r="P1824" s="75"/>
      <c r="Q1824" s="75"/>
      <c r="R1824" s="75"/>
      <c r="W1824" s="24" t="s">
        <v>2759</v>
      </c>
      <c r="Y1824" s="24" t="s">
        <v>2760</v>
      </c>
      <c r="Z1824" s="69"/>
      <c r="AA1824" s="69"/>
      <c r="AB1824" s="69"/>
      <c r="AC1824" s="69"/>
    </row>
    <row r="1825" spans="1:31" s="26" customFormat="1" x14ac:dyDescent="0.3">
      <c r="A1825" s="25" t="s">
        <v>7616</v>
      </c>
      <c r="B1825" s="25"/>
      <c r="C1825" s="26" t="s">
        <v>3005</v>
      </c>
      <c r="D1825" s="70"/>
      <c r="G1825" s="70" t="s">
        <v>1439</v>
      </c>
      <c r="H1825" s="26">
        <v>-1</v>
      </c>
      <c r="I1825" s="70" t="s">
        <v>7617</v>
      </c>
      <c r="J1825" s="26" t="s">
        <v>3016</v>
      </c>
      <c r="K1825" s="26" t="s">
        <v>7618</v>
      </c>
      <c r="L1825" s="26" t="s">
        <v>10840</v>
      </c>
      <c r="M1825" s="76"/>
      <c r="N1825" s="76"/>
      <c r="O1825" s="76"/>
      <c r="P1825" s="76"/>
      <c r="Q1825" s="76"/>
      <c r="R1825" s="76"/>
      <c r="T1825" s="26" t="s">
        <v>2200</v>
      </c>
      <c r="U1825" s="26" t="s">
        <v>7619</v>
      </c>
      <c r="Z1825" s="70"/>
      <c r="AA1825" s="70"/>
      <c r="AB1825" s="70"/>
      <c r="AC1825" s="70"/>
      <c r="AE1825" s="26" t="s">
        <v>7620</v>
      </c>
    </row>
    <row r="1826" spans="1:31" s="26" customFormat="1" x14ac:dyDescent="0.3">
      <c r="A1826" s="25" t="s">
        <v>7621</v>
      </c>
      <c r="B1826" s="25"/>
      <c r="C1826" s="26" t="s">
        <v>3005</v>
      </c>
      <c r="D1826" s="70"/>
      <c r="G1826" s="70" t="s">
        <v>1439</v>
      </c>
      <c r="H1826" s="26">
        <v>-1</v>
      </c>
      <c r="I1826" s="70" t="s">
        <v>7622</v>
      </c>
      <c r="J1826" s="26" t="s">
        <v>7623</v>
      </c>
      <c r="K1826" s="26" t="s">
        <v>7624</v>
      </c>
      <c r="M1826" s="76"/>
      <c r="N1826" s="76"/>
      <c r="O1826" s="76"/>
      <c r="P1826" s="76"/>
      <c r="Q1826" s="76"/>
      <c r="R1826" s="76"/>
      <c r="U1826" s="26" t="s">
        <v>7625</v>
      </c>
      <c r="Z1826" s="70"/>
      <c r="AA1826" s="70"/>
      <c r="AB1826" s="70"/>
      <c r="AC1826" s="70"/>
    </row>
    <row r="1827" spans="1:31" s="26" customFormat="1" x14ac:dyDescent="0.3">
      <c r="A1827" s="25" t="s">
        <v>7626</v>
      </c>
      <c r="B1827" s="25"/>
      <c r="C1827" s="26" t="s">
        <v>3005</v>
      </c>
      <c r="D1827" s="70"/>
      <c r="G1827" s="70" t="s">
        <v>1439</v>
      </c>
      <c r="H1827" s="26">
        <v>-1</v>
      </c>
      <c r="I1827" s="70" t="s">
        <v>7627</v>
      </c>
      <c r="J1827" s="26" t="s">
        <v>7628</v>
      </c>
      <c r="K1827" s="26" t="s">
        <v>7629</v>
      </c>
      <c r="L1827" s="26" t="s">
        <v>10841</v>
      </c>
      <c r="M1827" s="76"/>
      <c r="N1827" s="76"/>
      <c r="O1827" s="76"/>
      <c r="P1827" s="76"/>
      <c r="Q1827" s="76"/>
      <c r="R1827" s="76"/>
      <c r="U1827" s="26" t="s">
        <v>7625</v>
      </c>
      <c r="Z1827" s="70"/>
      <c r="AA1827" s="70"/>
      <c r="AB1827" s="70"/>
      <c r="AC1827" s="70"/>
    </row>
    <row r="1828" spans="1:31" s="26" customFormat="1" x14ac:dyDescent="0.3">
      <c r="A1828" s="25" t="s">
        <v>7630</v>
      </c>
      <c r="B1828" s="25"/>
      <c r="C1828" s="26" t="s">
        <v>3005</v>
      </c>
      <c r="D1828" s="70"/>
      <c r="G1828" s="70" t="s">
        <v>1439</v>
      </c>
      <c r="H1828" s="26">
        <v>-1</v>
      </c>
      <c r="I1828" s="70" t="s">
        <v>7631</v>
      </c>
      <c r="J1828" s="26" t="s">
        <v>7632</v>
      </c>
      <c r="K1828" s="26" t="s">
        <v>6196</v>
      </c>
      <c r="L1828" s="26" t="s">
        <v>10842</v>
      </c>
      <c r="M1828" s="76"/>
      <c r="N1828" s="76"/>
      <c r="O1828" s="76"/>
      <c r="P1828" s="76"/>
      <c r="Q1828" s="76"/>
      <c r="R1828" s="76"/>
      <c r="T1828" s="26" t="s">
        <v>2200</v>
      </c>
      <c r="U1828" s="26" t="s">
        <v>7633</v>
      </c>
      <c r="Z1828" s="70"/>
      <c r="AA1828" s="70"/>
      <c r="AB1828" s="70"/>
      <c r="AC1828" s="70"/>
      <c r="AE1828" s="26" t="s">
        <v>7634</v>
      </c>
    </row>
    <row r="1829" spans="1:31" s="24" customFormat="1" x14ac:dyDescent="0.3">
      <c r="A1829" s="23">
        <v>487</v>
      </c>
      <c r="B1829" s="23">
        <v>482</v>
      </c>
      <c r="C1829" s="24" t="s">
        <v>2165</v>
      </c>
      <c r="D1829" s="69" t="s">
        <v>1434</v>
      </c>
      <c r="E1829" s="24" t="s">
        <v>1433</v>
      </c>
      <c r="F1829" s="24" t="s">
        <v>1440</v>
      </c>
      <c r="G1829" s="69" t="s">
        <v>1441</v>
      </c>
      <c r="I1829" s="69"/>
      <c r="J1829" s="24" t="s">
        <v>3110</v>
      </c>
      <c r="K1829" s="24" t="s">
        <v>201</v>
      </c>
      <c r="M1829" s="75" t="s">
        <v>50</v>
      </c>
      <c r="N1829" s="75"/>
      <c r="O1829" s="75"/>
      <c r="P1829" s="75"/>
      <c r="Q1829" s="75"/>
      <c r="R1829" s="75"/>
      <c r="Z1829" s="69"/>
      <c r="AA1829" s="69"/>
      <c r="AB1829" s="69"/>
      <c r="AC1829" s="69"/>
    </row>
    <row r="1830" spans="1:31" s="26" customFormat="1" x14ac:dyDescent="0.3">
      <c r="A1830" s="25" t="s">
        <v>7635</v>
      </c>
      <c r="B1830" s="25"/>
      <c r="C1830" s="26" t="s">
        <v>3005</v>
      </c>
      <c r="D1830" s="70"/>
      <c r="G1830" s="70" t="s">
        <v>1441</v>
      </c>
      <c r="H1830" s="26">
        <v>-1</v>
      </c>
      <c r="I1830" s="70" t="s">
        <v>7636</v>
      </c>
      <c r="J1830" s="26" t="s">
        <v>3110</v>
      </c>
      <c r="K1830" s="26" t="s">
        <v>7637</v>
      </c>
      <c r="M1830" s="76"/>
      <c r="N1830" s="76"/>
      <c r="O1830" s="76"/>
      <c r="P1830" s="76"/>
      <c r="Q1830" s="76"/>
      <c r="R1830" s="76"/>
      <c r="U1830" s="26" t="s">
        <v>7638</v>
      </c>
      <c r="Z1830" s="70"/>
      <c r="AA1830" s="70"/>
      <c r="AB1830" s="70"/>
      <c r="AC1830" s="70"/>
    </row>
    <row r="1831" spans="1:31" s="26" customFormat="1" x14ac:dyDescent="0.3">
      <c r="A1831" s="25" t="s">
        <v>7639</v>
      </c>
      <c r="B1831" s="25"/>
      <c r="C1831" s="26" t="s">
        <v>3005</v>
      </c>
      <c r="D1831" s="70"/>
      <c r="G1831" s="70" t="s">
        <v>1441</v>
      </c>
      <c r="H1831" s="26">
        <v>-1</v>
      </c>
      <c r="I1831" s="70" t="s">
        <v>7640</v>
      </c>
      <c r="J1831" s="26" t="s">
        <v>5017</v>
      </c>
      <c r="K1831" s="26" t="s">
        <v>7641</v>
      </c>
      <c r="M1831" s="76"/>
      <c r="N1831" s="76"/>
      <c r="O1831" s="76"/>
      <c r="P1831" s="76"/>
      <c r="Q1831" s="76"/>
      <c r="R1831" s="76"/>
      <c r="Z1831" s="70"/>
      <c r="AA1831" s="70"/>
      <c r="AB1831" s="70"/>
      <c r="AC1831" s="70"/>
    </row>
    <row r="1832" spans="1:31" s="26" customFormat="1" x14ac:dyDescent="0.3">
      <c r="A1832" s="25" t="s">
        <v>7642</v>
      </c>
      <c r="B1832" s="25"/>
      <c r="C1832" s="26" t="s">
        <v>3005</v>
      </c>
      <c r="D1832" s="70"/>
      <c r="G1832" s="70" t="s">
        <v>1441</v>
      </c>
      <c r="H1832" s="26">
        <v>-1</v>
      </c>
      <c r="I1832" s="70" t="s">
        <v>7643</v>
      </c>
      <c r="J1832" s="26" t="s">
        <v>7644</v>
      </c>
      <c r="K1832" s="26" t="s">
        <v>6196</v>
      </c>
      <c r="M1832" s="76"/>
      <c r="N1832" s="76"/>
      <c r="O1832" s="76"/>
      <c r="P1832" s="76"/>
      <c r="Q1832" s="76"/>
      <c r="R1832" s="76"/>
      <c r="Z1832" s="70"/>
      <c r="AA1832" s="70"/>
      <c r="AB1832" s="70"/>
      <c r="AC1832" s="70"/>
    </row>
    <row r="1833" spans="1:31" s="26" customFormat="1" x14ac:dyDescent="0.3">
      <c r="A1833" s="25" t="s">
        <v>7645</v>
      </c>
      <c r="B1833" s="25"/>
      <c r="C1833" s="26" t="s">
        <v>3005</v>
      </c>
      <c r="D1833" s="70"/>
      <c r="G1833" s="70" t="s">
        <v>1441</v>
      </c>
      <c r="H1833" s="26">
        <v>-1</v>
      </c>
      <c r="I1833" s="70" t="s">
        <v>7646</v>
      </c>
      <c r="J1833" s="26" t="s">
        <v>4366</v>
      </c>
      <c r="K1833" s="26" t="s">
        <v>7647</v>
      </c>
      <c r="L1833" s="26" t="s">
        <v>10843</v>
      </c>
      <c r="M1833" s="76"/>
      <c r="N1833" s="76"/>
      <c r="O1833" s="76"/>
      <c r="P1833" s="76"/>
      <c r="Q1833" s="76"/>
      <c r="R1833" s="76"/>
      <c r="U1833" s="26" t="s">
        <v>7625</v>
      </c>
      <c r="Z1833" s="70"/>
      <c r="AA1833" s="70"/>
      <c r="AB1833" s="70"/>
      <c r="AC1833" s="70"/>
    </row>
    <row r="1834" spans="1:31" s="26" customFormat="1" x14ac:dyDescent="0.3">
      <c r="A1834" s="25" t="s">
        <v>7648</v>
      </c>
      <c r="B1834" s="25"/>
      <c r="C1834" s="26" t="s">
        <v>3005</v>
      </c>
      <c r="D1834" s="70"/>
      <c r="G1834" s="70" t="s">
        <v>1441</v>
      </c>
      <c r="H1834" s="26">
        <v>-1</v>
      </c>
      <c r="I1834" s="70" t="s">
        <v>7177</v>
      </c>
      <c r="J1834" s="26" t="s">
        <v>7649</v>
      </c>
      <c r="K1834" s="26" t="s">
        <v>7650</v>
      </c>
      <c r="M1834" s="76"/>
      <c r="N1834" s="76"/>
      <c r="O1834" s="76"/>
      <c r="P1834" s="76"/>
      <c r="Q1834" s="76"/>
      <c r="R1834" s="76"/>
      <c r="U1834" s="26" t="s">
        <v>7651</v>
      </c>
      <c r="Z1834" s="70"/>
      <c r="AA1834" s="70"/>
      <c r="AB1834" s="70"/>
      <c r="AC1834" s="70"/>
    </row>
    <row r="1835" spans="1:31" s="26" customFormat="1" x14ac:dyDescent="0.3">
      <c r="A1835" s="25" t="s">
        <v>7652</v>
      </c>
      <c r="B1835" s="25"/>
      <c r="C1835" s="26" t="s">
        <v>3005</v>
      </c>
      <c r="D1835" s="70"/>
      <c r="G1835" s="70" t="s">
        <v>1441</v>
      </c>
      <c r="H1835" s="26">
        <v>-1</v>
      </c>
      <c r="I1835" s="70" t="s">
        <v>6880</v>
      </c>
      <c r="J1835" s="26" t="s">
        <v>7653</v>
      </c>
      <c r="K1835" s="26" t="s">
        <v>3044</v>
      </c>
      <c r="M1835" s="76"/>
      <c r="N1835" s="76"/>
      <c r="O1835" s="76"/>
      <c r="P1835" s="76"/>
      <c r="Q1835" s="76"/>
      <c r="R1835" s="76"/>
      <c r="U1835" s="26" t="s">
        <v>7625</v>
      </c>
      <c r="Z1835" s="70"/>
      <c r="AA1835" s="70"/>
      <c r="AB1835" s="70"/>
      <c r="AC1835" s="70"/>
    </row>
    <row r="1836" spans="1:31" s="26" customFormat="1" x14ac:dyDescent="0.3">
      <c r="A1836" s="25" t="s">
        <v>7654</v>
      </c>
      <c r="B1836" s="25"/>
      <c r="C1836" s="26" t="s">
        <v>3005</v>
      </c>
      <c r="D1836" s="70"/>
      <c r="G1836" s="70" t="s">
        <v>1441</v>
      </c>
      <c r="H1836" s="26">
        <v>-1</v>
      </c>
      <c r="I1836" s="70" t="s">
        <v>7655</v>
      </c>
      <c r="J1836" s="26" t="s">
        <v>7656</v>
      </c>
      <c r="K1836" s="26" t="s">
        <v>7657</v>
      </c>
      <c r="L1836" s="26" t="s">
        <v>10844</v>
      </c>
      <c r="M1836" s="76"/>
      <c r="N1836" s="76"/>
      <c r="O1836" s="76"/>
      <c r="P1836" s="76"/>
      <c r="Q1836" s="76"/>
      <c r="R1836" s="76"/>
      <c r="T1836" s="26" t="s">
        <v>2200</v>
      </c>
      <c r="U1836" s="26" t="s">
        <v>7658</v>
      </c>
      <c r="Z1836" s="70"/>
      <c r="AA1836" s="70"/>
      <c r="AB1836" s="70"/>
      <c r="AC1836" s="70"/>
      <c r="AE1836" s="26" t="s">
        <v>7659</v>
      </c>
    </row>
    <row r="1837" spans="1:31" s="26" customFormat="1" x14ac:dyDescent="0.3">
      <c r="A1837" s="25" t="s">
        <v>7660</v>
      </c>
      <c r="B1837" s="25"/>
      <c r="C1837" s="26" t="s">
        <v>3005</v>
      </c>
      <c r="D1837" s="70"/>
      <c r="G1837" s="70" t="s">
        <v>1441</v>
      </c>
      <c r="H1837" s="26">
        <v>-1</v>
      </c>
      <c r="I1837" s="70" t="s">
        <v>6601</v>
      </c>
      <c r="J1837" s="26" t="s">
        <v>3285</v>
      </c>
      <c r="K1837" s="26" t="s">
        <v>7661</v>
      </c>
      <c r="M1837" s="76"/>
      <c r="N1837" s="76"/>
      <c r="O1837" s="76"/>
      <c r="P1837" s="76"/>
      <c r="Q1837" s="76"/>
      <c r="R1837" s="76"/>
      <c r="U1837" s="26" t="s">
        <v>7662</v>
      </c>
      <c r="Z1837" s="70"/>
      <c r="AA1837" s="70"/>
      <c r="AB1837" s="70"/>
      <c r="AC1837" s="70"/>
    </row>
    <row r="1838" spans="1:31" s="24" customFormat="1" x14ac:dyDescent="0.3">
      <c r="A1838" s="23">
        <v>488</v>
      </c>
      <c r="B1838" s="23">
        <v>483</v>
      </c>
      <c r="C1838" s="24" t="s">
        <v>2165</v>
      </c>
      <c r="D1838" s="69" t="s">
        <v>1434</v>
      </c>
      <c r="E1838" s="24" t="s">
        <v>1433</v>
      </c>
      <c r="F1838" s="24" t="s">
        <v>1442</v>
      </c>
      <c r="G1838" s="69" t="s">
        <v>1443</v>
      </c>
      <c r="H1838" s="24">
        <v>1</v>
      </c>
      <c r="I1838" s="69"/>
      <c r="J1838" s="24" t="s">
        <v>3298</v>
      </c>
      <c r="K1838" s="24" t="s">
        <v>1444</v>
      </c>
      <c r="M1838" s="75" t="s">
        <v>15</v>
      </c>
      <c r="N1838" s="75"/>
      <c r="O1838" s="75"/>
      <c r="P1838" s="75"/>
      <c r="Q1838" s="75"/>
      <c r="R1838" s="75"/>
      <c r="Y1838" s="24" t="s">
        <v>2761</v>
      </c>
      <c r="Z1838" s="69"/>
      <c r="AA1838" s="69"/>
      <c r="AB1838" s="69" t="s">
        <v>2762</v>
      </c>
      <c r="AC1838" s="69"/>
    </row>
    <row r="1839" spans="1:31" s="26" customFormat="1" x14ac:dyDescent="0.3">
      <c r="A1839" s="25" t="s">
        <v>7663</v>
      </c>
      <c r="B1839" s="25"/>
      <c r="C1839" s="26" t="s">
        <v>3005</v>
      </c>
      <c r="D1839" s="70"/>
      <c r="G1839" s="70" t="s">
        <v>1443</v>
      </c>
      <c r="H1839" s="26">
        <v>2</v>
      </c>
      <c r="I1839" s="70" t="s">
        <v>3446</v>
      </c>
      <c r="J1839" s="26" t="s">
        <v>7664</v>
      </c>
      <c r="K1839" s="26" t="s">
        <v>7665</v>
      </c>
      <c r="L1839" s="26" t="s">
        <v>10845</v>
      </c>
      <c r="M1839" s="76"/>
      <c r="N1839" s="76"/>
      <c r="O1839" s="76"/>
      <c r="P1839" s="76"/>
      <c r="Q1839" s="76"/>
      <c r="R1839" s="76"/>
      <c r="Y1839" s="26" t="s">
        <v>2761</v>
      </c>
      <c r="Z1839" s="70"/>
      <c r="AA1839" s="70"/>
      <c r="AB1839" s="70" t="s">
        <v>2762</v>
      </c>
      <c r="AC1839" s="70"/>
    </row>
    <row r="1840" spans="1:31" s="26" customFormat="1" x14ac:dyDescent="0.3">
      <c r="A1840" s="25" t="s">
        <v>7666</v>
      </c>
      <c r="B1840" s="25"/>
      <c r="C1840" s="26" t="s">
        <v>3005</v>
      </c>
      <c r="D1840" s="70"/>
      <c r="G1840" s="70" t="s">
        <v>1443</v>
      </c>
      <c r="H1840" s="26">
        <v>-1</v>
      </c>
      <c r="I1840" s="70" t="s">
        <v>7667</v>
      </c>
      <c r="J1840" s="26" t="s">
        <v>3999</v>
      </c>
      <c r="K1840" s="26" t="s">
        <v>7668</v>
      </c>
      <c r="L1840" s="26" t="s">
        <v>10406</v>
      </c>
      <c r="M1840" s="76"/>
      <c r="N1840" s="76"/>
      <c r="O1840" s="76"/>
      <c r="P1840" s="76"/>
      <c r="Q1840" s="76"/>
      <c r="R1840" s="76"/>
      <c r="Z1840" s="70"/>
      <c r="AA1840" s="70"/>
      <c r="AB1840" s="70"/>
      <c r="AC1840" s="70"/>
    </row>
    <row r="1841" spans="1:31" s="26" customFormat="1" x14ac:dyDescent="0.3">
      <c r="A1841" s="25" t="s">
        <v>7669</v>
      </c>
      <c r="B1841" s="25"/>
      <c r="C1841" s="26" t="s">
        <v>3005</v>
      </c>
      <c r="D1841" s="70"/>
      <c r="G1841" s="70" t="s">
        <v>1443</v>
      </c>
      <c r="H1841" s="26">
        <v>-1</v>
      </c>
      <c r="I1841" s="70" t="s">
        <v>5111</v>
      </c>
      <c r="J1841" s="26" t="s">
        <v>4941</v>
      </c>
      <c r="K1841" s="26" t="s">
        <v>7670</v>
      </c>
      <c r="L1841" s="26" t="s">
        <v>10846</v>
      </c>
      <c r="M1841" s="76"/>
      <c r="N1841" s="76"/>
      <c r="O1841" s="76"/>
      <c r="P1841" s="76"/>
      <c r="Q1841" s="76"/>
      <c r="R1841" s="76"/>
      <c r="Z1841" s="70"/>
      <c r="AA1841" s="70"/>
      <c r="AB1841" s="70"/>
      <c r="AC1841" s="70"/>
    </row>
    <row r="1842" spans="1:31" s="26" customFormat="1" x14ac:dyDescent="0.3">
      <c r="A1842" s="25" t="s">
        <v>7671</v>
      </c>
      <c r="B1842" s="25"/>
      <c r="C1842" s="26" t="s">
        <v>3005</v>
      </c>
      <c r="D1842" s="70"/>
      <c r="G1842" s="70" t="s">
        <v>1443</v>
      </c>
      <c r="H1842" s="26">
        <v>-1</v>
      </c>
      <c r="I1842" s="70" t="s">
        <v>3251</v>
      </c>
      <c r="J1842" s="26" t="s">
        <v>7405</v>
      </c>
      <c r="K1842" s="26" t="s">
        <v>7672</v>
      </c>
      <c r="L1842" s="26" t="s">
        <v>10847</v>
      </c>
      <c r="M1842" s="76"/>
      <c r="N1842" s="76"/>
      <c r="O1842" s="76"/>
      <c r="P1842" s="76"/>
      <c r="Q1842" s="76"/>
      <c r="R1842" s="76"/>
      <c r="Z1842" s="70"/>
      <c r="AA1842" s="70"/>
      <c r="AB1842" s="70"/>
      <c r="AC1842" s="70"/>
    </row>
    <row r="1843" spans="1:31" s="26" customFormat="1" x14ac:dyDescent="0.3">
      <c r="A1843" s="25" t="s">
        <v>7673</v>
      </c>
      <c r="B1843" s="25"/>
      <c r="C1843" s="26" t="s">
        <v>3005</v>
      </c>
      <c r="D1843" s="70"/>
      <c r="G1843" s="70" t="s">
        <v>1443</v>
      </c>
      <c r="H1843" s="26">
        <v>-1</v>
      </c>
      <c r="I1843" s="70" t="s">
        <v>7522</v>
      </c>
      <c r="J1843" s="26" t="s">
        <v>7674</v>
      </c>
      <c r="K1843" s="26" t="s">
        <v>7675</v>
      </c>
      <c r="L1843" s="26" t="s">
        <v>10848</v>
      </c>
      <c r="M1843" s="76"/>
      <c r="N1843" s="76"/>
      <c r="O1843" s="76"/>
      <c r="P1843" s="76"/>
      <c r="Q1843" s="76"/>
      <c r="R1843" s="76"/>
      <c r="Z1843" s="70"/>
      <c r="AA1843" s="70"/>
      <c r="AB1843" s="70"/>
      <c r="AC1843" s="70"/>
    </row>
    <row r="1844" spans="1:31" s="26" customFormat="1" x14ac:dyDescent="0.3">
      <c r="A1844" s="25" t="s">
        <v>7676</v>
      </c>
      <c r="B1844" s="25"/>
      <c r="C1844" s="26" t="s">
        <v>3005</v>
      </c>
      <c r="D1844" s="70"/>
      <c r="G1844" s="70" t="s">
        <v>1443</v>
      </c>
      <c r="H1844" s="26">
        <v>-1</v>
      </c>
      <c r="I1844" s="70" t="s">
        <v>7677</v>
      </c>
      <c r="J1844" s="26" t="s">
        <v>7678</v>
      </c>
      <c r="K1844" s="26" t="s">
        <v>7679</v>
      </c>
      <c r="L1844" s="26" t="s">
        <v>10849</v>
      </c>
      <c r="M1844" s="76"/>
      <c r="N1844" s="76"/>
      <c r="O1844" s="76"/>
      <c r="P1844" s="76"/>
      <c r="Q1844" s="76"/>
      <c r="R1844" s="76"/>
      <c r="Z1844" s="70"/>
      <c r="AA1844" s="70"/>
      <c r="AB1844" s="70"/>
      <c r="AC1844" s="70"/>
    </row>
    <row r="1845" spans="1:31" s="26" customFormat="1" x14ac:dyDescent="0.3">
      <c r="A1845" s="25" t="s">
        <v>7680</v>
      </c>
      <c r="B1845" s="25"/>
      <c r="C1845" s="26" t="s">
        <v>3005</v>
      </c>
      <c r="D1845" s="70"/>
      <c r="G1845" s="70" t="s">
        <v>1443</v>
      </c>
      <c r="H1845" s="26">
        <v>-1</v>
      </c>
      <c r="I1845" s="70" t="s">
        <v>7681</v>
      </c>
      <c r="J1845" s="26" t="s">
        <v>3298</v>
      </c>
      <c r="K1845" s="26" t="s">
        <v>7682</v>
      </c>
      <c r="L1845" s="26" t="s">
        <v>10850</v>
      </c>
      <c r="M1845" s="76"/>
      <c r="N1845" s="76"/>
      <c r="O1845" s="76"/>
      <c r="P1845" s="76"/>
      <c r="Q1845" s="76"/>
      <c r="R1845" s="76"/>
      <c r="Z1845" s="70"/>
      <c r="AA1845" s="70"/>
      <c r="AB1845" s="70"/>
      <c r="AC1845" s="70"/>
    </row>
    <row r="1846" spans="1:31" s="24" customFormat="1" x14ac:dyDescent="0.3">
      <c r="A1846" s="23">
        <v>489</v>
      </c>
      <c r="B1846" s="23">
        <v>484</v>
      </c>
      <c r="C1846" s="24" t="s">
        <v>2165</v>
      </c>
      <c r="D1846" s="69" t="s">
        <v>1434</v>
      </c>
      <c r="E1846" s="24" t="s">
        <v>1433</v>
      </c>
      <c r="F1846" s="24" t="s">
        <v>1445</v>
      </c>
      <c r="G1846" s="69" t="s">
        <v>1446</v>
      </c>
      <c r="I1846" s="69"/>
      <c r="J1846" s="24" t="s">
        <v>5616</v>
      </c>
      <c r="K1846" s="24" t="s">
        <v>1447</v>
      </c>
      <c r="M1846" s="75" t="s">
        <v>19</v>
      </c>
      <c r="N1846" s="75"/>
      <c r="O1846" s="75"/>
      <c r="P1846" s="75"/>
      <c r="Q1846" s="75"/>
      <c r="R1846" s="75" t="s">
        <v>2166</v>
      </c>
      <c r="U1846" s="24" t="s">
        <v>2293</v>
      </c>
      <c r="V1846" s="24" t="s">
        <v>2763</v>
      </c>
      <c r="W1846" s="24" t="s">
        <v>2763</v>
      </c>
      <c r="Z1846" s="69"/>
      <c r="AA1846" s="69"/>
      <c r="AB1846" s="69"/>
      <c r="AC1846" s="69"/>
    </row>
    <row r="1847" spans="1:31" s="26" customFormat="1" x14ac:dyDescent="0.3">
      <c r="A1847" s="25" t="s">
        <v>7683</v>
      </c>
      <c r="B1847" s="25"/>
      <c r="C1847" s="26" t="s">
        <v>3005</v>
      </c>
      <c r="D1847" s="70"/>
      <c r="G1847" s="70" t="s">
        <v>1446</v>
      </c>
      <c r="H1847" s="26">
        <v>-1</v>
      </c>
      <c r="I1847" s="70" t="s">
        <v>7684</v>
      </c>
      <c r="J1847" s="26" t="s">
        <v>7685</v>
      </c>
      <c r="K1847" s="26" t="s">
        <v>7686</v>
      </c>
      <c r="M1847" s="76"/>
      <c r="N1847" s="76"/>
      <c r="O1847" s="76"/>
      <c r="P1847" s="76"/>
      <c r="Q1847" s="76"/>
      <c r="R1847" s="76"/>
      <c r="U1847" s="26" t="s">
        <v>7687</v>
      </c>
      <c r="Z1847" s="70"/>
      <c r="AA1847" s="70"/>
      <c r="AB1847" s="70"/>
      <c r="AC1847" s="70"/>
    </row>
    <row r="1848" spans="1:31" s="26" customFormat="1" x14ac:dyDescent="0.3">
      <c r="A1848" s="25" t="s">
        <v>7688</v>
      </c>
      <c r="B1848" s="25"/>
      <c r="C1848" s="26" t="s">
        <v>3005</v>
      </c>
      <c r="D1848" s="70"/>
      <c r="G1848" s="70" t="s">
        <v>1446</v>
      </c>
      <c r="H1848" s="26">
        <v>-1</v>
      </c>
      <c r="I1848" s="70" t="s">
        <v>7689</v>
      </c>
      <c r="J1848" s="26" t="s">
        <v>5017</v>
      </c>
      <c r="K1848" s="26" t="s">
        <v>7690</v>
      </c>
      <c r="L1848" s="26" t="s">
        <v>10851</v>
      </c>
      <c r="M1848" s="76"/>
      <c r="N1848" s="76"/>
      <c r="O1848" s="76"/>
      <c r="P1848" s="76"/>
      <c r="Q1848" s="76"/>
      <c r="R1848" s="76"/>
      <c r="U1848" s="26" t="s">
        <v>7625</v>
      </c>
      <c r="Z1848" s="70"/>
      <c r="AA1848" s="70"/>
      <c r="AB1848" s="70"/>
      <c r="AC1848" s="70"/>
    </row>
    <row r="1849" spans="1:31" s="26" customFormat="1" x14ac:dyDescent="0.3">
      <c r="A1849" s="25" t="s">
        <v>7691</v>
      </c>
      <c r="B1849" s="25"/>
      <c r="C1849" s="26" t="s">
        <v>3005</v>
      </c>
      <c r="D1849" s="70"/>
      <c r="G1849" s="70" t="s">
        <v>1446</v>
      </c>
      <c r="H1849" s="26">
        <v>2</v>
      </c>
      <c r="I1849" s="70" t="s">
        <v>7692</v>
      </c>
      <c r="J1849" s="26" t="s">
        <v>5616</v>
      </c>
      <c r="K1849" s="26" t="s">
        <v>7693</v>
      </c>
      <c r="L1849" s="26" t="s">
        <v>10852</v>
      </c>
      <c r="M1849" s="76"/>
      <c r="N1849" s="76"/>
      <c r="O1849" s="76"/>
      <c r="P1849" s="76"/>
      <c r="Q1849" s="76"/>
      <c r="R1849" s="76"/>
      <c r="U1849" s="26" t="s">
        <v>7694</v>
      </c>
      <c r="Z1849" s="70"/>
      <c r="AA1849" s="70"/>
      <c r="AB1849" s="70"/>
      <c r="AC1849" s="70"/>
    </row>
    <row r="1850" spans="1:31" s="24" customFormat="1" x14ac:dyDescent="0.3">
      <c r="A1850" s="23">
        <v>490</v>
      </c>
      <c r="B1850" s="23">
        <v>485</v>
      </c>
      <c r="C1850" s="24" t="s">
        <v>2165</v>
      </c>
      <c r="D1850" s="69" t="s">
        <v>1434</v>
      </c>
      <c r="E1850" s="24" t="s">
        <v>1433</v>
      </c>
      <c r="F1850" s="24" t="s">
        <v>1448</v>
      </c>
      <c r="G1850" s="69" t="s">
        <v>1449</v>
      </c>
      <c r="H1850" s="24">
        <v>1</v>
      </c>
      <c r="I1850" s="69"/>
      <c r="J1850" s="24" t="s">
        <v>7695</v>
      </c>
      <c r="K1850" s="24" t="s">
        <v>43</v>
      </c>
      <c r="M1850" s="75" t="s">
        <v>15</v>
      </c>
      <c r="N1850" s="75"/>
      <c r="O1850" s="75" t="s">
        <v>732</v>
      </c>
      <c r="P1850" s="75"/>
      <c r="Q1850" s="75"/>
      <c r="R1850" s="75"/>
      <c r="V1850" s="24" t="s">
        <v>2764</v>
      </c>
      <c r="Y1850" s="24" t="s">
        <v>2764</v>
      </c>
      <c r="Z1850" s="69"/>
      <c r="AA1850" s="69"/>
      <c r="AB1850" s="69" t="s">
        <v>2765</v>
      </c>
      <c r="AC1850" s="69"/>
    </row>
    <row r="1851" spans="1:31" s="26" customFormat="1" x14ac:dyDescent="0.3">
      <c r="A1851" s="25" t="s">
        <v>7696</v>
      </c>
      <c r="B1851" s="25"/>
      <c r="C1851" s="26" t="s">
        <v>3005</v>
      </c>
      <c r="D1851" s="70"/>
      <c r="G1851" s="70" t="s">
        <v>1449</v>
      </c>
      <c r="H1851" s="26">
        <v>2</v>
      </c>
      <c r="I1851" s="70" t="s">
        <v>7697</v>
      </c>
      <c r="J1851" s="26" t="s">
        <v>7695</v>
      </c>
      <c r="K1851" s="26" t="s">
        <v>7698</v>
      </c>
      <c r="L1851" s="26" t="s">
        <v>10853</v>
      </c>
      <c r="M1851" s="76"/>
      <c r="N1851" s="76"/>
      <c r="O1851" s="76"/>
      <c r="P1851" s="76"/>
      <c r="Q1851" s="76"/>
      <c r="R1851" s="76"/>
      <c r="Z1851" s="70"/>
      <c r="AA1851" s="70"/>
      <c r="AB1851" s="70"/>
      <c r="AC1851" s="70"/>
    </row>
    <row r="1852" spans="1:31" s="26" customFormat="1" x14ac:dyDescent="0.3">
      <c r="A1852" s="25" t="s">
        <v>7699</v>
      </c>
      <c r="B1852" s="25"/>
      <c r="C1852" s="26" t="s">
        <v>3005</v>
      </c>
      <c r="D1852" s="70"/>
      <c r="G1852" s="70" t="s">
        <v>1449</v>
      </c>
      <c r="H1852" s="26">
        <v>-1</v>
      </c>
      <c r="I1852" s="70" t="s">
        <v>4149</v>
      </c>
      <c r="J1852" s="26" t="s">
        <v>7700</v>
      </c>
      <c r="K1852" s="26" t="s">
        <v>7701</v>
      </c>
      <c r="L1852" s="26" t="s">
        <v>10854</v>
      </c>
      <c r="M1852" s="76"/>
      <c r="N1852" s="76"/>
      <c r="O1852" s="76"/>
      <c r="P1852" s="76"/>
      <c r="Q1852" s="76"/>
      <c r="R1852" s="76"/>
      <c r="U1852" s="26" t="s">
        <v>7075</v>
      </c>
      <c r="Z1852" s="70"/>
      <c r="AA1852" s="70"/>
      <c r="AB1852" s="70"/>
      <c r="AC1852" s="70"/>
    </row>
    <row r="1853" spans="1:31" s="26" customFormat="1" x14ac:dyDescent="0.3">
      <c r="A1853" s="25" t="s">
        <v>7702</v>
      </c>
      <c r="B1853" s="25"/>
      <c r="C1853" s="26" t="s">
        <v>3005</v>
      </c>
      <c r="D1853" s="70"/>
      <c r="G1853" s="70" t="s">
        <v>1449</v>
      </c>
      <c r="H1853" s="26">
        <v>-1</v>
      </c>
      <c r="I1853" s="70" t="s">
        <v>7703</v>
      </c>
      <c r="J1853" s="26" t="s">
        <v>7704</v>
      </c>
      <c r="K1853" s="26" t="s">
        <v>7705</v>
      </c>
      <c r="L1853" s="26" t="s">
        <v>10855</v>
      </c>
      <c r="M1853" s="76"/>
      <c r="N1853" s="76"/>
      <c r="O1853" s="76"/>
      <c r="P1853" s="76"/>
      <c r="Q1853" s="76"/>
      <c r="R1853" s="76"/>
      <c r="Z1853" s="70"/>
      <c r="AA1853" s="70"/>
      <c r="AB1853" s="70"/>
      <c r="AC1853" s="70"/>
    </row>
    <row r="1854" spans="1:31" s="26" customFormat="1" x14ac:dyDescent="0.3">
      <c r="A1854" s="25" t="s">
        <v>7706</v>
      </c>
      <c r="B1854" s="25"/>
      <c r="C1854" s="26" t="s">
        <v>3005</v>
      </c>
      <c r="D1854" s="70"/>
      <c r="G1854" s="70" t="s">
        <v>1449</v>
      </c>
      <c r="H1854" s="26">
        <v>-1</v>
      </c>
      <c r="I1854" s="70" t="s">
        <v>7421</v>
      </c>
      <c r="J1854" s="26" t="s">
        <v>7707</v>
      </c>
      <c r="K1854" s="26" t="s">
        <v>7708</v>
      </c>
      <c r="L1854" s="26" t="s">
        <v>10856</v>
      </c>
      <c r="M1854" s="76"/>
      <c r="N1854" s="76"/>
      <c r="O1854" s="76"/>
      <c r="P1854" s="76"/>
      <c r="Q1854" s="76"/>
      <c r="R1854" s="76"/>
      <c r="Z1854" s="70"/>
      <c r="AA1854" s="70"/>
      <c r="AB1854" s="70"/>
      <c r="AC1854" s="70"/>
    </row>
    <row r="1855" spans="1:31" s="24" customFormat="1" x14ac:dyDescent="0.3">
      <c r="A1855" s="23">
        <v>491</v>
      </c>
      <c r="B1855" s="23">
        <v>486</v>
      </c>
      <c r="C1855" s="24" t="s">
        <v>2165</v>
      </c>
      <c r="D1855" s="69" t="s">
        <v>1451</v>
      </c>
      <c r="E1855" s="24" t="s">
        <v>1450</v>
      </c>
      <c r="F1855" s="24" t="s">
        <v>1452</v>
      </c>
      <c r="G1855" s="69" t="s">
        <v>1453</v>
      </c>
      <c r="H1855" s="24">
        <v>2</v>
      </c>
      <c r="I1855" s="69"/>
      <c r="J1855" s="24" t="s">
        <v>3245</v>
      </c>
      <c r="K1855" s="24" t="s">
        <v>954</v>
      </c>
      <c r="M1855" s="75" t="s">
        <v>15</v>
      </c>
      <c r="N1855" s="75"/>
      <c r="O1855" s="75"/>
      <c r="P1855" s="75"/>
      <c r="Q1855" s="75"/>
      <c r="R1855" s="75"/>
      <c r="T1855" s="24" t="s">
        <v>2330</v>
      </c>
      <c r="Z1855" s="69"/>
      <c r="AA1855" s="69"/>
      <c r="AB1855" s="69"/>
      <c r="AC1855" s="69" t="s">
        <v>11404</v>
      </c>
      <c r="AE1855" s="24" t="s">
        <v>2766</v>
      </c>
    </row>
    <row r="1856" spans="1:31" s="26" customFormat="1" x14ac:dyDescent="0.3">
      <c r="A1856" s="25" t="s">
        <v>7709</v>
      </c>
      <c r="B1856" s="25"/>
      <c r="C1856" s="26" t="s">
        <v>3005</v>
      </c>
      <c r="D1856" s="70"/>
      <c r="G1856" s="70" t="s">
        <v>1453</v>
      </c>
      <c r="H1856" s="26">
        <v>-1</v>
      </c>
      <c r="I1856" s="70" t="s">
        <v>7710</v>
      </c>
      <c r="J1856" s="26" t="s">
        <v>6856</v>
      </c>
      <c r="K1856" s="26" t="s">
        <v>7711</v>
      </c>
      <c r="L1856" s="26" t="s">
        <v>10857</v>
      </c>
      <c r="M1856" s="76"/>
      <c r="N1856" s="76"/>
      <c r="O1856" s="76"/>
      <c r="P1856" s="76"/>
      <c r="Q1856" s="76"/>
      <c r="R1856" s="76"/>
      <c r="Z1856" s="70"/>
      <c r="AA1856" s="70"/>
      <c r="AB1856" s="70"/>
      <c r="AC1856" s="70"/>
    </row>
    <row r="1857" spans="1:31" s="26" customFormat="1" x14ac:dyDescent="0.3">
      <c r="A1857" s="25" t="s">
        <v>7712</v>
      </c>
      <c r="B1857" s="25"/>
      <c r="C1857" s="26" t="s">
        <v>3005</v>
      </c>
      <c r="D1857" s="70"/>
      <c r="G1857" s="70" t="s">
        <v>1453</v>
      </c>
      <c r="H1857" s="26">
        <v>-1</v>
      </c>
      <c r="I1857" s="70" t="s">
        <v>7713</v>
      </c>
      <c r="J1857" s="26" t="s">
        <v>7714</v>
      </c>
      <c r="K1857" s="26" t="s">
        <v>7715</v>
      </c>
      <c r="L1857" s="26" t="s">
        <v>10858</v>
      </c>
      <c r="M1857" s="76"/>
      <c r="N1857" s="76"/>
      <c r="O1857" s="76"/>
      <c r="P1857" s="76"/>
      <c r="Q1857" s="76"/>
      <c r="R1857" s="76"/>
      <c r="Z1857" s="70"/>
      <c r="AA1857" s="70"/>
      <c r="AB1857" s="70"/>
      <c r="AC1857" s="70"/>
    </row>
    <row r="1858" spans="1:31" s="26" customFormat="1" x14ac:dyDescent="0.3">
      <c r="A1858" s="25" t="s">
        <v>7716</v>
      </c>
      <c r="B1858" s="25"/>
      <c r="C1858" s="26" t="s">
        <v>3005</v>
      </c>
      <c r="D1858" s="70"/>
      <c r="G1858" s="70" t="s">
        <v>1453</v>
      </c>
      <c r="H1858" s="26">
        <v>-1</v>
      </c>
      <c r="I1858" s="70" t="s">
        <v>5381</v>
      </c>
      <c r="J1858" s="26" t="s">
        <v>7717</v>
      </c>
      <c r="K1858" s="26" t="s">
        <v>7718</v>
      </c>
      <c r="L1858" s="26" t="s">
        <v>10859</v>
      </c>
      <c r="M1858" s="76"/>
      <c r="N1858" s="76"/>
      <c r="O1858" s="76"/>
      <c r="P1858" s="76"/>
      <c r="Q1858" s="76"/>
      <c r="R1858" s="76"/>
      <c r="Z1858" s="70"/>
      <c r="AA1858" s="70"/>
      <c r="AB1858" s="70"/>
      <c r="AC1858" s="70"/>
    </row>
    <row r="1859" spans="1:31" s="26" customFormat="1" x14ac:dyDescent="0.3">
      <c r="A1859" s="25" t="s">
        <v>7719</v>
      </c>
      <c r="B1859" s="25"/>
      <c r="C1859" s="26" t="s">
        <v>3005</v>
      </c>
      <c r="D1859" s="70"/>
      <c r="G1859" s="70" t="s">
        <v>1453</v>
      </c>
      <c r="H1859" s="26">
        <v>-1</v>
      </c>
      <c r="I1859" s="70" t="s">
        <v>7720</v>
      </c>
      <c r="J1859" s="26" t="s">
        <v>3245</v>
      </c>
      <c r="K1859" s="26" t="s">
        <v>7721</v>
      </c>
      <c r="L1859" s="26" t="s">
        <v>7721</v>
      </c>
      <c r="M1859" s="76"/>
      <c r="N1859" s="76"/>
      <c r="O1859" s="76"/>
      <c r="P1859" s="76"/>
      <c r="Q1859" s="76"/>
      <c r="R1859" s="76"/>
      <c r="Z1859" s="70"/>
      <c r="AA1859" s="70"/>
      <c r="AB1859" s="70"/>
      <c r="AC1859" s="70"/>
    </row>
    <row r="1860" spans="1:31" s="26" customFormat="1" x14ac:dyDescent="0.3">
      <c r="A1860" s="25" t="s">
        <v>7722</v>
      </c>
      <c r="B1860" s="25"/>
      <c r="C1860" s="26" t="s">
        <v>3005</v>
      </c>
      <c r="D1860" s="70"/>
      <c r="G1860" s="70" t="s">
        <v>1453</v>
      </c>
      <c r="H1860" s="26">
        <v>-1</v>
      </c>
      <c r="I1860" s="70" t="s">
        <v>7723</v>
      </c>
      <c r="J1860" s="26" t="s">
        <v>7724</v>
      </c>
      <c r="K1860" s="26" t="s">
        <v>7725</v>
      </c>
      <c r="L1860" s="26" t="s">
        <v>10860</v>
      </c>
      <c r="M1860" s="76"/>
      <c r="N1860" s="76"/>
      <c r="O1860" s="76"/>
      <c r="P1860" s="76"/>
      <c r="Q1860" s="76"/>
      <c r="R1860" s="76"/>
      <c r="Z1860" s="70"/>
      <c r="AA1860" s="70"/>
      <c r="AB1860" s="70"/>
      <c r="AC1860" s="70"/>
    </row>
    <row r="1861" spans="1:31" s="26" customFormat="1" x14ac:dyDescent="0.3">
      <c r="A1861" s="25" t="s">
        <v>7726</v>
      </c>
      <c r="B1861" s="25"/>
      <c r="C1861" s="26" t="s">
        <v>3005</v>
      </c>
      <c r="D1861" s="70"/>
      <c r="G1861" s="70" t="s">
        <v>1453</v>
      </c>
      <c r="H1861" s="26">
        <v>3</v>
      </c>
      <c r="I1861" s="70" t="s">
        <v>7727</v>
      </c>
      <c r="J1861" s="26" t="s">
        <v>7728</v>
      </c>
      <c r="K1861" s="26" t="s">
        <v>5620</v>
      </c>
      <c r="L1861" s="26" t="s">
        <v>10861</v>
      </c>
      <c r="M1861" s="76"/>
      <c r="N1861" s="76"/>
      <c r="O1861" s="76"/>
      <c r="P1861" s="76"/>
      <c r="Q1861" s="76"/>
      <c r="R1861" s="76"/>
      <c r="Z1861" s="70"/>
      <c r="AA1861" s="70"/>
      <c r="AB1861" s="70"/>
      <c r="AC1861" s="70"/>
    </row>
    <row r="1862" spans="1:31" s="26" customFormat="1" x14ac:dyDescent="0.3">
      <c r="A1862" s="25" t="s">
        <v>7729</v>
      </c>
      <c r="B1862" s="25"/>
      <c r="C1862" s="26" t="s">
        <v>3005</v>
      </c>
      <c r="D1862" s="70"/>
      <c r="G1862" s="70" t="s">
        <v>1453</v>
      </c>
      <c r="H1862" s="26">
        <v>3</v>
      </c>
      <c r="I1862" s="70" t="s">
        <v>7317</v>
      </c>
      <c r="J1862" s="26" t="s">
        <v>7730</v>
      </c>
      <c r="K1862" s="26" t="s">
        <v>4237</v>
      </c>
      <c r="L1862" s="26" t="s">
        <v>10288</v>
      </c>
      <c r="M1862" s="76"/>
      <c r="N1862" s="76"/>
      <c r="O1862" s="76"/>
      <c r="P1862" s="76"/>
      <c r="Q1862" s="76"/>
      <c r="R1862" s="76"/>
      <c r="Z1862" s="70"/>
      <c r="AA1862" s="70"/>
      <c r="AB1862" s="70"/>
      <c r="AC1862" s="70"/>
    </row>
    <row r="1863" spans="1:31" s="26" customFormat="1" x14ac:dyDescent="0.3">
      <c r="A1863" s="25" t="s">
        <v>7731</v>
      </c>
      <c r="B1863" s="25"/>
      <c r="C1863" s="26" t="s">
        <v>3005</v>
      </c>
      <c r="D1863" s="70"/>
      <c r="G1863" s="70" t="s">
        <v>1453</v>
      </c>
      <c r="H1863" s="26">
        <v>-1</v>
      </c>
      <c r="I1863" s="70" t="s">
        <v>5126</v>
      </c>
      <c r="J1863" s="26" t="s">
        <v>7730</v>
      </c>
      <c r="K1863" s="26" t="s">
        <v>3900</v>
      </c>
      <c r="L1863" s="26" t="s">
        <v>10862</v>
      </c>
      <c r="M1863" s="76"/>
      <c r="N1863" s="76"/>
      <c r="O1863" s="76"/>
      <c r="P1863" s="76"/>
      <c r="Q1863" s="76"/>
      <c r="R1863" s="76"/>
      <c r="Z1863" s="70"/>
      <c r="AA1863" s="70"/>
      <c r="AB1863" s="70"/>
      <c r="AC1863" s="70"/>
    </row>
    <row r="1864" spans="1:31" s="26" customFormat="1" x14ac:dyDescent="0.3">
      <c r="A1864" s="25" t="s">
        <v>7732</v>
      </c>
      <c r="B1864" s="25"/>
      <c r="C1864" s="26" t="s">
        <v>3005</v>
      </c>
      <c r="D1864" s="70"/>
      <c r="G1864" s="70" t="s">
        <v>1453</v>
      </c>
      <c r="H1864" s="26">
        <v>-1</v>
      </c>
      <c r="I1864" s="70" t="s">
        <v>7733</v>
      </c>
      <c r="J1864" s="26" t="s">
        <v>6538</v>
      </c>
      <c r="K1864" s="26" t="s">
        <v>6639</v>
      </c>
      <c r="L1864" s="26" t="s">
        <v>10863</v>
      </c>
      <c r="M1864" s="76"/>
      <c r="N1864" s="76"/>
      <c r="O1864" s="76"/>
      <c r="P1864" s="76"/>
      <c r="Q1864" s="76"/>
      <c r="R1864" s="76"/>
      <c r="Z1864" s="70"/>
      <c r="AA1864" s="70"/>
      <c r="AB1864" s="70"/>
      <c r="AC1864" s="70"/>
    </row>
    <row r="1865" spans="1:31" s="26" customFormat="1" x14ac:dyDescent="0.3">
      <c r="A1865" s="25" t="s">
        <v>7734</v>
      </c>
      <c r="B1865" s="25"/>
      <c r="C1865" s="26" t="s">
        <v>3005</v>
      </c>
      <c r="D1865" s="70"/>
      <c r="G1865" s="70" t="s">
        <v>1453</v>
      </c>
      <c r="H1865" s="26">
        <v>-1</v>
      </c>
      <c r="I1865" s="70" t="s">
        <v>7735</v>
      </c>
      <c r="J1865" s="26" t="s">
        <v>7504</v>
      </c>
      <c r="K1865" s="26" t="s">
        <v>7736</v>
      </c>
      <c r="L1865" s="26" t="s">
        <v>10864</v>
      </c>
      <c r="M1865" s="76"/>
      <c r="N1865" s="76"/>
      <c r="O1865" s="76"/>
      <c r="P1865" s="76"/>
      <c r="Q1865" s="76"/>
      <c r="R1865" s="76"/>
      <c r="Z1865" s="70"/>
      <c r="AA1865" s="70"/>
      <c r="AB1865" s="70"/>
      <c r="AC1865" s="70"/>
    </row>
    <row r="1866" spans="1:31" s="26" customFormat="1" x14ac:dyDescent="0.3">
      <c r="A1866" s="25" t="s">
        <v>7737</v>
      </c>
      <c r="B1866" s="25"/>
      <c r="C1866" s="26" t="s">
        <v>3005</v>
      </c>
      <c r="D1866" s="70"/>
      <c r="G1866" s="70" t="s">
        <v>1453</v>
      </c>
      <c r="H1866" s="26">
        <v>-1</v>
      </c>
      <c r="I1866" s="70" t="s">
        <v>7738</v>
      </c>
      <c r="J1866" s="26" t="s">
        <v>7739</v>
      </c>
      <c r="K1866" s="26" t="s">
        <v>7740</v>
      </c>
      <c r="L1866" s="26" t="s">
        <v>10865</v>
      </c>
      <c r="M1866" s="76"/>
      <c r="N1866" s="76"/>
      <c r="O1866" s="76"/>
      <c r="P1866" s="76"/>
      <c r="Q1866" s="76"/>
      <c r="R1866" s="76"/>
      <c r="Z1866" s="70"/>
      <c r="AA1866" s="70"/>
      <c r="AB1866" s="70"/>
      <c r="AC1866" s="70"/>
    </row>
    <row r="1867" spans="1:31" s="26" customFormat="1" x14ac:dyDescent="0.3">
      <c r="A1867" s="25" t="s">
        <v>7741</v>
      </c>
      <c r="B1867" s="25"/>
      <c r="C1867" s="26" t="s">
        <v>3005</v>
      </c>
      <c r="D1867" s="70"/>
      <c r="G1867" s="70" t="s">
        <v>1453</v>
      </c>
      <c r="H1867" s="26">
        <v>-1</v>
      </c>
      <c r="I1867" s="70" t="s">
        <v>7742</v>
      </c>
      <c r="J1867" s="26" t="s">
        <v>7743</v>
      </c>
      <c r="K1867" s="26" t="s">
        <v>7744</v>
      </c>
      <c r="L1867" s="26" t="s">
        <v>10866</v>
      </c>
      <c r="M1867" s="76"/>
      <c r="N1867" s="76"/>
      <c r="O1867" s="76"/>
      <c r="P1867" s="76"/>
      <c r="Q1867" s="76"/>
      <c r="R1867" s="76"/>
      <c r="Z1867" s="70"/>
      <c r="AA1867" s="70"/>
      <c r="AB1867" s="70"/>
      <c r="AC1867" s="70"/>
    </row>
    <row r="1868" spans="1:31" s="26" customFormat="1" x14ac:dyDescent="0.3">
      <c r="A1868" s="25" t="s">
        <v>7745</v>
      </c>
      <c r="B1868" s="25"/>
      <c r="C1868" s="26" t="s">
        <v>3005</v>
      </c>
      <c r="D1868" s="70"/>
      <c r="G1868" s="70" t="s">
        <v>1453</v>
      </c>
      <c r="H1868" s="26">
        <v>-1</v>
      </c>
      <c r="I1868" s="70" t="s">
        <v>7746</v>
      </c>
      <c r="J1868" s="26" t="s">
        <v>7747</v>
      </c>
      <c r="K1868" s="26" t="s">
        <v>7748</v>
      </c>
      <c r="L1868" s="26" t="s">
        <v>10867</v>
      </c>
      <c r="M1868" s="76"/>
      <c r="N1868" s="76"/>
      <c r="O1868" s="76"/>
      <c r="P1868" s="76"/>
      <c r="Q1868" s="76"/>
      <c r="R1868" s="76"/>
      <c r="Z1868" s="70"/>
      <c r="AA1868" s="70"/>
      <c r="AB1868" s="70"/>
      <c r="AC1868" s="70"/>
    </row>
    <row r="1869" spans="1:31" s="26" customFormat="1" x14ac:dyDescent="0.3">
      <c r="A1869" s="25" t="s">
        <v>7749</v>
      </c>
      <c r="B1869" s="25"/>
      <c r="C1869" s="26" t="s">
        <v>3005</v>
      </c>
      <c r="D1869" s="70"/>
      <c r="G1869" s="70" t="s">
        <v>1453</v>
      </c>
      <c r="H1869" s="26">
        <v>-1</v>
      </c>
      <c r="I1869" s="70" t="s">
        <v>7750</v>
      </c>
      <c r="J1869" s="26" t="s">
        <v>7751</v>
      </c>
      <c r="K1869" s="26" t="s">
        <v>7752</v>
      </c>
      <c r="L1869" s="26" t="s">
        <v>10868</v>
      </c>
      <c r="M1869" s="76"/>
      <c r="N1869" s="76"/>
      <c r="O1869" s="76"/>
      <c r="P1869" s="76"/>
      <c r="Q1869" s="76"/>
      <c r="R1869" s="76"/>
      <c r="Z1869" s="70"/>
      <c r="AA1869" s="70"/>
      <c r="AB1869" s="70"/>
      <c r="AC1869" s="70"/>
    </row>
    <row r="1870" spans="1:31" s="24" customFormat="1" x14ac:dyDescent="0.3">
      <c r="A1870" s="23">
        <v>492</v>
      </c>
      <c r="B1870" s="23">
        <v>487</v>
      </c>
      <c r="C1870" s="24" t="s">
        <v>2165</v>
      </c>
      <c r="D1870" s="69" t="s">
        <v>1451</v>
      </c>
      <c r="E1870" s="24" t="s">
        <v>1450</v>
      </c>
      <c r="F1870" s="24" t="s">
        <v>1454</v>
      </c>
      <c r="G1870" s="69" t="s">
        <v>1455</v>
      </c>
      <c r="I1870" s="69"/>
      <c r="J1870" s="24" t="s">
        <v>4248</v>
      </c>
      <c r="K1870" s="24" t="s">
        <v>998</v>
      </c>
      <c r="L1870" s="24" t="s">
        <v>9827</v>
      </c>
      <c r="M1870" s="75" t="s">
        <v>65</v>
      </c>
      <c r="N1870" s="75" t="s">
        <v>2025</v>
      </c>
      <c r="O1870" s="75"/>
      <c r="P1870" s="75"/>
      <c r="Q1870" s="75"/>
      <c r="R1870" s="75"/>
      <c r="T1870" s="24" t="s">
        <v>2179</v>
      </c>
      <c r="V1870" s="24" t="s">
        <v>1452</v>
      </c>
      <c r="Z1870" s="69"/>
      <c r="AA1870" s="69"/>
      <c r="AB1870" s="69"/>
      <c r="AC1870" s="69" t="s">
        <v>11405</v>
      </c>
      <c r="AE1870" s="24" t="s">
        <v>2767</v>
      </c>
    </row>
    <row r="1871" spans="1:31" s="24" customFormat="1" x14ac:dyDescent="0.3">
      <c r="A1871" s="23">
        <v>493</v>
      </c>
      <c r="B1871" s="23">
        <v>488</v>
      </c>
      <c r="C1871" s="24" t="s">
        <v>2165</v>
      </c>
      <c r="D1871" s="69" t="s">
        <v>1451</v>
      </c>
      <c r="E1871" s="24" t="s">
        <v>1450</v>
      </c>
      <c r="F1871" s="24" t="s">
        <v>1456</v>
      </c>
      <c r="G1871" s="69" t="s">
        <v>1457</v>
      </c>
      <c r="I1871" s="69"/>
      <c r="J1871" s="24" t="s">
        <v>5523</v>
      </c>
      <c r="K1871" s="24" t="s">
        <v>68</v>
      </c>
      <c r="L1871" s="24" t="s">
        <v>9862</v>
      </c>
      <c r="M1871" s="75" t="s">
        <v>65</v>
      </c>
      <c r="N1871" s="75" t="s">
        <v>2017</v>
      </c>
      <c r="O1871" s="75"/>
      <c r="P1871" s="75"/>
      <c r="Q1871" s="75"/>
      <c r="R1871" s="75"/>
      <c r="V1871" s="24" t="s">
        <v>2768</v>
      </c>
      <c r="Y1871" s="24" t="s">
        <v>2769</v>
      </c>
      <c r="Z1871" s="69"/>
      <c r="AA1871" s="69"/>
      <c r="AB1871" s="69"/>
      <c r="AC1871" s="69" t="s">
        <v>11406</v>
      </c>
    </row>
    <row r="1872" spans="1:31" s="24" customFormat="1" x14ac:dyDescent="0.3">
      <c r="A1872" s="23">
        <v>494</v>
      </c>
      <c r="B1872" s="23">
        <v>489</v>
      </c>
      <c r="C1872" s="24" t="s">
        <v>2165</v>
      </c>
      <c r="D1872" s="69" t="s">
        <v>1451</v>
      </c>
      <c r="E1872" s="24" t="s">
        <v>1450</v>
      </c>
      <c r="F1872" s="24" t="s">
        <v>1458</v>
      </c>
      <c r="G1872" s="69" t="s">
        <v>1459</v>
      </c>
      <c r="I1872" s="69"/>
      <c r="J1872" s="24" t="s">
        <v>7587</v>
      </c>
      <c r="K1872" s="24" t="s">
        <v>1460</v>
      </c>
      <c r="M1872" s="75" t="s">
        <v>50</v>
      </c>
      <c r="N1872" s="75"/>
      <c r="O1872" s="75"/>
      <c r="P1872" s="75"/>
      <c r="Q1872" s="75"/>
      <c r="R1872" s="75" t="s">
        <v>2166</v>
      </c>
      <c r="U1872" s="24" t="s">
        <v>2770</v>
      </c>
      <c r="V1872" s="24" t="s">
        <v>2771</v>
      </c>
      <c r="Z1872" s="69"/>
      <c r="AA1872" s="69"/>
      <c r="AB1872" s="69"/>
      <c r="AC1872" s="69" t="s">
        <v>11407</v>
      </c>
    </row>
    <row r="1873" spans="1:31" s="26" customFormat="1" x14ac:dyDescent="0.3">
      <c r="A1873" s="25" t="s">
        <v>7753</v>
      </c>
      <c r="B1873" s="25"/>
      <c r="C1873" s="26" t="s">
        <v>3005</v>
      </c>
      <c r="D1873" s="70"/>
      <c r="G1873" s="70" t="s">
        <v>1459</v>
      </c>
      <c r="H1873" s="26">
        <v>-1</v>
      </c>
      <c r="I1873" s="70" t="s">
        <v>7754</v>
      </c>
      <c r="J1873" s="26" t="s">
        <v>3645</v>
      </c>
      <c r="K1873" s="26" t="s">
        <v>7755</v>
      </c>
      <c r="L1873" s="26" t="s">
        <v>10106</v>
      </c>
      <c r="M1873" s="76"/>
      <c r="N1873" s="76"/>
      <c r="O1873" s="76"/>
      <c r="P1873" s="76"/>
      <c r="Q1873" s="76"/>
      <c r="R1873" s="76"/>
      <c r="U1873" s="26" t="s">
        <v>7756</v>
      </c>
      <c r="Z1873" s="70"/>
      <c r="AA1873" s="70"/>
      <c r="AB1873" s="70"/>
      <c r="AC1873" s="70"/>
    </row>
    <row r="1874" spans="1:31" s="26" customFormat="1" x14ac:dyDescent="0.3">
      <c r="A1874" s="25" t="s">
        <v>7757</v>
      </c>
      <c r="B1874" s="25"/>
      <c r="C1874" s="26" t="s">
        <v>3005</v>
      </c>
      <c r="D1874" s="70"/>
      <c r="G1874" s="70" t="s">
        <v>1459</v>
      </c>
      <c r="H1874" s="26">
        <v>-1</v>
      </c>
      <c r="I1874" s="70" t="s">
        <v>7758</v>
      </c>
      <c r="J1874" s="26" t="s">
        <v>7759</v>
      </c>
      <c r="K1874" s="26" t="s">
        <v>7760</v>
      </c>
      <c r="L1874" s="26" t="s">
        <v>10869</v>
      </c>
      <c r="M1874" s="76"/>
      <c r="N1874" s="76"/>
      <c r="O1874" s="76"/>
      <c r="P1874" s="76"/>
      <c r="Q1874" s="76"/>
      <c r="R1874" s="76"/>
      <c r="Z1874" s="70"/>
      <c r="AA1874" s="70"/>
      <c r="AB1874" s="70"/>
      <c r="AC1874" s="70"/>
    </row>
    <row r="1875" spans="1:31" s="26" customFormat="1" x14ac:dyDescent="0.3">
      <c r="A1875" s="25" t="s">
        <v>7761</v>
      </c>
      <c r="B1875" s="25"/>
      <c r="C1875" s="26" t="s">
        <v>3005</v>
      </c>
      <c r="D1875" s="70"/>
      <c r="G1875" s="70" t="s">
        <v>1459</v>
      </c>
      <c r="H1875" s="26">
        <v>-1</v>
      </c>
      <c r="I1875" s="70" t="s">
        <v>7762</v>
      </c>
      <c r="J1875" s="26" t="s">
        <v>5568</v>
      </c>
      <c r="K1875" s="26" t="s">
        <v>7763</v>
      </c>
      <c r="L1875" s="26" t="s">
        <v>10103</v>
      </c>
      <c r="M1875" s="76"/>
      <c r="N1875" s="76"/>
      <c r="O1875" s="76"/>
      <c r="P1875" s="76"/>
      <c r="Q1875" s="76"/>
      <c r="R1875" s="76"/>
      <c r="Z1875" s="70"/>
      <c r="AA1875" s="70"/>
      <c r="AB1875" s="70"/>
      <c r="AC1875" s="70"/>
    </row>
    <row r="1876" spans="1:31" s="26" customFormat="1" x14ac:dyDescent="0.3">
      <c r="A1876" s="25" t="s">
        <v>7764</v>
      </c>
      <c r="B1876" s="25"/>
      <c r="C1876" s="26" t="s">
        <v>3005</v>
      </c>
      <c r="D1876" s="70"/>
      <c r="G1876" s="70" t="s">
        <v>1459</v>
      </c>
      <c r="H1876" s="26">
        <v>-1</v>
      </c>
      <c r="I1876" s="70" t="s">
        <v>7765</v>
      </c>
      <c r="J1876" s="26" t="s">
        <v>7587</v>
      </c>
      <c r="K1876" s="26" t="s">
        <v>7766</v>
      </c>
      <c r="L1876" s="26" t="s">
        <v>10870</v>
      </c>
      <c r="M1876" s="76"/>
      <c r="N1876" s="76"/>
      <c r="O1876" s="76"/>
      <c r="P1876" s="76"/>
      <c r="Q1876" s="76"/>
      <c r="R1876" s="76"/>
      <c r="Z1876" s="70"/>
      <c r="AA1876" s="70"/>
      <c r="AB1876" s="70"/>
      <c r="AC1876" s="70"/>
    </row>
    <row r="1877" spans="1:31" s="24" customFormat="1" x14ac:dyDescent="0.3">
      <c r="A1877" s="23">
        <v>495</v>
      </c>
      <c r="B1877" s="23">
        <v>490</v>
      </c>
      <c r="C1877" s="24" t="s">
        <v>2165</v>
      </c>
      <c r="D1877" s="69" t="s">
        <v>1451</v>
      </c>
      <c r="E1877" s="24" t="s">
        <v>1450</v>
      </c>
      <c r="F1877" s="24" t="s">
        <v>1461</v>
      </c>
      <c r="G1877" s="69" t="s">
        <v>1462</v>
      </c>
      <c r="I1877" s="69"/>
      <c r="J1877" s="24" t="s">
        <v>3566</v>
      </c>
      <c r="K1877" s="24" t="s">
        <v>1463</v>
      </c>
      <c r="L1877" s="24" t="s">
        <v>9863</v>
      </c>
      <c r="M1877" s="75" t="s">
        <v>50</v>
      </c>
      <c r="N1877" s="75"/>
      <c r="O1877" s="75" t="s">
        <v>732</v>
      </c>
      <c r="P1877" s="75"/>
      <c r="Q1877" s="75"/>
      <c r="R1877" s="75" t="s">
        <v>2166</v>
      </c>
      <c r="T1877" s="24" t="s">
        <v>2772</v>
      </c>
      <c r="U1877" s="24" t="s">
        <v>2773</v>
      </c>
      <c r="V1877" s="24" t="s">
        <v>2771</v>
      </c>
      <c r="Y1877" s="24" t="s">
        <v>2774</v>
      </c>
      <c r="Z1877" s="69" t="s">
        <v>2775</v>
      </c>
      <c r="AA1877" s="69" t="s">
        <v>2775</v>
      </c>
      <c r="AB1877" s="69"/>
      <c r="AC1877" s="69" t="s">
        <v>11407</v>
      </c>
      <c r="AE1877" s="24" t="s">
        <v>2776</v>
      </c>
    </row>
    <row r="1878" spans="1:31" s="26" customFormat="1" x14ac:dyDescent="0.3">
      <c r="A1878" s="25" t="s">
        <v>7767</v>
      </c>
      <c r="B1878" s="25"/>
      <c r="C1878" s="26" t="s">
        <v>3005</v>
      </c>
      <c r="D1878" s="70"/>
      <c r="G1878" s="70" t="s">
        <v>1462</v>
      </c>
      <c r="H1878" s="26">
        <v>-1</v>
      </c>
      <c r="I1878" s="70" t="s">
        <v>7768</v>
      </c>
      <c r="J1878" s="26" t="s">
        <v>3566</v>
      </c>
      <c r="K1878" s="26" t="s">
        <v>7769</v>
      </c>
      <c r="M1878" s="76"/>
      <c r="N1878" s="76"/>
      <c r="O1878" s="76"/>
      <c r="P1878" s="76"/>
      <c r="Q1878" s="76"/>
      <c r="R1878" s="76"/>
      <c r="U1878" s="26" t="s">
        <v>7770</v>
      </c>
      <c r="Z1878" s="70"/>
      <c r="AA1878" s="70"/>
      <c r="AB1878" s="70"/>
      <c r="AC1878" s="70"/>
    </row>
    <row r="1879" spans="1:31" s="26" customFormat="1" x14ac:dyDescent="0.3">
      <c r="A1879" s="25" t="s">
        <v>7771</v>
      </c>
      <c r="B1879" s="25"/>
      <c r="C1879" s="26" t="s">
        <v>3005</v>
      </c>
      <c r="D1879" s="70"/>
      <c r="G1879" s="70" t="s">
        <v>1462</v>
      </c>
      <c r="H1879" s="26">
        <v>-1</v>
      </c>
      <c r="I1879" s="70" t="s">
        <v>6560</v>
      </c>
      <c r="J1879" s="26" t="s">
        <v>7772</v>
      </c>
      <c r="K1879" s="26" t="s">
        <v>7773</v>
      </c>
      <c r="M1879" s="76"/>
      <c r="N1879" s="76"/>
      <c r="O1879" s="76"/>
      <c r="P1879" s="76"/>
      <c r="Q1879" s="76"/>
      <c r="R1879" s="76"/>
      <c r="U1879" s="26" t="s">
        <v>7774</v>
      </c>
      <c r="Z1879" s="70"/>
      <c r="AA1879" s="70"/>
      <c r="AB1879" s="70"/>
      <c r="AC1879" s="70"/>
    </row>
    <row r="1880" spans="1:31" s="24" customFormat="1" x14ac:dyDescent="0.3">
      <c r="A1880" s="23">
        <v>496</v>
      </c>
      <c r="B1880" s="23">
        <v>491</v>
      </c>
      <c r="C1880" s="24" t="s">
        <v>2165</v>
      </c>
      <c r="D1880" s="69" t="s">
        <v>1451</v>
      </c>
      <c r="E1880" s="24" t="s">
        <v>1450</v>
      </c>
      <c r="F1880" s="24" t="s">
        <v>1464</v>
      </c>
      <c r="G1880" s="69" t="s">
        <v>1465</v>
      </c>
      <c r="H1880" s="24">
        <v>1</v>
      </c>
      <c r="I1880" s="69"/>
      <c r="J1880" s="24" t="s">
        <v>7775</v>
      </c>
      <c r="K1880" s="24" t="s">
        <v>1466</v>
      </c>
      <c r="M1880" s="75" t="s">
        <v>15</v>
      </c>
      <c r="N1880" s="75"/>
      <c r="O1880" s="75" t="s">
        <v>732</v>
      </c>
      <c r="P1880" s="75"/>
      <c r="Q1880" s="75"/>
      <c r="R1880" s="75"/>
      <c r="Z1880" s="69"/>
      <c r="AA1880" s="69"/>
      <c r="AB1880" s="69"/>
      <c r="AC1880" s="69" t="s">
        <v>11408</v>
      </c>
    </row>
    <row r="1881" spans="1:31" s="26" customFormat="1" x14ac:dyDescent="0.3">
      <c r="A1881" s="25" t="s">
        <v>7776</v>
      </c>
      <c r="B1881" s="25"/>
      <c r="C1881" s="26" t="s">
        <v>3005</v>
      </c>
      <c r="D1881" s="70"/>
      <c r="G1881" s="70" t="s">
        <v>1465</v>
      </c>
      <c r="H1881" s="26">
        <v>-1</v>
      </c>
      <c r="I1881" s="70" t="s">
        <v>7777</v>
      </c>
      <c r="J1881" s="26" t="s">
        <v>7778</v>
      </c>
      <c r="K1881" s="26" t="s">
        <v>7090</v>
      </c>
      <c r="L1881" s="26" t="s">
        <v>10871</v>
      </c>
      <c r="M1881" s="76"/>
      <c r="N1881" s="76"/>
      <c r="O1881" s="76"/>
      <c r="P1881" s="76"/>
      <c r="Q1881" s="76"/>
      <c r="R1881" s="76"/>
      <c r="Z1881" s="70"/>
      <c r="AA1881" s="70"/>
      <c r="AB1881" s="70"/>
      <c r="AC1881" s="70"/>
    </row>
    <row r="1882" spans="1:31" s="26" customFormat="1" x14ac:dyDescent="0.3">
      <c r="A1882" s="25" t="s">
        <v>7779</v>
      </c>
      <c r="B1882" s="25"/>
      <c r="C1882" s="26" t="s">
        <v>3005</v>
      </c>
      <c r="D1882" s="70"/>
      <c r="G1882" s="70" t="s">
        <v>1465</v>
      </c>
      <c r="H1882" s="26">
        <v>-1</v>
      </c>
      <c r="I1882" s="70" t="s">
        <v>7780</v>
      </c>
      <c r="J1882" s="26" t="s">
        <v>7781</v>
      </c>
      <c r="K1882" s="26" t="s">
        <v>7782</v>
      </c>
      <c r="L1882" s="26" t="s">
        <v>10872</v>
      </c>
      <c r="M1882" s="76"/>
      <c r="N1882" s="76"/>
      <c r="O1882" s="76"/>
      <c r="P1882" s="76"/>
      <c r="Q1882" s="76"/>
      <c r="R1882" s="76"/>
      <c r="Z1882" s="70"/>
      <c r="AA1882" s="70"/>
      <c r="AB1882" s="70"/>
      <c r="AC1882" s="70"/>
    </row>
    <row r="1883" spans="1:31" s="26" customFormat="1" x14ac:dyDescent="0.3">
      <c r="A1883" s="25" t="s">
        <v>7783</v>
      </c>
      <c r="B1883" s="25"/>
      <c r="C1883" s="26" t="s">
        <v>3005</v>
      </c>
      <c r="D1883" s="70"/>
      <c r="G1883" s="70" t="s">
        <v>1465</v>
      </c>
      <c r="H1883" s="26">
        <v>-1</v>
      </c>
      <c r="I1883" s="70" t="s">
        <v>7784</v>
      </c>
      <c r="J1883" s="26" t="s">
        <v>7775</v>
      </c>
      <c r="K1883" s="26" t="s">
        <v>7785</v>
      </c>
      <c r="L1883" s="26" t="s">
        <v>7785</v>
      </c>
      <c r="M1883" s="76"/>
      <c r="N1883" s="76"/>
      <c r="O1883" s="76"/>
      <c r="P1883" s="76"/>
      <c r="Q1883" s="76"/>
      <c r="R1883" s="76"/>
      <c r="Z1883" s="70"/>
      <c r="AA1883" s="70"/>
      <c r="AB1883" s="70"/>
      <c r="AC1883" s="70"/>
    </row>
    <row r="1884" spans="1:31" s="26" customFormat="1" x14ac:dyDescent="0.3">
      <c r="A1884" s="25" t="s">
        <v>7786</v>
      </c>
      <c r="B1884" s="25"/>
      <c r="C1884" s="26" t="s">
        <v>3005</v>
      </c>
      <c r="D1884" s="70"/>
      <c r="G1884" s="70" t="s">
        <v>1465</v>
      </c>
      <c r="H1884" s="26">
        <v>-1</v>
      </c>
      <c r="I1884" s="70" t="s">
        <v>7787</v>
      </c>
      <c r="J1884" s="26" t="s">
        <v>7788</v>
      </c>
      <c r="K1884" s="26" t="s">
        <v>7789</v>
      </c>
      <c r="M1884" s="76"/>
      <c r="N1884" s="76"/>
      <c r="O1884" s="76"/>
      <c r="P1884" s="76"/>
      <c r="Q1884" s="76"/>
      <c r="R1884" s="76"/>
      <c r="Z1884" s="70"/>
      <c r="AA1884" s="70"/>
      <c r="AB1884" s="70"/>
      <c r="AC1884" s="70"/>
    </row>
    <row r="1885" spans="1:31" s="26" customFormat="1" x14ac:dyDescent="0.3">
      <c r="A1885" s="25" t="s">
        <v>7790</v>
      </c>
      <c r="B1885" s="25"/>
      <c r="C1885" s="26" t="s">
        <v>3005</v>
      </c>
      <c r="D1885" s="70"/>
      <c r="G1885" s="70" t="s">
        <v>1465</v>
      </c>
      <c r="H1885" s="26">
        <v>-1</v>
      </c>
      <c r="I1885" s="70" t="s">
        <v>5126</v>
      </c>
      <c r="J1885" s="26" t="s">
        <v>7791</v>
      </c>
      <c r="K1885" s="26" t="s">
        <v>7792</v>
      </c>
      <c r="L1885" s="26" t="s">
        <v>10873</v>
      </c>
      <c r="M1885" s="76"/>
      <c r="N1885" s="76"/>
      <c r="O1885" s="76"/>
      <c r="P1885" s="76"/>
      <c r="Q1885" s="76"/>
      <c r="R1885" s="76"/>
      <c r="Z1885" s="70"/>
      <c r="AA1885" s="70"/>
      <c r="AB1885" s="70"/>
      <c r="AC1885" s="70"/>
    </row>
    <row r="1886" spans="1:31" s="26" customFormat="1" x14ac:dyDescent="0.3">
      <c r="A1886" s="25" t="s">
        <v>7793</v>
      </c>
      <c r="B1886" s="25"/>
      <c r="C1886" s="26" t="s">
        <v>3005</v>
      </c>
      <c r="D1886" s="70"/>
      <c r="G1886" s="70" t="s">
        <v>1465</v>
      </c>
      <c r="H1886" s="26">
        <v>-1</v>
      </c>
      <c r="I1886" s="70" t="s">
        <v>7794</v>
      </c>
      <c r="J1886" s="26" t="s">
        <v>7795</v>
      </c>
      <c r="K1886" s="26" t="s">
        <v>7796</v>
      </c>
      <c r="L1886" s="26" t="s">
        <v>10874</v>
      </c>
      <c r="M1886" s="76"/>
      <c r="N1886" s="76"/>
      <c r="O1886" s="76"/>
      <c r="P1886" s="76"/>
      <c r="Q1886" s="76"/>
      <c r="R1886" s="76"/>
      <c r="Z1886" s="70"/>
      <c r="AA1886" s="70"/>
      <c r="AB1886" s="70"/>
      <c r="AC1886" s="70"/>
    </row>
    <row r="1887" spans="1:31" s="26" customFormat="1" x14ac:dyDescent="0.3">
      <c r="A1887" s="25" t="s">
        <v>7797</v>
      </c>
      <c r="B1887" s="25"/>
      <c r="C1887" s="26" t="s">
        <v>3005</v>
      </c>
      <c r="D1887" s="70"/>
      <c r="G1887" s="70" t="s">
        <v>1465</v>
      </c>
      <c r="H1887" s="26">
        <v>-1</v>
      </c>
      <c r="I1887" s="70" t="s">
        <v>7798</v>
      </c>
      <c r="J1887" s="26" t="s">
        <v>5519</v>
      </c>
      <c r="K1887" s="26" t="s">
        <v>7725</v>
      </c>
      <c r="L1887" s="26" t="s">
        <v>10875</v>
      </c>
      <c r="M1887" s="76"/>
      <c r="N1887" s="76"/>
      <c r="O1887" s="76"/>
      <c r="P1887" s="76"/>
      <c r="Q1887" s="76"/>
      <c r="R1887" s="76"/>
      <c r="Z1887" s="70"/>
      <c r="AA1887" s="70"/>
      <c r="AB1887" s="70"/>
      <c r="AC1887" s="70"/>
    </row>
    <row r="1888" spans="1:31" s="26" customFormat="1" x14ac:dyDescent="0.3">
      <c r="A1888" s="25" t="s">
        <v>7799</v>
      </c>
      <c r="B1888" s="25"/>
      <c r="C1888" s="26" t="s">
        <v>3005</v>
      </c>
      <c r="D1888" s="70"/>
      <c r="G1888" s="70" t="s">
        <v>1465</v>
      </c>
      <c r="H1888" s="26">
        <v>3</v>
      </c>
      <c r="I1888" s="70" t="s">
        <v>3854</v>
      </c>
      <c r="J1888" s="26" t="s">
        <v>7800</v>
      </c>
      <c r="K1888" s="26" t="s">
        <v>5620</v>
      </c>
      <c r="L1888" s="26" t="s">
        <v>10861</v>
      </c>
      <c r="M1888" s="76"/>
      <c r="N1888" s="76"/>
      <c r="O1888" s="76"/>
      <c r="P1888" s="76"/>
      <c r="Q1888" s="76"/>
      <c r="R1888" s="76"/>
      <c r="Z1888" s="70"/>
      <c r="AA1888" s="70"/>
      <c r="AB1888" s="70"/>
      <c r="AC1888" s="70"/>
    </row>
    <row r="1889" spans="1:30" s="24" customFormat="1" x14ac:dyDescent="0.3">
      <c r="A1889" s="23">
        <v>497</v>
      </c>
      <c r="B1889" s="23">
        <v>492</v>
      </c>
      <c r="C1889" s="24" t="s">
        <v>2165</v>
      </c>
      <c r="D1889" s="69" t="s">
        <v>1451</v>
      </c>
      <c r="E1889" s="24" t="s">
        <v>1450</v>
      </c>
      <c r="F1889" s="24" t="s">
        <v>1467</v>
      </c>
      <c r="G1889" s="69" t="s">
        <v>1468</v>
      </c>
      <c r="I1889" s="69"/>
      <c r="J1889" s="24" t="s">
        <v>7801</v>
      </c>
      <c r="K1889" s="24" t="s">
        <v>1469</v>
      </c>
      <c r="L1889" s="24" t="s">
        <v>9864</v>
      </c>
      <c r="M1889" s="75" t="s">
        <v>19</v>
      </c>
      <c r="N1889" s="75"/>
      <c r="O1889" s="75"/>
      <c r="P1889" s="75"/>
      <c r="Q1889" s="75"/>
      <c r="R1889" s="75" t="s">
        <v>2166</v>
      </c>
      <c r="U1889" s="24" t="s">
        <v>2209</v>
      </c>
      <c r="V1889" s="24" t="s">
        <v>2171</v>
      </c>
      <c r="Z1889" s="69"/>
      <c r="AA1889" s="69"/>
      <c r="AB1889" s="69"/>
      <c r="AC1889" s="69"/>
      <c r="AD1889" s="24" t="s">
        <v>11342</v>
      </c>
    </row>
    <row r="1890" spans="1:30" s="24" customFormat="1" x14ac:dyDescent="0.3">
      <c r="A1890" s="23">
        <v>498</v>
      </c>
      <c r="B1890" s="23">
        <v>496</v>
      </c>
      <c r="C1890" s="24" t="s">
        <v>2165</v>
      </c>
      <c r="D1890" s="69" t="s">
        <v>1471</v>
      </c>
      <c r="E1890" s="24" t="s">
        <v>1470</v>
      </c>
      <c r="F1890" s="24" t="s">
        <v>1472</v>
      </c>
      <c r="G1890" s="69" t="s">
        <v>1473</v>
      </c>
      <c r="I1890" s="69"/>
      <c r="J1890" s="24" t="s">
        <v>3708</v>
      </c>
      <c r="K1890" s="24" t="s">
        <v>1474</v>
      </c>
      <c r="L1890" s="24" t="s">
        <v>9865</v>
      </c>
      <c r="M1890" s="75" t="s">
        <v>19</v>
      </c>
      <c r="N1890" s="75"/>
      <c r="O1890" s="75"/>
      <c r="P1890" s="75"/>
      <c r="Q1890" s="75"/>
      <c r="R1890" s="75" t="s">
        <v>2166</v>
      </c>
      <c r="U1890" s="24" t="s">
        <v>2195</v>
      </c>
      <c r="V1890" s="24" t="s">
        <v>2171</v>
      </c>
      <c r="Z1890" s="69"/>
      <c r="AA1890" s="69"/>
      <c r="AB1890" s="69"/>
      <c r="AC1890" s="69"/>
      <c r="AD1890" s="24" t="s">
        <v>11343</v>
      </c>
    </row>
    <row r="1891" spans="1:30" s="24" customFormat="1" x14ac:dyDescent="0.3">
      <c r="A1891" s="23">
        <v>499</v>
      </c>
      <c r="B1891" s="23">
        <v>495</v>
      </c>
      <c r="C1891" s="24" t="s">
        <v>2165</v>
      </c>
      <c r="D1891" s="69" t="s">
        <v>1471</v>
      </c>
      <c r="E1891" s="24" t="s">
        <v>1470</v>
      </c>
      <c r="F1891" s="24" t="s">
        <v>1475</v>
      </c>
      <c r="G1891" s="69" t="s">
        <v>1476</v>
      </c>
      <c r="I1891" s="69"/>
      <c r="J1891" s="24" t="s">
        <v>3119</v>
      </c>
      <c r="K1891" s="24" t="s">
        <v>1477</v>
      </c>
      <c r="L1891" s="24" t="s">
        <v>9866</v>
      </c>
      <c r="M1891" s="75" t="s">
        <v>19</v>
      </c>
      <c r="N1891" s="75"/>
      <c r="O1891" s="75"/>
      <c r="P1891" s="75"/>
      <c r="Q1891" s="75"/>
      <c r="R1891" s="75" t="s">
        <v>2166</v>
      </c>
      <c r="U1891" s="24" t="s">
        <v>2209</v>
      </c>
      <c r="Z1891" s="69"/>
      <c r="AA1891" s="69"/>
      <c r="AB1891" s="69"/>
      <c r="AC1891" s="69"/>
    </row>
    <row r="1892" spans="1:30" s="24" customFormat="1" x14ac:dyDescent="0.3">
      <c r="A1892" s="23">
        <v>500</v>
      </c>
      <c r="B1892" s="23">
        <v>494</v>
      </c>
      <c r="C1892" s="24" t="s">
        <v>2165</v>
      </c>
      <c r="D1892" s="69" t="s">
        <v>1471</v>
      </c>
      <c r="E1892" s="24" t="s">
        <v>1470</v>
      </c>
      <c r="F1892" s="24" t="s">
        <v>1478</v>
      </c>
      <c r="G1892" s="69" t="s">
        <v>1479</v>
      </c>
      <c r="I1892" s="69"/>
      <c r="J1892" s="24" t="s">
        <v>3708</v>
      </c>
      <c r="K1892" s="24" t="s">
        <v>1480</v>
      </c>
      <c r="M1892" s="75" t="s">
        <v>19</v>
      </c>
      <c r="N1892" s="75"/>
      <c r="O1892" s="75"/>
      <c r="P1892" s="75"/>
      <c r="Q1892" s="75"/>
      <c r="R1892" s="75" t="s">
        <v>2166</v>
      </c>
      <c r="U1892" s="24" t="s">
        <v>2293</v>
      </c>
      <c r="Z1892" s="69"/>
      <c r="AA1892" s="69"/>
      <c r="AB1892" s="69"/>
      <c r="AC1892" s="69"/>
    </row>
    <row r="1893" spans="1:30" s="26" customFormat="1" x14ac:dyDescent="0.3">
      <c r="A1893" s="25" t="s">
        <v>7802</v>
      </c>
      <c r="B1893" s="25"/>
      <c r="C1893" s="26" t="s">
        <v>3005</v>
      </c>
      <c r="D1893" s="70"/>
      <c r="G1893" s="70" t="s">
        <v>1479</v>
      </c>
      <c r="H1893" s="26">
        <v>-1</v>
      </c>
      <c r="I1893" s="70" t="s">
        <v>4831</v>
      </c>
      <c r="J1893" s="26" t="s">
        <v>3708</v>
      </c>
      <c r="K1893" s="26" t="s">
        <v>7803</v>
      </c>
      <c r="L1893" s="26" t="s">
        <v>10876</v>
      </c>
      <c r="M1893" s="76"/>
      <c r="N1893" s="76"/>
      <c r="O1893" s="76"/>
      <c r="P1893" s="76"/>
      <c r="Q1893" s="76"/>
      <c r="R1893" s="76"/>
      <c r="U1893" s="26" t="s">
        <v>7651</v>
      </c>
      <c r="Z1893" s="70"/>
      <c r="AA1893" s="70"/>
      <c r="AB1893" s="70"/>
      <c r="AC1893" s="70"/>
    </row>
    <row r="1894" spans="1:30" s="26" customFormat="1" x14ac:dyDescent="0.3">
      <c r="A1894" s="25" t="s">
        <v>7804</v>
      </c>
      <c r="B1894" s="25"/>
      <c r="C1894" s="26" t="s">
        <v>3005</v>
      </c>
      <c r="D1894" s="70"/>
      <c r="G1894" s="70" t="s">
        <v>1479</v>
      </c>
      <c r="H1894" s="26">
        <v>-1</v>
      </c>
      <c r="I1894" s="70" t="s">
        <v>7805</v>
      </c>
      <c r="J1894" s="26" t="s">
        <v>7806</v>
      </c>
      <c r="K1894" s="26" t="s">
        <v>7807</v>
      </c>
      <c r="L1894" s="26" t="s">
        <v>10877</v>
      </c>
      <c r="M1894" s="76"/>
      <c r="N1894" s="76"/>
      <c r="O1894" s="76"/>
      <c r="P1894" s="76"/>
      <c r="Q1894" s="76"/>
      <c r="R1894" s="76"/>
      <c r="U1894" s="26" t="s">
        <v>7808</v>
      </c>
      <c r="Z1894" s="70"/>
      <c r="AA1894" s="70"/>
      <c r="AB1894" s="70"/>
      <c r="AC1894" s="70"/>
    </row>
    <row r="1895" spans="1:30" s="24" customFormat="1" x14ac:dyDescent="0.3">
      <c r="A1895" s="23">
        <v>501</v>
      </c>
      <c r="B1895" s="23">
        <v>493</v>
      </c>
      <c r="C1895" s="24" t="s">
        <v>2165</v>
      </c>
      <c r="D1895" s="69" t="s">
        <v>1471</v>
      </c>
      <c r="E1895" s="24" t="s">
        <v>1470</v>
      </c>
      <c r="F1895" s="24" t="s">
        <v>1481</v>
      </c>
      <c r="G1895" s="69" t="s">
        <v>1482</v>
      </c>
      <c r="I1895" s="69"/>
      <c r="J1895" s="24" t="s">
        <v>3016</v>
      </c>
      <c r="K1895" s="24" t="s">
        <v>92</v>
      </c>
      <c r="M1895" s="75" t="s">
        <v>19</v>
      </c>
      <c r="N1895" s="75"/>
      <c r="O1895" s="75"/>
      <c r="P1895" s="75"/>
      <c r="Q1895" s="75"/>
      <c r="R1895" s="75" t="s">
        <v>2166</v>
      </c>
      <c r="U1895" s="24" t="s">
        <v>2206</v>
      </c>
      <c r="V1895" s="24" t="s">
        <v>2171</v>
      </c>
      <c r="Z1895" s="69"/>
      <c r="AA1895" s="69"/>
      <c r="AB1895" s="69"/>
      <c r="AC1895" s="69"/>
      <c r="AD1895" s="24" t="s">
        <v>1483</v>
      </c>
    </row>
    <row r="1896" spans="1:30" s="26" customFormat="1" x14ac:dyDescent="0.3">
      <c r="A1896" s="25" t="s">
        <v>7809</v>
      </c>
      <c r="B1896" s="25"/>
      <c r="C1896" s="26" t="s">
        <v>3005</v>
      </c>
      <c r="D1896" s="70"/>
      <c r="G1896" s="70" t="s">
        <v>1482</v>
      </c>
      <c r="H1896" s="26">
        <v>-1</v>
      </c>
      <c r="I1896" s="70" t="s">
        <v>7810</v>
      </c>
      <c r="J1896" s="26" t="s">
        <v>3016</v>
      </c>
      <c r="K1896" s="26" t="s">
        <v>7811</v>
      </c>
      <c r="L1896" s="26" t="s">
        <v>10878</v>
      </c>
      <c r="M1896" s="76"/>
      <c r="N1896" s="76"/>
      <c r="O1896" s="76"/>
      <c r="P1896" s="76"/>
      <c r="Q1896" s="76"/>
      <c r="R1896" s="76"/>
      <c r="U1896" s="26" t="s">
        <v>4436</v>
      </c>
      <c r="Z1896" s="70"/>
      <c r="AA1896" s="70"/>
      <c r="AB1896" s="70"/>
      <c r="AC1896" s="70"/>
    </row>
    <row r="1897" spans="1:30" s="26" customFormat="1" x14ac:dyDescent="0.3">
      <c r="A1897" s="25" t="s">
        <v>7812</v>
      </c>
      <c r="B1897" s="25"/>
      <c r="C1897" s="26" t="s">
        <v>3005</v>
      </c>
      <c r="D1897" s="70"/>
      <c r="G1897" s="70" t="s">
        <v>1482</v>
      </c>
      <c r="H1897" s="26">
        <v>-1</v>
      </c>
      <c r="I1897" s="70" t="s">
        <v>7813</v>
      </c>
      <c r="J1897" s="26" t="s">
        <v>3016</v>
      </c>
      <c r="K1897" s="26" t="s">
        <v>7814</v>
      </c>
      <c r="L1897" s="26" t="s">
        <v>10879</v>
      </c>
      <c r="M1897" s="76"/>
      <c r="N1897" s="76"/>
      <c r="O1897" s="76"/>
      <c r="P1897" s="76"/>
      <c r="Q1897" s="76"/>
      <c r="R1897" s="76"/>
      <c r="U1897" s="26" t="s">
        <v>7815</v>
      </c>
      <c r="Z1897" s="70"/>
      <c r="AA1897" s="70"/>
      <c r="AB1897" s="70"/>
      <c r="AC1897" s="70"/>
    </row>
    <row r="1898" spans="1:30" s="26" customFormat="1" x14ac:dyDescent="0.3">
      <c r="A1898" s="25" t="s">
        <v>7816</v>
      </c>
      <c r="B1898" s="25"/>
      <c r="C1898" s="26" t="s">
        <v>3005</v>
      </c>
      <c r="D1898" s="70"/>
      <c r="G1898" s="70" t="s">
        <v>1482</v>
      </c>
      <c r="H1898" s="26">
        <v>-1</v>
      </c>
      <c r="I1898" s="70" t="s">
        <v>7817</v>
      </c>
      <c r="J1898" s="26" t="s">
        <v>7818</v>
      </c>
      <c r="K1898" s="26" t="s">
        <v>7819</v>
      </c>
      <c r="L1898" s="26" t="s">
        <v>10880</v>
      </c>
      <c r="M1898" s="76"/>
      <c r="N1898" s="76"/>
      <c r="O1898" s="76"/>
      <c r="P1898" s="76"/>
      <c r="Q1898" s="76"/>
      <c r="R1898" s="76"/>
      <c r="U1898" s="26" t="s">
        <v>7820</v>
      </c>
      <c r="Z1898" s="70"/>
      <c r="AA1898" s="70"/>
      <c r="AB1898" s="70"/>
      <c r="AC1898" s="70"/>
    </row>
    <row r="1899" spans="1:30" s="24" customFormat="1" x14ac:dyDescent="0.3">
      <c r="A1899" s="23">
        <v>502</v>
      </c>
      <c r="B1899" s="23">
        <v>500</v>
      </c>
      <c r="C1899" s="24" t="s">
        <v>2165</v>
      </c>
      <c r="D1899" s="69" t="s">
        <v>1471</v>
      </c>
      <c r="E1899" s="24" t="s">
        <v>1470</v>
      </c>
      <c r="F1899" s="24" t="s">
        <v>1484</v>
      </c>
      <c r="G1899" s="69" t="s">
        <v>1485</v>
      </c>
      <c r="I1899" s="69"/>
      <c r="J1899" s="24" t="s">
        <v>7821</v>
      </c>
      <c r="K1899" s="24" t="s">
        <v>1486</v>
      </c>
      <c r="L1899" s="24" t="s">
        <v>9867</v>
      </c>
      <c r="M1899" s="75" t="s">
        <v>19</v>
      </c>
      <c r="N1899" s="75"/>
      <c r="O1899" s="75" t="s">
        <v>66</v>
      </c>
      <c r="P1899" s="75" t="s">
        <v>66</v>
      </c>
      <c r="Q1899" s="75" t="s">
        <v>66</v>
      </c>
      <c r="R1899" s="75" t="s">
        <v>2166</v>
      </c>
      <c r="U1899" s="24" t="s">
        <v>2015</v>
      </c>
      <c r="V1899" s="24" t="s">
        <v>2777</v>
      </c>
      <c r="Y1899" s="24" t="s">
        <v>2778</v>
      </c>
      <c r="Z1899" s="69"/>
      <c r="AA1899" s="69"/>
      <c r="AB1899" s="69"/>
      <c r="AC1899" s="69"/>
    </row>
    <row r="1900" spans="1:30" s="24" customFormat="1" x14ac:dyDescent="0.3">
      <c r="A1900" s="23">
        <v>503</v>
      </c>
      <c r="B1900" s="23">
        <v>501</v>
      </c>
      <c r="C1900" s="24" t="s">
        <v>2165</v>
      </c>
      <c r="D1900" s="69" t="s">
        <v>1471</v>
      </c>
      <c r="E1900" s="24" t="s">
        <v>1470</v>
      </c>
      <c r="F1900" s="24" t="s">
        <v>1487</v>
      </c>
      <c r="G1900" s="69" t="s">
        <v>1488</v>
      </c>
      <c r="I1900" s="69"/>
      <c r="J1900" s="24" t="s">
        <v>7822</v>
      </c>
      <c r="K1900" s="24" t="s">
        <v>68</v>
      </c>
      <c r="L1900" s="24" t="s">
        <v>9868</v>
      </c>
      <c r="M1900" s="75" t="s">
        <v>65</v>
      </c>
      <c r="N1900" s="75" t="s">
        <v>2015</v>
      </c>
      <c r="O1900" s="75"/>
      <c r="P1900" s="75"/>
      <c r="Q1900" s="75"/>
      <c r="R1900" s="75"/>
      <c r="V1900" s="24" t="s">
        <v>2779</v>
      </c>
      <c r="Y1900" s="24" t="s">
        <v>2780</v>
      </c>
      <c r="Z1900" s="69"/>
      <c r="AA1900" s="69"/>
      <c r="AB1900" s="69"/>
      <c r="AC1900" s="69"/>
    </row>
    <row r="1901" spans="1:30" s="24" customFormat="1" x14ac:dyDescent="0.3">
      <c r="A1901" s="23">
        <v>504</v>
      </c>
      <c r="B1901" s="23">
        <v>502</v>
      </c>
      <c r="C1901" s="24" t="s">
        <v>2165</v>
      </c>
      <c r="D1901" s="69" t="s">
        <v>1471</v>
      </c>
      <c r="E1901" s="24" t="s">
        <v>1470</v>
      </c>
      <c r="F1901" s="24" t="s">
        <v>1489</v>
      </c>
      <c r="G1901" s="69" t="s">
        <v>1490</v>
      </c>
      <c r="H1901" s="24">
        <v>3</v>
      </c>
      <c r="I1901" s="69"/>
      <c r="J1901" s="24" t="s">
        <v>7823</v>
      </c>
      <c r="K1901" s="24" t="s">
        <v>68</v>
      </c>
      <c r="M1901" s="75" t="s">
        <v>65</v>
      </c>
      <c r="N1901" s="75" t="s">
        <v>2015</v>
      </c>
      <c r="O1901" s="75"/>
      <c r="P1901" s="75"/>
      <c r="Q1901" s="75"/>
      <c r="R1901" s="75"/>
      <c r="V1901" s="24" t="s">
        <v>2781</v>
      </c>
      <c r="Y1901" s="24" t="s">
        <v>2782</v>
      </c>
      <c r="Z1901" s="69"/>
      <c r="AA1901" s="69"/>
      <c r="AB1901" s="69"/>
      <c r="AC1901" s="69"/>
    </row>
    <row r="1902" spans="1:30" s="26" customFormat="1" x14ac:dyDescent="0.3">
      <c r="A1902" s="25" t="s">
        <v>7824</v>
      </c>
      <c r="B1902" s="25"/>
      <c r="C1902" s="26" t="s">
        <v>3005</v>
      </c>
      <c r="D1902" s="70"/>
      <c r="G1902" s="70" t="s">
        <v>1490</v>
      </c>
      <c r="H1902" s="26">
        <v>1</v>
      </c>
      <c r="I1902" s="70" t="s">
        <v>7825</v>
      </c>
      <c r="J1902" s="26" t="s">
        <v>5899</v>
      </c>
      <c r="K1902" s="26" t="s">
        <v>7826</v>
      </c>
      <c r="L1902" s="26" t="s">
        <v>10881</v>
      </c>
      <c r="M1902" s="76"/>
      <c r="N1902" s="76"/>
      <c r="O1902" s="76"/>
      <c r="P1902" s="76"/>
      <c r="Q1902" s="76"/>
      <c r="R1902" s="76"/>
      <c r="Z1902" s="70"/>
      <c r="AA1902" s="70"/>
      <c r="AB1902" s="70"/>
      <c r="AC1902" s="70"/>
    </row>
    <row r="1903" spans="1:30" s="26" customFormat="1" x14ac:dyDescent="0.3">
      <c r="A1903" s="25" t="s">
        <v>7827</v>
      </c>
      <c r="B1903" s="25"/>
      <c r="C1903" s="26" t="s">
        <v>3005</v>
      </c>
      <c r="D1903" s="70"/>
      <c r="G1903" s="70" t="s">
        <v>1490</v>
      </c>
      <c r="H1903" s="26">
        <v>1</v>
      </c>
      <c r="I1903" s="70" t="s">
        <v>7828</v>
      </c>
      <c r="J1903" s="26" t="s">
        <v>7466</v>
      </c>
      <c r="K1903" s="26" t="s">
        <v>7829</v>
      </c>
      <c r="L1903" s="26" t="s">
        <v>10882</v>
      </c>
      <c r="M1903" s="76"/>
      <c r="N1903" s="76"/>
      <c r="O1903" s="76"/>
      <c r="P1903" s="76"/>
      <c r="Q1903" s="76"/>
      <c r="R1903" s="76"/>
      <c r="Z1903" s="70"/>
      <c r="AA1903" s="70"/>
      <c r="AB1903" s="70"/>
      <c r="AC1903" s="70"/>
    </row>
    <row r="1904" spans="1:30" s="26" customFormat="1" x14ac:dyDescent="0.3">
      <c r="A1904" s="25" t="s">
        <v>7830</v>
      </c>
      <c r="B1904" s="25"/>
      <c r="C1904" s="26" t="s">
        <v>3005</v>
      </c>
      <c r="D1904" s="70"/>
      <c r="G1904" s="70" t="s">
        <v>1490</v>
      </c>
      <c r="H1904" s="26">
        <v>1</v>
      </c>
      <c r="I1904" s="70" t="s">
        <v>6251</v>
      </c>
      <c r="J1904" s="26" t="s">
        <v>7823</v>
      </c>
      <c r="K1904" s="26" t="s">
        <v>7831</v>
      </c>
      <c r="L1904" s="26" t="s">
        <v>10883</v>
      </c>
      <c r="M1904" s="76"/>
      <c r="N1904" s="76"/>
      <c r="O1904" s="76"/>
      <c r="P1904" s="76"/>
      <c r="Q1904" s="76"/>
      <c r="R1904" s="76"/>
      <c r="Z1904" s="70"/>
      <c r="AA1904" s="70"/>
      <c r="AB1904" s="70"/>
      <c r="AC1904" s="70"/>
    </row>
    <row r="1905" spans="1:31" s="24" customFormat="1" x14ac:dyDescent="0.3">
      <c r="A1905" s="23">
        <v>505</v>
      </c>
      <c r="B1905" s="23">
        <v>499</v>
      </c>
      <c r="C1905" s="24" t="s">
        <v>2165</v>
      </c>
      <c r="D1905" s="69" t="s">
        <v>1471</v>
      </c>
      <c r="E1905" s="24" t="s">
        <v>1470</v>
      </c>
      <c r="F1905" s="24" t="s">
        <v>1491</v>
      </c>
      <c r="G1905" s="69" t="s">
        <v>1492</v>
      </c>
      <c r="I1905" s="69"/>
      <c r="J1905" s="24" t="s">
        <v>7801</v>
      </c>
      <c r="K1905" s="24" t="s">
        <v>1493</v>
      </c>
      <c r="L1905" s="24" t="s">
        <v>9869</v>
      </c>
      <c r="M1905" s="75" t="s">
        <v>50</v>
      </c>
      <c r="N1905" s="75"/>
      <c r="O1905" s="75"/>
      <c r="P1905" s="75"/>
      <c r="Q1905" s="75"/>
      <c r="R1905" s="75"/>
      <c r="T1905" s="24" t="s">
        <v>2179</v>
      </c>
      <c r="V1905" s="24" t="s">
        <v>1497</v>
      </c>
      <c r="Y1905" s="24" t="s">
        <v>2783</v>
      </c>
      <c r="Z1905" s="69"/>
      <c r="AA1905" s="69"/>
      <c r="AB1905" s="69"/>
      <c r="AC1905" s="69"/>
      <c r="AE1905" s="24" t="s">
        <v>2784</v>
      </c>
    </row>
    <row r="1906" spans="1:31" s="24" customFormat="1" x14ac:dyDescent="0.3">
      <c r="A1906" s="23">
        <v>506</v>
      </c>
      <c r="B1906" s="23">
        <v>498</v>
      </c>
      <c r="C1906" s="24" t="s">
        <v>2165</v>
      </c>
      <c r="D1906" s="69" t="s">
        <v>1471</v>
      </c>
      <c r="E1906" s="24" t="s">
        <v>1470</v>
      </c>
      <c r="F1906" s="24" t="s">
        <v>1494</v>
      </c>
      <c r="G1906" s="69" t="s">
        <v>1495</v>
      </c>
      <c r="I1906" s="69"/>
      <c r="J1906" s="24" t="s">
        <v>5280</v>
      </c>
      <c r="K1906" s="24" t="s">
        <v>1496</v>
      </c>
      <c r="L1906" s="24" t="s">
        <v>9870</v>
      </c>
      <c r="M1906" s="75" t="s">
        <v>50</v>
      </c>
      <c r="N1906" s="75"/>
      <c r="O1906" s="75"/>
      <c r="P1906" s="75"/>
      <c r="Q1906" s="75"/>
      <c r="R1906" s="75"/>
      <c r="T1906" s="24" t="s">
        <v>2179</v>
      </c>
      <c r="U1906" s="24" t="s">
        <v>2785</v>
      </c>
      <c r="V1906" s="24" t="s">
        <v>1497</v>
      </c>
      <c r="Y1906" s="24" t="s">
        <v>2786</v>
      </c>
      <c r="Z1906" s="69"/>
      <c r="AA1906" s="69"/>
      <c r="AB1906" s="69"/>
      <c r="AC1906" s="69"/>
      <c r="AE1906" s="24" t="s">
        <v>2787</v>
      </c>
    </row>
    <row r="1907" spans="1:31" s="24" customFormat="1" x14ac:dyDescent="0.3">
      <c r="A1907" s="23">
        <v>507</v>
      </c>
      <c r="B1907" s="23">
        <v>497</v>
      </c>
      <c r="C1907" s="24" t="s">
        <v>2165</v>
      </c>
      <c r="D1907" s="69" t="s">
        <v>1471</v>
      </c>
      <c r="E1907" s="24" t="s">
        <v>1470</v>
      </c>
      <c r="F1907" s="24" t="s">
        <v>1497</v>
      </c>
      <c r="G1907" s="69" t="s">
        <v>1498</v>
      </c>
      <c r="I1907" s="69"/>
      <c r="J1907" s="24" t="s">
        <v>7832</v>
      </c>
      <c r="K1907" s="24" t="s">
        <v>1499</v>
      </c>
      <c r="M1907" s="75" t="s">
        <v>50</v>
      </c>
      <c r="N1907" s="75"/>
      <c r="O1907" s="75"/>
      <c r="P1907" s="75"/>
      <c r="Q1907" s="75"/>
      <c r="R1907" s="75"/>
      <c r="T1907" s="24" t="s">
        <v>2200</v>
      </c>
      <c r="U1907" s="24" t="s">
        <v>2788</v>
      </c>
      <c r="Z1907" s="69"/>
      <c r="AA1907" s="69"/>
      <c r="AB1907" s="69"/>
      <c r="AC1907" s="69"/>
      <c r="AE1907" s="24" t="s">
        <v>2789</v>
      </c>
    </row>
    <row r="1908" spans="1:31" s="24" customFormat="1" x14ac:dyDescent="0.3">
      <c r="A1908" s="23">
        <v>508</v>
      </c>
      <c r="B1908" s="23">
        <v>504</v>
      </c>
      <c r="C1908" s="24" t="s">
        <v>2165</v>
      </c>
      <c r="D1908" s="69" t="s">
        <v>1471</v>
      </c>
      <c r="E1908" s="24" t="s">
        <v>1470</v>
      </c>
      <c r="F1908" s="24" t="s">
        <v>1500</v>
      </c>
      <c r="G1908" s="69" t="s">
        <v>1501</v>
      </c>
      <c r="H1908" s="24">
        <v>1</v>
      </c>
      <c r="I1908" s="69"/>
      <c r="J1908" s="24" t="s">
        <v>7833</v>
      </c>
      <c r="K1908" s="24" t="s">
        <v>1502</v>
      </c>
      <c r="M1908" s="75" t="s">
        <v>15</v>
      </c>
      <c r="N1908" s="75"/>
      <c r="O1908" s="75"/>
      <c r="P1908" s="75"/>
      <c r="Q1908" s="75"/>
      <c r="R1908" s="75"/>
      <c r="T1908" s="24" t="s">
        <v>2330</v>
      </c>
      <c r="Z1908" s="69"/>
      <c r="AA1908" s="69" t="s">
        <v>2790</v>
      </c>
      <c r="AB1908" s="69"/>
      <c r="AC1908" s="69"/>
      <c r="AE1908" s="24" t="s">
        <v>2791</v>
      </c>
    </row>
    <row r="1909" spans="1:31" s="26" customFormat="1" x14ac:dyDescent="0.3">
      <c r="A1909" s="25" t="s">
        <v>7834</v>
      </c>
      <c r="B1909" s="25"/>
      <c r="C1909" s="26" t="s">
        <v>3005</v>
      </c>
      <c r="D1909" s="70"/>
      <c r="G1909" s="70" t="s">
        <v>1501</v>
      </c>
      <c r="H1909" s="26">
        <v>-1</v>
      </c>
      <c r="I1909" s="70" t="s">
        <v>3748</v>
      </c>
      <c r="J1909" s="26" t="s">
        <v>5519</v>
      </c>
      <c r="K1909" s="26" t="s">
        <v>7718</v>
      </c>
      <c r="L1909" s="26" t="s">
        <v>10884</v>
      </c>
      <c r="M1909" s="76"/>
      <c r="N1909" s="76"/>
      <c r="O1909" s="76"/>
      <c r="P1909" s="76"/>
      <c r="Q1909" s="76"/>
      <c r="R1909" s="76"/>
      <c r="Z1909" s="70"/>
      <c r="AA1909" s="70"/>
      <c r="AB1909" s="70"/>
      <c r="AC1909" s="70"/>
    </row>
    <row r="1910" spans="1:31" s="26" customFormat="1" x14ac:dyDescent="0.3">
      <c r="A1910" s="25" t="s">
        <v>7835</v>
      </c>
      <c r="B1910" s="25"/>
      <c r="C1910" s="26" t="s">
        <v>3005</v>
      </c>
      <c r="D1910" s="70"/>
      <c r="G1910" s="70" t="s">
        <v>1501</v>
      </c>
      <c r="H1910" s="26">
        <v>-1</v>
      </c>
      <c r="I1910" s="70" t="s">
        <v>7836</v>
      </c>
      <c r="J1910" s="26" t="s">
        <v>7837</v>
      </c>
      <c r="K1910" s="26" t="s">
        <v>3846</v>
      </c>
      <c r="M1910" s="76"/>
      <c r="N1910" s="76"/>
      <c r="O1910" s="76"/>
      <c r="P1910" s="76"/>
      <c r="Q1910" s="76"/>
      <c r="R1910" s="76"/>
      <c r="T1910" s="26" t="s">
        <v>2200</v>
      </c>
      <c r="Z1910" s="70"/>
      <c r="AA1910" s="70"/>
      <c r="AB1910" s="70"/>
      <c r="AC1910" s="70"/>
      <c r="AE1910" s="26" t="s">
        <v>7838</v>
      </c>
    </row>
    <row r="1911" spans="1:31" s="26" customFormat="1" x14ac:dyDescent="0.3">
      <c r="A1911" s="25" t="s">
        <v>7839</v>
      </c>
      <c r="B1911" s="25"/>
      <c r="C1911" s="26" t="s">
        <v>3005</v>
      </c>
      <c r="D1911" s="70"/>
      <c r="G1911" s="70" t="s">
        <v>1501</v>
      </c>
      <c r="H1911" s="26">
        <v>-1</v>
      </c>
      <c r="I1911" s="70" t="s">
        <v>7840</v>
      </c>
      <c r="J1911" s="26" t="s">
        <v>7833</v>
      </c>
      <c r="K1911" s="26" t="s">
        <v>2679</v>
      </c>
      <c r="L1911" s="26" t="s">
        <v>10885</v>
      </c>
      <c r="M1911" s="76"/>
      <c r="N1911" s="76"/>
      <c r="O1911" s="76"/>
      <c r="P1911" s="76"/>
      <c r="Q1911" s="76"/>
      <c r="R1911" s="76"/>
      <c r="Z1911" s="70"/>
      <c r="AA1911" s="70"/>
      <c r="AB1911" s="70"/>
      <c r="AC1911" s="70"/>
    </row>
    <row r="1912" spans="1:31" s="26" customFormat="1" x14ac:dyDescent="0.3">
      <c r="A1912" s="25" t="s">
        <v>7841</v>
      </c>
      <c r="B1912" s="25"/>
      <c r="C1912" s="26" t="s">
        <v>3005</v>
      </c>
      <c r="D1912" s="70"/>
      <c r="G1912" s="70" t="s">
        <v>1501</v>
      </c>
      <c r="H1912" s="26">
        <v>3</v>
      </c>
      <c r="I1912" s="70" t="s">
        <v>7842</v>
      </c>
      <c r="J1912" s="26" t="s">
        <v>7843</v>
      </c>
      <c r="K1912" s="26" t="s">
        <v>6291</v>
      </c>
      <c r="L1912" s="26" t="s">
        <v>10861</v>
      </c>
      <c r="M1912" s="76"/>
      <c r="N1912" s="76"/>
      <c r="O1912" s="76"/>
      <c r="P1912" s="76"/>
      <c r="Q1912" s="76"/>
      <c r="R1912" s="76"/>
      <c r="Z1912" s="70"/>
      <c r="AA1912" s="70"/>
      <c r="AB1912" s="70"/>
      <c r="AC1912" s="70"/>
    </row>
    <row r="1913" spans="1:31" s="26" customFormat="1" x14ac:dyDescent="0.3">
      <c r="A1913" s="25" t="s">
        <v>7844</v>
      </c>
      <c r="B1913" s="25"/>
      <c r="C1913" s="26" t="s">
        <v>3005</v>
      </c>
      <c r="D1913" s="70"/>
      <c r="G1913" s="70" t="s">
        <v>1501</v>
      </c>
      <c r="H1913" s="26">
        <v>-1</v>
      </c>
      <c r="I1913" s="70" t="s">
        <v>7845</v>
      </c>
      <c r="J1913" s="26" t="s">
        <v>7846</v>
      </c>
      <c r="K1913" s="26" t="s">
        <v>3900</v>
      </c>
      <c r="L1913" s="26" t="s">
        <v>10886</v>
      </c>
      <c r="M1913" s="76"/>
      <c r="N1913" s="76"/>
      <c r="O1913" s="76"/>
      <c r="P1913" s="76"/>
      <c r="Q1913" s="76"/>
      <c r="R1913" s="76"/>
      <c r="Z1913" s="70"/>
      <c r="AA1913" s="70"/>
      <c r="AB1913" s="70"/>
      <c r="AC1913" s="70"/>
    </row>
    <row r="1914" spans="1:31" s="26" customFormat="1" x14ac:dyDescent="0.3">
      <c r="A1914" s="25" t="s">
        <v>7847</v>
      </c>
      <c r="B1914" s="25"/>
      <c r="C1914" s="26" t="s">
        <v>3005</v>
      </c>
      <c r="D1914" s="70"/>
      <c r="G1914" s="70" t="s">
        <v>1501</v>
      </c>
      <c r="H1914" s="26">
        <v>-1</v>
      </c>
      <c r="I1914" s="70" t="s">
        <v>7848</v>
      </c>
      <c r="J1914" s="26" t="s">
        <v>5759</v>
      </c>
      <c r="K1914" s="26" t="s">
        <v>7849</v>
      </c>
      <c r="L1914" s="26" t="s">
        <v>10887</v>
      </c>
      <c r="M1914" s="76"/>
      <c r="N1914" s="76"/>
      <c r="O1914" s="76"/>
      <c r="P1914" s="76"/>
      <c r="Q1914" s="76"/>
      <c r="R1914" s="76"/>
      <c r="Z1914" s="70"/>
      <c r="AA1914" s="70"/>
      <c r="AB1914" s="70"/>
      <c r="AC1914" s="70"/>
    </row>
    <row r="1915" spans="1:31" s="24" customFormat="1" x14ac:dyDescent="0.3">
      <c r="A1915" s="23">
        <v>509</v>
      </c>
      <c r="B1915" s="23">
        <v>503</v>
      </c>
      <c r="C1915" s="24" t="s">
        <v>2165</v>
      </c>
      <c r="D1915" s="69" t="s">
        <v>1471</v>
      </c>
      <c r="E1915" s="24" t="s">
        <v>1470</v>
      </c>
      <c r="F1915" s="24" t="s">
        <v>1503</v>
      </c>
      <c r="G1915" s="69" t="s">
        <v>1504</v>
      </c>
      <c r="H1915" s="24">
        <v>7</v>
      </c>
      <c r="I1915" s="69"/>
      <c r="J1915" s="24" t="s">
        <v>7822</v>
      </c>
      <c r="K1915" s="24" t="s">
        <v>68</v>
      </c>
      <c r="M1915" s="75" t="s">
        <v>65</v>
      </c>
      <c r="N1915" s="75" t="s">
        <v>2015</v>
      </c>
      <c r="O1915" s="75" t="s">
        <v>732</v>
      </c>
      <c r="P1915" s="75"/>
      <c r="Q1915" s="75"/>
      <c r="R1915" s="75"/>
      <c r="T1915" s="24" t="s">
        <v>2423</v>
      </c>
      <c r="V1915" s="24" t="s">
        <v>2792</v>
      </c>
      <c r="W1915" s="24" t="s">
        <v>2793</v>
      </c>
      <c r="Z1915" s="69" t="s">
        <v>2794</v>
      </c>
      <c r="AA1915" s="69"/>
      <c r="AB1915" s="69"/>
      <c r="AC1915" s="69"/>
      <c r="AE1915" s="24" t="s">
        <v>2795</v>
      </c>
    </row>
    <row r="1916" spans="1:31" s="26" customFormat="1" x14ac:dyDescent="0.3">
      <c r="A1916" s="25" t="s">
        <v>7850</v>
      </c>
      <c r="B1916" s="25"/>
      <c r="C1916" s="26" t="s">
        <v>3005</v>
      </c>
      <c r="D1916" s="70"/>
      <c r="G1916" s="70" t="s">
        <v>1504</v>
      </c>
      <c r="H1916" s="26">
        <v>1</v>
      </c>
      <c r="I1916" s="70" t="s">
        <v>7851</v>
      </c>
      <c r="J1916" s="26" t="s">
        <v>7852</v>
      </c>
      <c r="K1916" s="26" t="s">
        <v>2016</v>
      </c>
      <c r="L1916" s="26" t="s">
        <v>10861</v>
      </c>
      <c r="M1916" s="76"/>
      <c r="N1916" s="76"/>
      <c r="O1916" s="76"/>
      <c r="P1916" s="76"/>
      <c r="Q1916" s="76"/>
      <c r="R1916" s="76"/>
      <c r="Z1916" s="70"/>
      <c r="AA1916" s="70"/>
      <c r="AB1916" s="70"/>
      <c r="AC1916" s="70"/>
    </row>
    <row r="1917" spans="1:31" s="26" customFormat="1" x14ac:dyDescent="0.3">
      <c r="A1917" s="25" t="s">
        <v>7853</v>
      </c>
      <c r="B1917" s="25"/>
      <c r="C1917" s="26" t="s">
        <v>3005</v>
      </c>
      <c r="D1917" s="70"/>
      <c r="G1917" s="70" t="s">
        <v>1504</v>
      </c>
      <c r="H1917" s="26">
        <v>1</v>
      </c>
      <c r="I1917" s="70" t="s">
        <v>4251</v>
      </c>
      <c r="J1917" s="26" t="s">
        <v>7854</v>
      </c>
      <c r="K1917" s="26" t="s">
        <v>4253</v>
      </c>
      <c r="L1917" s="26" t="s">
        <v>10288</v>
      </c>
      <c r="M1917" s="76"/>
      <c r="N1917" s="76"/>
      <c r="O1917" s="76"/>
      <c r="P1917" s="76"/>
      <c r="Q1917" s="76"/>
      <c r="R1917" s="76"/>
      <c r="Z1917" s="70"/>
      <c r="AA1917" s="70"/>
      <c r="AB1917" s="70"/>
      <c r="AC1917" s="70"/>
    </row>
    <row r="1918" spans="1:31" s="26" customFormat="1" x14ac:dyDescent="0.3">
      <c r="A1918" s="25" t="s">
        <v>7855</v>
      </c>
      <c r="B1918" s="25"/>
      <c r="C1918" s="26" t="s">
        <v>3005</v>
      </c>
      <c r="D1918" s="70"/>
      <c r="G1918" s="70" t="s">
        <v>1504</v>
      </c>
      <c r="H1918" s="26">
        <v>1</v>
      </c>
      <c r="I1918" s="70" t="s">
        <v>4243</v>
      </c>
      <c r="J1918" s="26" t="s">
        <v>7822</v>
      </c>
      <c r="K1918" s="26" t="s">
        <v>7856</v>
      </c>
      <c r="L1918" s="26" t="s">
        <v>10888</v>
      </c>
      <c r="M1918" s="76"/>
      <c r="N1918" s="76"/>
      <c r="O1918" s="76"/>
      <c r="P1918" s="76"/>
      <c r="Q1918" s="76"/>
      <c r="R1918" s="76"/>
      <c r="Z1918" s="70"/>
      <c r="AA1918" s="70"/>
      <c r="AB1918" s="70"/>
      <c r="AC1918" s="70"/>
    </row>
    <row r="1919" spans="1:31" s="26" customFormat="1" x14ac:dyDescent="0.3">
      <c r="A1919" s="25" t="s">
        <v>7857</v>
      </c>
      <c r="B1919" s="25"/>
      <c r="C1919" s="26" t="s">
        <v>3005</v>
      </c>
      <c r="D1919" s="70"/>
      <c r="G1919" s="70" t="s">
        <v>1504</v>
      </c>
      <c r="H1919" s="26">
        <v>1</v>
      </c>
      <c r="I1919" s="70" t="s">
        <v>7858</v>
      </c>
      <c r="J1919" s="26" t="s">
        <v>5478</v>
      </c>
      <c r="K1919" s="26" t="s">
        <v>7859</v>
      </c>
      <c r="L1919" s="26" t="s">
        <v>10889</v>
      </c>
      <c r="M1919" s="76"/>
      <c r="N1919" s="76"/>
      <c r="O1919" s="76"/>
      <c r="P1919" s="76"/>
      <c r="Q1919" s="76"/>
      <c r="R1919" s="76"/>
      <c r="Z1919" s="70"/>
      <c r="AA1919" s="70"/>
      <c r="AB1919" s="70"/>
      <c r="AC1919" s="70"/>
    </row>
    <row r="1920" spans="1:31" s="26" customFormat="1" x14ac:dyDescent="0.3">
      <c r="A1920" s="25" t="s">
        <v>7860</v>
      </c>
      <c r="B1920" s="25"/>
      <c r="C1920" s="26" t="s">
        <v>3005</v>
      </c>
      <c r="D1920" s="70"/>
      <c r="G1920" s="70" t="s">
        <v>1504</v>
      </c>
      <c r="H1920" s="26">
        <v>1</v>
      </c>
      <c r="I1920" s="70" t="s">
        <v>5230</v>
      </c>
      <c r="J1920" s="26" t="s">
        <v>7861</v>
      </c>
      <c r="K1920" s="26" t="s">
        <v>7862</v>
      </c>
      <c r="L1920" s="26" t="s">
        <v>10890</v>
      </c>
      <c r="M1920" s="76"/>
      <c r="N1920" s="76"/>
      <c r="O1920" s="76"/>
      <c r="P1920" s="76"/>
      <c r="Q1920" s="76"/>
      <c r="R1920" s="76"/>
      <c r="Z1920" s="70"/>
      <c r="AA1920" s="70"/>
      <c r="AB1920" s="70"/>
      <c r="AC1920" s="70"/>
    </row>
    <row r="1921" spans="1:31" s="26" customFormat="1" x14ac:dyDescent="0.3">
      <c r="A1921" s="25" t="s">
        <v>7863</v>
      </c>
      <c r="B1921" s="25"/>
      <c r="C1921" s="26" t="s">
        <v>3005</v>
      </c>
      <c r="D1921" s="70"/>
      <c r="G1921" s="70" t="s">
        <v>1504</v>
      </c>
      <c r="H1921" s="26">
        <v>1</v>
      </c>
      <c r="I1921" s="70" t="s">
        <v>6499</v>
      </c>
      <c r="J1921" s="26" t="s">
        <v>6916</v>
      </c>
      <c r="K1921" s="26" t="s">
        <v>7864</v>
      </c>
      <c r="L1921" s="26" t="s">
        <v>10891</v>
      </c>
      <c r="M1921" s="76"/>
      <c r="N1921" s="76"/>
      <c r="O1921" s="76"/>
      <c r="P1921" s="76"/>
      <c r="Q1921" s="76"/>
      <c r="R1921" s="76"/>
      <c r="Z1921" s="70"/>
      <c r="AA1921" s="70"/>
      <c r="AB1921" s="70"/>
      <c r="AC1921" s="70"/>
    </row>
    <row r="1922" spans="1:31" s="26" customFormat="1" x14ac:dyDescent="0.3">
      <c r="A1922" s="25" t="s">
        <v>7865</v>
      </c>
      <c r="B1922" s="25"/>
      <c r="C1922" s="26" t="s">
        <v>3005</v>
      </c>
      <c r="D1922" s="70"/>
      <c r="G1922" s="70" t="s">
        <v>1504</v>
      </c>
      <c r="H1922" s="26">
        <v>1</v>
      </c>
      <c r="I1922" s="70" t="s">
        <v>7866</v>
      </c>
      <c r="J1922" s="26" t="s">
        <v>5478</v>
      </c>
      <c r="K1922" s="26" t="s">
        <v>7867</v>
      </c>
      <c r="L1922" s="26" t="s">
        <v>10892</v>
      </c>
      <c r="M1922" s="76"/>
      <c r="N1922" s="76"/>
      <c r="O1922" s="76"/>
      <c r="P1922" s="76"/>
      <c r="Q1922" s="76"/>
      <c r="R1922" s="76"/>
      <c r="Z1922" s="70"/>
      <c r="AA1922" s="70"/>
      <c r="AB1922" s="70"/>
      <c r="AC1922" s="70"/>
    </row>
    <row r="1923" spans="1:31" s="24" customFormat="1" x14ac:dyDescent="0.3">
      <c r="A1923" s="23">
        <v>510</v>
      </c>
      <c r="B1923" s="23">
        <v>505</v>
      </c>
      <c r="C1923" s="24" t="s">
        <v>2165</v>
      </c>
      <c r="D1923" s="69" t="s">
        <v>1506</v>
      </c>
      <c r="E1923" s="24" t="s">
        <v>1505</v>
      </c>
      <c r="F1923" s="24" t="s">
        <v>1507</v>
      </c>
      <c r="G1923" s="69" t="s">
        <v>1508</v>
      </c>
      <c r="I1923" s="69"/>
      <c r="J1923" s="24" t="s">
        <v>7759</v>
      </c>
      <c r="K1923" s="24" t="s">
        <v>1509</v>
      </c>
      <c r="L1923" s="24" t="s">
        <v>9871</v>
      </c>
      <c r="M1923" s="75" t="s">
        <v>50</v>
      </c>
      <c r="N1923" s="75"/>
      <c r="O1923" s="75"/>
      <c r="P1923" s="75"/>
      <c r="Q1923" s="75"/>
      <c r="R1923" s="75"/>
      <c r="U1923" s="24" t="s">
        <v>2796</v>
      </c>
      <c r="V1923" s="24" t="s">
        <v>2797</v>
      </c>
      <c r="Y1923" s="24" t="s">
        <v>2798</v>
      </c>
      <c r="Z1923" s="69"/>
      <c r="AA1923" s="69"/>
      <c r="AB1923" s="69"/>
      <c r="AC1923" s="69"/>
    </row>
    <row r="1924" spans="1:31" s="24" customFormat="1" x14ac:dyDescent="0.3">
      <c r="A1924" s="23">
        <v>511</v>
      </c>
      <c r="B1924" s="23">
        <v>506</v>
      </c>
      <c r="C1924" s="24" t="s">
        <v>2165</v>
      </c>
      <c r="D1924" s="69" t="s">
        <v>1506</v>
      </c>
      <c r="E1924" s="24" t="s">
        <v>1505</v>
      </c>
      <c r="F1924" s="24" t="s">
        <v>2033</v>
      </c>
      <c r="G1924" s="69" t="s">
        <v>2034</v>
      </c>
      <c r="H1924" s="24">
        <v>1</v>
      </c>
      <c r="I1924" s="69"/>
      <c r="J1924" s="24" t="s">
        <v>3410</v>
      </c>
      <c r="K1924" s="24" t="s">
        <v>488</v>
      </c>
      <c r="M1924" s="75" t="s">
        <v>15</v>
      </c>
      <c r="N1924" s="75"/>
      <c r="O1924" s="75"/>
      <c r="P1924" s="75"/>
      <c r="Q1924" s="75"/>
      <c r="R1924" s="75"/>
      <c r="V1924" s="24" t="s">
        <v>2799</v>
      </c>
      <c r="Z1924" s="69"/>
      <c r="AA1924" s="69"/>
      <c r="AB1924" s="69"/>
      <c r="AC1924" s="69"/>
    </row>
    <row r="1925" spans="1:31" s="26" customFormat="1" x14ac:dyDescent="0.3">
      <c r="A1925" s="25" t="s">
        <v>7868</v>
      </c>
      <c r="B1925" s="25"/>
      <c r="C1925" s="26" t="s">
        <v>3005</v>
      </c>
      <c r="D1925" s="70"/>
      <c r="G1925" s="70" t="s">
        <v>2034</v>
      </c>
      <c r="H1925" s="26">
        <v>-1</v>
      </c>
      <c r="I1925" s="70" t="s">
        <v>7869</v>
      </c>
      <c r="J1925" s="26" t="s">
        <v>3410</v>
      </c>
      <c r="K1925" s="26" t="s">
        <v>6196</v>
      </c>
      <c r="L1925" s="26" t="s">
        <v>6196</v>
      </c>
      <c r="M1925" s="76"/>
      <c r="N1925" s="76"/>
      <c r="O1925" s="76"/>
      <c r="P1925" s="76"/>
      <c r="Q1925" s="76"/>
      <c r="R1925" s="76"/>
      <c r="Z1925" s="70"/>
      <c r="AA1925" s="70"/>
      <c r="AB1925" s="70"/>
      <c r="AC1925" s="70"/>
    </row>
    <row r="1926" spans="1:31" s="26" customFormat="1" x14ac:dyDescent="0.3">
      <c r="A1926" s="25" t="s">
        <v>7870</v>
      </c>
      <c r="B1926" s="25"/>
      <c r="C1926" s="26" t="s">
        <v>3005</v>
      </c>
      <c r="D1926" s="70"/>
      <c r="G1926" s="70" t="s">
        <v>2034</v>
      </c>
      <c r="H1926" s="26">
        <v>-1</v>
      </c>
      <c r="I1926" s="70" t="s">
        <v>7871</v>
      </c>
      <c r="J1926" s="26" t="s">
        <v>3156</v>
      </c>
      <c r="K1926" s="26" t="s">
        <v>7872</v>
      </c>
      <c r="L1926" s="26" t="s">
        <v>10893</v>
      </c>
      <c r="M1926" s="76"/>
      <c r="N1926" s="76"/>
      <c r="O1926" s="76"/>
      <c r="P1926" s="76"/>
      <c r="Q1926" s="76"/>
      <c r="R1926" s="76"/>
      <c r="Z1926" s="70"/>
      <c r="AA1926" s="70"/>
      <c r="AB1926" s="70"/>
      <c r="AC1926" s="70"/>
    </row>
    <row r="1927" spans="1:31" s="26" customFormat="1" x14ac:dyDescent="0.3">
      <c r="A1927" s="25" t="s">
        <v>7873</v>
      </c>
      <c r="B1927" s="25"/>
      <c r="C1927" s="26" t="s">
        <v>3005</v>
      </c>
      <c r="D1927" s="70"/>
      <c r="G1927" s="70" t="s">
        <v>2034</v>
      </c>
      <c r="H1927" s="26">
        <v>-1</v>
      </c>
      <c r="I1927" s="70" t="s">
        <v>7874</v>
      </c>
      <c r="J1927" s="26" t="s">
        <v>5503</v>
      </c>
      <c r="K1927" s="26" t="s">
        <v>7875</v>
      </c>
      <c r="L1927" s="26" t="s">
        <v>10894</v>
      </c>
      <c r="M1927" s="76"/>
      <c r="N1927" s="76"/>
      <c r="O1927" s="76"/>
      <c r="P1927" s="76"/>
      <c r="Q1927" s="76"/>
      <c r="R1927" s="76"/>
      <c r="T1927" s="26" t="s">
        <v>2254</v>
      </c>
      <c r="U1927" s="26" t="s">
        <v>7876</v>
      </c>
      <c r="Z1927" s="70"/>
      <c r="AA1927" s="70"/>
      <c r="AB1927" s="70"/>
      <c r="AC1927" s="70"/>
      <c r="AE1927" s="26" t="s">
        <v>7877</v>
      </c>
    </row>
    <row r="1928" spans="1:31" s="26" customFormat="1" x14ac:dyDescent="0.3">
      <c r="A1928" s="25" t="s">
        <v>7878</v>
      </c>
      <c r="B1928" s="25"/>
      <c r="C1928" s="26" t="s">
        <v>3005</v>
      </c>
      <c r="D1928" s="70"/>
      <c r="G1928" s="70" t="s">
        <v>2034</v>
      </c>
      <c r="H1928" s="26">
        <v>-1</v>
      </c>
      <c r="I1928" s="70" t="s">
        <v>7879</v>
      </c>
      <c r="J1928" s="26" t="s">
        <v>6710</v>
      </c>
      <c r="K1928" s="26" t="s">
        <v>7880</v>
      </c>
      <c r="L1928" s="26" t="s">
        <v>10895</v>
      </c>
      <c r="M1928" s="76"/>
      <c r="N1928" s="76"/>
      <c r="O1928" s="76"/>
      <c r="P1928" s="76"/>
      <c r="Q1928" s="76"/>
      <c r="R1928" s="76"/>
      <c r="Z1928" s="70"/>
      <c r="AA1928" s="70"/>
      <c r="AB1928" s="70"/>
      <c r="AC1928" s="70"/>
    </row>
    <row r="1929" spans="1:31" s="26" customFormat="1" x14ac:dyDescent="0.3">
      <c r="A1929" s="25" t="s">
        <v>7881</v>
      </c>
      <c r="B1929" s="25"/>
      <c r="C1929" s="26" t="s">
        <v>3005</v>
      </c>
      <c r="D1929" s="70"/>
      <c r="G1929" s="70" t="s">
        <v>2034</v>
      </c>
      <c r="H1929" s="26">
        <v>-1</v>
      </c>
      <c r="I1929" s="70" t="s">
        <v>4179</v>
      </c>
      <c r="J1929" s="26" t="s">
        <v>7882</v>
      </c>
      <c r="K1929" s="26" t="s">
        <v>6138</v>
      </c>
      <c r="L1929" s="26" t="s">
        <v>3736</v>
      </c>
      <c r="M1929" s="76"/>
      <c r="N1929" s="76"/>
      <c r="O1929" s="76"/>
      <c r="P1929" s="76"/>
      <c r="Q1929" s="76"/>
      <c r="R1929" s="76"/>
      <c r="Z1929" s="70"/>
      <c r="AA1929" s="70"/>
      <c r="AB1929" s="70"/>
      <c r="AC1929" s="70"/>
    </row>
    <row r="1930" spans="1:31" s="26" customFormat="1" x14ac:dyDescent="0.3">
      <c r="A1930" s="25" t="s">
        <v>7883</v>
      </c>
      <c r="B1930" s="25"/>
      <c r="C1930" s="26" t="s">
        <v>3005</v>
      </c>
      <c r="D1930" s="70"/>
      <c r="G1930" s="70" t="s">
        <v>2034</v>
      </c>
      <c r="H1930" s="26">
        <v>-1</v>
      </c>
      <c r="I1930" s="70" t="s">
        <v>6742</v>
      </c>
      <c r="J1930" s="26" t="s">
        <v>7884</v>
      </c>
      <c r="K1930" s="26" t="s">
        <v>5614</v>
      </c>
      <c r="L1930" s="26" t="s">
        <v>10403</v>
      </c>
      <c r="M1930" s="76"/>
      <c r="N1930" s="76"/>
      <c r="O1930" s="76"/>
      <c r="P1930" s="76"/>
      <c r="Q1930" s="76"/>
      <c r="R1930" s="76"/>
      <c r="Z1930" s="70"/>
      <c r="AA1930" s="70"/>
      <c r="AB1930" s="70"/>
      <c r="AC1930" s="70"/>
    </row>
    <row r="1931" spans="1:31" s="26" customFormat="1" x14ac:dyDescent="0.3">
      <c r="A1931" s="25" t="s">
        <v>7885</v>
      </c>
      <c r="B1931" s="25"/>
      <c r="C1931" s="26" t="s">
        <v>3005</v>
      </c>
      <c r="D1931" s="70"/>
      <c r="G1931" s="70" t="s">
        <v>2034</v>
      </c>
      <c r="H1931" s="26">
        <v>2</v>
      </c>
      <c r="I1931" s="70" t="s">
        <v>5378</v>
      </c>
      <c r="J1931" s="26" t="s">
        <v>7884</v>
      </c>
      <c r="K1931" s="26" t="s">
        <v>2015</v>
      </c>
      <c r="L1931" s="26" t="s">
        <v>10896</v>
      </c>
      <c r="M1931" s="76"/>
      <c r="N1931" s="76"/>
      <c r="O1931" s="76"/>
      <c r="P1931" s="76"/>
      <c r="Q1931" s="76"/>
      <c r="R1931" s="76"/>
      <c r="Z1931" s="70"/>
      <c r="AA1931" s="70"/>
      <c r="AB1931" s="70"/>
      <c r="AC1931" s="70"/>
    </row>
    <row r="1932" spans="1:31" s="26" customFormat="1" x14ac:dyDescent="0.3">
      <c r="A1932" s="25" t="s">
        <v>7886</v>
      </c>
      <c r="B1932" s="25"/>
      <c r="C1932" s="26" t="s">
        <v>3005</v>
      </c>
      <c r="D1932" s="70"/>
      <c r="G1932" s="70" t="s">
        <v>2034</v>
      </c>
      <c r="H1932" s="26">
        <v>-1</v>
      </c>
      <c r="I1932" s="70" t="s">
        <v>3723</v>
      </c>
      <c r="J1932" s="26" t="s">
        <v>7887</v>
      </c>
      <c r="K1932" s="26" t="s">
        <v>7888</v>
      </c>
      <c r="L1932" s="26" t="s">
        <v>10897</v>
      </c>
      <c r="M1932" s="76"/>
      <c r="N1932" s="76"/>
      <c r="O1932" s="76"/>
      <c r="P1932" s="76"/>
      <c r="Q1932" s="76"/>
      <c r="R1932" s="76"/>
      <c r="Z1932" s="70"/>
      <c r="AA1932" s="70"/>
      <c r="AB1932" s="70"/>
      <c r="AC1932" s="70"/>
    </row>
    <row r="1933" spans="1:31" s="26" customFormat="1" x14ac:dyDescent="0.3">
      <c r="A1933" s="25" t="s">
        <v>7889</v>
      </c>
      <c r="B1933" s="25"/>
      <c r="C1933" s="26" t="s">
        <v>3005</v>
      </c>
      <c r="D1933" s="70"/>
      <c r="G1933" s="70" t="s">
        <v>2034</v>
      </c>
      <c r="H1933" s="26">
        <v>-1</v>
      </c>
      <c r="I1933" s="70" t="s">
        <v>7890</v>
      </c>
      <c r="J1933" s="26" t="s">
        <v>7891</v>
      </c>
      <c r="K1933" s="26" t="s">
        <v>7892</v>
      </c>
      <c r="L1933" s="26" t="s">
        <v>10898</v>
      </c>
      <c r="M1933" s="76"/>
      <c r="N1933" s="76"/>
      <c r="O1933" s="76"/>
      <c r="P1933" s="76"/>
      <c r="Q1933" s="76"/>
      <c r="R1933" s="76"/>
      <c r="Z1933" s="70"/>
      <c r="AA1933" s="70"/>
      <c r="AB1933" s="70"/>
      <c r="AC1933" s="70"/>
    </row>
    <row r="1934" spans="1:31" s="24" customFormat="1" x14ac:dyDescent="0.3">
      <c r="A1934" s="23">
        <v>512</v>
      </c>
      <c r="B1934" s="23">
        <v>507</v>
      </c>
      <c r="C1934" s="24" t="s">
        <v>2165</v>
      </c>
      <c r="D1934" s="69" t="s">
        <v>1506</v>
      </c>
      <c r="E1934" s="24" t="s">
        <v>1505</v>
      </c>
      <c r="F1934" s="24" t="s">
        <v>1510</v>
      </c>
      <c r="G1934" s="69" t="s">
        <v>1511</v>
      </c>
      <c r="I1934" s="69"/>
      <c r="J1934" s="24" t="s">
        <v>7893</v>
      </c>
      <c r="K1934" s="24" t="s">
        <v>1512</v>
      </c>
      <c r="L1934" s="24" t="s">
        <v>9872</v>
      </c>
      <c r="M1934" s="75" t="s">
        <v>19</v>
      </c>
      <c r="N1934" s="75"/>
      <c r="O1934" s="75"/>
      <c r="P1934" s="75"/>
      <c r="Q1934" s="75"/>
      <c r="R1934" s="75" t="s">
        <v>2166</v>
      </c>
      <c r="U1934" s="24" t="s">
        <v>2209</v>
      </c>
      <c r="V1934" s="24" t="s">
        <v>2171</v>
      </c>
      <c r="Y1934" s="24" t="s">
        <v>2800</v>
      </c>
      <c r="Z1934" s="69"/>
      <c r="AA1934" s="69"/>
      <c r="AB1934" s="69"/>
      <c r="AC1934" s="69"/>
      <c r="AD1934" s="24" t="s">
        <v>11344</v>
      </c>
    </row>
    <row r="1935" spans="1:31" s="24" customFormat="1" x14ac:dyDescent="0.3">
      <c r="A1935" s="23">
        <v>513</v>
      </c>
      <c r="B1935" s="23">
        <v>508</v>
      </c>
      <c r="C1935" s="24" t="s">
        <v>2165</v>
      </c>
      <c r="D1935" s="69" t="s">
        <v>1506</v>
      </c>
      <c r="E1935" s="24" t="s">
        <v>1505</v>
      </c>
      <c r="F1935" s="24" t="s">
        <v>1513</v>
      </c>
      <c r="G1935" s="69" t="s">
        <v>1514</v>
      </c>
      <c r="I1935" s="69"/>
      <c r="J1935" s="24" t="s">
        <v>7801</v>
      </c>
      <c r="K1935" s="24" t="s">
        <v>1515</v>
      </c>
      <c r="L1935" s="24" t="s">
        <v>9873</v>
      </c>
      <c r="M1935" s="75" t="s">
        <v>50</v>
      </c>
      <c r="N1935" s="75"/>
      <c r="O1935" s="75" t="s">
        <v>67</v>
      </c>
      <c r="P1935" s="75" t="s">
        <v>67</v>
      </c>
      <c r="Q1935" s="75" t="s">
        <v>85</v>
      </c>
      <c r="R1935" s="75" t="s">
        <v>2166</v>
      </c>
      <c r="U1935" s="24" t="s">
        <v>2232</v>
      </c>
      <c r="V1935" s="24" t="s">
        <v>2801</v>
      </c>
      <c r="W1935" s="24" t="s">
        <v>2802</v>
      </c>
      <c r="Y1935" s="24" t="s">
        <v>2803</v>
      </c>
      <c r="Z1935" s="69"/>
      <c r="AA1935" s="69"/>
      <c r="AB1935" s="69"/>
      <c r="AC1935" s="69"/>
    </row>
    <row r="1936" spans="1:31" s="24" customFormat="1" x14ac:dyDescent="0.3">
      <c r="A1936" s="23">
        <v>514</v>
      </c>
      <c r="B1936" s="23">
        <v>509</v>
      </c>
      <c r="C1936" s="24" t="s">
        <v>2165</v>
      </c>
      <c r="D1936" s="69" t="s">
        <v>1517</v>
      </c>
      <c r="E1936" s="24" t="s">
        <v>1516</v>
      </c>
      <c r="F1936" s="24" t="s">
        <v>1518</v>
      </c>
      <c r="G1936" s="69" t="s">
        <v>1519</v>
      </c>
      <c r="I1936" s="69"/>
      <c r="J1936" s="24" t="s">
        <v>7894</v>
      </c>
      <c r="K1936" s="24" t="s">
        <v>1520</v>
      </c>
      <c r="L1936" s="24" t="s">
        <v>9874</v>
      </c>
      <c r="M1936" s="75" t="s">
        <v>65</v>
      </c>
      <c r="N1936" s="75" t="s">
        <v>2017</v>
      </c>
      <c r="O1936" s="75" t="s">
        <v>66</v>
      </c>
      <c r="P1936" s="75" t="s">
        <v>66</v>
      </c>
      <c r="Q1936" s="75" t="s">
        <v>66</v>
      </c>
      <c r="R1936" s="75"/>
      <c r="T1936" s="24" t="s">
        <v>2541</v>
      </c>
      <c r="V1936" s="24" t="s">
        <v>2804</v>
      </c>
      <c r="W1936" s="24" t="s">
        <v>2805</v>
      </c>
      <c r="Y1936" s="24" t="s">
        <v>2806</v>
      </c>
      <c r="Z1936" s="69"/>
      <c r="AA1936" s="69"/>
      <c r="AB1936" s="69"/>
      <c r="AC1936" s="69" t="s">
        <v>11409</v>
      </c>
      <c r="AE1936" s="24" t="s">
        <v>2807</v>
      </c>
    </row>
    <row r="1937" spans="1:31" s="24" customFormat="1" x14ac:dyDescent="0.3">
      <c r="A1937" s="23">
        <v>515</v>
      </c>
      <c r="B1937" s="23">
        <v>510</v>
      </c>
      <c r="C1937" s="24" t="s">
        <v>2165</v>
      </c>
      <c r="D1937" s="69" t="s">
        <v>1517</v>
      </c>
      <c r="E1937" s="24" t="s">
        <v>1516</v>
      </c>
      <c r="F1937" s="24" t="s">
        <v>1521</v>
      </c>
      <c r="G1937" s="69" t="s">
        <v>1522</v>
      </c>
      <c r="I1937" s="69"/>
      <c r="J1937" s="24" t="s">
        <v>7895</v>
      </c>
      <c r="K1937" s="24" t="s">
        <v>1523</v>
      </c>
      <c r="L1937" s="24" t="s">
        <v>9875</v>
      </c>
      <c r="M1937" s="75" t="s">
        <v>65</v>
      </c>
      <c r="N1937" s="75" t="s">
        <v>2017</v>
      </c>
      <c r="O1937" s="75"/>
      <c r="P1937" s="75"/>
      <c r="Q1937" s="75" t="s">
        <v>130</v>
      </c>
      <c r="R1937" s="75"/>
      <c r="T1937" s="24" t="s">
        <v>2552</v>
      </c>
      <c r="V1937" s="24" t="s">
        <v>2171</v>
      </c>
      <c r="W1937" s="24" t="s">
        <v>2808</v>
      </c>
      <c r="Y1937" s="24" t="s">
        <v>2809</v>
      </c>
      <c r="Z1937" s="69"/>
      <c r="AA1937" s="69"/>
      <c r="AB1937" s="69"/>
      <c r="AC1937" s="69"/>
      <c r="AD1937" s="24" t="s">
        <v>11345</v>
      </c>
      <c r="AE1937" s="24" t="s">
        <v>2810</v>
      </c>
    </row>
    <row r="1938" spans="1:31" s="24" customFormat="1" x14ac:dyDescent="0.3">
      <c r="A1938" s="23">
        <v>516</v>
      </c>
      <c r="B1938" s="23">
        <v>511</v>
      </c>
      <c r="C1938" s="24" t="s">
        <v>2165</v>
      </c>
      <c r="D1938" s="69" t="s">
        <v>1517</v>
      </c>
      <c r="E1938" s="24" t="s">
        <v>1516</v>
      </c>
      <c r="F1938" s="24" t="s">
        <v>1524</v>
      </c>
      <c r="G1938" s="69" t="s">
        <v>1525</v>
      </c>
      <c r="I1938" s="69"/>
      <c r="J1938" s="24" t="s">
        <v>5353</v>
      </c>
      <c r="K1938" s="24" t="s">
        <v>1526</v>
      </c>
      <c r="L1938" s="24" t="s">
        <v>9876</v>
      </c>
      <c r="M1938" s="75" t="s">
        <v>65</v>
      </c>
      <c r="N1938" s="75" t="s">
        <v>2017</v>
      </c>
      <c r="O1938" s="75" t="s">
        <v>58</v>
      </c>
      <c r="P1938" s="75" t="s">
        <v>58</v>
      </c>
      <c r="Q1938" s="75" t="s">
        <v>66</v>
      </c>
      <c r="R1938" s="75"/>
      <c r="T1938" s="24" t="s">
        <v>2811</v>
      </c>
      <c r="V1938" s="24" t="s">
        <v>2804</v>
      </c>
      <c r="W1938" s="24" t="s">
        <v>2812</v>
      </c>
      <c r="Y1938" s="24" t="s">
        <v>2813</v>
      </c>
      <c r="Z1938" s="69"/>
      <c r="AA1938" s="69"/>
      <c r="AB1938" s="69"/>
      <c r="AC1938" s="69"/>
      <c r="AE1938" s="24" t="s">
        <v>2814</v>
      </c>
    </row>
    <row r="1939" spans="1:31" s="24" customFormat="1" x14ac:dyDescent="0.3">
      <c r="A1939" s="23">
        <v>517</v>
      </c>
      <c r="B1939" s="23">
        <v>516</v>
      </c>
      <c r="C1939" s="24" t="s">
        <v>2165</v>
      </c>
      <c r="D1939" s="69" t="s">
        <v>1517</v>
      </c>
      <c r="E1939" s="24" t="s">
        <v>1516</v>
      </c>
      <c r="F1939" s="24" t="s">
        <v>1527</v>
      </c>
      <c r="G1939" s="69" t="s">
        <v>1528</v>
      </c>
      <c r="I1939" s="69"/>
      <c r="J1939" s="24" t="s">
        <v>7896</v>
      </c>
      <c r="K1939" s="24" t="s">
        <v>1529</v>
      </c>
      <c r="L1939" s="24" t="s">
        <v>9877</v>
      </c>
      <c r="M1939" s="75" t="s">
        <v>50</v>
      </c>
      <c r="N1939" s="75"/>
      <c r="O1939" s="75"/>
      <c r="P1939" s="75"/>
      <c r="Q1939" s="75"/>
      <c r="R1939" s="75" t="s">
        <v>2166</v>
      </c>
      <c r="T1939" s="24" t="s">
        <v>2174</v>
      </c>
      <c r="U1939" s="24" t="s">
        <v>2815</v>
      </c>
      <c r="V1939" s="24" t="s">
        <v>2816</v>
      </c>
      <c r="W1939" s="24" t="s">
        <v>2816</v>
      </c>
      <c r="Y1939" s="24" t="s">
        <v>2817</v>
      </c>
      <c r="Z1939" s="69" t="s">
        <v>2818</v>
      </c>
      <c r="AA1939" s="69" t="s">
        <v>2818</v>
      </c>
      <c r="AB1939" s="69" t="s">
        <v>2818</v>
      </c>
      <c r="AC1939" s="69"/>
      <c r="AD1939" s="24" t="s">
        <v>123</v>
      </c>
      <c r="AE1939" s="24" t="s">
        <v>2819</v>
      </c>
    </row>
    <row r="1940" spans="1:31" s="24" customFormat="1" x14ac:dyDescent="0.3">
      <c r="A1940" s="23">
        <v>518</v>
      </c>
      <c r="B1940" s="23">
        <v>515</v>
      </c>
      <c r="C1940" s="24" t="s">
        <v>2165</v>
      </c>
      <c r="D1940" s="69" t="s">
        <v>1517</v>
      </c>
      <c r="E1940" s="24" t="s">
        <v>1516</v>
      </c>
      <c r="F1940" s="24" t="s">
        <v>1530</v>
      </c>
      <c r="G1940" s="69" t="s">
        <v>1531</v>
      </c>
      <c r="I1940" s="69"/>
      <c r="J1940" s="24" t="s">
        <v>3165</v>
      </c>
      <c r="K1940" s="24" t="s">
        <v>1011</v>
      </c>
      <c r="M1940" s="75" t="s">
        <v>19</v>
      </c>
      <c r="N1940" s="75"/>
      <c r="O1940" s="75"/>
      <c r="P1940" s="75"/>
      <c r="Q1940" s="75"/>
      <c r="R1940" s="75" t="s">
        <v>2166</v>
      </c>
      <c r="U1940" s="24" t="s">
        <v>2293</v>
      </c>
      <c r="V1940" s="24" t="s">
        <v>2171</v>
      </c>
      <c r="W1940" s="24" t="s">
        <v>2820</v>
      </c>
      <c r="Y1940" s="24" t="s">
        <v>2821</v>
      </c>
      <c r="Z1940" s="69" t="s">
        <v>2822</v>
      </c>
      <c r="AA1940" s="69" t="s">
        <v>2822</v>
      </c>
      <c r="AB1940" s="69" t="s">
        <v>2822</v>
      </c>
      <c r="AC1940" s="69"/>
      <c r="AD1940" s="24" t="s">
        <v>11346</v>
      </c>
    </row>
    <row r="1941" spans="1:31" s="26" customFormat="1" x14ac:dyDescent="0.3">
      <c r="A1941" s="25" t="s">
        <v>7897</v>
      </c>
      <c r="B1941" s="25"/>
      <c r="C1941" s="26" t="s">
        <v>3005</v>
      </c>
      <c r="D1941" s="70"/>
      <c r="G1941" s="70" t="s">
        <v>1531</v>
      </c>
      <c r="H1941" s="26">
        <v>-1</v>
      </c>
      <c r="I1941" s="70" t="s">
        <v>7898</v>
      </c>
      <c r="J1941" s="26" t="s">
        <v>3165</v>
      </c>
      <c r="K1941" s="26" t="s">
        <v>7899</v>
      </c>
      <c r="L1941" s="26" t="s">
        <v>10899</v>
      </c>
      <c r="M1941" s="76"/>
      <c r="N1941" s="76"/>
      <c r="O1941" s="76"/>
      <c r="P1941" s="76"/>
      <c r="Q1941" s="76"/>
      <c r="R1941" s="76"/>
      <c r="U1941" s="26" t="s">
        <v>7625</v>
      </c>
      <c r="Z1941" s="70"/>
      <c r="AA1941" s="70"/>
      <c r="AB1941" s="70"/>
      <c r="AC1941" s="70"/>
    </row>
    <row r="1942" spans="1:31" s="26" customFormat="1" x14ac:dyDescent="0.3">
      <c r="A1942" s="25" t="s">
        <v>7900</v>
      </c>
      <c r="B1942" s="25"/>
      <c r="C1942" s="26" t="s">
        <v>3005</v>
      </c>
      <c r="D1942" s="70"/>
      <c r="G1942" s="70" t="s">
        <v>1531</v>
      </c>
      <c r="H1942" s="26">
        <v>-1</v>
      </c>
      <c r="I1942" s="70" t="s">
        <v>7901</v>
      </c>
      <c r="J1942" s="26" t="s">
        <v>7902</v>
      </c>
      <c r="K1942" s="26" t="s">
        <v>7903</v>
      </c>
      <c r="M1942" s="76"/>
      <c r="N1942" s="76"/>
      <c r="O1942" s="76"/>
      <c r="P1942" s="76"/>
      <c r="Q1942" s="76"/>
      <c r="R1942" s="76"/>
      <c r="U1942" s="26" t="s">
        <v>7904</v>
      </c>
      <c r="Z1942" s="70"/>
      <c r="AA1942" s="70"/>
      <c r="AB1942" s="70"/>
      <c r="AC1942" s="70"/>
    </row>
    <row r="1943" spans="1:31" s="26" customFormat="1" x14ac:dyDescent="0.3">
      <c r="A1943" s="25" t="s">
        <v>7905</v>
      </c>
      <c r="B1943" s="25"/>
      <c r="C1943" s="26" t="s">
        <v>3005</v>
      </c>
      <c r="D1943" s="70"/>
      <c r="G1943" s="70" t="s">
        <v>1531</v>
      </c>
      <c r="H1943" s="26">
        <v>-1</v>
      </c>
      <c r="I1943" s="70" t="s">
        <v>7906</v>
      </c>
      <c r="J1943" s="26" t="s">
        <v>7907</v>
      </c>
      <c r="K1943" s="26" t="s">
        <v>7908</v>
      </c>
      <c r="L1943" s="26" t="s">
        <v>10900</v>
      </c>
      <c r="M1943" s="76"/>
      <c r="N1943" s="76"/>
      <c r="O1943" s="76"/>
      <c r="P1943" s="76"/>
      <c r="Q1943" s="76"/>
      <c r="R1943" s="76"/>
      <c r="U1943" s="26" t="s">
        <v>7909</v>
      </c>
      <c r="Z1943" s="70"/>
      <c r="AA1943" s="70"/>
      <c r="AB1943" s="70"/>
      <c r="AC1943" s="70"/>
    </row>
    <row r="1944" spans="1:31" s="26" customFormat="1" x14ac:dyDescent="0.3">
      <c r="A1944" s="25" t="s">
        <v>7910</v>
      </c>
      <c r="B1944" s="25"/>
      <c r="C1944" s="26" t="s">
        <v>3005</v>
      </c>
      <c r="D1944" s="70"/>
      <c r="G1944" s="70" t="s">
        <v>1531</v>
      </c>
      <c r="H1944" s="26">
        <v>-1</v>
      </c>
      <c r="I1944" s="70" t="s">
        <v>7911</v>
      </c>
      <c r="J1944" s="26" t="s">
        <v>7912</v>
      </c>
      <c r="K1944" s="26" t="s">
        <v>7913</v>
      </c>
      <c r="L1944" s="26" t="s">
        <v>10901</v>
      </c>
      <c r="M1944" s="76"/>
      <c r="N1944" s="76"/>
      <c r="O1944" s="76"/>
      <c r="P1944" s="76"/>
      <c r="Q1944" s="76"/>
      <c r="R1944" s="76"/>
      <c r="U1944" s="26" t="s">
        <v>7914</v>
      </c>
      <c r="Z1944" s="70"/>
      <c r="AA1944" s="70"/>
      <c r="AB1944" s="70"/>
      <c r="AC1944" s="70"/>
    </row>
    <row r="1945" spans="1:31" s="26" customFormat="1" x14ac:dyDescent="0.3">
      <c r="A1945" s="25" t="s">
        <v>7915</v>
      </c>
      <c r="B1945" s="25"/>
      <c r="C1945" s="26" t="s">
        <v>3005</v>
      </c>
      <c r="D1945" s="70"/>
      <c r="G1945" s="70" t="s">
        <v>1531</v>
      </c>
      <c r="H1945" s="26">
        <v>-1</v>
      </c>
      <c r="I1945" s="70" t="s">
        <v>3576</v>
      </c>
      <c r="J1945" s="26" t="s">
        <v>7916</v>
      </c>
      <c r="K1945" s="26" t="s">
        <v>7917</v>
      </c>
      <c r="M1945" s="76"/>
      <c r="N1945" s="76"/>
      <c r="O1945" s="76"/>
      <c r="P1945" s="76"/>
      <c r="Q1945" s="76"/>
      <c r="R1945" s="76"/>
      <c r="T1945" s="26" t="s">
        <v>2200</v>
      </c>
      <c r="U1945" s="26" t="s">
        <v>7625</v>
      </c>
      <c r="Z1945" s="70"/>
      <c r="AA1945" s="70"/>
      <c r="AB1945" s="70"/>
      <c r="AC1945" s="70"/>
      <c r="AE1945" s="26" t="s">
        <v>7918</v>
      </c>
    </row>
    <row r="1946" spans="1:31" s="24" customFormat="1" x14ac:dyDescent="0.3">
      <c r="A1946" s="23">
        <v>519</v>
      </c>
      <c r="B1946" s="23">
        <v>514</v>
      </c>
      <c r="C1946" s="24" t="s">
        <v>2165</v>
      </c>
      <c r="D1946" s="69" t="s">
        <v>1517</v>
      </c>
      <c r="E1946" s="24" t="s">
        <v>1516</v>
      </c>
      <c r="F1946" s="24" t="s">
        <v>1532</v>
      </c>
      <c r="G1946" s="69" t="s">
        <v>1533</v>
      </c>
      <c r="I1946" s="69"/>
      <c r="J1946" s="24" t="s">
        <v>4548</v>
      </c>
      <c r="K1946" s="24" t="s">
        <v>1534</v>
      </c>
      <c r="M1946" s="75" t="s">
        <v>50</v>
      </c>
      <c r="N1946" s="75"/>
      <c r="O1946" s="75"/>
      <c r="P1946" s="75"/>
      <c r="Q1946" s="75"/>
      <c r="R1946" s="75"/>
      <c r="T1946" s="24" t="s">
        <v>2200</v>
      </c>
      <c r="U1946" s="24" t="s">
        <v>2823</v>
      </c>
      <c r="V1946" s="24" t="s">
        <v>2824</v>
      </c>
      <c r="W1946" s="24" t="s">
        <v>2824</v>
      </c>
      <c r="Y1946" s="24" t="s">
        <v>2825</v>
      </c>
      <c r="Z1946" s="69" t="s">
        <v>2826</v>
      </c>
      <c r="AA1946" s="69" t="s">
        <v>2826</v>
      </c>
      <c r="AB1946" s="69" t="s">
        <v>2826</v>
      </c>
      <c r="AC1946" s="69"/>
      <c r="AE1946" s="24" t="s">
        <v>2827</v>
      </c>
    </row>
    <row r="1947" spans="1:31" s="24" customFormat="1" x14ac:dyDescent="0.3">
      <c r="A1947" s="23">
        <v>520</v>
      </c>
      <c r="B1947" s="23">
        <v>513</v>
      </c>
      <c r="C1947" s="24" t="s">
        <v>2165</v>
      </c>
      <c r="D1947" s="69" t="s">
        <v>1517</v>
      </c>
      <c r="E1947" s="24" t="s">
        <v>1516</v>
      </c>
      <c r="F1947" s="24" t="s">
        <v>1535</v>
      </c>
      <c r="G1947" s="69" t="s">
        <v>1536</v>
      </c>
      <c r="I1947" s="69"/>
      <c r="J1947" s="24" t="s">
        <v>3557</v>
      </c>
      <c r="K1947" s="24" t="s">
        <v>1537</v>
      </c>
      <c r="L1947" s="24" t="s">
        <v>9878</v>
      </c>
      <c r="M1947" s="75" t="s">
        <v>50</v>
      </c>
      <c r="N1947" s="75"/>
      <c r="O1947" s="75"/>
      <c r="P1947" s="75"/>
      <c r="Q1947" s="75"/>
      <c r="R1947" s="75"/>
      <c r="U1947" s="24" t="s">
        <v>2209</v>
      </c>
      <c r="Z1947" s="69"/>
      <c r="AA1947" s="69"/>
      <c r="AB1947" s="69"/>
      <c r="AC1947" s="69"/>
      <c r="AD1947" s="24" t="s">
        <v>123</v>
      </c>
    </row>
    <row r="1948" spans="1:31" s="26" customFormat="1" x14ac:dyDescent="0.3">
      <c r="A1948" s="25" t="s">
        <v>7919</v>
      </c>
      <c r="B1948" s="25"/>
      <c r="C1948" s="26" t="s">
        <v>3005</v>
      </c>
      <c r="D1948" s="70"/>
      <c r="G1948" s="70" t="s">
        <v>1536</v>
      </c>
      <c r="H1948" s="26">
        <v>-1</v>
      </c>
      <c r="I1948" s="70" t="s">
        <v>7920</v>
      </c>
      <c r="J1948" s="26" t="s">
        <v>7921</v>
      </c>
      <c r="K1948" s="26" t="s">
        <v>7922</v>
      </c>
      <c r="M1948" s="76"/>
      <c r="N1948" s="76"/>
      <c r="O1948" s="76"/>
      <c r="P1948" s="76"/>
      <c r="Q1948" s="76"/>
      <c r="R1948" s="76"/>
      <c r="U1948" s="26" t="s">
        <v>7625</v>
      </c>
      <c r="Z1948" s="70"/>
      <c r="AA1948" s="70"/>
      <c r="AB1948" s="70"/>
      <c r="AC1948" s="70"/>
    </row>
    <row r="1949" spans="1:31" s="26" customFormat="1" x14ac:dyDescent="0.3">
      <c r="A1949" s="25" t="s">
        <v>7923</v>
      </c>
      <c r="B1949" s="25"/>
      <c r="C1949" s="26" t="s">
        <v>3005</v>
      </c>
      <c r="D1949" s="70"/>
      <c r="G1949" s="70" t="s">
        <v>1536</v>
      </c>
      <c r="H1949" s="26">
        <v>-1</v>
      </c>
      <c r="I1949" s="70" t="s">
        <v>7924</v>
      </c>
      <c r="J1949" s="26" t="s">
        <v>3557</v>
      </c>
      <c r="K1949" s="26" t="s">
        <v>7925</v>
      </c>
      <c r="M1949" s="76"/>
      <c r="N1949" s="76"/>
      <c r="O1949" s="76"/>
      <c r="P1949" s="76"/>
      <c r="Q1949" s="76"/>
      <c r="R1949" s="76"/>
      <c r="U1949" s="26" t="s">
        <v>7926</v>
      </c>
      <c r="Z1949" s="70"/>
      <c r="AA1949" s="70"/>
      <c r="AB1949" s="70"/>
      <c r="AC1949" s="70"/>
    </row>
    <row r="1950" spans="1:31" s="24" customFormat="1" x14ac:dyDescent="0.3">
      <c r="A1950" s="23">
        <v>521</v>
      </c>
      <c r="B1950" s="23">
        <v>512</v>
      </c>
      <c r="C1950" s="24" t="s">
        <v>2165</v>
      </c>
      <c r="D1950" s="69" t="s">
        <v>1517</v>
      </c>
      <c r="E1950" s="24" t="s">
        <v>1516</v>
      </c>
      <c r="F1950" s="24" t="s">
        <v>1538</v>
      </c>
      <c r="G1950" s="69" t="s">
        <v>1539</v>
      </c>
      <c r="H1950" s="24">
        <v>3</v>
      </c>
      <c r="I1950" s="69"/>
      <c r="J1950" s="24" t="s">
        <v>5801</v>
      </c>
      <c r="K1950" s="24" t="s">
        <v>68</v>
      </c>
      <c r="M1950" s="75" t="s">
        <v>65</v>
      </c>
      <c r="N1950" s="75" t="s">
        <v>2015</v>
      </c>
      <c r="O1950" s="75"/>
      <c r="P1950" s="75"/>
      <c r="Q1950" s="75"/>
      <c r="R1950" s="75"/>
      <c r="V1950" s="24" t="s">
        <v>2828</v>
      </c>
      <c r="Y1950" s="24" t="s">
        <v>2829</v>
      </c>
      <c r="Z1950" s="69"/>
      <c r="AA1950" s="69"/>
      <c r="AB1950" s="69"/>
      <c r="AC1950" s="69" t="s">
        <v>11410</v>
      </c>
    </row>
    <row r="1951" spans="1:31" s="26" customFormat="1" x14ac:dyDescent="0.3">
      <c r="A1951" s="25" t="s">
        <v>7927</v>
      </c>
      <c r="B1951" s="25"/>
      <c r="C1951" s="26" t="s">
        <v>3005</v>
      </c>
      <c r="D1951" s="70"/>
      <c r="G1951" s="70" t="s">
        <v>1539</v>
      </c>
      <c r="H1951" s="26">
        <v>1</v>
      </c>
      <c r="I1951" s="70" t="s">
        <v>7928</v>
      </c>
      <c r="J1951" s="26" t="s">
        <v>5801</v>
      </c>
      <c r="K1951" s="26" t="s">
        <v>2017</v>
      </c>
      <c r="L1951" s="26" t="s">
        <v>9836</v>
      </c>
      <c r="M1951" s="76"/>
      <c r="N1951" s="76"/>
      <c r="O1951" s="76"/>
      <c r="P1951" s="76"/>
      <c r="Q1951" s="76"/>
      <c r="R1951" s="76"/>
      <c r="Z1951" s="70"/>
      <c r="AA1951" s="70"/>
      <c r="AB1951" s="70"/>
      <c r="AC1951" s="70"/>
    </row>
    <row r="1952" spans="1:31" s="26" customFormat="1" x14ac:dyDescent="0.3">
      <c r="A1952" s="25" t="s">
        <v>7929</v>
      </c>
      <c r="B1952" s="25"/>
      <c r="C1952" s="26" t="s">
        <v>3005</v>
      </c>
      <c r="D1952" s="70"/>
      <c r="G1952" s="70" t="s">
        <v>1539</v>
      </c>
      <c r="H1952" s="26">
        <v>1</v>
      </c>
      <c r="I1952" s="70" t="s">
        <v>7930</v>
      </c>
      <c r="J1952" s="26" t="s">
        <v>7931</v>
      </c>
      <c r="K1952" s="26" t="s">
        <v>7932</v>
      </c>
      <c r="L1952" s="26" t="s">
        <v>10902</v>
      </c>
      <c r="M1952" s="76"/>
      <c r="N1952" s="76"/>
      <c r="O1952" s="76"/>
      <c r="P1952" s="76"/>
      <c r="Q1952" s="76"/>
      <c r="R1952" s="76"/>
      <c r="Z1952" s="70"/>
      <c r="AA1952" s="70"/>
      <c r="AB1952" s="70"/>
      <c r="AC1952" s="70"/>
    </row>
    <row r="1953" spans="1:31" s="26" customFormat="1" x14ac:dyDescent="0.3">
      <c r="A1953" s="25" t="s">
        <v>7933</v>
      </c>
      <c r="B1953" s="25"/>
      <c r="C1953" s="26" t="s">
        <v>3005</v>
      </c>
      <c r="D1953" s="70"/>
      <c r="G1953" s="70" t="s">
        <v>1539</v>
      </c>
      <c r="H1953" s="26">
        <v>1</v>
      </c>
      <c r="I1953" s="70" t="s">
        <v>6499</v>
      </c>
      <c r="J1953" s="26" t="s">
        <v>6916</v>
      </c>
      <c r="K1953" s="26" t="s">
        <v>7934</v>
      </c>
      <c r="L1953" s="26" t="s">
        <v>10903</v>
      </c>
      <c r="M1953" s="76"/>
      <c r="N1953" s="76"/>
      <c r="O1953" s="76"/>
      <c r="P1953" s="76"/>
      <c r="Q1953" s="76"/>
      <c r="R1953" s="76"/>
      <c r="Z1953" s="70"/>
      <c r="AA1953" s="70"/>
      <c r="AB1953" s="70"/>
      <c r="AC1953" s="70"/>
    </row>
    <row r="1954" spans="1:31" s="24" customFormat="1" x14ac:dyDescent="0.3">
      <c r="A1954" s="23">
        <v>522</v>
      </c>
      <c r="B1954" s="23">
        <v>517</v>
      </c>
      <c r="C1954" s="24" t="s">
        <v>2165</v>
      </c>
      <c r="D1954" s="69" t="s">
        <v>1517</v>
      </c>
      <c r="E1954" s="24" t="s">
        <v>1516</v>
      </c>
      <c r="F1954" s="24" t="s">
        <v>1540</v>
      </c>
      <c r="G1954" s="69" t="s">
        <v>1541</v>
      </c>
      <c r="I1954" s="69"/>
      <c r="J1954" s="24" t="s">
        <v>5801</v>
      </c>
      <c r="K1954" s="24" t="s">
        <v>68</v>
      </c>
      <c r="L1954" s="24" t="s">
        <v>9836</v>
      </c>
      <c r="M1954" s="75" t="s">
        <v>65</v>
      </c>
      <c r="N1954" s="75" t="s">
        <v>2017</v>
      </c>
      <c r="O1954" s="75"/>
      <c r="P1954" s="75"/>
      <c r="Q1954" s="75"/>
      <c r="R1954" s="75" t="s">
        <v>2166</v>
      </c>
      <c r="V1954" s="24" t="s">
        <v>2830</v>
      </c>
      <c r="Y1954" s="24" t="s">
        <v>2831</v>
      </c>
      <c r="Z1954" s="69"/>
      <c r="AA1954" s="69"/>
      <c r="AB1954" s="69"/>
      <c r="AC1954" s="69" t="s">
        <v>11411</v>
      </c>
    </row>
    <row r="1955" spans="1:31" s="24" customFormat="1" x14ac:dyDescent="0.3">
      <c r="A1955" s="23">
        <v>523</v>
      </c>
      <c r="B1955" s="23">
        <v>519</v>
      </c>
      <c r="C1955" s="24" t="s">
        <v>2165</v>
      </c>
      <c r="D1955" s="69" t="s">
        <v>1517</v>
      </c>
      <c r="E1955" s="24" t="s">
        <v>1516</v>
      </c>
      <c r="F1955" s="24" t="s">
        <v>1542</v>
      </c>
      <c r="G1955" s="69" t="s">
        <v>1543</v>
      </c>
      <c r="H1955" s="24">
        <v>4</v>
      </c>
      <c r="I1955" s="69"/>
      <c r="J1955" s="24" t="s">
        <v>5623</v>
      </c>
      <c r="K1955" s="24" t="s">
        <v>401</v>
      </c>
      <c r="M1955" s="75" t="s">
        <v>15</v>
      </c>
      <c r="N1955" s="75"/>
      <c r="O1955" s="75"/>
      <c r="P1955" s="75"/>
      <c r="Q1955" s="75"/>
      <c r="R1955" s="75"/>
      <c r="T1955" s="24" t="s">
        <v>2323</v>
      </c>
      <c r="Z1955" s="69" t="s">
        <v>2832</v>
      </c>
      <c r="AA1955" s="69" t="s">
        <v>2832</v>
      </c>
      <c r="AB1955" s="69"/>
      <c r="AC1955" s="69"/>
      <c r="AE1955" s="24" t="s">
        <v>2833</v>
      </c>
    </row>
    <row r="1956" spans="1:31" s="26" customFormat="1" x14ac:dyDescent="0.3">
      <c r="A1956" s="25" t="s">
        <v>7935</v>
      </c>
      <c r="B1956" s="25"/>
      <c r="C1956" s="26" t="s">
        <v>3005</v>
      </c>
      <c r="D1956" s="70"/>
      <c r="G1956" s="70" t="s">
        <v>1543</v>
      </c>
      <c r="H1956" s="26">
        <v>2</v>
      </c>
      <c r="I1956" s="70" t="s">
        <v>7936</v>
      </c>
      <c r="J1956" s="26" t="s">
        <v>7937</v>
      </c>
      <c r="K1956" s="26" t="s">
        <v>3908</v>
      </c>
      <c r="L1956" s="26" t="s">
        <v>10904</v>
      </c>
      <c r="M1956" s="76"/>
      <c r="N1956" s="76"/>
      <c r="O1956" s="76"/>
      <c r="P1956" s="76"/>
      <c r="Q1956" s="76"/>
      <c r="R1956" s="76"/>
      <c r="Z1956" s="70"/>
      <c r="AA1956" s="70"/>
      <c r="AB1956" s="70"/>
      <c r="AC1956" s="70"/>
    </row>
    <row r="1957" spans="1:31" s="26" customFormat="1" x14ac:dyDescent="0.3">
      <c r="A1957" s="25" t="s">
        <v>7938</v>
      </c>
      <c r="B1957" s="25"/>
      <c r="C1957" s="26" t="s">
        <v>3005</v>
      </c>
      <c r="D1957" s="70"/>
      <c r="G1957" s="70" t="s">
        <v>1543</v>
      </c>
      <c r="H1957" s="26">
        <v>5</v>
      </c>
      <c r="I1957" s="70" t="s">
        <v>7939</v>
      </c>
      <c r="J1957" s="26" t="s">
        <v>7940</v>
      </c>
      <c r="K1957" s="26" t="s">
        <v>7941</v>
      </c>
      <c r="L1957" s="26" t="s">
        <v>10905</v>
      </c>
      <c r="M1957" s="76"/>
      <c r="N1957" s="76"/>
      <c r="O1957" s="76"/>
      <c r="P1957" s="76"/>
      <c r="Q1957" s="76"/>
      <c r="R1957" s="76"/>
      <c r="Z1957" s="70"/>
      <c r="AA1957" s="70"/>
      <c r="AB1957" s="70"/>
      <c r="AC1957" s="70"/>
    </row>
    <row r="1958" spans="1:31" s="26" customFormat="1" x14ac:dyDescent="0.3">
      <c r="A1958" s="25" t="s">
        <v>7942</v>
      </c>
      <c r="B1958" s="25"/>
      <c r="C1958" s="26" t="s">
        <v>3005</v>
      </c>
      <c r="D1958" s="70"/>
      <c r="G1958" s="70" t="s">
        <v>1543</v>
      </c>
      <c r="H1958" s="26">
        <v>-1</v>
      </c>
      <c r="I1958" s="70" t="s">
        <v>7943</v>
      </c>
      <c r="J1958" s="26" t="s">
        <v>5425</v>
      </c>
      <c r="K1958" s="26" t="s">
        <v>7944</v>
      </c>
      <c r="L1958" s="26" t="s">
        <v>10906</v>
      </c>
      <c r="M1958" s="76"/>
      <c r="N1958" s="76"/>
      <c r="O1958" s="76"/>
      <c r="P1958" s="76"/>
      <c r="Q1958" s="76"/>
      <c r="R1958" s="76"/>
      <c r="Z1958" s="70"/>
      <c r="AA1958" s="70"/>
      <c r="AB1958" s="70"/>
      <c r="AC1958" s="70"/>
    </row>
    <row r="1959" spans="1:31" s="26" customFormat="1" x14ac:dyDescent="0.3">
      <c r="A1959" s="25" t="s">
        <v>7945</v>
      </c>
      <c r="B1959" s="25"/>
      <c r="C1959" s="26" t="s">
        <v>3005</v>
      </c>
      <c r="D1959" s="70"/>
      <c r="G1959" s="70" t="s">
        <v>1543</v>
      </c>
      <c r="H1959" s="26">
        <v>2</v>
      </c>
      <c r="I1959" s="70" t="s">
        <v>7946</v>
      </c>
      <c r="J1959" s="26" t="s">
        <v>7947</v>
      </c>
      <c r="K1959" s="26" t="s">
        <v>5290</v>
      </c>
      <c r="L1959" s="26" t="s">
        <v>10907</v>
      </c>
      <c r="M1959" s="76"/>
      <c r="N1959" s="76"/>
      <c r="O1959" s="76"/>
      <c r="P1959" s="76"/>
      <c r="Q1959" s="76"/>
      <c r="R1959" s="76"/>
      <c r="Z1959" s="70"/>
      <c r="AA1959" s="70"/>
      <c r="AB1959" s="70"/>
      <c r="AC1959" s="70"/>
    </row>
    <row r="1960" spans="1:31" s="26" customFormat="1" x14ac:dyDescent="0.3">
      <c r="A1960" s="25" t="s">
        <v>7948</v>
      </c>
      <c r="B1960" s="25"/>
      <c r="C1960" s="26" t="s">
        <v>3005</v>
      </c>
      <c r="D1960" s="70"/>
      <c r="G1960" s="70" t="s">
        <v>1543</v>
      </c>
      <c r="H1960" s="26">
        <v>3</v>
      </c>
      <c r="I1960" s="70" t="s">
        <v>5302</v>
      </c>
      <c r="J1960" s="26" t="s">
        <v>7947</v>
      </c>
      <c r="K1960" s="26" t="s">
        <v>6892</v>
      </c>
      <c r="L1960" s="26" t="s">
        <v>10552</v>
      </c>
      <c r="M1960" s="76"/>
      <c r="N1960" s="76"/>
      <c r="O1960" s="76"/>
      <c r="P1960" s="76"/>
      <c r="Q1960" s="76"/>
      <c r="R1960" s="76"/>
      <c r="Z1960" s="70"/>
      <c r="AA1960" s="70"/>
      <c r="AB1960" s="70"/>
      <c r="AC1960" s="70"/>
    </row>
    <row r="1961" spans="1:31" s="26" customFormat="1" x14ac:dyDescent="0.3">
      <c r="A1961" s="25" t="s">
        <v>7949</v>
      </c>
      <c r="B1961" s="25"/>
      <c r="C1961" s="26" t="s">
        <v>3005</v>
      </c>
      <c r="D1961" s="70"/>
      <c r="G1961" s="70" t="s">
        <v>1543</v>
      </c>
      <c r="H1961" s="26">
        <v>-1</v>
      </c>
      <c r="I1961" s="70" t="s">
        <v>3723</v>
      </c>
      <c r="J1961" s="26" t="s">
        <v>7950</v>
      </c>
      <c r="K1961" s="26" t="s">
        <v>4306</v>
      </c>
      <c r="L1961" s="26" t="s">
        <v>10908</v>
      </c>
      <c r="M1961" s="76"/>
      <c r="N1961" s="76"/>
      <c r="O1961" s="76"/>
      <c r="P1961" s="76"/>
      <c r="Q1961" s="76"/>
      <c r="R1961" s="76"/>
      <c r="Z1961" s="70"/>
      <c r="AA1961" s="70"/>
      <c r="AB1961" s="70"/>
      <c r="AC1961" s="70"/>
    </row>
    <row r="1962" spans="1:31" s="26" customFormat="1" x14ac:dyDescent="0.3">
      <c r="A1962" s="25" t="s">
        <v>7951</v>
      </c>
      <c r="B1962" s="25"/>
      <c r="C1962" s="26" t="s">
        <v>3005</v>
      </c>
      <c r="D1962" s="70"/>
      <c r="G1962" s="70" t="s">
        <v>1543</v>
      </c>
      <c r="H1962" s="26">
        <v>-1</v>
      </c>
      <c r="I1962" s="70" t="s">
        <v>7952</v>
      </c>
      <c r="J1962" s="26" t="s">
        <v>7953</v>
      </c>
      <c r="K1962" s="26" t="s">
        <v>7954</v>
      </c>
      <c r="L1962" s="26" t="s">
        <v>10909</v>
      </c>
      <c r="M1962" s="76"/>
      <c r="N1962" s="76"/>
      <c r="O1962" s="76"/>
      <c r="P1962" s="76"/>
      <c r="Q1962" s="76"/>
      <c r="R1962" s="76"/>
      <c r="Z1962" s="70"/>
      <c r="AA1962" s="70"/>
      <c r="AB1962" s="70"/>
      <c r="AC1962" s="70"/>
    </row>
    <row r="1963" spans="1:31" s="26" customFormat="1" x14ac:dyDescent="0.3">
      <c r="A1963" s="25" t="s">
        <v>7955</v>
      </c>
      <c r="B1963" s="25"/>
      <c r="C1963" s="26" t="s">
        <v>3005</v>
      </c>
      <c r="D1963" s="70"/>
      <c r="G1963" s="70" t="s">
        <v>1543</v>
      </c>
      <c r="H1963" s="26">
        <v>-1</v>
      </c>
      <c r="I1963" s="70" t="s">
        <v>7956</v>
      </c>
      <c r="J1963" s="26" t="s">
        <v>5623</v>
      </c>
      <c r="K1963" s="26" t="s">
        <v>7957</v>
      </c>
      <c r="L1963" s="26" t="s">
        <v>10873</v>
      </c>
      <c r="M1963" s="76"/>
      <c r="N1963" s="76"/>
      <c r="O1963" s="76"/>
      <c r="P1963" s="76"/>
      <c r="Q1963" s="76"/>
      <c r="R1963" s="76"/>
      <c r="Z1963" s="70"/>
      <c r="AA1963" s="70"/>
      <c r="AB1963" s="70"/>
      <c r="AC1963" s="70"/>
    </row>
    <row r="1964" spans="1:31" s="26" customFormat="1" x14ac:dyDescent="0.3">
      <c r="A1964" s="25" t="s">
        <v>7958</v>
      </c>
      <c r="B1964" s="25"/>
      <c r="C1964" s="26" t="s">
        <v>3005</v>
      </c>
      <c r="D1964" s="70"/>
      <c r="G1964" s="70" t="s">
        <v>1543</v>
      </c>
      <c r="H1964" s="26">
        <v>-1</v>
      </c>
      <c r="I1964" s="70" t="s">
        <v>7959</v>
      </c>
      <c r="J1964" s="26" t="s">
        <v>7960</v>
      </c>
      <c r="K1964" s="26" t="s">
        <v>7961</v>
      </c>
      <c r="L1964" s="26" t="s">
        <v>10910</v>
      </c>
      <c r="M1964" s="76"/>
      <c r="N1964" s="76"/>
      <c r="O1964" s="76"/>
      <c r="P1964" s="76"/>
      <c r="Q1964" s="76"/>
      <c r="R1964" s="76"/>
      <c r="Z1964" s="70"/>
      <c r="AA1964" s="70"/>
      <c r="AB1964" s="70"/>
      <c r="AC1964" s="70"/>
    </row>
    <row r="1965" spans="1:31" s="26" customFormat="1" x14ac:dyDescent="0.3">
      <c r="A1965" s="25" t="s">
        <v>7962</v>
      </c>
      <c r="B1965" s="25"/>
      <c r="C1965" s="26" t="s">
        <v>3005</v>
      </c>
      <c r="D1965" s="70"/>
      <c r="G1965" s="70" t="s">
        <v>1543</v>
      </c>
      <c r="H1965" s="26">
        <v>-1</v>
      </c>
      <c r="I1965" s="70" t="s">
        <v>7963</v>
      </c>
      <c r="J1965" s="26" t="s">
        <v>4102</v>
      </c>
      <c r="K1965" s="26" t="s">
        <v>5390</v>
      </c>
      <c r="L1965" s="26" t="s">
        <v>10911</v>
      </c>
      <c r="M1965" s="76"/>
      <c r="N1965" s="76"/>
      <c r="O1965" s="76"/>
      <c r="P1965" s="76"/>
      <c r="Q1965" s="76"/>
      <c r="R1965" s="76"/>
      <c r="Z1965" s="70"/>
      <c r="AA1965" s="70"/>
      <c r="AB1965" s="70"/>
      <c r="AC1965" s="70"/>
    </row>
    <row r="1966" spans="1:31" s="24" customFormat="1" x14ac:dyDescent="0.3">
      <c r="A1966" s="23">
        <v>524</v>
      </c>
      <c r="B1966" s="23">
        <v>518</v>
      </c>
      <c r="C1966" s="24" t="s">
        <v>2165</v>
      </c>
      <c r="D1966" s="69" t="s">
        <v>1517</v>
      </c>
      <c r="E1966" s="24" t="s">
        <v>1516</v>
      </c>
      <c r="F1966" s="24" t="s">
        <v>1544</v>
      </c>
      <c r="G1966" s="69" t="s">
        <v>1545</v>
      </c>
      <c r="H1966" s="24">
        <v>1</v>
      </c>
      <c r="I1966" s="69"/>
      <c r="J1966" s="24" t="s">
        <v>4187</v>
      </c>
      <c r="K1966" s="24" t="s">
        <v>43</v>
      </c>
      <c r="M1966" s="75" t="s">
        <v>15</v>
      </c>
      <c r="N1966" s="75"/>
      <c r="O1966" s="75"/>
      <c r="P1966" s="75"/>
      <c r="Q1966" s="75"/>
      <c r="R1966" s="75"/>
      <c r="Z1966" s="69"/>
      <c r="AA1966" s="69"/>
      <c r="AB1966" s="69"/>
      <c r="AC1966" s="69"/>
    </row>
    <row r="1967" spans="1:31" s="26" customFormat="1" x14ac:dyDescent="0.3">
      <c r="A1967" s="25" t="s">
        <v>7964</v>
      </c>
      <c r="B1967" s="25"/>
      <c r="C1967" s="26" t="s">
        <v>3005</v>
      </c>
      <c r="D1967" s="70"/>
      <c r="G1967" s="70" t="s">
        <v>1545</v>
      </c>
      <c r="H1967" s="26">
        <v>-1</v>
      </c>
      <c r="I1967" s="70" t="s">
        <v>7965</v>
      </c>
      <c r="J1967" s="26" t="s">
        <v>3161</v>
      </c>
      <c r="K1967" s="26" t="s">
        <v>7966</v>
      </c>
      <c r="L1967" s="26" t="s">
        <v>10912</v>
      </c>
      <c r="M1967" s="76"/>
      <c r="N1967" s="76"/>
      <c r="O1967" s="76"/>
      <c r="P1967" s="76"/>
      <c r="Q1967" s="76"/>
      <c r="R1967" s="76"/>
      <c r="Z1967" s="70"/>
      <c r="AA1967" s="70"/>
      <c r="AB1967" s="70"/>
      <c r="AC1967" s="70"/>
    </row>
    <row r="1968" spans="1:31" s="26" customFormat="1" x14ac:dyDescent="0.3">
      <c r="A1968" s="25" t="s">
        <v>7967</v>
      </c>
      <c r="B1968" s="25"/>
      <c r="C1968" s="26" t="s">
        <v>3005</v>
      </c>
      <c r="D1968" s="70"/>
      <c r="G1968" s="70" t="s">
        <v>1545</v>
      </c>
      <c r="H1968" s="26">
        <v>-1</v>
      </c>
      <c r="I1968" s="70" t="s">
        <v>4153</v>
      </c>
      <c r="J1968" s="26" t="s">
        <v>4187</v>
      </c>
      <c r="K1968" s="26" t="s">
        <v>5732</v>
      </c>
      <c r="L1968" s="26" t="s">
        <v>10913</v>
      </c>
      <c r="M1968" s="76"/>
      <c r="N1968" s="76"/>
      <c r="O1968" s="76"/>
      <c r="P1968" s="76"/>
      <c r="Q1968" s="76"/>
      <c r="R1968" s="76"/>
      <c r="Z1968" s="70"/>
      <c r="AA1968" s="70"/>
      <c r="AB1968" s="70"/>
      <c r="AC1968" s="70"/>
    </row>
    <row r="1969" spans="1:31" s="26" customFormat="1" x14ac:dyDescent="0.3">
      <c r="A1969" s="25" t="s">
        <v>7968</v>
      </c>
      <c r="B1969" s="25"/>
      <c r="C1969" s="26" t="s">
        <v>3005</v>
      </c>
      <c r="D1969" s="70"/>
      <c r="G1969" s="70" t="s">
        <v>1545</v>
      </c>
      <c r="H1969" s="26">
        <v>2</v>
      </c>
      <c r="I1969" s="70" t="s">
        <v>7969</v>
      </c>
      <c r="J1969" s="26" t="s">
        <v>5682</v>
      </c>
      <c r="K1969" s="26" t="s">
        <v>7970</v>
      </c>
      <c r="L1969" s="26" t="s">
        <v>10914</v>
      </c>
      <c r="M1969" s="76"/>
      <c r="N1969" s="76"/>
      <c r="O1969" s="76"/>
      <c r="P1969" s="76"/>
      <c r="Q1969" s="76"/>
      <c r="R1969" s="76"/>
      <c r="Z1969" s="70"/>
      <c r="AA1969" s="70"/>
      <c r="AB1969" s="70"/>
      <c r="AC1969" s="70"/>
    </row>
    <row r="1970" spans="1:31" s="24" customFormat="1" x14ac:dyDescent="0.3">
      <c r="A1970" s="23">
        <v>525</v>
      </c>
      <c r="B1970" s="23">
        <v>520</v>
      </c>
      <c r="C1970" s="24" t="s">
        <v>2165</v>
      </c>
      <c r="D1970" s="69" t="s">
        <v>1547</v>
      </c>
      <c r="E1970" s="24" t="s">
        <v>1546</v>
      </c>
      <c r="F1970" s="24" t="s">
        <v>1548</v>
      </c>
      <c r="G1970" s="69" t="s">
        <v>1549</v>
      </c>
      <c r="H1970" s="24">
        <v>3</v>
      </c>
      <c r="I1970" s="69"/>
      <c r="J1970" s="24" t="s">
        <v>7971</v>
      </c>
      <c r="K1970" s="24" t="s">
        <v>1550</v>
      </c>
      <c r="M1970" s="75" t="s">
        <v>15</v>
      </c>
      <c r="N1970" s="75"/>
      <c r="O1970" s="75"/>
      <c r="P1970" s="75"/>
      <c r="Q1970" s="75"/>
      <c r="R1970" s="75"/>
      <c r="Z1970" s="69"/>
      <c r="AA1970" s="69"/>
      <c r="AB1970" s="69"/>
      <c r="AC1970" s="69"/>
    </row>
    <row r="1971" spans="1:31" s="26" customFormat="1" x14ac:dyDescent="0.3">
      <c r="A1971" s="25" t="s">
        <v>7972</v>
      </c>
      <c r="B1971" s="25"/>
      <c r="C1971" s="26" t="s">
        <v>3005</v>
      </c>
      <c r="D1971" s="70"/>
      <c r="G1971" s="70" t="s">
        <v>1549</v>
      </c>
      <c r="H1971" s="26">
        <v>-1</v>
      </c>
      <c r="I1971" s="70" t="s">
        <v>7973</v>
      </c>
      <c r="J1971" s="26" t="s">
        <v>7974</v>
      </c>
      <c r="K1971" s="26" t="s">
        <v>7975</v>
      </c>
      <c r="L1971" s="26" t="s">
        <v>10915</v>
      </c>
      <c r="M1971" s="76"/>
      <c r="N1971" s="76"/>
      <c r="O1971" s="76"/>
      <c r="P1971" s="76"/>
      <c r="Q1971" s="76"/>
      <c r="R1971" s="76"/>
      <c r="Z1971" s="70"/>
      <c r="AA1971" s="70"/>
      <c r="AB1971" s="70"/>
      <c r="AC1971" s="70"/>
    </row>
    <row r="1972" spans="1:31" s="26" customFormat="1" x14ac:dyDescent="0.3">
      <c r="A1972" s="25" t="s">
        <v>7976</v>
      </c>
      <c r="B1972" s="25"/>
      <c r="C1972" s="26" t="s">
        <v>3005</v>
      </c>
      <c r="D1972" s="70"/>
      <c r="G1972" s="70" t="s">
        <v>1549</v>
      </c>
      <c r="H1972" s="26">
        <v>-1</v>
      </c>
      <c r="I1972" s="70" t="s">
        <v>7977</v>
      </c>
      <c r="J1972" s="26" t="s">
        <v>7971</v>
      </c>
      <c r="K1972" s="26" t="s">
        <v>7978</v>
      </c>
      <c r="L1972" s="26" t="s">
        <v>10916</v>
      </c>
      <c r="M1972" s="76"/>
      <c r="N1972" s="76"/>
      <c r="O1972" s="76"/>
      <c r="P1972" s="76"/>
      <c r="Q1972" s="76"/>
      <c r="R1972" s="76"/>
      <c r="Z1972" s="70"/>
      <c r="AA1972" s="70"/>
      <c r="AB1972" s="70"/>
      <c r="AC1972" s="70"/>
    </row>
    <row r="1973" spans="1:31" s="26" customFormat="1" x14ac:dyDescent="0.3">
      <c r="A1973" s="25" t="s">
        <v>7979</v>
      </c>
      <c r="B1973" s="25"/>
      <c r="C1973" s="26" t="s">
        <v>3005</v>
      </c>
      <c r="D1973" s="70"/>
      <c r="G1973" s="70" t="s">
        <v>1549</v>
      </c>
      <c r="H1973" s="26">
        <v>-1</v>
      </c>
      <c r="I1973" s="70" t="s">
        <v>7980</v>
      </c>
      <c r="J1973" s="26" t="s">
        <v>7981</v>
      </c>
      <c r="K1973" s="26" t="s">
        <v>7982</v>
      </c>
      <c r="L1973" s="26" t="s">
        <v>10917</v>
      </c>
      <c r="M1973" s="76"/>
      <c r="N1973" s="76"/>
      <c r="O1973" s="76"/>
      <c r="P1973" s="76"/>
      <c r="Q1973" s="76"/>
      <c r="R1973" s="76"/>
      <c r="T1973" s="26" t="s">
        <v>2330</v>
      </c>
      <c r="Z1973" s="70"/>
      <c r="AA1973" s="70"/>
      <c r="AB1973" s="70"/>
      <c r="AC1973" s="70"/>
      <c r="AE1973" s="26" t="s">
        <v>7983</v>
      </c>
    </row>
    <row r="1974" spans="1:31" s="26" customFormat="1" x14ac:dyDescent="0.3">
      <c r="A1974" s="25" t="s">
        <v>7984</v>
      </c>
      <c r="B1974" s="25"/>
      <c r="C1974" s="26" t="s">
        <v>3005</v>
      </c>
      <c r="D1974" s="70"/>
      <c r="G1974" s="70" t="s">
        <v>1549</v>
      </c>
      <c r="H1974" s="26">
        <v>-1</v>
      </c>
      <c r="I1974" s="70" t="s">
        <v>7985</v>
      </c>
      <c r="J1974" s="26" t="s">
        <v>7986</v>
      </c>
      <c r="K1974" s="26" t="s">
        <v>7987</v>
      </c>
      <c r="L1974" s="26" t="s">
        <v>10918</v>
      </c>
      <c r="M1974" s="76"/>
      <c r="N1974" s="76"/>
      <c r="O1974" s="76"/>
      <c r="P1974" s="76"/>
      <c r="Q1974" s="76"/>
      <c r="R1974" s="76"/>
      <c r="Z1974" s="70"/>
      <c r="AA1974" s="70"/>
      <c r="AB1974" s="70"/>
      <c r="AC1974" s="70"/>
    </row>
    <row r="1975" spans="1:31" s="26" customFormat="1" x14ac:dyDescent="0.3">
      <c r="A1975" s="25" t="s">
        <v>7988</v>
      </c>
      <c r="B1975" s="25"/>
      <c r="C1975" s="26" t="s">
        <v>3005</v>
      </c>
      <c r="D1975" s="70"/>
      <c r="G1975" s="70" t="s">
        <v>1549</v>
      </c>
      <c r="H1975" s="26">
        <v>-1</v>
      </c>
      <c r="I1975" s="70" t="s">
        <v>7989</v>
      </c>
      <c r="J1975" s="26" t="s">
        <v>7990</v>
      </c>
      <c r="K1975" s="26" t="s">
        <v>7991</v>
      </c>
      <c r="L1975" s="26" t="s">
        <v>10919</v>
      </c>
      <c r="M1975" s="76"/>
      <c r="N1975" s="76"/>
      <c r="O1975" s="76"/>
      <c r="P1975" s="76"/>
      <c r="Q1975" s="76"/>
      <c r="R1975" s="76"/>
      <c r="Z1975" s="70"/>
      <c r="AA1975" s="70"/>
      <c r="AB1975" s="70"/>
      <c r="AC1975" s="70"/>
    </row>
    <row r="1976" spans="1:31" s="26" customFormat="1" x14ac:dyDescent="0.3">
      <c r="A1976" s="25" t="s">
        <v>7992</v>
      </c>
      <c r="B1976" s="25"/>
      <c r="C1976" s="26" t="s">
        <v>3005</v>
      </c>
      <c r="D1976" s="70"/>
      <c r="G1976" s="70" t="s">
        <v>1549</v>
      </c>
      <c r="H1976" s="26">
        <v>-1</v>
      </c>
      <c r="I1976" s="70" t="s">
        <v>7993</v>
      </c>
      <c r="J1976" s="26" t="s">
        <v>7994</v>
      </c>
      <c r="K1976" s="26" t="s">
        <v>7995</v>
      </c>
      <c r="L1976" s="26" t="s">
        <v>10920</v>
      </c>
      <c r="M1976" s="76"/>
      <c r="N1976" s="76"/>
      <c r="O1976" s="76"/>
      <c r="P1976" s="76"/>
      <c r="Q1976" s="76"/>
      <c r="R1976" s="76"/>
      <c r="Z1976" s="70"/>
      <c r="AA1976" s="70"/>
      <c r="AB1976" s="70"/>
      <c r="AC1976" s="70"/>
    </row>
    <row r="1977" spans="1:31" s="26" customFormat="1" x14ac:dyDescent="0.3">
      <c r="A1977" s="25" t="s">
        <v>7996</v>
      </c>
      <c r="B1977" s="25"/>
      <c r="C1977" s="26" t="s">
        <v>3005</v>
      </c>
      <c r="D1977" s="70"/>
      <c r="G1977" s="70" t="s">
        <v>1549</v>
      </c>
      <c r="H1977" s="26">
        <v>-1</v>
      </c>
      <c r="I1977" s="70" t="s">
        <v>7997</v>
      </c>
      <c r="J1977" s="26" t="s">
        <v>7998</v>
      </c>
      <c r="K1977" s="26" t="s">
        <v>3840</v>
      </c>
      <c r="L1977" s="26" t="s">
        <v>10921</v>
      </c>
      <c r="M1977" s="76"/>
      <c r="N1977" s="76"/>
      <c r="O1977" s="76"/>
      <c r="P1977" s="76"/>
      <c r="Q1977" s="76"/>
      <c r="R1977" s="76"/>
      <c r="Z1977" s="70"/>
      <c r="AA1977" s="70"/>
      <c r="AB1977" s="70"/>
      <c r="AC1977" s="70"/>
    </row>
    <row r="1978" spans="1:31" s="26" customFormat="1" x14ac:dyDescent="0.3">
      <c r="A1978" s="25" t="s">
        <v>7999</v>
      </c>
      <c r="B1978" s="25"/>
      <c r="C1978" s="26" t="s">
        <v>3005</v>
      </c>
      <c r="D1978" s="70"/>
      <c r="G1978" s="70" t="s">
        <v>1549</v>
      </c>
      <c r="H1978" s="26">
        <v>-1</v>
      </c>
      <c r="I1978" s="70" t="s">
        <v>8000</v>
      </c>
      <c r="J1978" s="26" t="s">
        <v>8001</v>
      </c>
      <c r="K1978" s="26" t="s">
        <v>8002</v>
      </c>
      <c r="L1978" s="26" t="s">
        <v>3736</v>
      </c>
      <c r="M1978" s="76"/>
      <c r="N1978" s="76"/>
      <c r="O1978" s="76"/>
      <c r="P1978" s="76"/>
      <c r="Q1978" s="76"/>
      <c r="R1978" s="76"/>
      <c r="Z1978" s="70"/>
      <c r="AA1978" s="70"/>
      <c r="AB1978" s="70"/>
      <c r="AC1978" s="70"/>
    </row>
    <row r="1979" spans="1:31" s="26" customFormat="1" x14ac:dyDescent="0.3">
      <c r="A1979" s="25" t="s">
        <v>8003</v>
      </c>
      <c r="B1979" s="25"/>
      <c r="C1979" s="26" t="s">
        <v>3005</v>
      </c>
      <c r="D1979" s="70"/>
      <c r="G1979" s="70" t="s">
        <v>1549</v>
      </c>
      <c r="H1979" s="26">
        <v>2</v>
      </c>
      <c r="I1979" s="70" t="s">
        <v>8004</v>
      </c>
      <c r="J1979" s="26" t="s">
        <v>8005</v>
      </c>
      <c r="K1979" s="26" t="s">
        <v>8006</v>
      </c>
      <c r="L1979" s="26" t="s">
        <v>10922</v>
      </c>
      <c r="M1979" s="76"/>
      <c r="N1979" s="76"/>
      <c r="O1979" s="76"/>
      <c r="P1979" s="76"/>
      <c r="Q1979" s="76"/>
      <c r="R1979" s="76"/>
      <c r="Z1979" s="70"/>
      <c r="AA1979" s="70"/>
      <c r="AB1979" s="70"/>
      <c r="AC1979" s="70"/>
    </row>
    <row r="1980" spans="1:31" s="26" customFormat="1" x14ac:dyDescent="0.3">
      <c r="A1980" s="25" t="s">
        <v>8007</v>
      </c>
      <c r="B1980" s="25"/>
      <c r="C1980" s="26" t="s">
        <v>3005</v>
      </c>
      <c r="D1980" s="70"/>
      <c r="G1980" s="70" t="s">
        <v>1549</v>
      </c>
      <c r="H1980" s="26">
        <v>2</v>
      </c>
      <c r="I1980" s="70" t="s">
        <v>8008</v>
      </c>
      <c r="J1980" s="26" t="s">
        <v>8009</v>
      </c>
      <c r="K1980" s="26" t="s">
        <v>8010</v>
      </c>
      <c r="L1980" s="26" t="s">
        <v>10923</v>
      </c>
      <c r="M1980" s="76"/>
      <c r="N1980" s="76"/>
      <c r="O1980" s="76"/>
      <c r="P1980" s="76"/>
      <c r="Q1980" s="76"/>
      <c r="R1980" s="76"/>
      <c r="Z1980" s="70"/>
      <c r="AA1980" s="70"/>
      <c r="AB1980" s="70"/>
      <c r="AC1980" s="70"/>
    </row>
    <row r="1981" spans="1:31" s="26" customFormat="1" x14ac:dyDescent="0.3">
      <c r="A1981" s="25" t="s">
        <v>8011</v>
      </c>
      <c r="B1981" s="25"/>
      <c r="C1981" s="26" t="s">
        <v>3005</v>
      </c>
      <c r="D1981" s="70"/>
      <c r="G1981" s="70" t="s">
        <v>1549</v>
      </c>
      <c r="H1981" s="26">
        <v>1</v>
      </c>
      <c r="I1981" s="70" t="s">
        <v>8012</v>
      </c>
      <c r="J1981" s="26" t="s">
        <v>6294</v>
      </c>
      <c r="K1981" s="26" t="s">
        <v>8013</v>
      </c>
      <c r="L1981" s="26" t="s">
        <v>10924</v>
      </c>
      <c r="M1981" s="76"/>
      <c r="N1981" s="76"/>
      <c r="O1981" s="76"/>
      <c r="P1981" s="76"/>
      <c r="Q1981" s="76"/>
      <c r="R1981" s="76"/>
      <c r="Z1981" s="70"/>
      <c r="AA1981" s="70"/>
      <c r="AB1981" s="70"/>
      <c r="AC1981" s="70"/>
    </row>
    <row r="1982" spans="1:31" s="26" customFormat="1" x14ac:dyDescent="0.3">
      <c r="A1982" s="25" t="s">
        <v>8014</v>
      </c>
      <c r="B1982" s="25"/>
      <c r="C1982" s="26" t="s">
        <v>3005</v>
      </c>
      <c r="D1982" s="70"/>
      <c r="G1982" s="70" t="s">
        <v>1549</v>
      </c>
      <c r="H1982" s="26">
        <v>-1</v>
      </c>
      <c r="I1982" s="70" t="s">
        <v>8015</v>
      </c>
      <c r="J1982" s="26" t="s">
        <v>8016</v>
      </c>
      <c r="K1982" s="26" t="s">
        <v>8017</v>
      </c>
      <c r="L1982" s="26" t="s">
        <v>10925</v>
      </c>
      <c r="M1982" s="76"/>
      <c r="N1982" s="76"/>
      <c r="O1982" s="76"/>
      <c r="P1982" s="76"/>
      <c r="Q1982" s="76"/>
      <c r="R1982" s="76"/>
      <c r="Z1982" s="70"/>
      <c r="AA1982" s="70"/>
      <c r="AB1982" s="70"/>
      <c r="AC1982" s="70"/>
    </row>
    <row r="1983" spans="1:31" s="26" customFormat="1" x14ac:dyDescent="0.3">
      <c r="A1983" s="25" t="s">
        <v>8018</v>
      </c>
      <c r="B1983" s="25"/>
      <c r="C1983" s="26" t="s">
        <v>3005</v>
      </c>
      <c r="D1983" s="70"/>
      <c r="G1983" s="70" t="s">
        <v>1549</v>
      </c>
      <c r="H1983" s="26">
        <v>-1</v>
      </c>
      <c r="I1983" s="70" t="s">
        <v>8019</v>
      </c>
      <c r="J1983" s="26" t="s">
        <v>6661</v>
      </c>
      <c r="K1983" s="26" t="s">
        <v>8020</v>
      </c>
      <c r="L1983" s="26" t="s">
        <v>10926</v>
      </c>
      <c r="M1983" s="76"/>
      <c r="N1983" s="76"/>
      <c r="O1983" s="76"/>
      <c r="P1983" s="76"/>
      <c r="Q1983" s="76"/>
      <c r="R1983" s="76"/>
      <c r="Z1983" s="70"/>
      <c r="AA1983" s="70"/>
      <c r="AB1983" s="70"/>
      <c r="AC1983" s="70"/>
    </row>
    <row r="1984" spans="1:31" s="26" customFormat="1" x14ac:dyDescent="0.3">
      <c r="A1984" s="25" t="s">
        <v>8021</v>
      </c>
      <c r="B1984" s="25"/>
      <c r="C1984" s="26" t="s">
        <v>3005</v>
      </c>
      <c r="D1984" s="70"/>
      <c r="G1984" s="70" t="s">
        <v>1549</v>
      </c>
      <c r="H1984" s="26">
        <v>-1</v>
      </c>
      <c r="I1984" s="70" t="s">
        <v>8022</v>
      </c>
      <c r="J1984" s="26" t="s">
        <v>7504</v>
      </c>
      <c r="K1984" s="26" t="s">
        <v>6551</v>
      </c>
      <c r="L1984" s="26" t="s">
        <v>10927</v>
      </c>
      <c r="M1984" s="76"/>
      <c r="N1984" s="76"/>
      <c r="O1984" s="76"/>
      <c r="P1984" s="76"/>
      <c r="Q1984" s="76"/>
      <c r="R1984" s="76"/>
      <c r="Z1984" s="70"/>
      <c r="AA1984" s="70"/>
      <c r="AB1984" s="70"/>
      <c r="AC1984" s="70"/>
    </row>
    <row r="1985" spans="1:29" s="26" customFormat="1" x14ac:dyDescent="0.3">
      <c r="A1985" s="25" t="s">
        <v>8023</v>
      </c>
      <c r="B1985" s="25"/>
      <c r="C1985" s="26" t="s">
        <v>3005</v>
      </c>
      <c r="D1985" s="70"/>
      <c r="G1985" s="70" t="s">
        <v>1549</v>
      </c>
      <c r="H1985" s="26">
        <v>-1</v>
      </c>
      <c r="I1985" s="70" t="s">
        <v>8024</v>
      </c>
      <c r="J1985" s="26" t="s">
        <v>8025</v>
      </c>
      <c r="K1985" s="26" t="s">
        <v>8026</v>
      </c>
      <c r="L1985" s="26" t="s">
        <v>10928</v>
      </c>
      <c r="M1985" s="76"/>
      <c r="N1985" s="76"/>
      <c r="O1985" s="76"/>
      <c r="P1985" s="76"/>
      <c r="Q1985" s="76"/>
      <c r="R1985" s="76"/>
      <c r="Z1985" s="70"/>
      <c r="AA1985" s="70"/>
      <c r="AB1985" s="70"/>
      <c r="AC1985" s="70"/>
    </row>
    <row r="1986" spans="1:29" s="26" customFormat="1" x14ac:dyDescent="0.3">
      <c r="A1986" s="25" t="s">
        <v>8027</v>
      </c>
      <c r="B1986" s="25"/>
      <c r="C1986" s="26" t="s">
        <v>3005</v>
      </c>
      <c r="D1986" s="70"/>
      <c r="G1986" s="70" t="s">
        <v>1549</v>
      </c>
      <c r="H1986" s="26">
        <v>-1</v>
      </c>
      <c r="I1986" s="70" t="s">
        <v>8028</v>
      </c>
      <c r="J1986" s="26" t="s">
        <v>3569</v>
      </c>
      <c r="K1986" s="26" t="s">
        <v>8029</v>
      </c>
      <c r="L1986" s="26" t="s">
        <v>10929</v>
      </c>
      <c r="M1986" s="76"/>
      <c r="N1986" s="76"/>
      <c r="O1986" s="76"/>
      <c r="P1986" s="76"/>
      <c r="Q1986" s="76"/>
      <c r="R1986" s="76"/>
      <c r="Z1986" s="70"/>
      <c r="AA1986" s="70"/>
      <c r="AB1986" s="70"/>
      <c r="AC1986" s="70"/>
    </row>
    <row r="1987" spans="1:29" s="26" customFormat="1" x14ac:dyDescent="0.3">
      <c r="A1987" s="25" t="s">
        <v>8030</v>
      </c>
      <c r="B1987" s="25"/>
      <c r="C1987" s="26" t="s">
        <v>3005</v>
      </c>
      <c r="D1987" s="70"/>
      <c r="G1987" s="70" t="s">
        <v>1549</v>
      </c>
      <c r="H1987" s="26">
        <v>-1</v>
      </c>
      <c r="I1987" s="70" t="s">
        <v>8031</v>
      </c>
      <c r="J1987" s="26" t="s">
        <v>8032</v>
      </c>
      <c r="K1987" s="26" t="s">
        <v>8033</v>
      </c>
      <c r="L1987" s="26" t="s">
        <v>10930</v>
      </c>
      <c r="M1987" s="76"/>
      <c r="N1987" s="76"/>
      <c r="O1987" s="76"/>
      <c r="P1987" s="76"/>
      <c r="Q1987" s="76"/>
      <c r="R1987" s="76"/>
      <c r="Z1987" s="70"/>
      <c r="AA1987" s="70"/>
      <c r="AB1987" s="70"/>
      <c r="AC1987" s="70"/>
    </row>
    <row r="1988" spans="1:29" s="24" customFormat="1" x14ac:dyDescent="0.3">
      <c r="A1988" s="23">
        <v>526</v>
      </c>
      <c r="B1988" s="23">
        <v>521</v>
      </c>
      <c r="C1988" s="24" t="s">
        <v>2165</v>
      </c>
      <c r="D1988" s="69" t="s">
        <v>1547</v>
      </c>
      <c r="E1988" s="24" t="s">
        <v>1546</v>
      </c>
      <c r="F1988" s="24" t="s">
        <v>1551</v>
      </c>
      <c r="G1988" s="69" t="s">
        <v>1552</v>
      </c>
      <c r="H1988" s="24">
        <v>1</v>
      </c>
      <c r="I1988" s="69"/>
      <c r="J1988" s="24" t="s">
        <v>6088</v>
      </c>
      <c r="K1988" s="24" t="s">
        <v>119</v>
      </c>
      <c r="M1988" s="75" t="s">
        <v>15</v>
      </c>
      <c r="N1988" s="75"/>
      <c r="O1988" s="75"/>
      <c r="P1988" s="75"/>
      <c r="Q1988" s="75"/>
      <c r="R1988" s="75"/>
      <c r="V1988" s="24" t="s">
        <v>2834</v>
      </c>
      <c r="Z1988" s="69"/>
      <c r="AA1988" s="69"/>
      <c r="AB1988" s="69"/>
      <c r="AC1988" s="69"/>
    </row>
    <row r="1989" spans="1:29" s="26" customFormat="1" x14ac:dyDescent="0.3">
      <c r="A1989" s="25" t="s">
        <v>8034</v>
      </c>
      <c r="B1989" s="25"/>
      <c r="C1989" s="26" t="s">
        <v>3005</v>
      </c>
      <c r="D1989" s="70"/>
      <c r="G1989" s="70" t="s">
        <v>1552</v>
      </c>
      <c r="H1989" s="26">
        <v>-1</v>
      </c>
      <c r="I1989" s="70" t="s">
        <v>7177</v>
      </c>
      <c r="J1989" s="26" t="s">
        <v>8035</v>
      </c>
      <c r="K1989" s="26" t="s">
        <v>8036</v>
      </c>
      <c r="L1989" s="26" t="s">
        <v>10931</v>
      </c>
      <c r="M1989" s="76"/>
      <c r="N1989" s="76"/>
      <c r="O1989" s="76"/>
      <c r="P1989" s="76"/>
      <c r="Q1989" s="76"/>
      <c r="R1989" s="76"/>
      <c r="Z1989" s="70"/>
      <c r="AA1989" s="70"/>
      <c r="AB1989" s="70"/>
      <c r="AC1989" s="70"/>
    </row>
    <row r="1990" spans="1:29" s="26" customFormat="1" x14ac:dyDescent="0.3">
      <c r="A1990" s="25" t="s">
        <v>8037</v>
      </c>
      <c r="B1990" s="25"/>
      <c r="C1990" s="26" t="s">
        <v>3005</v>
      </c>
      <c r="D1990" s="70"/>
      <c r="G1990" s="70" t="s">
        <v>1552</v>
      </c>
      <c r="H1990" s="26">
        <v>-1</v>
      </c>
      <c r="I1990" s="70" t="s">
        <v>8038</v>
      </c>
      <c r="J1990" s="26" t="s">
        <v>8001</v>
      </c>
      <c r="K1990" s="26" t="s">
        <v>8039</v>
      </c>
      <c r="L1990" s="26" t="s">
        <v>10932</v>
      </c>
      <c r="M1990" s="76"/>
      <c r="N1990" s="76"/>
      <c r="O1990" s="76"/>
      <c r="P1990" s="76"/>
      <c r="Q1990" s="76"/>
      <c r="R1990" s="76"/>
      <c r="Z1990" s="70"/>
      <c r="AA1990" s="70"/>
      <c r="AB1990" s="70"/>
      <c r="AC1990" s="70"/>
    </row>
    <row r="1991" spans="1:29" s="26" customFormat="1" x14ac:dyDescent="0.3">
      <c r="A1991" s="25" t="s">
        <v>8040</v>
      </c>
      <c r="B1991" s="25"/>
      <c r="C1991" s="26" t="s">
        <v>3005</v>
      </c>
      <c r="D1991" s="70"/>
      <c r="G1991" s="70" t="s">
        <v>1552</v>
      </c>
      <c r="H1991" s="26">
        <v>-1</v>
      </c>
      <c r="I1991" s="70" t="s">
        <v>8041</v>
      </c>
      <c r="J1991" s="26" t="s">
        <v>8042</v>
      </c>
      <c r="K1991" s="26" t="s">
        <v>8043</v>
      </c>
      <c r="L1991" s="26" t="s">
        <v>10933</v>
      </c>
      <c r="M1991" s="76"/>
      <c r="N1991" s="76"/>
      <c r="O1991" s="76"/>
      <c r="P1991" s="76"/>
      <c r="Q1991" s="76"/>
      <c r="R1991" s="76"/>
      <c r="Z1991" s="70"/>
      <c r="AA1991" s="70"/>
      <c r="AB1991" s="70"/>
      <c r="AC1991" s="70"/>
    </row>
    <row r="1992" spans="1:29" s="26" customFormat="1" x14ac:dyDescent="0.3">
      <c r="A1992" s="25" t="s">
        <v>8044</v>
      </c>
      <c r="B1992" s="25"/>
      <c r="C1992" s="26" t="s">
        <v>3005</v>
      </c>
      <c r="D1992" s="70"/>
      <c r="G1992" s="70" t="s">
        <v>1552</v>
      </c>
      <c r="H1992" s="26">
        <v>-1</v>
      </c>
      <c r="I1992" s="70" t="s">
        <v>8045</v>
      </c>
      <c r="J1992" s="26" t="s">
        <v>8046</v>
      </c>
      <c r="K1992" s="26" t="s">
        <v>8047</v>
      </c>
      <c r="L1992" s="26" t="s">
        <v>10934</v>
      </c>
      <c r="M1992" s="76"/>
      <c r="N1992" s="76"/>
      <c r="O1992" s="76"/>
      <c r="P1992" s="76"/>
      <c r="Q1992" s="76"/>
      <c r="R1992" s="76"/>
      <c r="Z1992" s="70"/>
      <c r="AA1992" s="70"/>
      <c r="AB1992" s="70"/>
      <c r="AC1992" s="70"/>
    </row>
    <row r="1993" spans="1:29" s="26" customFormat="1" x14ac:dyDescent="0.3">
      <c r="A1993" s="25" t="s">
        <v>8048</v>
      </c>
      <c r="B1993" s="25"/>
      <c r="C1993" s="26" t="s">
        <v>3005</v>
      </c>
      <c r="D1993" s="70"/>
      <c r="G1993" s="70" t="s">
        <v>1552</v>
      </c>
      <c r="H1993" s="26">
        <v>-1</v>
      </c>
      <c r="I1993" s="70" t="s">
        <v>8049</v>
      </c>
      <c r="J1993" s="26" t="s">
        <v>8009</v>
      </c>
      <c r="K1993" s="26" t="s">
        <v>3757</v>
      </c>
      <c r="L1993" s="26" t="s">
        <v>3757</v>
      </c>
      <c r="M1993" s="76"/>
      <c r="N1993" s="76"/>
      <c r="O1993" s="76"/>
      <c r="P1993" s="76"/>
      <c r="Q1993" s="76"/>
      <c r="R1993" s="76"/>
      <c r="Z1993" s="70"/>
      <c r="AA1993" s="70"/>
      <c r="AB1993" s="70"/>
      <c r="AC1993" s="70"/>
    </row>
    <row r="1994" spans="1:29" s="26" customFormat="1" x14ac:dyDescent="0.3">
      <c r="A1994" s="25" t="s">
        <v>8050</v>
      </c>
      <c r="B1994" s="25"/>
      <c r="C1994" s="26" t="s">
        <v>3005</v>
      </c>
      <c r="D1994" s="70"/>
      <c r="G1994" s="70" t="s">
        <v>1552</v>
      </c>
      <c r="H1994" s="26">
        <v>3</v>
      </c>
      <c r="I1994" s="70" t="s">
        <v>8051</v>
      </c>
      <c r="J1994" s="26" t="s">
        <v>6670</v>
      </c>
      <c r="K1994" s="26" t="s">
        <v>8052</v>
      </c>
      <c r="L1994" s="26" t="s">
        <v>9851</v>
      </c>
      <c r="M1994" s="76"/>
      <c r="N1994" s="76"/>
      <c r="O1994" s="76"/>
      <c r="P1994" s="76"/>
      <c r="Q1994" s="76"/>
      <c r="R1994" s="76"/>
      <c r="Z1994" s="70"/>
      <c r="AA1994" s="70"/>
      <c r="AB1994" s="70"/>
      <c r="AC1994" s="70"/>
    </row>
    <row r="1995" spans="1:29" s="26" customFormat="1" x14ac:dyDescent="0.3">
      <c r="A1995" s="25" t="s">
        <v>8053</v>
      </c>
      <c r="B1995" s="25"/>
      <c r="C1995" s="26" t="s">
        <v>3005</v>
      </c>
      <c r="D1995" s="70"/>
      <c r="G1995" s="70" t="s">
        <v>1552</v>
      </c>
      <c r="H1995" s="26">
        <v>-1</v>
      </c>
      <c r="I1995" s="70" t="s">
        <v>8054</v>
      </c>
      <c r="J1995" s="26" t="s">
        <v>4014</v>
      </c>
      <c r="K1995" s="26" t="s">
        <v>8055</v>
      </c>
      <c r="L1995" s="26" t="s">
        <v>10935</v>
      </c>
      <c r="M1995" s="76"/>
      <c r="N1995" s="76"/>
      <c r="O1995" s="76"/>
      <c r="P1995" s="76"/>
      <c r="Q1995" s="76"/>
      <c r="R1995" s="76"/>
      <c r="Z1995" s="70"/>
      <c r="AA1995" s="70"/>
      <c r="AB1995" s="70"/>
      <c r="AC1995" s="70"/>
    </row>
    <row r="1996" spans="1:29" s="26" customFormat="1" x14ac:dyDescent="0.3">
      <c r="A1996" s="25" t="s">
        <v>8056</v>
      </c>
      <c r="B1996" s="25"/>
      <c r="C1996" s="26" t="s">
        <v>3005</v>
      </c>
      <c r="D1996" s="70"/>
      <c r="G1996" s="70" t="s">
        <v>1552</v>
      </c>
      <c r="H1996" s="26">
        <v>-1</v>
      </c>
      <c r="I1996" s="70" t="s">
        <v>8057</v>
      </c>
      <c r="J1996" s="26" t="s">
        <v>7408</v>
      </c>
      <c r="K1996" s="26" t="s">
        <v>8058</v>
      </c>
      <c r="L1996" s="26" t="s">
        <v>10936</v>
      </c>
      <c r="M1996" s="76"/>
      <c r="N1996" s="76"/>
      <c r="O1996" s="76"/>
      <c r="P1996" s="76"/>
      <c r="Q1996" s="76"/>
      <c r="R1996" s="76"/>
      <c r="Z1996" s="70"/>
      <c r="AA1996" s="70"/>
      <c r="AB1996" s="70"/>
      <c r="AC1996" s="70"/>
    </row>
    <row r="1997" spans="1:29" s="26" customFormat="1" x14ac:dyDescent="0.3">
      <c r="A1997" s="25" t="s">
        <v>8059</v>
      </c>
      <c r="B1997" s="25"/>
      <c r="C1997" s="26" t="s">
        <v>3005</v>
      </c>
      <c r="D1997" s="70"/>
      <c r="G1997" s="70" t="s">
        <v>1552</v>
      </c>
      <c r="H1997" s="26">
        <v>-1</v>
      </c>
      <c r="I1997" s="70" t="s">
        <v>8060</v>
      </c>
      <c r="J1997" s="26" t="s">
        <v>8061</v>
      </c>
      <c r="K1997" s="26" t="s">
        <v>8062</v>
      </c>
      <c r="L1997" s="26" t="s">
        <v>10937</v>
      </c>
      <c r="M1997" s="76"/>
      <c r="N1997" s="76"/>
      <c r="O1997" s="76"/>
      <c r="P1997" s="76"/>
      <c r="Q1997" s="76"/>
      <c r="R1997" s="76"/>
      <c r="Z1997" s="70"/>
      <c r="AA1997" s="70"/>
      <c r="AB1997" s="70"/>
      <c r="AC1997" s="70"/>
    </row>
    <row r="1998" spans="1:29" s="26" customFormat="1" x14ac:dyDescent="0.3">
      <c r="A1998" s="25" t="s">
        <v>8063</v>
      </c>
      <c r="B1998" s="25"/>
      <c r="C1998" s="26" t="s">
        <v>3005</v>
      </c>
      <c r="D1998" s="70"/>
      <c r="G1998" s="70" t="s">
        <v>1552</v>
      </c>
      <c r="H1998" s="26">
        <v>-1</v>
      </c>
      <c r="I1998" s="70" t="s">
        <v>8064</v>
      </c>
      <c r="J1998" s="26" t="s">
        <v>3195</v>
      </c>
      <c r="K1998" s="26" t="s">
        <v>8065</v>
      </c>
      <c r="L1998" s="26" t="s">
        <v>10938</v>
      </c>
      <c r="M1998" s="76"/>
      <c r="N1998" s="76"/>
      <c r="O1998" s="76"/>
      <c r="P1998" s="76"/>
      <c r="Q1998" s="76"/>
      <c r="R1998" s="76"/>
      <c r="Z1998" s="70"/>
      <c r="AA1998" s="70"/>
      <c r="AB1998" s="70"/>
      <c r="AC1998" s="70"/>
    </row>
    <row r="1999" spans="1:29" s="26" customFormat="1" x14ac:dyDescent="0.3">
      <c r="A1999" s="25" t="s">
        <v>8066</v>
      </c>
      <c r="B1999" s="25"/>
      <c r="C1999" s="26" t="s">
        <v>3005</v>
      </c>
      <c r="D1999" s="70"/>
      <c r="G1999" s="70" t="s">
        <v>1552</v>
      </c>
      <c r="H1999" s="26">
        <v>-1</v>
      </c>
      <c r="I1999" s="70" t="s">
        <v>8067</v>
      </c>
      <c r="J1999" s="26" t="s">
        <v>6088</v>
      </c>
      <c r="K1999" s="26" t="s">
        <v>7409</v>
      </c>
      <c r="L1999" s="26" t="s">
        <v>10939</v>
      </c>
      <c r="M1999" s="76"/>
      <c r="N1999" s="76"/>
      <c r="O1999" s="76"/>
      <c r="P1999" s="76"/>
      <c r="Q1999" s="76"/>
      <c r="R1999" s="76"/>
      <c r="Z1999" s="70"/>
      <c r="AA1999" s="70"/>
      <c r="AB1999" s="70"/>
      <c r="AC1999" s="70"/>
    </row>
    <row r="2000" spans="1:29" s="26" customFormat="1" x14ac:dyDescent="0.3">
      <c r="A2000" s="25" t="s">
        <v>8068</v>
      </c>
      <c r="B2000" s="25"/>
      <c r="C2000" s="26" t="s">
        <v>3005</v>
      </c>
      <c r="D2000" s="70"/>
      <c r="G2000" s="70" t="s">
        <v>1552</v>
      </c>
      <c r="H2000" s="26">
        <v>-1</v>
      </c>
      <c r="I2000" s="70" t="s">
        <v>8069</v>
      </c>
      <c r="J2000" s="26" t="s">
        <v>7674</v>
      </c>
      <c r="K2000" s="26" t="s">
        <v>5394</v>
      </c>
      <c r="L2000" s="26" t="s">
        <v>10348</v>
      </c>
      <c r="M2000" s="76"/>
      <c r="N2000" s="76"/>
      <c r="O2000" s="76"/>
      <c r="P2000" s="76"/>
      <c r="Q2000" s="76"/>
      <c r="R2000" s="76"/>
      <c r="Z2000" s="70"/>
      <c r="AA2000" s="70"/>
      <c r="AB2000" s="70"/>
      <c r="AC2000" s="70"/>
    </row>
    <row r="2001" spans="1:31" s="24" customFormat="1" x14ac:dyDescent="0.3">
      <c r="A2001" s="23">
        <v>527</v>
      </c>
      <c r="B2001" s="23">
        <v>522</v>
      </c>
      <c r="C2001" s="24" t="s">
        <v>2165</v>
      </c>
      <c r="D2001" s="69" t="s">
        <v>1553</v>
      </c>
      <c r="E2001" s="24" t="s">
        <v>1546</v>
      </c>
      <c r="F2001" s="24" t="s">
        <v>1554</v>
      </c>
      <c r="G2001" s="69" t="s">
        <v>1555</v>
      </c>
      <c r="I2001" s="69"/>
      <c r="J2001" s="24" t="s">
        <v>8070</v>
      </c>
      <c r="K2001" s="24" t="s">
        <v>1556</v>
      </c>
      <c r="L2001" s="24" t="s">
        <v>9879</v>
      </c>
      <c r="M2001" s="75" t="s">
        <v>65</v>
      </c>
      <c r="N2001" s="75" t="s">
        <v>2020</v>
      </c>
      <c r="O2001" s="75" t="s">
        <v>406</v>
      </c>
      <c r="P2001" s="75" t="s">
        <v>406</v>
      </c>
      <c r="Q2001" s="75" t="s">
        <v>66</v>
      </c>
      <c r="R2001" s="75" t="s">
        <v>2166</v>
      </c>
      <c r="T2001" s="24" t="s">
        <v>2174</v>
      </c>
      <c r="V2001" s="24" t="s">
        <v>2835</v>
      </c>
      <c r="W2001" s="24" t="s">
        <v>2836</v>
      </c>
      <c r="Z2001" s="69"/>
      <c r="AA2001" s="69"/>
      <c r="AB2001" s="69"/>
      <c r="AC2001" s="69"/>
      <c r="AE2001" s="24" t="s">
        <v>2837</v>
      </c>
    </row>
    <row r="2002" spans="1:31" s="24" customFormat="1" x14ac:dyDescent="0.3">
      <c r="A2002" s="23">
        <v>528</v>
      </c>
      <c r="B2002" s="23">
        <v>523</v>
      </c>
      <c r="C2002" s="24" t="s">
        <v>2165</v>
      </c>
      <c r="D2002" s="69" t="s">
        <v>1553</v>
      </c>
      <c r="E2002" s="24" t="s">
        <v>1546</v>
      </c>
      <c r="F2002" s="24" t="s">
        <v>1557</v>
      </c>
      <c r="G2002" s="69" t="s">
        <v>1558</v>
      </c>
      <c r="I2002" s="69"/>
      <c r="J2002" s="24" t="s">
        <v>5522</v>
      </c>
      <c r="K2002" s="24" t="s">
        <v>1167</v>
      </c>
      <c r="L2002" s="24" t="s">
        <v>9880</v>
      </c>
      <c r="M2002" s="75" t="s">
        <v>65</v>
      </c>
      <c r="N2002" s="75" t="s">
        <v>2025</v>
      </c>
      <c r="O2002" s="75" t="s">
        <v>406</v>
      </c>
      <c r="P2002" s="75" t="s">
        <v>58</v>
      </c>
      <c r="Q2002" s="75"/>
      <c r="R2002" s="75" t="s">
        <v>2166</v>
      </c>
      <c r="T2002" s="24" t="s">
        <v>2179</v>
      </c>
      <c r="V2002" s="24" t="s">
        <v>2835</v>
      </c>
      <c r="W2002" s="24" t="s">
        <v>2838</v>
      </c>
      <c r="Z2002" s="69"/>
      <c r="AA2002" s="69"/>
      <c r="AB2002" s="69"/>
      <c r="AC2002" s="69"/>
      <c r="AE2002" s="24" t="s">
        <v>2839</v>
      </c>
    </row>
    <row r="2003" spans="1:31" s="24" customFormat="1" x14ac:dyDescent="0.3">
      <c r="A2003" s="23">
        <v>529</v>
      </c>
      <c r="B2003" s="23">
        <v>524</v>
      </c>
      <c r="C2003" s="24" t="s">
        <v>2165</v>
      </c>
      <c r="D2003" s="69" t="s">
        <v>1547</v>
      </c>
      <c r="E2003" s="24" t="s">
        <v>1546</v>
      </c>
      <c r="F2003" s="24" t="s">
        <v>1559</v>
      </c>
      <c r="G2003" s="69" t="s">
        <v>1560</v>
      </c>
      <c r="H2003" s="24">
        <v>2</v>
      </c>
      <c r="I2003" s="69"/>
      <c r="J2003" s="24" t="s">
        <v>3764</v>
      </c>
      <c r="K2003" s="24" t="s">
        <v>68</v>
      </c>
      <c r="M2003" s="75" t="s">
        <v>65</v>
      </c>
      <c r="N2003" s="75" t="s">
        <v>2022</v>
      </c>
      <c r="O2003" s="75"/>
      <c r="P2003" s="75"/>
      <c r="Q2003" s="75"/>
      <c r="R2003" s="75"/>
      <c r="W2003" s="24" t="s">
        <v>2840</v>
      </c>
      <c r="Y2003" s="24" t="s">
        <v>2841</v>
      </c>
      <c r="Z2003" s="69"/>
      <c r="AA2003" s="69"/>
      <c r="AB2003" s="69"/>
      <c r="AC2003" s="69"/>
    </row>
    <row r="2004" spans="1:31" s="26" customFormat="1" x14ac:dyDescent="0.3">
      <c r="A2004" s="25" t="s">
        <v>8071</v>
      </c>
      <c r="B2004" s="25"/>
      <c r="C2004" s="26" t="s">
        <v>3005</v>
      </c>
      <c r="D2004" s="70"/>
      <c r="G2004" s="70" t="s">
        <v>1560</v>
      </c>
      <c r="H2004" s="26">
        <v>1</v>
      </c>
      <c r="I2004" s="70" t="s">
        <v>4971</v>
      </c>
      <c r="J2004" s="26" t="s">
        <v>3764</v>
      </c>
      <c r="K2004" s="26" t="s">
        <v>6210</v>
      </c>
      <c r="L2004" s="26" t="s">
        <v>10940</v>
      </c>
      <c r="M2004" s="76"/>
      <c r="N2004" s="76"/>
      <c r="O2004" s="76"/>
      <c r="P2004" s="76"/>
      <c r="Q2004" s="76"/>
      <c r="R2004" s="76"/>
      <c r="Z2004" s="70"/>
      <c r="AA2004" s="70"/>
      <c r="AB2004" s="70"/>
      <c r="AC2004" s="70"/>
    </row>
    <row r="2005" spans="1:31" s="26" customFormat="1" x14ac:dyDescent="0.3">
      <c r="A2005" s="25" t="s">
        <v>8072</v>
      </c>
      <c r="B2005" s="25"/>
      <c r="C2005" s="26" t="s">
        <v>3005</v>
      </c>
      <c r="D2005" s="70"/>
      <c r="G2005" s="70" t="s">
        <v>1560</v>
      </c>
      <c r="H2005" s="26">
        <v>1</v>
      </c>
      <c r="I2005" s="70" t="s">
        <v>7247</v>
      </c>
      <c r="J2005" s="26" t="s">
        <v>8073</v>
      </c>
      <c r="K2005" s="26" t="s">
        <v>8074</v>
      </c>
      <c r="L2005" s="26" t="s">
        <v>10941</v>
      </c>
      <c r="M2005" s="76"/>
      <c r="N2005" s="76"/>
      <c r="O2005" s="76"/>
      <c r="P2005" s="76"/>
      <c r="Q2005" s="76"/>
      <c r="R2005" s="76"/>
      <c r="Z2005" s="70"/>
      <c r="AA2005" s="70"/>
      <c r="AB2005" s="70"/>
      <c r="AC2005" s="70"/>
    </row>
    <row r="2006" spans="1:31" s="24" customFormat="1" x14ac:dyDescent="0.3">
      <c r="A2006" s="23">
        <v>530</v>
      </c>
      <c r="B2006" s="23">
        <v>525</v>
      </c>
      <c r="C2006" s="24" t="s">
        <v>2165</v>
      </c>
      <c r="D2006" s="69" t="s">
        <v>1547</v>
      </c>
      <c r="E2006" s="24" t="s">
        <v>1546</v>
      </c>
      <c r="F2006" s="24" t="s">
        <v>1561</v>
      </c>
      <c r="G2006" s="69" t="s">
        <v>1562</v>
      </c>
      <c r="I2006" s="69"/>
      <c r="J2006" s="24" t="s">
        <v>5691</v>
      </c>
      <c r="K2006" s="24" t="s">
        <v>1563</v>
      </c>
      <c r="L2006" s="24" t="s">
        <v>9881</v>
      </c>
      <c r="M2006" s="75" t="s">
        <v>65</v>
      </c>
      <c r="N2006" s="75" t="s">
        <v>2017</v>
      </c>
      <c r="O2006" s="75"/>
      <c r="P2006" s="75"/>
      <c r="Q2006" s="75"/>
      <c r="R2006" s="75"/>
      <c r="T2006" s="24" t="s">
        <v>2179</v>
      </c>
      <c r="V2006" s="24" t="s">
        <v>1559</v>
      </c>
      <c r="W2006" s="24" t="s">
        <v>2842</v>
      </c>
      <c r="Y2006" s="24" t="s">
        <v>2842</v>
      </c>
      <c r="Z2006" s="69"/>
      <c r="AA2006" s="69"/>
      <c r="AB2006" s="69"/>
      <c r="AC2006" s="69"/>
      <c r="AE2006" s="24" t="s">
        <v>2843</v>
      </c>
    </row>
    <row r="2007" spans="1:31" s="24" customFormat="1" x14ac:dyDescent="0.3">
      <c r="A2007" s="23">
        <v>531</v>
      </c>
      <c r="B2007" s="23">
        <v>526</v>
      </c>
      <c r="C2007" s="24" t="s">
        <v>2165</v>
      </c>
      <c r="D2007" s="69" t="s">
        <v>1547</v>
      </c>
      <c r="E2007" s="24" t="s">
        <v>1546</v>
      </c>
      <c r="F2007" s="24" t="s">
        <v>1564</v>
      </c>
      <c r="G2007" s="69" t="s">
        <v>1565</v>
      </c>
      <c r="H2007" s="24">
        <v>2</v>
      </c>
      <c r="I2007" s="69"/>
      <c r="J2007" s="24" t="s">
        <v>5475</v>
      </c>
      <c r="K2007" s="24" t="s">
        <v>998</v>
      </c>
      <c r="M2007" s="75" t="s">
        <v>65</v>
      </c>
      <c r="N2007" s="75" t="s">
        <v>2020</v>
      </c>
      <c r="O2007" s="75"/>
      <c r="P2007" s="75"/>
      <c r="Q2007" s="75"/>
      <c r="R2007" s="75"/>
      <c r="T2007" s="24" t="s">
        <v>2179</v>
      </c>
      <c r="V2007" s="24" t="s">
        <v>1559</v>
      </c>
      <c r="Z2007" s="69"/>
      <c r="AA2007" s="69"/>
      <c r="AB2007" s="69"/>
      <c r="AC2007" s="69"/>
      <c r="AE2007" s="24" t="s">
        <v>2844</v>
      </c>
    </row>
    <row r="2008" spans="1:31" s="26" customFormat="1" x14ac:dyDescent="0.3">
      <c r="A2008" s="25" t="s">
        <v>8075</v>
      </c>
      <c r="B2008" s="25"/>
      <c r="C2008" s="26" t="s">
        <v>3005</v>
      </c>
      <c r="D2008" s="70"/>
      <c r="G2008" s="70" t="s">
        <v>1565</v>
      </c>
      <c r="H2008" s="26">
        <v>1</v>
      </c>
      <c r="I2008" s="70" t="s">
        <v>5111</v>
      </c>
      <c r="J2008" s="26" t="s">
        <v>5475</v>
      </c>
      <c r="K2008" s="26" t="s">
        <v>6333</v>
      </c>
      <c r="L2008" s="26" t="s">
        <v>10942</v>
      </c>
      <c r="M2008" s="76"/>
      <c r="N2008" s="76"/>
      <c r="O2008" s="76"/>
      <c r="P2008" s="76"/>
      <c r="Q2008" s="76"/>
      <c r="R2008" s="76"/>
      <c r="Z2008" s="70"/>
      <c r="AA2008" s="70"/>
      <c r="AB2008" s="70"/>
      <c r="AC2008" s="70"/>
    </row>
    <row r="2009" spans="1:31" s="26" customFormat="1" x14ac:dyDescent="0.3">
      <c r="A2009" s="25" t="s">
        <v>8076</v>
      </c>
      <c r="B2009" s="25"/>
      <c r="C2009" s="26" t="s">
        <v>3005</v>
      </c>
      <c r="D2009" s="70"/>
      <c r="G2009" s="70" t="s">
        <v>1565</v>
      </c>
      <c r="H2009" s="26">
        <v>1</v>
      </c>
      <c r="I2009" s="70" t="s">
        <v>8077</v>
      </c>
      <c r="J2009" s="26" t="s">
        <v>4240</v>
      </c>
      <c r="K2009" s="26" t="s">
        <v>5077</v>
      </c>
      <c r="L2009" s="26" t="s">
        <v>10501</v>
      </c>
      <c r="M2009" s="76"/>
      <c r="N2009" s="76"/>
      <c r="O2009" s="76"/>
      <c r="P2009" s="76"/>
      <c r="Q2009" s="76"/>
      <c r="R2009" s="76"/>
      <c r="Z2009" s="70"/>
      <c r="AA2009" s="70"/>
      <c r="AB2009" s="70"/>
      <c r="AC2009" s="70"/>
    </row>
    <row r="2010" spans="1:31" s="24" customFormat="1" x14ac:dyDescent="0.3">
      <c r="A2010" s="23">
        <v>532</v>
      </c>
      <c r="B2010" s="23">
        <v>527</v>
      </c>
      <c r="C2010" s="24" t="s">
        <v>2165</v>
      </c>
      <c r="D2010" s="69" t="s">
        <v>1547</v>
      </c>
      <c r="E2010" s="24" t="s">
        <v>1546</v>
      </c>
      <c r="F2010" s="24" t="s">
        <v>1566</v>
      </c>
      <c r="G2010" s="69" t="s">
        <v>1567</v>
      </c>
      <c r="H2010" s="24">
        <v>2</v>
      </c>
      <c r="I2010" s="69"/>
      <c r="J2010" s="24" t="s">
        <v>8078</v>
      </c>
      <c r="K2010" s="24" t="s">
        <v>68</v>
      </c>
      <c r="M2010" s="75" t="s">
        <v>65</v>
      </c>
      <c r="N2010" s="75" t="s">
        <v>2017</v>
      </c>
      <c r="O2010" s="75"/>
      <c r="P2010" s="75"/>
      <c r="Q2010" s="75"/>
      <c r="R2010" s="75"/>
      <c r="W2010" s="24" t="s">
        <v>2845</v>
      </c>
      <c r="Z2010" s="69"/>
      <c r="AA2010" s="69"/>
      <c r="AB2010" s="69"/>
      <c r="AC2010" s="69"/>
    </row>
    <row r="2011" spans="1:31" s="26" customFormat="1" x14ac:dyDescent="0.3">
      <c r="A2011" s="25" t="s">
        <v>8079</v>
      </c>
      <c r="B2011" s="25"/>
      <c r="C2011" s="26" t="s">
        <v>3005</v>
      </c>
      <c r="D2011" s="70"/>
      <c r="G2011" s="70" t="s">
        <v>1567</v>
      </c>
      <c r="H2011" s="26">
        <v>1</v>
      </c>
      <c r="I2011" s="70" t="s">
        <v>8080</v>
      </c>
      <c r="J2011" s="26" t="s">
        <v>8078</v>
      </c>
      <c r="K2011" s="26" t="s">
        <v>2017</v>
      </c>
      <c r="L2011" s="26" t="s">
        <v>10943</v>
      </c>
      <c r="M2011" s="76"/>
      <c r="N2011" s="76"/>
      <c r="O2011" s="76"/>
      <c r="P2011" s="76"/>
      <c r="Q2011" s="76"/>
      <c r="R2011" s="76"/>
      <c r="Z2011" s="70"/>
      <c r="AA2011" s="70"/>
      <c r="AB2011" s="70"/>
      <c r="AC2011" s="70"/>
    </row>
    <row r="2012" spans="1:31" s="26" customFormat="1" x14ac:dyDescent="0.3">
      <c r="A2012" s="25" t="s">
        <v>8081</v>
      </c>
      <c r="B2012" s="25"/>
      <c r="C2012" s="26" t="s">
        <v>3005</v>
      </c>
      <c r="D2012" s="70"/>
      <c r="G2012" s="70" t="s">
        <v>1567</v>
      </c>
      <c r="H2012" s="26">
        <v>1</v>
      </c>
      <c r="I2012" s="70" t="s">
        <v>8082</v>
      </c>
      <c r="J2012" s="26" t="s">
        <v>8083</v>
      </c>
      <c r="K2012" s="26" t="s">
        <v>5065</v>
      </c>
      <c r="L2012" s="26" t="s">
        <v>10944</v>
      </c>
      <c r="M2012" s="76"/>
      <c r="N2012" s="76"/>
      <c r="O2012" s="76"/>
      <c r="P2012" s="76"/>
      <c r="Q2012" s="76"/>
      <c r="R2012" s="76"/>
      <c r="Z2012" s="70"/>
      <c r="AA2012" s="70"/>
      <c r="AB2012" s="70"/>
      <c r="AC2012" s="70"/>
    </row>
    <row r="2013" spans="1:31" s="24" customFormat="1" x14ac:dyDescent="0.3">
      <c r="A2013" s="23">
        <v>533</v>
      </c>
      <c r="B2013" s="23">
        <v>528</v>
      </c>
      <c r="C2013" s="24" t="s">
        <v>2165</v>
      </c>
      <c r="D2013" s="69" t="s">
        <v>1547</v>
      </c>
      <c r="E2013" s="24" t="s">
        <v>1546</v>
      </c>
      <c r="F2013" s="24" t="s">
        <v>1568</v>
      </c>
      <c r="G2013" s="69" t="s">
        <v>1569</v>
      </c>
      <c r="H2013" s="24">
        <v>1</v>
      </c>
      <c r="I2013" s="69"/>
      <c r="J2013" s="24" t="s">
        <v>8084</v>
      </c>
      <c r="K2013" s="24" t="s">
        <v>1266</v>
      </c>
      <c r="M2013" s="75" t="s">
        <v>15</v>
      </c>
      <c r="N2013" s="75"/>
      <c r="O2013" s="75"/>
      <c r="P2013" s="75"/>
      <c r="Q2013" s="75"/>
      <c r="R2013" s="75"/>
      <c r="Z2013" s="69"/>
      <c r="AA2013" s="69"/>
      <c r="AB2013" s="69"/>
      <c r="AC2013" s="69"/>
    </row>
    <row r="2014" spans="1:31" s="26" customFormat="1" x14ac:dyDescent="0.3">
      <c r="A2014" s="25" t="s">
        <v>8085</v>
      </c>
      <c r="B2014" s="25"/>
      <c r="C2014" s="26" t="s">
        <v>3005</v>
      </c>
      <c r="D2014" s="70"/>
      <c r="G2014" s="70" t="s">
        <v>1569</v>
      </c>
      <c r="H2014" s="26">
        <v>-1</v>
      </c>
      <c r="I2014" s="70" t="s">
        <v>8086</v>
      </c>
      <c r="J2014" s="26" t="s">
        <v>8087</v>
      </c>
      <c r="K2014" s="26" t="s">
        <v>8088</v>
      </c>
      <c r="L2014" s="26" t="s">
        <v>10945</v>
      </c>
      <c r="M2014" s="76"/>
      <c r="N2014" s="76"/>
      <c r="O2014" s="76"/>
      <c r="P2014" s="76"/>
      <c r="Q2014" s="76"/>
      <c r="R2014" s="76"/>
      <c r="Z2014" s="70"/>
      <c r="AA2014" s="70"/>
      <c r="AB2014" s="70"/>
      <c r="AC2014" s="70"/>
    </row>
    <row r="2015" spans="1:31" s="26" customFormat="1" x14ac:dyDescent="0.3">
      <c r="A2015" s="25" t="s">
        <v>8089</v>
      </c>
      <c r="B2015" s="25"/>
      <c r="C2015" s="26" t="s">
        <v>3005</v>
      </c>
      <c r="D2015" s="70"/>
      <c r="G2015" s="70" t="s">
        <v>1569</v>
      </c>
      <c r="H2015" s="26">
        <v>2</v>
      </c>
      <c r="I2015" s="70" t="s">
        <v>8090</v>
      </c>
      <c r="J2015" s="26" t="s">
        <v>8084</v>
      </c>
      <c r="K2015" s="26" t="s">
        <v>8091</v>
      </c>
      <c r="L2015" s="26" t="s">
        <v>2679</v>
      </c>
      <c r="M2015" s="76"/>
      <c r="N2015" s="76"/>
      <c r="O2015" s="76"/>
      <c r="P2015" s="76"/>
      <c r="Q2015" s="76"/>
      <c r="R2015" s="76"/>
      <c r="Z2015" s="70"/>
      <c r="AA2015" s="70"/>
      <c r="AB2015" s="70"/>
      <c r="AC2015" s="70"/>
    </row>
    <row r="2016" spans="1:31" s="26" customFormat="1" x14ac:dyDescent="0.3">
      <c r="A2016" s="25" t="s">
        <v>8092</v>
      </c>
      <c r="B2016" s="25"/>
      <c r="C2016" s="26" t="s">
        <v>3005</v>
      </c>
      <c r="D2016" s="70"/>
      <c r="G2016" s="70" t="s">
        <v>1569</v>
      </c>
      <c r="H2016" s="26">
        <v>-1</v>
      </c>
      <c r="I2016" s="70" t="s">
        <v>8093</v>
      </c>
      <c r="J2016" s="26" t="s">
        <v>8094</v>
      </c>
      <c r="K2016" s="26" t="s">
        <v>8095</v>
      </c>
      <c r="L2016" s="26" t="s">
        <v>10946</v>
      </c>
      <c r="M2016" s="76"/>
      <c r="N2016" s="76"/>
      <c r="O2016" s="76"/>
      <c r="P2016" s="76"/>
      <c r="Q2016" s="76"/>
      <c r="R2016" s="76"/>
      <c r="Z2016" s="70"/>
      <c r="AA2016" s="70"/>
      <c r="AB2016" s="70"/>
      <c r="AC2016" s="70"/>
    </row>
    <row r="2017" spans="1:31" s="24" customFormat="1" x14ac:dyDescent="0.3">
      <c r="A2017" s="23">
        <v>534</v>
      </c>
      <c r="B2017" s="23">
        <v>529</v>
      </c>
      <c r="C2017" s="24" t="s">
        <v>2165</v>
      </c>
      <c r="D2017" s="69" t="s">
        <v>1547</v>
      </c>
      <c r="E2017" s="24" t="s">
        <v>1546</v>
      </c>
      <c r="F2017" s="24" t="s">
        <v>1570</v>
      </c>
      <c r="G2017" s="69" t="s">
        <v>1571</v>
      </c>
      <c r="H2017" s="24">
        <v>1</v>
      </c>
      <c r="I2017" s="69"/>
      <c r="J2017" s="24" t="s">
        <v>8096</v>
      </c>
      <c r="K2017" s="24" t="s">
        <v>1266</v>
      </c>
      <c r="M2017" s="75" t="s">
        <v>15</v>
      </c>
      <c r="N2017" s="75"/>
      <c r="O2017" s="75"/>
      <c r="P2017" s="75"/>
      <c r="Q2017" s="75"/>
      <c r="R2017" s="75"/>
      <c r="Z2017" s="69"/>
      <c r="AA2017" s="69"/>
      <c r="AB2017" s="69"/>
      <c r="AC2017" s="69"/>
    </row>
    <row r="2018" spans="1:31" s="26" customFormat="1" x14ac:dyDescent="0.3">
      <c r="A2018" s="25" t="s">
        <v>8097</v>
      </c>
      <c r="B2018" s="25"/>
      <c r="C2018" s="26" t="s">
        <v>3005</v>
      </c>
      <c r="D2018" s="70"/>
      <c r="G2018" s="70" t="s">
        <v>1571</v>
      </c>
      <c r="H2018" s="26">
        <v>-1</v>
      </c>
      <c r="I2018" s="70" t="s">
        <v>8098</v>
      </c>
      <c r="J2018" s="26" t="s">
        <v>7495</v>
      </c>
      <c r="K2018" s="26" t="s">
        <v>8099</v>
      </c>
      <c r="L2018" s="26" t="s">
        <v>10947</v>
      </c>
      <c r="M2018" s="76"/>
      <c r="N2018" s="76"/>
      <c r="O2018" s="76"/>
      <c r="P2018" s="76"/>
      <c r="Q2018" s="76"/>
      <c r="R2018" s="76"/>
      <c r="Z2018" s="70"/>
      <c r="AA2018" s="70"/>
      <c r="AB2018" s="70"/>
      <c r="AC2018" s="70"/>
    </row>
    <row r="2019" spans="1:31" s="26" customFormat="1" x14ac:dyDescent="0.3">
      <c r="A2019" s="25" t="s">
        <v>8100</v>
      </c>
      <c r="B2019" s="25"/>
      <c r="C2019" s="26" t="s">
        <v>3005</v>
      </c>
      <c r="D2019" s="70"/>
      <c r="G2019" s="70" t="s">
        <v>1571</v>
      </c>
      <c r="H2019" s="26">
        <v>-1</v>
      </c>
      <c r="I2019" s="70" t="s">
        <v>8101</v>
      </c>
      <c r="J2019" s="26" t="s">
        <v>8102</v>
      </c>
      <c r="K2019" s="26" t="s">
        <v>8103</v>
      </c>
      <c r="M2019" s="76"/>
      <c r="N2019" s="76"/>
      <c r="O2019" s="76"/>
      <c r="P2019" s="76"/>
      <c r="Q2019" s="76"/>
      <c r="R2019" s="76"/>
      <c r="T2019" s="26" t="s">
        <v>2200</v>
      </c>
      <c r="Z2019" s="70"/>
      <c r="AA2019" s="70"/>
      <c r="AB2019" s="70"/>
      <c r="AC2019" s="70"/>
      <c r="AE2019" s="26" t="s">
        <v>8104</v>
      </c>
    </row>
    <row r="2020" spans="1:31" s="26" customFormat="1" x14ac:dyDescent="0.3">
      <c r="A2020" s="25" t="s">
        <v>8105</v>
      </c>
      <c r="B2020" s="25"/>
      <c r="C2020" s="26" t="s">
        <v>3005</v>
      </c>
      <c r="D2020" s="70"/>
      <c r="G2020" s="70" t="s">
        <v>1571</v>
      </c>
      <c r="H2020" s="26">
        <v>-1</v>
      </c>
      <c r="I2020" s="70" t="s">
        <v>8106</v>
      </c>
      <c r="J2020" s="26" t="s">
        <v>3443</v>
      </c>
      <c r="K2020" s="26" t="s">
        <v>8107</v>
      </c>
      <c r="L2020" s="26" t="s">
        <v>10948</v>
      </c>
      <c r="M2020" s="76"/>
      <c r="N2020" s="76"/>
      <c r="O2020" s="76"/>
      <c r="P2020" s="76"/>
      <c r="Q2020" s="76"/>
      <c r="R2020" s="76"/>
      <c r="Z2020" s="70"/>
      <c r="AA2020" s="70"/>
      <c r="AB2020" s="70"/>
      <c r="AC2020" s="70"/>
    </row>
    <row r="2021" spans="1:31" s="26" customFormat="1" x14ac:dyDescent="0.3">
      <c r="A2021" s="25" t="s">
        <v>8108</v>
      </c>
      <c r="B2021" s="25"/>
      <c r="C2021" s="26" t="s">
        <v>3005</v>
      </c>
      <c r="D2021" s="70"/>
      <c r="G2021" s="70" t="s">
        <v>1571</v>
      </c>
      <c r="H2021" s="26">
        <v>-1</v>
      </c>
      <c r="I2021" s="70" t="s">
        <v>8109</v>
      </c>
      <c r="J2021" s="26" t="s">
        <v>8110</v>
      </c>
      <c r="K2021" s="26" t="s">
        <v>8111</v>
      </c>
      <c r="L2021" s="26" t="s">
        <v>10949</v>
      </c>
      <c r="M2021" s="76"/>
      <c r="N2021" s="76"/>
      <c r="O2021" s="76"/>
      <c r="P2021" s="76"/>
      <c r="Q2021" s="76"/>
      <c r="R2021" s="76"/>
      <c r="Z2021" s="70"/>
      <c r="AA2021" s="70"/>
      <c r="AB2021" s="70"/>
      <c r="AC2021" s="70"/>
    </row>
    <row r="2022" spans="1:31" s="26" customFormat="1" x14ac:dyDescent="0.3">
      <c r="A2022" s="25" t="s">
        <v>8112</v>
      </c>
      <c r="B2022" s="25"/>
      <c r="C2022" s="26" t="s">
        <v>3005</v>
      </c>
      <c r="D2022" s="70"/>
      <c r="G2022" s="70" t="s">
        <v>1571</v>
      </c>
      <c r="H2022" s="26">
        <v>-1</v>
      </c>
      <c r="I2022" s="70" t="s">
        <v>8113</v>
      </c>
      <c r="J2022" s="26" t="s">
        <v>8096</v>
      </c>
      <c r="K2022" s="26" t="s">
        <v>3215</v>
      </c>
      <c r="L2022" s="26" t="s">
        <v>10950</v>
      </c>
      <c r="M2022" s="76"/>
      <c r="N2022" s="76"/>
      <c r="O2022" s="76"/>
      <c r="P2022" s="76"/>
      <c r="Q2022" s="76"/>
      <c r="R2022" s="76"/>
      <c r="Z2022" s="70"/>
      <c r="AA2022" s="70"/>
      <c r="AB2022" s="70"/>
      <c r="AC2022" s="70"/>
    </row>
    <row r="2023" spans="1:31" s="26" customFormat="1" x14ac:dyDescent="0.3">
      <c r="A2023" s="25" t="s">
        <v>8114</v>
      </c>
      <c r="B2023" s="25"/>
      <c r="C2023" s="26" t="s">
        <v>3005</v>
      </c>
      <c r="D2023" s="70"/>
      <c r="G2023" s="70" t="s">
        <v>1571</v>
      </c>
      <c r="H2023" s="26">
        <v>-1</v>
      </c>
      <c r="I2023" s="70" t="s">
        <v>8115</v>
      </c>
      <c r="J2023" s="26" t="s">
        <v>7207</v>
      </c>
      <c r="K2023" s="26" t="s">
        <v>8116</v>
      </c>
      <c r="L2023" s="26" t="s">
        <v>10951</v>
      </c>
      <c r="M2023" s="76"/>
      <c r="N2023" s="76"/>
      <c r="O2023" s="76"/>
      <c r="P2023" s="76"/>
      <c r="Q2023" s="76"/>
      <c r="R2023" s="76"/>
      <c r="Z2023" s="70"/>
      <c r="AA2023" s="70"/>
      <c r="AB2023" s="70"/>
      <c r="AC2023" s="70"/>
    </row>
    <row r="2024" spans="1:31" s="26" customFormat="1" x14ac:dyDescent="0.3">
      <c r="A2024" s="25" t="s">
        <v>8117</v>
      </c>
      <c r="B2024" s="25"/>
      <c r="C2024" s="26" t="s">
        <v>3005</v>
      </c>
      <c r="D2024" s="70"/>
      <c r="G2024" s="70" t="s">
        <v>1571</v>
      </c>
      <c r="H2024" s="26">
        <v>-1</v>
      </c>
      <c r="I2024" s="70" t="s">
        <v>3793</v>
      </c>
      <c r="J2024" s="26" t="s">
        <v>7124</v>
      </c>
      <c r="K2024" s="26" t="s">
        <v>7458</v>
      </c>
      <c r="L2024" s="26" t="s">
        <v>10800</v>
      </c>
      <c r="M2024" s="76"/>
      <c r="N2024" s="76"/>
      <c r="O2024" s="76"/>
      <c r="P2024" s="76"/>
      <c r="Q2024" s="76"/>
      <c r="R2024" s="76"/>
      <c r="Z2024" s="70"/>
      <c r="AA2024" s="70"/>
      <c r="AB2024" s="70"/>
      <c r="AC2024" s="70"/>
    </row>
    <row r="2025" spans="1:31" s="26" customFormat="1" x14ac:dyDescent="0.3">
      <c r="A2025" s="25" t="s">
        <v>8118</v>
      </c>
      <c r="B2025" s="25"/>
      <c r="C2025" s="26" t="s">
        <v>3005</v>
      </c>
      <c r="D2025" s="70"/>
      <c r="G2025" s="70" t="s">
        <v>1571</v>
      </c>
      <c r="H2025" s="26">
        <v>-1</v>
      </c>
      <c r="I2025" s="70" t="s">
        <v>8119</v>
      </c>
      <c r="J2025" s="26" t="s">
        <v>8120</v>
      </c>
      <c r="K2025" s="26" t="s">
        <v>2679</v>
      </c>
      <c r="L2025" s="26" t="s">
        <v>2679</v>
      </c>
      <c r="M2025" s="76"/>
      <c r="N2025" s="76"/>
      <c r="O2025" s="76"/>
      <c r="P2025" s="76"/>
      <c r="Q2025" s="76"/>
      <c r="R2025" s="76"/>
      <c r="Z2025" s="70"/>
      <c r="AA2025" s="70"/>
      <c r="AB2025" s="70"/>
      <c r="AC2025" s="70"/>
    </row>
    <row r="2026" spans="1:31" s="26" customFormat="1" x14ac:dyDescent="0.3">
      <c r="A2026" s="25" t="s">
        <v>8121</v>
      </c>
      <c r="B2026" s="25"/>
      <c r="C2026" s="26" t="s">
        <v>3005</v>
      </c>
      <c r="D2026" s="70"/>
      <c r="G2026" s="70" t="s">
        <v>1571</v>
      </c>
      <c r="H2026" s="26">
        <v>2</v>
      </c>
      <c r="I2026" s="70" t="s">
        <v>5352</v>
      </c>
      <c r="J2026" s="26" t="s">
        <v>7615</v>
      </c>
      <c r="K2026" s="26" t="s">
        <v>8122</v>
      </c>
      <c r="L2026" s="26" t="s">
        <v>10952</v>
      </c>
      <c r="M2026" s="76"/>
      <c r="N2026" s="76"/>
      <c r="O2026" s="76"/>
      <c r="P2026" s="76"/>
      <c r="Q2026" s="76"/>
      <c r="R2026" s="76"/>
      <c r="Z2026" s="70"/>
      <c r="AA2026" s="70"/>
      <c r="AB2026" s="70"/>
      <c r="AC2026" s="70"/>
    </row>
    <row r="2027" spans="1:31" s="24" customFormat="1" x14ac:dyDescent="0.3">
      <c r="A2027" s="23">
        <v>535</v>
      </c>
      <c r="B2027" s="23">
        <v>530</v>
      </c>
      <c r="C2027" s="24" t="s">
        <v>2165</v>
      </c>
      <c r="D2027" s="69" t="s">
        <v>1547</v>
      </c>
      <c r="E2027" s="24" t="s">
        <v>1546</v>
      </c>
      <c r="F2027" s="24" t="s">
        <v>1572</v>
      </c>
      <c r="G2027" s="69" t="s">
        <v>1573</v>
      </c>
      <c r="H2027" s="24">
        <v>2</v>
      </c>
      <c r="I2027" s="69"/>
      <c r="J2027" s="24" t="s">
        <v>5475</v>
      </c>
      <c r="K2027" s="24" t="s">
        <v>68</v>
      </c>
      <c r="M2027" s="75" t="s">
        <v>65</v>
      </c>
      <c r="N2027" s="75" t="s">
        <v>2020</v>
      </c>
      <c r="O2027" s="75"/>
      <c r="P2027" s="75"/>
      <c r="Q2027" s="75"/>
      <c r="R2027" s="75"/>
      <c r="Z2027" s="69"/>
      <c r="AA2027" s="69"/>
      <c r="AB2027" s="69"/>
      <c r="AC2027" s="69"/>
    </row>
    <row r="2028" spans="1:31" s="26" customFormat="1" x14ac:dyDescent="0.3">
      <c r="A2028" s="25" t="s">
        <v>8123</v>
      </c>
      <c r="B2028" s="25"/>
      <c r="C2028" s="26" t="s">
        <v>3005</v>
      </c>
      <c r="D2028" s="70"/>
      <c r="G2028" s="70" t="s">
        <v>1573</v>
      </c>
      <c r="H2028" s="26">
        <v>1</v>
      </c>
      <c r="I2028" s="70" t="s">
        <v>4110</v>
      </c>
      <c r="J2028" s="26" t="s">
        <v>8124</v>
      </c>
      <c r="K2028" s="26" t="s">
        <v>2025</v>
      </c>
      <c r="L2028" s="26" t="s">
        <v>9990</v>
      </c>
      <c r="M2028" s="76"/>
      <c r="N2028" s="76"/>
      <c r="O2028" s="76"/>
      <c r="P2028" s="76"/>
      <c r="Q2028" s="76"/>
      <c r="R2028" s="76"/>
      <c r="Z2028" s="70"/>
      <c r="AA2028" s="70"/>
      <c r="AB2028" s="70"/>
      <c r="AC2028" s="70"/>
    </row>
    <row r="2029" spans="1:31" s="26" customFormat="1" x14ac:dyDescent="0.3">
      <c r="A2029" s="25" t="s">
        <v>8125</v>
      </c>
      <c r="B2029" s="25"/>
      <c r="C2029" s="26" t="s">
        <v>3005</v>
      </c>
      <c r="D2029" s="70"/>
      <c r="G2029" s="70" t="s">
        <v>1573</v>
      </c>
      <c r="H2029" s="26">
        <v>1</v>
      </c>
      <c r="I2029" s="70" t="s">
        <v>7553</v>
      </c>
      <c r="J2029" s="26" t="s">
        <v>5475</v>
      </c>
      <c r="K2029" s="26" t="s">
        <v>5077</v>
      </c>
      <c r="L2029" s="26" t="s">
        <v>10501</v>
      </c>
      <c r="M2029" s="76"/>
      <c r="N2029" s="76"/>
      <c r="O2029" s="76"/>
      <c r="P2029" s="76"/>
      <c r="Q2029" s="76"/>
      <c r="R2029" s="76"/>
      <c r="Z2029" s="70"/>
      <c r="AA2029" s="70"/>
      <c r="AB2029" s="70"/>
      <c r="AC2029" s="70"/>
    </row>
    <row r="2030" spans="1:31" s="24" customFormat="1" x14ac:dyDescent="0.3">
      <c r="A2030" s="23">
        <v>536</v>
      </c>
      <c r="B2030" s="23">
        <v>531</v>
      </c>
      <c r="C2030" s="24" t="s">
        <v>2165</v>
      </c>
      <c r="D2030" s="69" t="s">
        <v>1547</v>
      </c>
      <c r="E2030" s="24" t="s">
        <v>1546</v>
      </c>
      <c r="F2030" s="24" t="s">
        <v>1574</v>
      </c>
      <c r="G2030" s="69" t="s">
        <v>1575</v>
      </c>
      <c r="I2030" s="69"/>
      <c r="J2030" s="24" t="s">
        <v>3137</v>
      </c>
      <c r="K2030" s="24" t="s">
        <v>68</v>
      </c>
      <c r="L2030" s="24" t="s">
        <v>9787</v>
      </c>
      <c r="M2030" s="75" t="s">
        <v>65</v>
      </c>
      <c r="N2030" s="75" t="s">
        <v>2020</v>
      </c>
      <c r="O2030" s="75"/>
      <c r="P2030" s="75"/>
      <c r="Q2030" s="75"/>
      <c r="R2030" s="75"/>
      <c r="W2030" s="24" t="s">
        <v>2846</v>
      </c>
      <c r="Z2030" s="69"/>
      <c r="AA2030" s="69"/>
      <c r="AB2030" s="69"/>
      <c r="AC2030" s="69"/>
    </row>
    <row r="2031" spans="1:31" s="24" customFormat="1" x14ac:dyDescent="0.3">
      <c r="A2031" s="23">
        <v>537</v>
      </c>
      <c r="B2031" s="23">
        <v>532</v>
      </c>
      <c r="C2031" s="24" t="s">
        <v>2165</v>
      </c>
      <c r="D2031" s="69" t="s">
        <v>1547</v>
      </c>
      <c r="E2031" s="24" t="s">
        <v>1546</v>
      </c>
      <c r="F2031" s="24" t="s">
        <v>1576</v>
      </c>
      <c r="G2031" s="69" t="s">
        <v>1577</v>
      </c>
      <c r="I2031" s="69"/>
      <c r="J2031" s="24" t="s">
        <v>5942</v>
      </c>
      <c r="K2031" s="24" t="s">
        <v>68</v>
      </c>
      <c r="L2031" s="24" t="s">
        <v>9849</v>
      </c>
      <c r="M2031" s="75" t="s">
        <v>65</v>
      </c>
      <c r="N2031" s="75" t="s">
        <v>2020</v>
      </c>
      <c r="O2031" s="75" t="s">
        <v>58</v>
      </c>
      <c r="P2031" s="75" t="s">
        <v>58</v>
      </c>
      <c r="Q2031" s="75" t="s">
        <v>130</v>
      </c>
      <c r="R2031" s="75"/>
      <c r="Z2031" s="69"/>
      <c r="AA2031" s="69"/>
      <c r="AB2031" s="69"/>
      <c r="AC2031" s="69"/>
    </row>
    <row r="2032" spans="1:31" s="24" customFormat="1" x14ac:dyDescent="0.3">
      <c r="A2032" s="23">
        <v>538</v>
      </c>
      <c r="B2032" s="23">
        <v>533</v>
      </c>
      <c r="C2032" s="24" t="s">
        <v>2165</v>
      </c>
      <c r="D2032" s="69" t="s">
        <v>1553</v>
      </c>
      <c r="E2032" s="24" t="s">
        <v>1578</v>
      </c>
      <c r="F2032" s="24" t="s">
        <v>1579</v>
      </c>
      <c r="G2032" s="69" t="s">
        <v>1580</v>
      </c>
      <c r="H2032" s="24">
        <v>1</v>
      </c>
      <c r="I2032" s="69"/>
      <c r="J2032" s="24" t="s">
        <v>8126</v>
      </c>
      <c r="K2032" s="24" t="s">
        <v>1581</v>
      </c>
      <c r="M2032" s="75" t="s">
        <v>15</v>
      </c>
      <c r="N2032" s="75"/>
      <c r="O2032" s="75"/>
      <c r="P2032" s="75"/>
      <c r="Q2032" s="75"/>
      <c r="R2032" s="75"/>
      <c r="T2032" s="24" t="s">
        <v>2174</v>
      </c>
      <c r="V2032" s="24" t="s">
        <v>2847</v>
      </c>
      <c r="Z2032" s="69" t="s">
        <v>2848</v>
      </c>
      <c r="AA2032" s="69"/>
      <c r="AB2032" s="69" t="s">
        <v>2848</v>
      </c>
      <c r="AC2032" s="69" t="s">
        <v>11412</v>
      </c>
      <c r="AE2032" s="24" t="s">
        <v>2849</v>
      </c>
    </row>
    <row r="2033" spans="1:31" s="26" customFormat="1" x14ac:dyDescent="0.3">
      <c r="A2033" s="25" t="s">
        <v>8127</v>
      </c>
      <c r="B2033" s="25"/>
      <c r="C2033" s="26" t="s">
        <v>3005</v>
      </c>
      <c r="D2033" s="70"/>
      <c r="G2033" s="70" t="s">
        <v>1580</v>
      </c>
      <c r="H2033" s="26">
        <v>-1</v>
      </c>
      <c r="I2033" s="70" t="s">
        <v>8128</v>
      </c>
      <c r="J2033" s="26" t="s">
        <v>3919</v>
      </c>
      <c r="K2033" s="26" t="s">
        <v>8129</v>
      </c>
      <c r="L2033" s="26" t="s">
        <v>10953</v>
      </c>
      <c r="M2033" s="76"/>
      <c r="N2033" s="76"/>
      <c r="O2033" s="76"/>
      <c r="P2033" s="76"/>
      <c r="Q2033" s="76"/>
      <c r="R2033" s="76"/>
      <c r="Z2033" s="70"/>
      <c r="AA2033" s="70"/>
      <c r="AB2033" s="70"/>
      <c r="AC2033" s="70"/>
    </row>
    <row r="2034" spans="1:31" s="26" customFormat="1" x14ac:dyDescent="0.3">
      <c r="A2034" s="25" t="s">
        <v>8130</v>
      </c>
      <c r="B2034" s="25"/>
      <c r="C2034" s="26" t="s">
        <v>3005</v>
      </c>
      <c r="D2034" s="70"/>
      <c r="G2034" s="70" t="s">
        <v>1580</v>
      </c>
      <c r="H2034" s="26">
        <v>-1</v>
      </c>
      <c r="I2034" s="70" t="s">
        <v>8131</v>
      </c>
      <c r="J2034" s="26" t="s">
        <v>8132</v>
      </c>
      <c r="K2034" s="26" t="s">
        <v>8133</v>
      </c>
      <c r="L2034" s="26" t="s">
        <v>10954</v>
      </c>
      <c r="M2034" s="76"/>
      <c r="N2034" s="76"/>
      <c r="O2034" s="76"/>
      <c r="P2034" s="76"/>
      <c r="Q2034" s="76"/>
      <c r="R2034" s="76"/>
      <c r="Z2034" s="70"/>
      <c r="AA2034" s="70"/>
      <c r="AB2034" s="70"/>
      <c r="AC2034" s="70"/>
    </row>
    <row r="2035" spans="1:31" s="26" customFormat="1" x14ac:dyDescent="0.3">
      <c r="A2035" s="25" t="s">
        <v>8134</v>
      </c>
      <c r="B2035" s="25"/>
      <c r="C2035" s="26" t="s">
        <v>3005</v>
      </c>
      <c r="D2035" s="70"/>
      <c r="G2035" s="70" t="s">
        <v>1580</v>
      </c>
      <c r="H2035" s="26">
        <v>-1</v>
      </c>
      <c r="I2035" s="70" t="s">
        <v>8135</v>
      </c>
      <c r="J2035" s="26" t="s">
        <v>8136</v>
      </c>
      <c r="K2035" s="26" t="s">
        <v>8137</v>
      </c>
      <c r="M2035" s="76"/>
      <c r="N2035" s="76"/>
      <c r="O2035" s="76"/>
      <c r="P2035" s="76"/>
      <c r="Q2035" s="76"/>
      <c r="R2035" s="76"/>
      <c r="Z2035" s="70"/>
      <c r="AA2035" s="70"/>
      <c r="AB2035" s="70"/>
      <c r="AC2035" s="70"/>
    </row>
    <row r="2036" spans="1:31" s="26" customFormat="1" x14ac:dyDescent="0.3">
      <c r="A2036" s="25" t="s">
        <v>8138</v>
      </c>
      <c r="B2036" s="25"/>
      <c r="C2036" s="26" t="s">
        <v>3005</v>
      </c>
      <c r="D2036" s="70"/>
      <c r="G2036" s="70" t="s">
        <v>1580</v>
      </c>
      <c r="H2036" s="26">
        <v>-1</v>
      </c>
      <c r="I2036" s="70" t="s">
        <v>8139</v>
      </c>
      <c r="J2036" s="26" t="s">
        <v>8140</v>
      </c>
      <c r="K2036" s="26" t="s">
        <v>8141</v>
      </c>
      <c r="L2036" s="26" t="s">
        <v>10955</v>
      </c>
      <c r="M2036" s="76"/>
      <c r="N2036" s="76"/>
      <c r="O2036" s="76"/>
      <c r="P2036" s="76"/>
      <c r="Q2036" s="76"/>
      <c r="R2036" s="76"/>
      <c r="Z2036" s="70"/>
      <c r="AA2036" s="70"/>
      <c r="AB2036" s="70"/>
      <c r="AC2036" s="70"/>
    </row>
    <row r="2037" spans="1:31" s="26" customFormat="1" x14ac:dyDescent="0.3">
      <c r="A2037" s="25" t="s">
        <v>8142</v>
      </c>
      <c r="B2037" s="25"/>
      <c r="C2037" s="26" t="s">
        <v>3005</v>
      </c>
      <c r="D2037" s="70"/>
      <c r="G2037" s="70" t="s">
        <v>1580</v>
      </c>
      <c r="H2037" s="26">
        <v>-1</v>
      </c>
      <c r="I2037" s="70" t="s">
        <v>8143</v>
      </c>
      <c r="J2037" s="26" t="s">
        <v>8144</v>
      </c>
      <c r="K2037" s="26" t="s">
        <v>8145</v>
      </c>
      <c r="L2037" s="26" t="s">
        <v>10956</v>
      </c>
      <c r="M2037" s="76"/>
      <c r="N2037" s="76"/>
      <c r="O2037" s="76"/>
      <c r="P2037" s="76"/>
      <c r="Q2037" s="76"/>
      <c r="R2037" s="76"/>
      <c r="Z2037" s="70"/>
      <c r="AA2037" s="70"/>
      <c r="AB2037" s="70"/>
      <c r="AC2037" s="70"/>
    </row>
    <row r="2038" spans="1:31" s="26" customFormat="1" x14ac:dyDescent="0.3">
      <c r="A2038" s="25" t="s">
        <v>8146</v>
      </c>
      <c r="B2038" s="25"/>
      <c r="C2038" s="26" t="s">
        <v>3005</v>
      </c>
      <c r="D2038" s="70"/>
      <c r="G2038" s="70" t="s">
        <v>1580</v>
      </c>
      <c r="H2038" s="26">
        <v>-1</v>
      </c>
      <c r="I2038" s="70" t="s">
        <v>8147</v>
      </c>
      <c r="J2038" s="26" t="s">
        <v>8148</v>
      </c>
      <c r="K2038" s="26" t="s">
        <v>8149</v>
      </c>
      <c r="L2038" s="26" t="s">
        <v>10957</v>
      </c>
      <c r="M2038" s="76"/>
      <c r="N2038" s="76"/>
      <c r="O2038" s="76"/>
      <c r="P2038" s="76"/>
      <c r="Q2038" s="76"/>
      <c r="R2038" s="76"/>
      <c r="Z2038" s="70"/>
      <c r="AA2038" s="70"/>
      <c r="AB2038" s="70"/>
      <c r="AC2038" s="70"/>
    </row>
    <row r="2039" spans="1:31" s="26" customFormat="1" x14ac:dyDescent="0.3">
      <c r="A2039" s="25" t="s">
        <v>8150</v>
      </c>
      <c r="B2039" s="25"/>
      <c r="C2039" s="26" t="s">
        <v>3005</v>
      </c>
      <c r="D2039" s="70"/>
      <c r="G2039" s="70" t="s">
        <v>1580</v>
      </c>
      <c r="H2039" s="26">
        <v>-1</v>
      </c>
      <c r="I2039" s="70" t="s">
        <v>8151</v>
      </c>
      <c r="J2039" s="26" t="s">
        <v>8152</v>
      </c>
      <c r="K2039" s="26" t="s">
        <v>8153</v>
      </c>
      <c r="L2039" s="26" t="s">
        <v>10958</v>
      </c>
      <c r="M2039" s="76"/>
      <c r="N2039" s="76"/>
      <c r="O2039" s="76"/>
      <c r="P2039" s="76"/>
      <c r="Q2039" s="76"/>
      <c r="R2039" s="76"/>
      <c r="Z2039" s="70"/>
      <c r="AA2039" s="70"/>
      <c r="AB2039" s="70"/>
      <c r="AC2039" s="70"/>
    </row>
    <row r="2040" spans="1:31" s="26" customFormat="1" x14ac:dyDescent="0.3">
      <c r="A2040" s="25" t="s">
        <v>8154</v>
      </c>
      <c r="B2040" s="25"/>
      <c r="C2040" s="26" t="s">
        <v>3005</v>
      </c>
      <c r="D2040" s="70"/>
      <c r="G2040" s="70" t="s">
        <v>1580</v>
      </c>
      <c r="H2040" s="26">
        <v>-1</v>
      </c>
      <c r="I2040" s="70" t="s">
        <v>8155</v>
      </c>
      <c r="J2040" s="26" t="s">
        <v>8156</v>
      </c>
      <c r="K2040" s="26" t="s">
        <v>8157</v>
      </c>
      <c r="L2040" s="26" t="s">
        <v>10959</v>
      </c>
      <c r="M2040" s="76"/>
      <c r="N2040" s="76"/>
      <c r="O2040" s="76"/>
      <c r="P2040" s="76"/>
      <c r="Q2040" s="76"/>
      <c r="R2040" s="76"/>
      <c r="Z2040" s="70"/>
      <c r="AA2040" s="70"/>
      <c r="AB2040" s="70"/>
      <c r="AC2040" s="70"/>
    </row>
    <row r="2041" spans="1:31" s="26" customFormat="1" x14ac:dyDescent="0.3">
      <c r="A2041" s="25" t="s">
        <v>8158</v>
      </c>
      <c r="B2041" s="25"/>
      <c r="C2041" s="26" t="s">
        <v>3005</v>
      </c>
      <c r="D2041" s="70"/>
      <c r="G2041" s="70" t="s">
        <v>1580</v>
      </c>
      <c r="H2041" s="26">
        <v>-1</v>
      </c>
      <c r="I2041" s="70" t="s">
        <v>7291</v>
      </c>
      <c r="J2041" s="26" t="s">
        <v>8159</v>
      </c>
      <c r="K2041" s="26" t="s">
        <v>8160</v>
      </c>
      <c r="L2041" s="26" t="s">
        <v>10960</v>
      </c>
      <c r="M2041" s="76"/>
      <c r="N2041" s="76"/>
      <c r="O2041" s="76"/>
      <c r="P2041" s="76"/>
      <c r="Q2041" s="76"/>
      <c r="R2041" s="76"/>
      <c r="T2041" s="26" t="s">
        <v>2200</v>
      </c>
      <c r="Z2041" s="70"/>
      <c r="AA2041" s="70"/>
      <c r="AB2041" s="70"/>
      <c r="AC2041" s="70"/>
      <c r="AE2041" s="26" t="s">
        <v>8161</v>
      </c>
    </row>
    <row r="2042" spans="1:31" s="26" customFormat="1" x14ac:dyDescent="0.3">
      <c r="A2042" s="25" t="s">
        <v>8162</v>
      </c>
      <c r="B2042" s="25"/>
      <c r="C2042" s="26" t="s">
        <v>3005</v>
      </c>
      <c r="D2042" s="70"/>
      <c r="G2042" s="70" t="s">
        <v>1580</v>
      </c>
      <c r="H2042" s="26">
        <v>-1</v>
      </c>
      <c r="I2042" s="70" t="s">
        <v>8163</v>
      </c>
      <c r="J2042" s="26" t="s">
        <v>8152</v>
      </c>
      <c r="K2042" s="26" t="s">
        <v>8164</v>
      </c>
      <c r="M2042" s="76"/>
      <c r="N2042" s="76"/>
      <c r="O2042" s="76"/>
      <c r="P2042" s="76"/>
      <c r="Q2042" s="76"/>
      <c r="R2042" s="76"/>
      <c r="Z2042" s="70"/>
      <c r="AA2042" s="70"/>
      <c r="AB2042" s="70"/>
      <c r="AC2042" s="70"/>
    </row>
    <row r="2043" spans="1:31" s="26" customFormat="1" x14ac:dyDescent="0.3">
      <c r="A2043" s="25" t="s">
        <v>8165</v>
      </c>
      <c r="B2043" s="25"/>
      <c r="C2043" s="26" t="s">
        <v>3005</v>
      </c>
      <c r="D2043" s="70"/>
      <c r="G2043" s="70" t="s">
        <v>1580</v>
      </c>
      <c r="H2043" s="26">
        <v>-1</v>
      </c>
      <c r="I2043" s="70" t="s">
        <v>8166</v>
      </c>
      <c r="J2043" s="26" t="s">
        <v>8152</v>
      </c>
      <c r="K2043" s="26" t="s">
        <v>8167</v>
      </c>
      <c r="M2043" s="76"/>
      <c r="N2043" s="76"/>
      <c r="O2043" s="76"/>
      <c r="P2043" s="76"/>
      <c r="Q2043" s="76"/>
      <c r="R2043" s="76"/>
      <c r="Z2043" s="70"/>
      <c r="AA2043" s="70"/>
      <c r="AB2043" s="70"/>
      <c r="AC2043" s="70"/>
    </row>
    <row r="2044" spans="1:31" s="26" customFormat="1" x14ac:dyDescent="0.3">
      <c r="A2044" s="25" t="s">
        <v>8168</v>
      </c>
      <c r="B2044" s="25"/>
      <c r="C2044" s="26" t="s">
        <v>3005</v>
      </c>
      <c r="D2044" s="70"/>
      <c r="G2044" s="70" t="s">
        <v>1580</v>
      </c>
      <c r="H2044" s="26">
        <v>-1</v>
      </c>
      <c r="I2044" s="70" t="s">
        <v>3870</v>
      </c>
      <c r="J2044" s="26" t="s">
        <v>8126</v>
      </c>
      <c r="K2044" s="26" t="s">
        <v>8169</v>
      </c>
      <c r="L2044" s="26" t="s">
        <v>10961</v>
      </c>
      <c r="M2044" s="76"/>
      <c r="N2044" s="76"/>
      <c r="O2044" s="76"/>
      <c r="P2044" s="76"/>
      <c r="Q2044" s="76"/>
      <c r="R2044" s="76"/>
      <c r="Z2044" s="70"/>
      <c r="AA2044" s="70"/>
      <c r="AB2044" s="70"/>
      <c r="AC2044" s="70"/>
    </row>
    <row r="2045" spans="1:31" s="26" customFormat="1" x14ac:dyDescent="0.3">
      <c r="A2045" s="25" t="s">
        <v>8170</v>
      </c>
      <c r="B2045" s="25"/>
      <c r="C2045" s="26" t="s">
        <v>3005</v>
      </c>
      <c r="D2045" s="70"/>
      <c r="G2045" s="70" t="s">
        <v>1580</v>
      </c>
      <c r="H2045" s="26">
        <v>2</v>
      </c>
      <c r="I2045" s="70" t="s">
        <v>8171</v>
      </c>
      <c r="J2045" s="26" t="s">
        <v>5085</v>
      </c>
      <c r="K2045" s="26" t="s">
        <v>6983</v>
      </c>
      <c r="M2045" s="76"/>
      <c r="N2045" s="76"/>
      <c r="O2045" s="76"/>
      <c r="P2045" s="76"/>
      <c r="Q2045" s="76"/>
      <c r="R2045" s="76"/>
      <c r="Z2045" s="70"/>
      <c r="AA2045" s="70"/>
      <c r="AB2045" s="70"/>
      <c r="AC2045" s="70"/>
    </row>
    <row r="2046" spans="1:31" s="24" customFormat="1" x14ac:dyDescent="0.3">
      <c r="A2046" s="23">
        <v>539</v>
      </c>
      <c r="B2046" s="23">
        <v>534</v>
      </c>
      <c r="C2046" s="24" t="s">
        <v>2165</v>
      </c>
      <c r="D2046" s="69" t="s">
        <v>1553</v>
      </c>
      <c r="E2046" s="24" t="s">
        <v>1578</v>
      </c>
      <c r="F2046" s="24" t="s">
        <v>1582</v>
      </c>
      <c r="G2046" s="69" t="s">
        <v>1583</v>
      </c>
      <c r="H2046" s="24">
        <v>1</v>
      </c>
      <c r="I2046" s="69"/>
      <c r="J2046" s="24" t="s">
        <v>5616</v>
      </c>
      <c r="K2046" s="24" t="s">
        <v>1584</v>
      </c>
      <c r="M2046" s="75" t="s">
        <v>15</v>
      </c>
      <c r="N2046" s="75"/>
      <c r="O2046" s="75"/>
      <c r="P2046" s="75"/>
      <c r="Q2046" s="75"/>
      <c r="R2046" s="75"/>
      <c r="T2046" s="24" t="s">
        <v>2850</v>
      </c>
      <c r="V2046" s="24" t="s">
        <v>2847</v>
      </c>
      <c r="Z2046" s="69" t="s">
        <v>2851</v>
      </c>
      <c r="AA2046" s="69"/>
      <c r="AB2046" s="69" t="s">
        <v>2851</v>
      </c>
      <c r="AC2046" s="69"/>
      <c r="AE2046" s="24" t="s">
        <v>2852</v>
      </c>
    </row>
    <row r="2047" spans="1:31" s="26" customFormat="1" x14ac:dyDescent="0.3">
      <c r="A2047" s="25" t="s">
        <v>8172</v>
      </c>
      <c r="B2047" s="25"/>
      <c r="C2047" s="26" t="s">
        <v>3005</v>
      </c>
      <c r="D2047" s="70"/>
      <c r="G2047" s="70" t="s">
        <v>1583</v>
      </c>
      <c r="H2047" s="26">
        <v>-1</v>
      </c>
      <c r="I2047" s="70" t="s">
        <v>8173</v>
      </c>
      <c r="J2047" s="26" t="s">
        <v>5250</v>
      </c>
      <c r="K2047" s="26" t="s">
        <v>8174</v>
      </c>
      <c r="M2047" s="76"/>
      <c r="N2047" s="76"/>
      <c r="O2047" s="76"/>
      <c r="P2047" s="76"/>
      <c r="Q2047" s="76"/>
      <c r="R2047" s="76"/>
      <c r="Z2047" s="70"/>
      <c r="AA2047" s="70"/>
      <c r="AB2047" s="70"/>
      <c r="AC2047" s="70"/>
    </row>
    <row r="2048" spans="1:31" s="26" customFormat="1" x14ac:dyDescent="0.3">
      <c r="A2048" s="25" t="s">
        <v>8175</v>
      </c>
      <c r="B2048" s="25"/>
      <c r="C2048" s="26" t="s">
        <v>3005</v>
      </c>
      <c r="D2048" s="70"/>
      <c r="G2048" s="70" t="s">
        <v>1583</v>
      </c>
      <c r="H2048" s="26">
        <v>-1</v>
      </c>
      <c r="I2048" s="70" t="s">
        <v>5126</v>
      </c>
      <c r="J2048" s="26" t="s">
        <v>6807</v>
      </c>
      <c r="K2048" s="26" t="s">
        <v>8176</v>
      </c>
      <c r="L2048" s="26" t="s">
        <v>10962</v>
      </c>
      <c r="M2048" s="76"/>
      <c r="N2048" s="76"/>
      <c r="O2048" s="76"/>
      <c r="P2048" s="76"/>
      <c r="Q2048" s="76"/>
      <c r="R2048" s="76"/>
      <c r="Z2048" s="70"/>
      <c r="AA2048" s="70"/>
      <c r="AB2048" s="70"/>
      <c r="AC2048" s="70"/>
    </row>
    <row r="2049" spans="1:29" s="26" customFormat="1" x14ac:dyDescent="0.3">
      <c r="A2049" s="25" t="s">
        <v>8177</v>
      </c>
      <c r="B2049" s="25"/>
      <c r="C2049" s="26" t="s">
        <v>3005</v>
      </c>
      <c r="D2049" s="70"/>
      <c r="G2049" s="70" t="s">
        <v>1583</v>
      </c>
      <c r="H2049" s="26">
        <v>-1</v>
      </c>
      <c r="I2049" s="70" t="s">
        <v>8178</v>
      </c>
      <c r="J2049" s="26" t="s">
        <v>8179</v>
      </c>
      <c r="K2049" s="26" t="s">
        <v>8180</v>
      </c>
      <c r="M2049" s="76"/>
      <c r="N2049" s="76"/>
      <c r="O2049" s="76"/>
      <c r="P2049" s="76"/>
      <c r="Q2049" s="76"/>
      <c r="R2049" s="76"/>
      <c r="Z2049" s="70"/>
      <c r="AA2049" s="70"/>
      <c r="AB2049" s="70"/>
      <c r="AC2049" s="70"/>
    </row>
    <row r="2050" spans="1:29" s="26" customFormat="1" x14ac:dyDescent="0.3">
      <c r="A2050" s="25" t="s">
        <v>8181</v>
      </c>
      <c r="B2050" s="25"/>
      <c r="C2050" s="26" t="s">
        <v>3005</v>
      </c>
      <c r="D2050" s="70"/>
      <c r="G2050" s="70" t="s">
        <v>1583</v>
      </c>
      <c r="H2050" s="26">
        <v>-1</v>
      </c>
      <c r="I2050" s="70" t="s">
        <v>8182</v>
      </c>
      <c r="J2050" s="26" t="s">
        <v>8183</v>
      </c>
      <c r="K2050" s="26" t="s">
        <v>8184</v>
      </c>
      <c r="M2050" s="76"/>
      <c r="N2050" s="76"/>
      <c r="O2050" s="76"/>
      <c r="P2050" s="76"/>
      <c r="Q2050" s="76"/>
      <c r="R2050" s="76"/>
      <c r="Z2050" s="70"/>
      <c r="AA2050" s="70"/>
      <c r="AB2050" s="70"/>
      <c r="AC2050" s="70"/>
    </row>
    <row r="2051" spans="1:29" s="26" customFormat="1" x14ac:dyDescent="0.3">
      <c r="A2051" s="25" t="s">
        <v>8185</v>
      </c>
      <c r="B2051" s="25"/>
      <c r="C2051" s="26" t="s">
        <v>3005</v>
      </c>
      <c r="D2051" s="70"/>
      <c r="G2051" s="70" t="s">
        <v>1583</v>
      </c>
      <c r="H2051" s="26">
        <v>2</v>
      </c>
      <c r="I2051" s="70" t="s">
        <v>5352</v>
      </c>
      <c r="J2051" s="26" t="s">
        <v>8186</v>
      </c>
      <c r="K2051" s="26" t="s">
        <v>8187</v>
      </c>
      <c r="M2051" s="76"/>
      <c r="N2051" s="76"/>
      <c r="O2051" s="76"/>
      <c r="P2051" s="76"/>
      <c r="Q2051" s="76"/>
      <c r="R2051" s="76"/>
      <c r="Z2051" s="70"/>
      <c r="AA2051" s="70"/>
      <c r="AB2051" s="70"/>
      <c r="AC2051" s="70"/>
    </row>
    <row r="2052" spans="1:29" s="26" customFormat="1" x14ac:dyDescent="0.3">
      <c r="A2052" s="25" t="s">
        <v>8188</v>
      </c>
      <c r="B2052" s="25"/>
      <c r="C2052" s="26" t="s">
        <v>3005</v>
      </c>
      <c r="D2052" s="70"/>
      <c r="G2052" s="70" t="s">
        <v>1583</v>
      </c>
      <c r="H2052" s="26">
        <v>-1</v>
      </c>
      <c r="I2052" s="70" t="s">
        <v>8189</v>
      </c>
      <c r="J2052" s="26" t="s">
        <v>5616</v>
      </c>
      <c r="K2052" s="26" t="s">
        <v>8190</v>
      </c>
      <c r="L2052" s="26" t="s">
        <v>10963</v>
      </c>
      <c r="M2052" s="76"/>
      <c r="N2052" s="76"/>
      <c r="O2052" s="76"/>
      <c r="P2052" s="76"/>
      <c r="Q2052" s="76"/>
      <c r="R2052" s="76"/>
      <c r="Z2052" s="70"/>
      <c r="AA2052" s="70"/>
      <c r="AB2052" s="70"/>
      <c r="AC2052" s="70"/>
    </row>
    <row r="2053" spans="1:29" s="26" customFormat="1" x14ac:dyDescent="0.3">
      <c r="A2053" s="25" t="s">
        <v>8191</v>
      </c>
      <c r="B2053" s="25"/>
      <c r="C2053" s="26" t="s">
        <v>3005</v>
      </c>
      <c r="D2053" s="70"/>
      <c r="G2053" s="70" t="s">
        <v>1583</v>
      </c>
      <c r="H2053" s="26">
        <v>-1</v>
      </c>
      <c r="I2053" s="70" t="s">
        <v>6321</v>
      </c>
      <c r="J2053" s="26" t="s">
        <v>7833</v>
      </c>
      <c r="K2053" s="26" t="s">
        <v>8192</v>
      </c>
      <c r="M2053" s="76"/>
      <c r="N2053" s="76"/>
      <c r="O2053" s="76"/>
      <c r="P2053" s="76"/>
      <c r="Q2053" s="76"/>
      <c r="R2053" s="76"/>
      <c r="Z2053" s="70"/>
      <c r="AA2053" s="70"/>
      <c r="AB2053" s="70"/>
      <c r="AC2053" s="70"/>
    </row>
    <row r="2054" spans="1:29" s="26" customFormat="1" x14ac:dyDescent="0.3">
      <c r="A2054" s="25" t="s">
        <v>8193</v>
      </c>
      <c r="B2054" s="25"/>
      <c r="C2054" s="26" t="s">
        <v>3005</v>
      </c>
      <c r="D2054" s="70"/>
      <c r="G2054" s="70" t="s">
        <v>1583</v>
      </c>
      <c r="H2054" s="26">
        <v>-1</v>
      </c>
      <c r="I2054" s="70" t="s">
        <v>3850</v>
      </c>
      <c r="J2054" s="26" t="s">
        <v>8194</v>
      </c>
      <c r="K2054" s="26" t="s">
        <v>3215</v>
      </c>
      <c r="M2054" s="76"/>
      <c r="N2054" s="76"/>
      <c r="O2054" s="76"/>
      <c r="P2054" s="76"/>
      <c r="Q2054" s="76"/>
      <c r="R2054" s="76"/>
      <c r="Z2054" s="70"/>
      <c r="AA2054" s="70"/>
      <c r="AB2054" s="70"/>
      <c r="AC2054" s="70"/>
    </row>
    <row r="2055" spans="1:29" s="24" customFormat="1" x14ac:dyDescent="0.3">
      <c r="A2055" s="23">
        <v>540</v>
      </c>
      <c r="B2055" s="23">
        <v>535</v>
      </c>
      <c r="C2055" s="24" t="s">
        <v>2165</v>
      </c>
      <c r="D2055" s="69" t="s">
        <v>1553</v>
      </c>
      <c r="E2055" s="24" t="s">
        <v>1578</v>
      </c>
      <c r="F2055" s="24" t="s">
        <v>1585</v>
      </c>
      <c r="G2055" s="69" t="s">
        <v>1586</v>
      </c>
      <c r="H2055" s="24">
        <v>4</v>
      </c>
      <c r="I2055" s="69"/>
      <c r="J2055" s="24" t="s">
        <v>5475</v>
      </c>
      <c r="K2055" s="24" t="s">
        <v>68</v>
      </c>
      <c r="M2055" s="75" t="s">
        <v>65</v>
      </c>
      <c r="N2055" s="75" t="s">
        <v>2015</v>
      </c>
      <c r="O2055" s="75"/>
      <c r="P2055" s="75"/>
      <c r="Q2055" s="75"/>
      <c r="R2055" s="75"/>
      <c r="Z2055" s="69"/>
      <c r="AA2055" s="69"/>
      <c r="AB2055" s="69"/>
      <c r="AC2055" s="69" t="s">
        <v>11413</v>
      </c>
    </row>
    <row r="2056" spans="1:29" s="26" customFormat="1" x14ac:dyDescent="0.3">
      <c r="A2056" s="25" t="s">
        <v>8195</v>
      </c>
      <c r="B2056" s="25"/>
      <c r="C2056" s="26" t="s">
        <v>3005</v>
      </c>
      <c r="D2056" s="70"/>
      <c r="G2056" s="70" t="s">
        <v>1586</v>
      </c>
      <c r="H2056" s="26">
        <v>1</v>
      </c>
      <c r="I2056" s="70" t="s">
        <v>5230</v>
      </c>
      <c r="J2056" s="26" t="s">
        <v>5942</v>
      </c>
      <c r="K2056" s="26" t="s">
        <v>8196</v>
      </c>
      <c r="L2056" s="26" t="s">
        <v>10964</v>
      </c>
      <c r="M2056" s="76"/>
      <c r="N2056" s="76"/>
      <c r="O2056" s="76"/>
      <c r="P2056" s="76"/>
      <c r="Q2056" s="76"/>
      <c r="R2056" s="76"/>
      <c r="Z2056" s="70"/>
      <c r="AA2056" s="70"/>
      <c r="AB2056" s="70"/>
      <c r="AC2056" s="70"/>
    </row>
    <row r="2057" spans="1:29" s="26" customFormat="1" x14ac:dyDescent="0.3">
      <c r="A2057" s="25" t="s">
        <v>8197</v>
      </c>
      <c r="B2057" s="25"/>
      <c r="C2057" s="26" t="s">
        <v>3005</v>
      </c>
      <c r="D2057" s="70"/>
      <c r="G2057" s="70" t="s">
        <v>1586</v>
      </c>
      <c r="H2057" s="26">
        <v>1</v>
      </c>
      <c r="I2057" s="70" t="s">
        <v>8198</v>
      </c>
      <c r="J2057" s="26" t="s">
        <v>8199</v>
      </c>
      <c r="K2057" s="26" t="s">
        <v>8200</v>
      </c>
      <c r="L2057" s="26" t="s">
        <v>10965</v>
      </c>
      <c r="M2057" s="76"/>
      <c r="N2057" s="76"/>
      <c r="O2057" s="76"/>
      <c r="P2057" s="76"/>
      <c r="Q2057" s="76"/>
      <c r="R2057" s="76"/>
      <c r="Z2057" s="70"/>
      <c r="AA2057" s="70"/>
      <c r="AB2057" s="70"/>
      <c r="AC2057" s="70"/>
    </row>
    <row r="2058" spans="1:29" s="26" customFormat="1" x14ac:dyDescent="0.3">
      <c r="A2058" s="25" t="s">
        <v>8201</v>
      </c>
      <c r="B2058" s="25"/>
      <c r="C2058" s="26" t="s">
        <v>3005</v>
      </c>
      <c r="D2058" s="70"/>
      <c r="G2058" s="70" t="s">
        <v>1586</v>
      </c>
      <c r="H2058" s="26">
        <v>1</v>
      </c>
      <c r="I2058" s="70" t="s">
        <v>8202</v>
      </c>
      <c r="J2058" s="26" t="s">
        <v>5475</v>
      </c>
      <c r="K2058" s="26" t="s">
        <v>8203</v>
      </c>
      <c r="L2058" s="26" t="s">
        <v>10966</v>
      </c>
      <c r="M2058" s="76"/>
      <c r="N2058" s="76"/>
      <c r="O2058" s="76"/>
      <c r="P2058" s="76"/>
      <c r="Q2058" s="76"/>
      <c r="R2058" s="76"/>
      <c r="Z2058" s="70"/>
      <c r="AA2058" s="70"/>
      <c r="AB2058" s="70"/>
      <c r="AC2058" s="70"/>
    </row>
    <row r="2059" spans="1:29" s="26" customFormat="1" x14ac:dyDescent="0.3">
      <c r="A2059" s="25" t="s">
        <v>8204</v>
      </c>
      <c r="B2059" s="25"/>
      <c r="C2059" s="26" t="s">
        <v>3005</v>
      </c>
      <c r="D2059" s="70"/>
      <c r="G2059" s="70" t="s">
        <v>1586</v>
      </c>
      <c r="H2059" s="26">
        <v>1</v>
      </c>
      <c r="I2059" s="70" t="s">
        <v>8205</v>
      </c>
      <c r="J2059" s="26" t="s">
        <v>4301</v>
      </c>
      <c r="K2059" s="26" t="s">
        <v>8206</v>
      </c>
      <c r="L2059" s="26" t="s">
        <v>10967</v>
      </c>
      <c r="M2059" s="76"/>
      <c r="N2059" s="76"/>
      <c r="O2059" s="76"/>
      <c r="P2059" s="76"/>
      <c r="Q2059" s="76"/>
      <c r="R2059" s="76"/>
      <c r="Z2059" s="70"/>
      <c r="AA2059" s="70"/>
      <c r="AB2059" s="70"/>
      <c r="AC2059" s="70"/>
    </row>
    <row r="2060" spans="1:29" s="24" customFormat="1" x14ac:dyDescent="0.3">
      <c r="A2060" s="23">
        <v>541</v>
      </c>
      <c r="B2060" s="23">
        <v>536</v>
      </c>
      <c r="C2060" s="24" t="s">
        <v>2165</v>
      </c>
      <c r="D2060" s="69" t="s">
        <v>1588</v>
      </c>
      <c r="E2060" s="24" t="s">
        <v>1587</v>
      </c>
      <c r="F2060" s="24" t="s">
        <v>1589</v>
      </c>
      <c r="G2060" s="69" t="s">
        <v>1590</v>
      </c>
      <c r="H2060" s="24">
        <v>4</v>
      </c>
      <c r="I2060" s="69"/>
      <c r="J2060" s="24" t="s">
        <v>6308</v>
      </c>
      <c r="K2060" s="24" t="s">
        <v>68</v>
      </c>
      <c r="M2060" s="75" t="s">
        <v>65</v>
      </c>
      <c r="N2060" s="75" t="s">
        <v>2020</v>
      </c>
      <c r="O2060" s="75"/>
      <c r="P2060" s="75"/>
      <c r="Q2060" s="75"/>
      <c r="R2060" s="75"/>
      <c r="V2060" s="24" t="s">
        <v>2853</v>
      </c>
      <c r="Z2060" s="69"/>
      <c r="AA2060" s="69"/>
      <c r="AB2060" s="69"/>
      <c r="AC2060" s="69"/>
    </row>
    <row r="2061" spans="1:29" s="26" customFormat="1" x14ac:dyDescent="0.3">
      <c r="A2061" s="25" t="s">
        <v>8207</v>
      </c>
      <c r="B2061" s="25"/>
      <c r="C2061" s="26" t="s">
        <v>3005</v>
      </c>
      <c r="D2061" s="70"/>
      <c r="G2061" s="70" t="s">
        <v>1590</v>
      </c>
      <c r="H2061" s="26">
        <v>1</v>
      </c>
      <c r="I2061" s="70" t="s">
        <v>8208</v>
      </c>
      <c r="J2061" s="26" t="s">
        <v>5274</v>
      </c>
      <c r="K2061" s="26" t="s">
        <v>8209</v>
      </c>
      <c r="L2061" s="26" t="s">
        <v>10968</v>
      </c>
      <c r="M2061" s="76"/>
      <c r="N2061" s="76"/>
      <c r="O2061" s="76"/>
      <c r="P2061" s="76"/>
      <c r="Q2061" s="76"/>
      <c r="R2061" s="76"/>
      <c r="Z2061" s="70"/>
      <c r="AA2061" s="70"/>
      <c r="AB2061" s="70"/>
      <c r="AC2061" s="70"/>
    </row>
    <row r="2062" spans="1:29" s="26" customFormat="1" x14ac:dyDescent="0.3">
      <c r="A2062" s="25" t="s">
        <v>8210</v>
      </c>
      <c r="B2062" s="25"/>
      <c r="C2062" s="26" t="s">
        <v>3005</v>
      </c>
      <c r="D2062" s="70"/>
      <c r="G2062" s="70" t="s">
        <v>1590</v>
      </c>
      <c r="H2062" s="26">
        <v>1</v>
      </c>
      <c r="I2062" s="70" t="s">
        <v>8211</v>
      </c>
      <c r="J2062" s="26" t="s">
        <v>6909</v>
      </c>
      <c r="K2062" s="26" t="s">
        <v>2036</v>
      </c>
      <c r="L2062" s="26" t="s">
        <v>10969</v>
      </c>
      <c r="M2062" s="76"/>
      <c r="N2062" s="76"/>
      <c r="O2062" s="76"/>
      <c r="P2062" s="76"/>
      <c r="Q2062" s="76"/>
      <c r="R2062" s="76"/>
      <c r="Z2062" s="70"/>
      <c r="AA2062" s="70"/>
      <c r="AB2062" s="70"/>
      <c r="AC2062" s="70"/>
    </row>
    <row r="2063" spans="1:29" s="26" customFormat="1" x14ac:dyDescent="0.3">
      <c r="A2063" s="25" t="s">
        <v>8212</v>
      </c>
      <c r="B2063" s="25"/>
      <c r="C2063" s="26" t="s">
        <v>3005</v>
      </c>
      <c r="D2063" s="70"/>
      <c r="G2063" s="70" t="s">
        <v>1590</v>
      </c>
      <c r="H2063" s="26">
        <v>1</v>
      </c>
      <c r="I2063" s="70" t="s">
        <v>5230</v>
      </c>
      <c r="J2063" s="26" t="s">
        <v>6308</v>
      </c>
      <c r="K2063" s="26" t="s">
        <v>2025</v>
      </c>
      <c r="L2063" s="26" t="s">
        <v>9880</v>
      </c>
      <c r="M2063" s="76"/>
      <c r="N2063" s="76"/>
      <c r="O2063" s="76"/>
      <c r="P2063" s="76"/>
      <c r="Q2063" s="76"/>
      <c r="R2063" s="76"/>
      <c r="Z2063" s="70"/>
      <c r="AA2063" s="70"/>
      <c r="AB2063" s="70"/>
      <c r="AC2063" s="70"/>
    </row>
    <row r="2064" spans="1:29" s="26" customFormat="1" x14ac:dyDescent="0.3">
      <c r="A2064" s="25" t="s">
        <v>8213</v>
      </c>
      <c r="B2064" s="25"/>
      <c r="C2064" s="26" t="s">
        <v>3005</v>
      </c>
      <c r="D2064" s="70"/>
      <c r="G2064" s="70" t="s">
        <v>1590</v>
      </c>
      <c r="H2064" s="26">
        <v>1</v>
      </c>
      <c r="I2064" s="70" t="s">
        <v>6915</v>
      </c>
      <c r="J2064" s="26" t="s">
        <v>5942</v>
      </c>
      <c r="K2064" s="26" t="s">
        <v>8203</v>
      </c>
      <c r="L2064" s="26" t="s">
        <v>10970</v>
      </c>
      <c r="M2064" s="76"/>
      <c r="N2064" s="76"/>
      <c r="O2064" s="76"/>
      <c r="P2064" s="76"/>
      <c r="Q2064" s="76"/>
      <c r="R2064" s="76"/>
      <c r="Z2064" s="70"/>
      <c r="AA2064" s="70"/>
      <c r="AB2064" s="70"/>
      <c r="AC2064" s="70"/>
    </row>
    <row r="2065" spans="1:31" s="24" customFormat="1" x14ac:dyDescent="0.3">
      <c r="A2065" s="23">
        <v>542</v>
      </c>
      <c r="B2065" s="23">
        <v>537</v>
      </c>
      <c r="C2065" s="24" t="s">
        <v>2165</v>
      </c>
      <c r="D2065" s="69" t="s">
        <v>1588</v>
      </c>
      <c r="E2065" s="24" t="s">
        <v>1587</v>
      </c>
      <c r="F2065" s="24" t="s">
        <v>1591</v>
      </c>
      <c r="G2065" s="69" t="s">
        <v>1592</v>
      </c>
      <c r="I2065" s="69"/>
      <c r="J2065" s="24" t="s">
        <v>5475</v>
      </c>
      <c r="K2065" s="24" t="s">
        <v>68</v>
      </c>
      <c r="L2065" s="24" t="s">
        <v>9882</v>
      </c>
      <c r="M2065" s="75" t="s">
        <v>65</v>
      </c>
      <c r="N2065" s="75" t="s">
        <v>2030</v>
      </c>
      <c r="O2065" s="75" t="s">
        <v>66</v>
      </c>
      <c r="P2065" s="75" t="s">
        <v>66</v>
      </c>
      <c r="Q2065" s="75" t="s">
        <v>66</v>
      </c>
      <c r="R2065" s="75"/>
      <c r="V2065" s="24" t="s">
        <v>2854</v>
      </c>
      <c r="Z2065" s="69"/>
      <c r="AA2065" s="69"/>
      <c r="AB2065" s="69"/>
      <c r="AC2065" s="69"/>
    </row>
    <row r="2066" spans="1:31" s="24" customFormat="1" x14ac:dyDescent="0.3">
      <c r="A2066" s="23">
        <v>543</v>
      </c>
      <c r="B2066" s="23">
        <v>538</v>
      </c>
      <c r="C2066" s="24" t="s">
        <v>2165</v>
      </c>
      <c r="D2066" s="69" t="s">
        <v>1588</v>
      </c>
      <c r="E2066" s="24" t="s">
        <v>1587</v>
      </c>
      <c r="F2066" s="24" t="s">
        <v>1593</v>
      </c>
      <c r="G2066" s="69" t="s">
        <v>1594</v>
      </c>
      <c r="I2066" s="69"/>
      <c r="J2066" s="24" t="s">
        <v>6301</v>
      </c>
      <c r="K2066" s="24" t="s">
        <v>68</v>
      </c>
      <c r="L2066" s="24" t="s">
        <v>9883</v>
      </c>
      <c r="M2066" s="75" t="s">
        <v>65</v>
      </c>
      <c r="N2066" s="75" t="s">
        <v>2030</v>
      </c>
      <c r="O2066" s="75"/>
      <c r="P2066" s="75"/>
      <c r="Q2066" s="75"/>
      <c r="R2066" s="75"/>
      <c r="Z2066" s="69" t="s">
        <v>2855</v>
      </c>
      <c r="AA2066" s="69"/>
      <c r="AB2066" s="69" t="s">
        <v>2856</v>
      </c>
      <c r="AC2066" s="69" t="s">
        <v>2856</v>
      </c>
    </row>
    <row r="2067" spans="1:31" s="24" customFormat="1" x14ac:dyDescent="0.3">
      <c r="A2067" s="23">
        <v>544</v>
      </c>
      <c r="B2067" s="23">
        <v>539</v>
      </c>
      <c r="C2067" s="24" t="s">
        <v>2165</v>
      </c>
      <c r="D2067" s="69" t="s">
        <v>1588</v>
      </c>
      <c r="E2067" s="24" t="s">
        <v>1587</v>
      </c>
      <c r="F2067" s="24" t="s">
        <v>1595</v>
      </c>
      <c r="G2067" s="69" t="s">
        <v>1596</v>
      </c>
      <c r="I2067" s="69"/>
      <c r="J2067" s="24" t="s">
        <v>8214</v>
      </c>
      <c r="K2067" s="24" t="s">
        <v>68</v>
      </c>
      <c r="L2067" s="24" t="s">
        <v>9882</v>
      </c>
      <c r="M2067" s="75" t="s">
        <v>65</v>
      </c>
      <c r="N2067" s="75" t="s">
        <v>2030</v>
      </c>
      <c r="O2067" s="75" t="s">
        <v>58</v>
      </c>
      <c r="P2067" s="75" t="s">
        <v>58</v>
      </c>
      <c r="Q2067" s="75" t="s">
        <v>130</v>
      </c>
      <c r="R2067" s="75"/>
      <c r="W2067" s="24" t="s">
        <v>2857</v>
      </c>
      <c r="Z2067" s="69"/>
      <c r="AA2067" s="69"/>
      <c r="AB2067" s="69"/>
      <c r="AC2067" s="69"/>
    </row>
    <row r="2068" spans="1:31" s="24" customFormat="1" x14ac:dyDescent="0.3">
      <c r="A2068" s="23">
        <v>545</v>
      </c>
      <c r="B2068" s="23">
        <v>540</v>
      </c>
      <c r="C2068" s="24" t="s">
        <v>2165</v>
      </c>
      <c r="D2068" s="69" t="s">
        <v>1598</v>
      </c>
      <c r="E2068" s="24" t="s">
        <v>1597</v>
      </c>
      <c r="F2068" s="24" t="s">
        <v>1599</v>
      </c>
      <c r="G2068" s="69" t="s">
        <v>1600</v>
      </c>
      <c r="H2068" s="24">
        <v>2</v>
      </c>
      <c r="I2068" s="69"/>
      <c r="J2068" s="24" t="s">
        <v>6963</v>
      </c>
      <c r="K2068" s="24" t="s">
        <v>68</v>
      </c>
      <c r="M2068" s="75" t="s">
        <v>65</v>
      </c>
      <c r="N2068" s="75" t="s">
        <v>2017</v>
      </c>
      <c r="O2068" s="75"/>
      <c r="P2068" s="75"/>
      <c r="Q2068" s="75"/>
      <c r="R2068" s="75"/>
      <c r="T2068" s="24" t="s">
        <v>2376</v>
      </c>
      <c r="Z2068" s="69"/>
      <c r="AA2068" s="69"/>
      <c r="AB2068" s="69"/>
      <c r="AC2068" s="69" t="s">
        <v>11414</v>
      </c>
      <c r="AE2068" s="24" t="s">
        <v>2858</v>
      </c>
    </row>
    <row r="2069" spans="1:31" s="26" customFormat="1" x14ac:dyDescent="0.3">
      <c r="A2069" s="25" t="s">
        <v>8215</v>
      </c>
      <c r="B2069" s="25"/>
      <c r="C2069" s="26" t="s">
        <v>3005</v>
      </c>
      <c r="D2069" s="70"/>
      <c r="G2069" s="70" t="s">
        <v>1600</v>
      </c>
      <c r="H2069" s="26">
        <v>1</v>
      </c>
      <c r="I2069" s="70" t="s">
        <v>4235</v>
      </c>
      <c r="J2069" s="26" t="s">
        <v>6963</v>
      </c>
      <c r="K2069" s="26" t="s">
        <v>7826</v>
      </c>
      <c r="L2069" s="26" t="s">
        <v>9884</v>
      </c>
      <c r="M2069" s="76"/>
      <c r="N2069" s="76"/>
      <c r="O2069" s="76"/>
      <c r="P2069" s="76"/>
      <c r="Q2069" s="76"/>
      <c r="R2069" s="76"/>
      <c r="Z2069" s="70"/>
      <c r="AA2069" s="70"/>
      <c r="AB2069" s="70"/>
      <c r="AC2069" s="70"/>
    </row>
    <row r="2070" spans="1:31" s="26" customFormat="1" x14ac:dyDescent="0.3">
      <c r="A2070" s="25" t="s">
        <v>8216</v>
      </c>
      <c r="B2070" s="25"/>
      <c r="C2070" s="26" t="s">
        <v>3005</v>
      </c>
      <c r="D2070" s="70"/>
      <c r="G2070" s="70" t="s">
        <v>1600</v>
      </c>
      <c r="H2070" s="26">
        <v>1</v>
      </c>
      <c r="I2070" s="70" t="s">
        <v>7828</v>
      </c>
      <c r="J2070" s="26" t="s">
        <v>5353</v>
      </c>
      <c r="K2070" s="26" t="s">
        <v>7829</v>
      </c>
      <c r="L2070" s="26" t="s">
        <v>10971</v>
      </c>
      <c r="M2070" s="76"/>
      <c r="N2070" s="76"/>
      <c r="O2070" s="76"/>
      <c r="P2070" s="76"/>
      <c r="Q2070" s="76"/>
      <c r="R2070" s="76"/>
      <c r="Z2070" s="70"/>
      <c r="AA2070" s="70"/>
      <c r="AB2070" s="70"/>
      <c r="AC2070" s="70"/>
    </row>
    <row r="2071" spans="1:31" s="24" customFormat="1" x14ac:dyDescent="0.3">
      <c r="A2071" s="23">
        <v>546</v>
      </c>
      <c r="B2071" s="23">
        <v>541</v>
      </c>
      <c r="C2071" s="24" t="s">
        <v>2165</v>
      </c>
      <c r="D2071" s="69" t="s">
        <v>1598</v>
      </c>
      <c r="E2071" s="24" t="s">
        <v>1597</v>
      </c>
      <c r="F2071" s="24" t="s">
        <v>1601</v>
      </c>
      <c r="G2071" s="69" t="s">
        <v>1602</v>
      </c>
      <c r="I2071" s="69"/>
      <c r="J2071" s="24" t="s">
        <v>6963</v>
      </c>
      <c r="K2071" s="24" t="s">
        <v>68</v>
      </c>
      <c r="L2071" s="24" t="s">
        <v>9884</v>
      </c>
      <c r="M2071" s="75" t="s">
        <v>65</v>
      </c>
      <c r="N2071" s="75" t="s">
        <v>2017</v>
      </c>
      <c r="O2071" s="75" t="s">
        <v>58</v>
      </c>
      <c r="P2071" s="75" t="s">
        <v>58</v>
      </c>
      <c r="Q2071" s="75" t="s">
        <v>66</v>
      </c>
      <c r="R2071" s="75"/>
      <c r="V2071" s="24" t="s">
        <v>2859</v>
      </c>
      <c r="W2071" s="24" t="s">
        <v>2859</v>
      </c>
      <c r="Z2071" s="69"/>
      <c r="AA2071" s="69"/>
      <c r="AB2071" s="69"/>
      <c r="AC2071" s="69" t="s">
        <v>11415</v>
      </c>
    </row>
    <row r="2072" spans="1:31" s="24" customFormat="1" x14ac:dyDescent="0.3">
      <c r="A2072" s="23">
        <v>547</v>
      </c>
      <c r="B2072" s="23">
        <v>542</v>
      </c>
      <c r="C2072" s="24" t="s">
        <v>2165</v>
      </c>
      <c r="D2072" s="69" t="s">
        <v>1598</v>
      </c>
      <c r="E2072" s="24" t="s">
        <v>1597</v>
      </c>
      <c r="F2072" s="24" t="s">
        <v>1603</v>
      </c>
      <c r="G2072" s="69" t="s">
        <v>1604</v>
      </c>
      <c r="I2072" s="69"/>
      <c r="J2072" s="24" t="s">
        <v>8217</v>
      </c>
      <c r="K2072" s="24" t="s">
        <v>68</v>
      </c>
      <c r="L2072" s="24" t="s">
        <v>9885</v>
      </c>
      <c r="M2072" s="75" t="s">
        <v>65</v>
      </c>
      <c r="N2072" s="75" t="s">
        <v>2035</v>
      </c>
      <c r="O2072" s="75" t="s">
        <v>58</v>
      </c>
      <c r="P2072" s="75" t="s">
        <v>58</v>
      </c>
      <c r="Q2072" s="75" t="s">
        <v>66</v>
      </c>
      <c r="R2072" s="75"/>
      <c r="V2072" s="24" t="s">
        <v>2860</v>
      </c>
      <c r="W2072" s="24" t="s">
        <v>2860</v>
      </c>
      <c r="Z2072" s="69"/>
      <c r="AA2072" s="69"/>
      <c r="AB2072" s="69"/>
      <c r="AC2072" s="69" t="s">
        <v>11416</v>
      </c>
    </row>
    <row r="2073" spans="1:31" s="24" customFormat="1" x14ac:dyDescent="0.3">
      <c r="A2073" s="23">
        <v>548</v>
      </c>
      <c r="B2073" s="23">
        <v>543</v>
      </c>
      <c r="C2073" s="24" t="s">
        <v>2165</v>
      </c>
      <c r="D2073" s="69" t="s">
        <v>1598</v>
      </c>
      <c r="E2073" s="24" t="s">
        <v>1597</v>
      </c>
      <c r="F2073" s="24" t="s">
        <v>1605</v>
      </c>
      <c r="G2073" s="69" t="s">
        <v>1606</v>
      </c>
      <c r="I2073" s="69"/>
      <c r="J2073" s="24" t="s">
        <v>8218</v>
      </c>
      <c r="K2073" s="24" t="s">
        <v>68</v>
      </c>
      <c r="L2073" s="24" t="s">
        <v>9886</v>
      </c>
      <c r="M2073" s="75" t="s">
        <v>65</v>
      </c>
      <c r="N2073" s="75" t="s">
        <v>2024</v>
      </c>
      <c r="O2073" s="75" t="s">
        <v>67</v>
      </c>
      <c r="P2073" s="75" t="s">
        <v>67</v>
      </c>
      <c r="Q2073" s="75" t="s">
        <v>67</v>
      </c>
      <c r="R2073" s="75" t="s">
        <v>2166</v>
      </c>
      <c r="V2073" s="24" t="s">
        <v>2861</v>
      </c>
      <c r="W2073" s="24" t="s">
        <v>2861</v>
      </c>
      <c r="Z2073" s="69"/>
      <c r="AA2073" s="69"/>
      <c r="AB2073" s="69"/>
      <c r="AC2073" s="69" t="s">
        <v>11417</v>
      </c>
    </row>
    <row r="2074" spans="1:31" s="24" customFormat="1" x14ac:dyDescent="0.3">
      <c r="A2074" s="23">
        <v>549</v>
      </c>
      <c r="B2074" s="23">
        <v>544</v>
      </c>
      <c r="C2074" s="24" t="s">
        <v>2165</v>
      </c>
      <c r="D2074" s="69" t="s">
        <v>1598</v>
      </c>
      <c r="E2074" s="24" t="s">
        <v>1597</v>
      </c>
      <c r="F2074" s="24" t="s">
        <v>1607</v>
      </c>
      <c r="G2074" s="69" t="s">
        <v>1608</v>
      </c>
      <c r="I2074" s="69"/>
      <c r="J2074" s="24" t="s">
        <v>8219</v>
      </c>
      <c r="K2074" s="24" t="s">
        <v>68</v>
      </c>
      <c r="L2074" s="24" t="s">
        <v>9887</v>
      </c>
      <c r="M2074" s="75" t="s">
        <v>65</v>
      </c>
      <c r="N2074" s="75" t="s">
        <v>2016</v>
      </c>
      <c r="O2074" s="75" t="s">
        <v>58</v>
      </c>
      <c r="P2074" s="75" t="s">
        <v>58</v>
      </c>
      <c r="Q2074" s="75" t="s">
        <v>130</v>
      </c>
      <c r="R2074" s="75"/>
      <c r="V2074" s="24" t="s">
        <v>2862</v>
      </c>
      <c r="W2074" s="24" t="s">
        <v>2862</v>
      </c>
      <c r="Z2074" s="69"/>
      <c r="AA2074" s="69"/>
      <c r="AB2074" s="69"/>
      <c r="AC2074" s="69" t="s">
        <v>11418</v>
      </c>
    </row>
    <row r="2075" spans="1:31" s="24" customFormat="1" x14ac:dyDescent="0.3">
      <c r="A2075" s="23">
        <v>550</v>
      </c>
      <c r="B2075" s="23">
        <v>545</v>
      </c>
      <c r="C2075" s="24" t="s">
        <v>2165</v>
      </c>
      <c r="D2075" s="69" t="s">
        <v>1598</v>
      </c>
      <c r="E2075" s="24" t="s">
        <v>1597</v>
      </c>
      <c r="F2075" s="24" t="s">
        <v>1609</v>
      </c>
      <c r="G2075" s="69" t="s">
        <v>1610</v>
      </c>
      <c r="I2075" s="69"/>
      <c r="J2075" s="24" t="s">
        <v>3137</v>
      </c>
      <c r="K2075" s="24" t="s">
        <v>68</v>
      </c>
      <c r="L2075" s="24" t="s">
        <v>9888</v>
      </c>
      <c r="M2075" s="75" t="s">
        <v>65</v>
      </c>
      <c r="N2075" s="75" t="s">
        <v>2022</v>
      </c>
      <c r="O2075" s="75" t="s">
        <v>67</v>
      </c>
      <c r="P2075" s="75" t="s">
        <v>67</v>
      </c>
      <c r="Q2075" s="75" t="s">
        <v>67</v>
      </c>
      <c r="R2075" s="75"/>
      <c r="T2075" s="24" t="s">
        <v>2863</v>
      </c>
      <c r="Z2075" s="69"/>
      <c r="AA2075" s="69"/>
      <c r="AB2075" s="69"/>
      <c r="AC2075" s="69" t="s">
        <v>11419</v>
      </c>
      <c r="AE2075" s="24" t="s">
        <v>2864</v>
      </c>
    </row>
    <row r="2076" spans="1:31" s="24" customFormat="1" x14ac:dyDescent="0.3">
      <c r="A2076" s="23">
        <v>551</v>
      </c>
      <c r="B2076" s="23">
        <v>546</v>
      </c>
      <c r="C2076" s="24" t="s">
        <v>2165</v>
      </c>
      <c r="D2076" s="69" t="s">
        <v>1598</v>
      </c>
      <c r="E2076" s="24" t="s">
        <v>1597</v>
      </c>
      <c r="F2076" s="24" t="s">
        <v>1611</v>
      </c>
      <c r="G2076" s="69" t="s">
        <v>1612</v>
      </c>
      <c r="I2076" s="69"/>
      <c r="J2076" s="24" t="s">
        <v>6308</v>
      </c>
      <c r="K2076" s="24" t="s">
        <v>1167</v>
      </c>
      <c r="L2076" s="24" t="s">
        <v>9880</v>
      </c>
      <c r="M2076" s="75" t="s">
        <v>65</v>
      </c>
      <c r="N2076" s="75" t="s">
        <v>2025</v>
      </c>
      <c r="O2076" s="75" t="s">
        <v>58</v>
      </c>
      <c r="P2076" s="75" t="s">
        <v>58</v>
      </c>
      <c r="Q2076" s="75" t="s">
        <v>130</v>
      </c>
      <c r="R2076" s="75"/>
      <c r="T2076" s="24" t="s">
        <v>2865</v>
      </c>
      <c r="V2076" s="24" t="s">
        <v>2866</v>
      </c>
      <c r="W2076" s="24" t="s">
        <v>2867</v>
      </c>
      <c r="Z2076" s="69"/>
      <c r="AA2076" s="69"/>
      <c r="AB2076" s="69"/>
      <c r="AC2076" s="69" t="s">
        <v>11420</v>
      </c>
      <c r="AE2076" s="24" t="s">
        <v>2868</v>
      </c>
    </row>
    <row r="2077" spans="1:31" s="24" customFormat="1" x14ac:dyDescent="0.3">
      <c r="A2077" s="23">
        <v>552</v>
      </c>
      <c r="B2077" s="23">
        <v>547</v>
      </c>
      <c r="C2077" s="24" t="s">
        <v>2165</v>
      </c>
      <c r="D2077" s="69" t="s">
        <v>1598</v>
      </c>
      <c r="E2077" s="24" t="s">
        <v>1597</v>
      </c>
      <c r="F2077" s="24" t="s">
        <v>1613</v>
      </c>
      <c r="G2077" s="69" t="s">
        <v>1614</v>
      </c>
      <c r="I2077" s="69"/>
      <c r="J2077" s="24" t="s">
        <v>6826</v>
      </c>
      <c r="K2077" s="24" t="s">
        <v>1556</v>
      </c>
      <c r="L2077" s="24" t="s">
        <v>9889</v>
      </c>
      <c r="M2077" s="75" t="s">
        <v>65</v>
      </c>
      <c r="N2077" s="75" t="s">
        <v>2020</v>
      </c>
      <c r="O2077" s="75" t="s">
        <v>58</v>
      </c>
      <c r="P2077" s="75" t="s">
        <v>58</v>
      </c>
      <c r="Q2077" s="75" t="s">
        <v>130</v>
      </c>
      <c r="R2077" s="75"/>
      <c r="T2077" s="24" t="s">
        <v>2869</v>
      </c>
      <c r="V2077" s="24" t="s">
        <v>2866</v>
      </c>
      <c r="W2077" s="24" t="s">
        <v>2870</v>
      </c>
      <c r="Z2077" s="69"/>
      <c r="AA2077" s="69"/>
      <c r="AB2077" s="69"/>
      <c r="AC2077" s="69"/>
      <c r="AE2077" s="24" t="s">
        <v>2871</v>
      </c>
    </row>
    <row r="2078" spans="1:31" s="24" customFormat="1" x14ac:dyDescent="0.3">
      <c r="A2078" s="23">
        <v>553</v>
      </c>
      <c r="B2078" s="23">
        <v>548</v>
      </c>
      <c r="C2078" s="24" t="s">
        <v>2165</v>
      </c>
      <c r="D2078" s="69" t="s">
        <v>1598</v>
      </c>
      <c r="E2078" s="24" t="s">
        <v>1597</v>
      </c>
      <c r="F2078" s="24" t="s">
        <v>1615</v>
      </c>
      <c r="G2078" s="69" t="s">
        <v>1616</v>
      </c>
      <c r="I2078" s="69"/>
      <c r="J2078" s="24" t="s">
        <v>5801</v>
      </c>
      <c r="K2078" s="24" t="s">
        <v>68</v>
      </c>
      <c r="L2078" s="24" t="s">
        <v>9890</v>
      </c>
      <c r="M2078" s="75" t="s">
        <v>65</v>
      </c>
      <c r="N2078" s="75" t="s">
        <v>2017</v>
      </c>
      <c r="O2078" s="75" t="s">
        <v>58</v>
      </c>
      <c r="P2078" s="75" t="s">
        <v>58</v>
      </c>
      <c r="Q2078" s="75" t="s">
        <v>130</v>
      </c>
      <c r="R2078" s="75"/>
      <c r="T2078" s="24" t="s">
        <v>2863</v>
      </c>
      <c r="Z2078" s="69"/>
      <c r="AA2078" s="69"/>
      <c r="AB2078" s="69"/>
      <c r="AC2078" s="69" t="s">
        <v>11421</v>
      </c>
      <c r="AE2078" s="24" t="s">
        <v>2872</v>
      </c>
    </row>
    <row r="2079" spans="1:31" s="24" customFormat="1" x14ac:dyDescent="0.3">
      <c r="A2079" s="23">
        <v>554</v>
      </c>
      <c r="B2079" s="23">
        <v>549</v>
      </c>
      <c r="C2079" s="24" t="s">
        <v>2165</v>
      </c>
      <c r="D2079" s="69" t="s">
        <v>1598</v>
      </c>
      <c r="E2079" s="24" t="s">
        <v>1597</v>
      </c>
      <c r="F2079" s="24" t="s">
        <v>1617</v>
      </c>
      <c r="G2079" s="69" t="s">
        <v>1618</v>
      </c>
      <c r="H2079" s="24">
        <v>3</v>
      </c>
      <c r="I2079" s="69"/>
      <c r="J2079" s="24" t="s">
        <v>5303</v>
      </c>
      <c r="K2079" s="24" t="s">
        <v>68</v>
      </c>
      <c r="M2079" s="75" t="s">
        <v>65</v>
      </c>
      <c r="N2079" s="75" t="s">
        <v>2015</v>
      </c>
      <c r="O2079" s="75"/>
      <c r="P2079" s="75"/>
      <c r="Q2079" s="75"/>
      <c r="R2079" s="75"/>
      <c r="T2079" s="24" t="s">
        <v>2863</v>
      </c>
      <c r="Z2079" s="69"/>
      <c r="AA2079" s="69"/>
      <c r="AB2079" s="69"/>
      <c r="AC2079" s="69" t="s">
        <v>11422</v>
      </c>
      <c r="AE2079" s="24" t="s">
        <v>2873</v>
      </c>
    </row>
    <row r="2080" spans="1:31" s="26" customFormat="1" x14ac:dyDescent="0.3">
      <c r="A2080" s="25" t="s">
        <v>8220</v>
      </c>
      <c r="B2080" s="25"/>
      <c r="C2080" s="26" t="s">
        <v>3005</v>
      </c>
      <c r="D2080" s="70"/>
      <c r="G2080" s="70" t="s">
        <v>1618</v>
      </c>
      <c r="H2080" s="26">
        <v>1</v>
      </c>
      <c r="I2080" s="70" t="s">
        <v>3879</v>
      </c>
      <c r="J2080" s="26" t="s">
        <v>6305</v>
      </c>
      <c r="K2080" s="26" t="s">
        <v>7829</v>
      </c>
      <c r="L2080" s="26" t="s">
        <v>10972</v>
      </c>
      <c r="M2080" s="76"/>
      <c r="N2080" s="76"/>
      <c r="O2080" s="76"/>
      <c r="P2080" s="76"/>
      <c r="Q2080" s="76"/>
      <c r="R2080" s="76"/>
      <c r="Z2080" s="70"/>
      <c r="AA2080" s="70"/>
      <c r="AB2080" s="70"/>
      <c r="AC2080" s="70"/>
    </row>
    <row r="2081" spans="1:31" s="26" customFormat="1" x14ac:dyDescent="0.3">
      <c r="A2081" s="25" t="s">
        <v>8221</v>
      </c>
      <c r="B2081" s="25"/>
      <c r="C2081" s="26" t="s">
        <v>3005</v>
      </c>
      <c r="D2081" s="70"/>
      <c r="G2081" s="70" t="s">
        <v>1618</v>
      </c>
      <c r="H2081" s="26">
        <v>1</v>
      </c>
      <c r="I2081" s="70" t="s">
        <v>8222</v>
      </c>
      <c r="J2081" s="26" t="s">
        <v>5303</v>
      </c>
      <c r="K2081" s="26" t="s">
        <v>8223</v>
      </c>
      <c r="L2081" s="26" t="s">
        <v>10968</v>
      </c>
      <c r="M2081" s="76"/>
      <c r="N2081" s="76"/>
      <c r="O2081" s="76"/>
      <c r="P2081" s="76"/>
      <c r="Q2081" s="76"/>
      <c r="R2081" s="76"/>
      <c r="Z2081" s="70"/>
      <c r="AA2081" s="70"/>
      <c r="AB2081" s="70"/>
      <c r="AC2081" s="70"/>
    </row>
    <row r="2082" spans="1:31" s="26" customFormat="1" x14ac:dyDescent="0.3">
      <c r="A2082" s="25" t="s">
        <v>8224</v>
      </c>
      <c r="B2082" s="25"/>
      <c r="C2082" s="26" t="s">
        <v>3005</v>
      </c>
      <c r="D2082" s="70"/>
      <c r="G2082" s="70" t="s">
        <v>1618</v>
      </c>
      <c r="H2082" s="26">
        <v>1</v>
      </c>
      <c r="I2082" s="70" t="s">
        <v>6824</v>
      </c>
      <c r="J2082" s="26" t="s">
        <v>8225</v>
      </c>
      <c r="K2082" s="26" t="s">
        <v>2036</v>
      </c>
      <c r="L2082" s="26" t="s">
        <v>10969</v>
      </c>
      <c r="M2082" s="76"/>
      <c r="N2082" s="76"/>
      <c r="O2082" s="76"/>
      <c r="P2082" s="76"/>
      <c r="Q2082" s="76"/>
      <c r="R2082" s="76"/>
      <c r="Z2082" s="70"/>
      <c r="AA2082" s="70"/>
      <c r="AB2082" s="70"/>
      <c r="AC2082" s="70"/>
    </row>
    <row r="2083" spans="1:31" s="24" customFormat="1" x14ac:dyDescent="0.3">
      <c r="A2083" s="23">
        <v>555</v>
      </c>
      <c r="B2083" s="23">
        <v>550</v>
      </c>
      <c r="C2083" s="24" t="s">
        <v>2165</v>
      </c>
      <c r="D2083" s="69" t="s">
        <v>1598</v>
      </c>
      <c r="E2083" s="24" t="s">
        <v>1597</v>
      </c>
      <c r="F2083" s="24" t="s">
        <v>1619</v>
      </c>
      <c r="G2083" s="69" t="s">
        <v>1620</v>
      </c>
      <c r="H2083" s="24">
        <v>3</v>
      </c>
      <c r="I2083" s="69"/>
      <c r="J2083" s="24" t="s">
        <v>5091</v>
      </c>
      <c r="K2083" s="24" t="s">
        <v>68</v>
      </c>
      <c r="M2083" s="75" t="s">
        <v>65</v>
      </c>
      <c r="N2083" s="75" t="s">
        <v>2020</v>
      </c>
      <c r="O2083" s="75"/>
      <c r="P2083" s="75"/>
      <c r="Q2083" s="75"/>
      <c r="R2083" s="75"/>
      <c r="T2083" s="24" t="s">
        <v>2863</v>
      </c>
      <c r="Z2083" s="69"/>
      <c r="AA2083" s="69"/>
      <c r="AB2083" s="69"/>
      <c r="AC2083" s="69" t="s">
        <v>11423</v>
      </c>
      <c r="AE2083" s="24" t="s">
        <v>2874</v>
      </c>
    </row>
    <row r="2084" spans="1:31" s="26" customFormat="1" x14ac:dyDescent="0.3">
      <c r="A2084" s="25" t="s">
        <v>8226</v>
      </c>
      <c r="B2084" s="25"/>
      <c r="C2084" s="26" t="s">
        <v>3005</v>
      </c>
      <c r="D2084" s="70"/>
      <c r="G2084" s="70" t="s">
        <v>1620</v>
      </c>
      <c r="H2084" s="26">
        <v>1</v>
      </c>
      <c r="I2084" s="70" t="s">
        <v>8227</v>
      </c>
      <c r="J2084" s="26" t="s">
        <v>5091</v>
      </c>
      <c r="K2084" s="26" t="s">
        <v>8228</v>
      </c>
      <c r="L2084" s="26" t="s">
        <v>10973</v>
      </c>
      <c r="M2084" s="76"/>
      <c r="N2084" s="76"/>
      <c r="O2084" s="76"/>
      <c r="P2084" s="76"/>
      <c r="Q2084" s="76"/>
      <c r="R2084" s="76"/>
      <c r="Z2084" s="70"/>
      <c r="AA2084" s="70"/>
      <c r="AB2084" s="70"/>
      <c r="AC2084" s="70"/>
    </row>
    <row r="2085" spans="1:31" s="26" customFormat="1" x14ac:dyDescent="0.3">
      <c r="A2085" s="25" t="s">
        <v>8229</v>
      </c>
      <c r="B2085" s="25"/>
      <c r="C2085" s="26" t="s">
        <v>3005</v>
      </c>
      <c r="D2085" s="70"/>
      <c r="G2085" s="70" t="s">
        <v>1620</v>
      </c>
      <c r="H2085" s="26">
        <v>1</v>
      </c>
      <c r="I2085" s="70" t="s">
        <v>8230</v>
      </c>
      <c r="J2085" s="26" t="s">
        <v>8231</v>
      </c>
      <c r="K2085" s="26" t="s">
        <v>8232</v>
      </c>
      <c r="L2085" s="26" t="s">
        <v>10974</v>
      </c>
      <c r="M2085" s="76"/>
      <c r="N2085" s="76"/>
      <c r="O2085" s="76"/>
      <c r="P2085" s="76"/>
      <c r="Q2085" s="76"/>
      <c r="R2085" s="76"/>
      <c r="Z2085" s="70"/>
      <c r="AA2085" s="70"/>
      <c r="AB2085" s="70"/>
      <c r="AC2085" s="70"/>
    </row>
    <row r="2086" spans="1:31" s="26" customFormat="1" x14ac:dyDescent="0.3">
      <c r="A2086" s="25" t="s">
        <v>8233</v>
      </c>
      <c r="B2086" s="25"/>
      <c r="C2086" s="26" t="s">
        <v>3005</v>
      </c>
      <c r="D2086" s="70"/>
      <c r="G2086" s="70" t="s">
        <v>1620</v>
      </c>
      <c r="H2086" s="26">
        <v>1</v>
      </c>
      <c r="I2086" s="70" t="s">
        <v>8234</v>
      </c>
      <c r="J2086" s="26" t="s">
        <v>8235</v>
      </c>
      <c r="K2086" s="26" t="s">
        <v>8236</v>
      </c>
      <c r="L2086" s="26" t="s">
        <v>10975</v>
      </c>
      <c r="M2086" s="76"/>
      <c r="N2086" s="76"/>
      <c r="O2086" s="76"/>
      <c r="P2086" s="76"/>
      <c r="Q2086" s="76"/>
      <c r="R2086" s="76"/>
      <c r="Z2086" s="70"/>
      <c r="AA2086" s="70"/>
      <c r="AB2086" s="70"/>
      <c r="AC2086" s="70"/>
    </row>
    <row r="2087" spans="1:31" s="24" customFormat="1" x14ac:dyDescent="0.3">
      <c r="A2087" s="23">
        <v>556</v>
      </c>
      <c r="B2087" s="23">
        <v>551</v>
      </c>
      <c r="C2087" s="24" t="s">
        <v>2165</v>
      </c>
      <c r="D2087" s="69" t="s">
        <v>1598</v>
      </c>
      <c r="E2087" s="24" t="s">
        <v>1597</v>
      </c>
      <c r="F2087" s="24" t="s">
        <v>1621</v>
      </c>
      <c r="G2087" s="69" t="s">
        <v>1622</v>
      </c>
      <c r="H2087" s="24">
        <v>3</v>
      </c>
      <c r="I2087" s="69"/>
      <c r="J2087" s="24" t="s">
        <v>7861</v>
      </c>
      <c r="K2087" s="24" t="s">
        <v>68</v>
      </c>
      <c r="M2087" s="75" t="s">
        <v>65</v>
      </c>
      <c r="N2087" s="75" t="s">
        <v>2025</v>
      </c>
      <c r="O2087" s="75"/>
      <c r="P2087" s="75"/>
      <c r="Q2087" s="75"/>
      <c r="R2087" s="75"/>
      <c r="V2087" s="24" t="s">
        <v>2875</v>
      </c>
      <c r="Z2087" s="69"/>
      <c r="AA2087" s="69"/>
      <c r="AB2087" s="69" t="s">
        <v>2876</v>
      </c>
      <c r="AC2087" s="69"/>
    </row>
    <row r="2088" spans="1:31" s="26" customFormat="1" x14ac:dyDescent="0.3">
      <c r="A2088" s="25" t="s">
        <v>8237</v>
      </c>
      <c r="B2088" s="25"/>
      <c r="C2088" s="26" t="s">
        <v>3005</v>
      </c>
      <c r="D2088" s="70"/>
      <c r="G2088" s="70" t="s">
        <v>1622</v>
      </c>
      <c r="H2088" s="26">
        <v>1</v>
      </c>
      <c r="I2088" s="70" t="s">
        <v>4868</v>
      </c>
      <c r="J2088" s="26" t="s">
        <v>8238</v>
      </c>
      <c r="K2088" s="26" t="s">
        <v>7859</v>
      </c>
      <c r="L2088" s="26" t="s">
        <v>10976</v>
      </c>
      <c r="M2088" s="76"/>
      <c r="N2088" s="76"/>
      <c r="O2088" s="76"/>
      <c r="P2088" s="76"/>
      <c r="Q2088" s="76"/>
      <c r="R2088" s="76"/>
      <c r="Z2088" s="70"/>
      <c r="AA2088" s="70"/>
      <c r="AB2088" s="70"/>
      <c r="AC2088" s="70"/>
    </row>
    <row r="2089" spans="1:31" s="26" customFormat="1" x14ac:dyDescent="0.3">
      <c r="A2089" s="25" t="s">
        <v>8239</v>
      </c>
      <c r="B2089" s="25"/>
      <c r="C2089" s="26" t="s">
        <v>3005</v>
      </c>
      <c r="D2089" s="70"/>
      <c r="G2089" s="70" t="s">
        <v>1622</v>
      </c>
      <c r="H2089" s="26">
        <v>1</v>
      </c>
      <c r="I2089" s="70" t="s">
        <v>6641</v>
      </c>
      <c r="J2089" s="26" t="s">
        <v>7861</v>
      </c>
      <c r="K2089" s="26" t="s">
        <v>7169</v>
      </c>
      <c r="L2089" s="26" t="s">
        <v>10977</v>
      </c>
      <c r="M2089" s="76"/>
      <c r="N2089" s="76"/>
      <c r="O2089" s="76"/>
      <c r="P2089" s="76"/>
      <c r="Q2089" s="76"/>
      <c r="R2089" s="76"/>
      <c r="Z2089" s="70"/>
      <c r="AA2089" s="70"/>
      <c r="AB2089" s="70"/>
      <c r="AC2089" s="70"/>
    </row>
    <row r="2090" spans="1:31" s="26" customFormat="1" x14ac:dyDescent="0.3">
      <c r="A2090" s="25" t="s">
        <v>8240</v>
      </c>
      <c r="B2090" s="25"/>
      <c r="C2090" s="26" t="s">
        <v>3005</v>
      </c>
      <c r="D2090" s="70"/>
      <c r="G2090" s="70" t="s">
        <v>1622</v>
      </c>
      <c r="H2090" s="26">
        <v>1</v>
      </c>
      <c r="I2090" s="70" t="s">
        <v>6499</v>
      </c>
      <c r="J2090" s="26" t="s">
        <v>6916</v>
      </c>
      <c r="K2090" s="26" t="s">
        <v>8241</v>
      </c>
      <c r="L2090" s="26" t="s">
        <v>10978</v>
      </c>
      <c r="M2090" s="76"/>
      <c r="N2090" s="76"/>
      <c r="O2090" s="76"/>
      <c r="P2090" s="76"/>
      <c r="Q2090" s="76"/>
      <c r="R2090" s="76"/>
      <c r="Z2090" s="70"/>
      <c r="AA2090" s="70"/>
      <c r="AB2090" s="70"/>
      <c r="AC2090" s="70"/>
    </row>
    <row r="2091" spans="1:31" s="24" customFormat="1" x14ac:dyDescent="0.3">
      <c r="A2091" s="23">
        <v>557</v>
      </c>
      <c r="B2091" s="23">
        <v>555</v>
      </c>
      <c r="C2091" s="24" t="s">
        <v>2165</v>
      </c>
      <c r="D2091" s="69" t="s">
        <v>1598</v>
      </c>
      <c r="E2091" s="24" t="s">
        <v>1597</v>
      </c>
      <c r="F2091" s="24" t="s">
        <v>1623</v>
      </c>
      <c r="G2091" s="69" t="s">
        <v>1624</v>
      </c>
      <c r="H2091" s="24">
        <v>6</v>
      </c>
      <c r="I2091" s="69"/>
      <c r="J2091" s="24" t="s">
        <v>5714</v>
      </c>
      <c r="K2091" s="24" t="s">
        <v>1625</v>
      </c>
      <c r="M2091" s="75" t="s">
        <v>15</v>
      </c>
      <c r="N2091" s="75"/>
      <c r="O2091" s="75"/>
      <c r="P2091" s="75"/>
      <c r="Q2091" s="75"/>
      <c r="R2091" s="75"/>
      <c r="T2091" s="24" t="s">
        <v>2877</v>
      </c>
      <c r="W2091" s="24" t="s">
        <v>2878</v>
      </c>
      <c r="Y2091" s="24" t="s">
        <v>2879</v>
      </c>
      <c r="Z2091" s="69"/>
      <c r="AA2091" s="69"/>
      <c r="AB2091" s="69" t="s">
        <v>2880</v>
      </c>
      <c r="AC2091" s="69"/>
      <c r="AE2091" s="24" t="s">
        <v>2881</v>
      </c>
    </row>
    <row r="2092" spans="1:31" s="26" customFormat="1" x14ac:dyDescent="0.3">
      <c r="A2092" s="25" t="s">
        <v>8242</v>
      </c>
      <c r="B2092" s="25"/>
      <c r="C2092" s="26" t="s">
        <v>3005</v>
      </c>
      <c r="D2092" s="70"/>
      <c r="G2092" s="70" t="s">
        <v>1624</v>
      </c>
      <c r="H2092" s="26">
        <v>-1</v>
      </c>
      <c r="I2092" s="70" t="s">
        <v>3977</v>
      </c>
      <c r="J2092" s="26" t="s">
        <v>5714</v>
      </c>
      <c r="K2092" s="26" t="s">
        <v>8243</v>
      </c>
      <c r="L2092" s="26" t="s">
        <v>10979</v>
      </c>
      <c r="M2092" s="76"/>
      <c r="N2092" s="76"/>
      <c r="O2092" s="76"/>
      <c r="P2092" s="76"/>
      <c r="Q2092" s="76"/>
      <c r="R2092" s="76"/>
      <c r="T2092" s="26" t="s">
        <v>2200</v>
      </c>
      <c r="Z2092" s="70"/>
      <c r="AA2092" s="70"/>
      <c r="AB2092" s="70"/>
      <c r="AC2092" s="70"/>
      <c r="AE2092" s="26" t="s">
        <v>8244</v>
      </c>
    </row>
    <row r="2093" spans="1:31" s="26" customFormat="1" x14ac:dyDescent="0.3">
      <c r="A2093" s="25" t="s">
        <v>8245</v>
      </c>
      <c r="B2093" s="25"/>
      <c r="C2093" s="26" t="s">
        <v>3005</v>
      </c>
      <c r="D2093" s="70"/>
      <c r="G2093" s="70" t="s">
        <v>1624</v>
      </c>
      <c r="H2093" s="26">
        <v>-1</v>
      </c>
      <c r="I2093" s="70" t="s">
        <v>7583</v>
      </c>
      <c r="J2093" s="26" t="s">
        <v>8246</v>
      </c>
      <c r="K2093" s="26" t="s">
        <v>8247</v>
      </c>
      <c r="L2093" s="26" t="s">
        <v>10980</v>
      </c>
      <c r="M2093" s="76"/>
      <c r="N2093" s="76"/>
      <c r="O2093" s="76"/>
      <c r="P2093" s="76"/>
      <c r="Q2093" s="76"/>
      <c r="R2093" s="76"/>
      <c r="Z2093" s="70"/>
      <c r="AA2093" s="70"/>
      <c r="AB2093" s="70"/>
      <c r="AC2093" s="70"/>
    </row>
    <row r="2094" spans="1:31" s="26" customFormat="1" x14ac:dyDescent="0.3">
      <c r="A2094" s="25" t="s">
        <v>8248</v>
      </c>
      <c r="B2094" s="25"/>
      <c r="C2094" s="26" t="s">
        <v>3005</v>
      </c>
      <c r="D2094" s="70"/>
      <c r="G2094" s="70" t="s">
        <v>1624</v>
      </c>
      <c r="H2094" s="26">
        <v>-1</v>
      </c>
      <c r="I2094" s="70" t="s">
        <v>8249</v>
      </c>
      <c r="J2094" s="26" t="s">
        <v>7590</v>
      </c>
      <c r="K2094" s="26" t="s">
        <v>8250</v>
      </c>
      <c r="L2094" s="26" t="s">
        <v>10981</v>
      </c>
      <c r="M2094" s="76"/>
      <c r="N2094" s="76"/>
      <c r="O2094" s="76"/>
      <c r="P2094" s="76"/>
      <c r="Q2094" s="76"/>
      <c r="R2094" s="76"/>
      <c r="Z2094" s="70"/>
      <c r="AA2094" s="70"/>
      <c r="AB2094" s="70"/>
      <c r="AC2094" s="70"/>
    </row>
    <row r="2095" spans="1:31" s="26" customFormat="1" x14ac:dyDescent="0.3">
      <c r="A2095" s="25" t="s">
        <v>8251</v>
      </c>
      <c r="B2095" s="25"/>
      <c r="C2095" s="26" t="s">
        <v>3005</v>
      </c>
      <c r="D2095" s="70"/>
      <c r="G2095" s="70" t="s">
        <v>1624</v>
      </c>
      <c r="H2095" s="26">
        <v>-1</v>
      </c>
      <c r="I2095" s="70" t="s">
        <v>4129</v>
      </c>
      <c r="J2095" s="26" t="s">
        <v>7296</v>
      </c>
      <c r="K2095" s="26" t="s">
        <v>7578</v>
      </c>
      <c r="L2095" s="26" t="s">
        <v>10982</v>
      </c>
      <c r="M2095" s="76"/>
      <c r="N2095" s="76"/>
      <c r="O2095" s="76"/>
      <c r="P2095" s="76"/>
      <c r="Q2095" s="76"/>
      <c r="R2095" s="76"/>
      <c r="Z2095" s="70"/>
      <c r="AA2095" s="70"/>
      <c r="AB2095" s="70"/>
      <c r="AC2095" s="70"/>
    </row>
    <row r="2096" spans="1:31" s="26" customFormat="1" x14ac:dyDescent="0.3">
      <c r="A2096" s="25" t="s">
        <v>8252</v>
      </c>
      <c r="B2096" s="25"/>
      <c r="C2096" s="26" t="s">
        <v>3005</v>
      </c>
      <c r="D2096" s="70"/>
      <c r="G2096" s="70" t="s">
        <v>1624</v>
      </c>
      <c r="H2096" s="26">
        <v>-1</v>
      </c>
      <c r="I2096" s="70" t="s">
        <v>8253</v>
      </c>
      <c r="J2096" s="26" t="s">
        <v>8254</v>
      </c>
      <c r="K2096" s="26" t="s">
        <v>8255</v>
      </c>
      <c r="L2096" s="26" t="s">
        <v>10983</v>
      </c>
      <c r="M2096" s="76"/>
      <c r="N2096" s="76"/>
      <c r="O2096" s="76"/>
      <c r="P2096" s="76"/>
      <c r="Q2096" s="76"/>
      <c r="R2096" s="76"/>
      <c r="Z2096" s="70"/>
      <c r="AA2096" s="70"/>
      <c r="AB2096" s="70"/>
      <c r="AC2096" s="70"/>
    </row>
    <row r="2097" spans="1:31" s="26" customFormat="1" x14ac:dyDescent="0.3">
      <c r="A2097" s="25" t="s">
        <v>8256</v>
      </c>
      <c r="B2097" s="25"/>
      <c r="C2097" s="26" t="s">
        <v>3005</v>
      </c>
      <c r="D2097" s="70"/>
      <c r="G2097" s="70" t="s">
        <v>1624</v>
      </c>
      <c r="H2097" s="26">
        <v>1</v>
      </c>
      <c r="I2097" s="70" t="s">
        <v>8257</v>
      </c>
      <c r="J2097" s="26" t="s">
        <v>5568</v>
      </c>
      <c r="K2097" s="26" t="s">
        <v>7595</v>
      </c>
      <c r="L2097" s="26" t="s">
        <v>10984</v>
      </c>
      <c r="M2097" s="76"/>
      <c r="N2097" s="76"/>
      <c r="O2097" s="76"/>
      <c r="P2097" s="76"/>
      <c r="Q2097" s="76"/>
      <c r="R2097" s="76"/>
      <c r="Z2097" s="70"/>
      <c r="AA2097" s="70"/>
      <c r="AB2097" s="70"/>
      <c r="AC2097" s="70"/>
    </row>
    <row r="2098" spans="1:31" s="26" customFormat="1" x14ac:dyDescent="0.3">
      <c r="A2098" s="25" t="s">
        <v>8258</v>
      </c>
      <c r="B2098" s="25"/>
      <c r="C2098" s="26" t="s">
        <v>3005</v>
      </c>
      <c r="D2098" s="70"/>
      <c r="G2098" s="70" t="s">
        <v>1624</v>
      </c>
      <c r="H2098" s="26">
        <v>-1</v>
      </c>
      <c r="I2098" s="70" t="s">
        <v>8259</v>
      </c>
      <c r="J2098" s="26" t="s">
        <v>5415</v>
      </c>
      <c r="K2098" s="26" t="s">
        <v>8260</v>
      </c>
      <c r="M2098" s="76"/>
      <c r="N2098" s="76"/>
      <c r="O2098" s="76"/>
      <c r="P2098" s="76"/>
      <c r="Q2098" s="76"/>
      <c r="R2098" s="76"/>
      <c r="Z2098" s="70"/>
      <c r="AA2098" s="70"/>
      <c r="AB2098" s="70"/>
      <c r="AC2098" s="70"/>
    </row>
    <row r="2099" spans="1:31" s="26" customFormat="1" x14ac:dyDescent="0.3">
      <c r="A2099" s="25" t="s">
        <v>8261</v>
      </c>
      <c r="B2099" s="25"/>
      <c r="C2099" s="26" t="s">
        <v>3005</v>
      </c>
      <c r="D2099" s="70"/>
      <c r="G2099" s="70" t="s">
        <v>1624</v>
      </c>
      <c r="H2099" s="26">
        <v>-1</v>
      </c>
      <c r="I2099" s="70" t="s">
        <v>6321</v>
      </c>
      <c r="J2099" s="26" t="s">
        <v>5616</v>
      </c>
      <c r="K2099" s="26" t="s">
        <v>8262</v>
      </c>
      <c r="M2099" s="76"/>
      <c r="N2099" s="76"/>
      <c r="O2099" s="76"/>
      <c r="P2099" s="76"/>
      <c r="Q2099" s="76"/>
      <c r="R2099" s="76"/>
      <c r="T2099" s="26" t="s">
        <v>2200</v>
      </c>
      <c r="Y2099" s="26" t="s">
        <v>2879</v>
      </c>
      <c r="Z2099" s="70"/>
      <c r="AA2099" s="70"/>
      <c r="AB2099" s="70" t="s">
        <v>2880</v>
      </c>
      <c r="AC2099" s="70"/>
      <c r="AE2099" s="26" t="s">
        <v>8263</v>
      </c>
    </row>
    <row r="2100" spans="1:31" s="26" customFormat="1" x14ac:dyDescent="0.3">
      <c r="A2100" s="25" t="s">
        <v>8264</v>
      </c>
      <c r="B2100" s="25"/>
      <c r="C2100" s="26" t="s">
        <v>3005</v>
      </c>
      <c r="D2100" s="70"/>
      <c r="G2100" s="70" t="s">
        <v>1624</v>
      </c>
      <c r="H2100" s="26">
        <v>-1</v>
      </c>
      <c r="I2100" s="70" t="s">
        <v>6814</v>
      </c>
      <c r="J2100" s="26" t="s">
        <v>8265</v>
      </c>
      <c r="K2100" s="26" t="s">
        <v>8266</v>
      </c>
      <c r="M2100" s="76"/>
      <c r="N2100" s="76"/>
      <c r="O2100" s="76"/>
      <c r="P2100" s="76"/>
      <c r="Q2100" s="76"/>
      <c r="R2100" s="76"/>
      <c r="T2100" s="26" t="s">
        <v>2200</v>
      </c>
      <c r="Z2100" s="70"/>
      <c r="AA2100" s="70"/>
      <c r="AB2100" s="70"/>
      <c r="AC2100" s="70"/>
      <c r="AE2100" s="26" t="s">
        <v>8263</v>
      </c>
    </row>
    <row r="2101" spans="1:31" s="26" customFormat="1" x14ac:dyDescent="0.3">
      <c r="A2101" s="25" t="s">
        <v>8267</v>
      </c>
      <c r="B2101" s="25"/>
      <c r="C2101" s="26" t="s">
        <v>3005</v>
      </c>
      <c r="D2101" s="70"/>
      <c r="G2101" s="70" t="s">
        <v>1624</v>
      </c>
      <c r="H2101" s="26">
        <v>3</v>
      </c>
      <c r="I2101" s="70" t="s">
        <v>7546</v>
      </c>
      <c r="J2101" s="26" t="s">
        <v>8268</v>
      </c>
      <c r="K2101" s="26" t="s">
        <v>6291</v>
      </c>
      <c r="M2101" s="76"/>
      <c r="N2101" s="76"/>
      <c r="O2101" s="76"/>
      <c r="P2101" s="76"/>
      <c r="Q2101" s="76"/>
      <c r="R2101" s="76"/>
      <c r="T2101" s="26" t="s">
        <v>2200</v>
      </c>
      <c r="Z2101" s="70"/>
      <c r="AA2101" s="70"/>
      <c r="AB2101" s="70"/>
      <c r="AC2101" s="70"/>
      <c r="AE2101" s="26" t="s">
        <v>8263</v>
      </c>
    </row>
    <row r="2102" spans="1:31" s="26" customFormat="1" x14ac:dyDescent="0.3">
      <c r="A2102" s="25" t="s">
        <v>8269</v>
      </c>
      <c r="B2102" s="25"/>
      <c r="C2102" s="26" t="s">
        <v>3005</v>
      </c>
      <c r="D2102" s="70"/>
      <c r="G2102" s="70" t="s">
        <v>1624</v>
      </c>
      <c r="H2102" s="26">
        <v>3</v>
      </c>
      <c r="I2102" s="70" t="s">
        <v>4235</v>
      </c>
      <c r="J2102" s="26" t="s">
        <v>7861</v>
      </c>
      <c r="K2102" s="26" t="s">
        <v>6295</v>
      </c>
      <c r="M2102" s="76"/>
      <c r="N2102" s="76"/>
      <c r="O2102" s="76"/>
      <c r="P2102" s="76"/>
      <c r="Q2102" s="76"/>
      <c r="R2102" s="76"/>
      <c r="T2102" s="26" t="s">
        <v>2200</v>
      </c>
      <c r="Z2102" s="70"/>
      <c r="AA2102" s="70"/>
      <c r="AB2102" s="70"/>
      <c r="AC2102" s="70"/>
      <c r="AE2102" s="26" t="s">
        <v>8263</v>
      </c>
    </row>
    <row r="2103" spans="1:31" s="26" customFormat="1" x14ac:dyDescent="0.3">
      <c r="A2103" s="25" t="s">
        <v>8270</v>
      </c>
      <c r="B2103" s="25"/>
      <c r="C2103" s="26" t="s">
        <v>3005</v>
      </c>
      <c r="D2103" s="70"/>
      <c r="G2103" s="70" t="s">
        <v>1624</v>
      </c>
      <c r="H2103" s="26">
        <v>3</v>
      </c>
      <c r="I2103" s="70" t="s">
        <v>7858</v>
      </c>
      <c r="J2103" s="26" t="s">
        <v>7947</v>
      </c>
      <c r="K2103" s="26" t="s">
        <v>8271</v>
      </c>
      <c r="M2103" s="76"/>
      <c r="N2103" s="76"/>
      <c r="O2103" s="76"/>
      <c r="P2103" s="76"/>
      <c r="Q2103" s="76"/>
      <c r="R2103" s="76"/>
      <c r="T2103" s="26" t="s">
        <v>2200</v>
      </c>
      <c r="Z2103" s="70"/>
      <c r="AA2103" s="70"/>
      <c r="AB2103" s="70"/>
      <c r="AC2103" s="70"/>
      <c r="AE2103" s="26" t="s">
        <v>8263</v>
      </c>
    </row>
    <row r="2104" spans="1:31" s="26" customFormat="1" x14ac:dyDescent="0.3">
      <c r="A2104" s="25" t="s">
        <v>8272</v>
      </c>
      <c r="B2104" s="25"/>
      <c r="C2104" s="26" t="s">
        <v>3005</v>
      </c>
      <c r="D2104" s="70"/>
      <c r="G2104" s="70" t="s">
        <v>1624</v>
      </c>
      <c r="H2104" s="26">
        <v>3</v>
      </c>
      <c r="I2104" s="70" t="s">
        <v>8273</v>
      </c>
      <c r="J2104" s="26" t="s">
        <v>7861</v>
      </c>
      <c r="K2104" s="26" t="s">
        <v>8274</v>
      </c>
      <c r="M2104" s="76"/>
      <c r="N2104" s="76"/>
      <c r="O2104" s="76"/>
      <c r="P2104" s="76"/>
      <c r="Q2104" s="76"/>
      <c r="R2104" s="76"/>
      <c r="T2104" s="26" t="s">
        <v>2200</v>
      </c>
      <c r="Z2104" s="70"/>
      <c r="AA2104" s="70"/>
      <c r="AB2104" s="70"/>
      <c r="AC2104" s="70"/>
      <c r="AE2104" s="26" t="s">
        <v>8263</v>
      </c>
    </row>
    <row r="2105" spans="1:31" s="26" customFormat="1" x14ac:dyDescent="0.3">
      <c r="A2105" s="25" t="s">
        <v>8275</v>
      </c>
      <c r="B2105" s="25"/>
      <c r="C2105" s="26" t="s">
        <v>3005</v>
      </c>
      <c r="D2105" s="70"/>
      <c r="G2105" s="70" t="s">
        <v>1624</v>
      </c>
      <c r="H2105" s="26">
        <v>3</v>
      </c>
      <c r="I2105" s="70" t="s">
        <v>6300</v>
      </c>
      <c r="J2105" s="26" t="s">
        <v>8276</v>
      </c>
      <c r="K2105" s="26" t="s">
        <v>8277</v>
      </c>
      <c r="M2105" s="76"/>
      <c r="N2105" s="76"/>
      <c r="O2105" s="76"/>
      <c r="P2105" s="76"/>
      <c r="Q2105" s="76"/>
      <c r="R2105" s="76"/>
      <c r="T2105" s="26" t="s">
        <v>2200</v>
      </c>
      <c r="Z2105" s="70"/>
      <c r="AA2105" s="70"/>
      <c r="AB2105" s="70"/>
      <c r="AC2105" s="70"/>
      <c r="AE2105" s="26" t="s">
        <v>8263</v>
      </c>
    </row>
    <row r="2106" spans="1:31" s="26" customFormat="1" x14ac:dyDescent="0.3">
      <c r="A2106" s="25" t="s">
        <v>8278</v>
      </c>
      <c r="B2106" s="25"/>
      <c r="C2106" s="26" t="s">
        <v>3005</v>
      </c>
      <c r="D2106" s="70"/>
      <c r="G2106" s="70" t="s">
        <v>1624</v>
      </c>
      <c r="H2106" s="26">
        <v>3</v>
      </c>
      <c r="I2106" s="70" t="s">
        <v>8279</v>
      </c>
      <c r="J2106" s="26" t="s">
        <v>8280</v>
      </c>
      <c r="K2106" s="26" t="s">
        <v>6892</v>
      </c>
      <c r="M2106" s="76"/>
      <c r="N2106" s="76"/>
      <c r="O2106" s="76"/>
      <c r="P2106" s="76"/>
      <c r="Q2106" s="76"/>
      <c r="R2106" s="76"/>
      <c r="T2106" s="26" t="s">
        <v>2200</v>
      </c>
      <c r="Z2106" s="70"/>
      <c r="AA2106" s="70"/>
      <c r="AB2106" s="70"/>
      <c r="AC2106" s="70"/>
      <c r="AE2106" s="26" t="s">
        <v>8263</v>
      </c>
    </row>
    <row r="2107" spans="1:31" s="24" customFormat="1" x14ac:dyDescent="0.3">
      <c r="A2107" s="23">
        <v>558</v>
      </c>
      <c r="B2107" s="23">
        <v>552</v>
      </c>
      <c r="C2107" s="24" t="s">
        <v>2165</v>
      </c>
      <c r="D2107" s="69" t="s">
        <v>1598</v>
      </c>
      <c r="E2107" s="24" t="s">
        <v>1597</v>
      </c>
      <c r="F2107" s="24" t="s">
        <v>1626</v>
      </c>
      <c r="G2107" s="69" t="s">
        <v>1627</v>
      </c>
      <c r="H2107" s="24">
        <v>2</v>
      </c>
      <c r="I2107" s="69"/>
      <c r="J2107" s="24" t="s">
        <v>5328</v>
      </c>
      <c r="K2107" s="24" t="s">
        <v>1628</v>
      </c>
      <c r="M2107" s="75" t="s">
        <v>732</v>
      </c>
      <c r="N2107" s="75"/>
      <c r="O2107" s="75"/>
      <c r="P2107" s="75"/>
      <c r="Q2107" s="75"/>
      <c r="R2107" s="75"/>
      <c r="Z2107" s="69"/>
      <c r="AA2107" s="69"/>
      <c r="AB2107" s="69"/>
      <c r="AC2107" s="69"/>
    </row>
    <row r="2108" spans="1:31" s="26" customFormat="1" x14ac:dyDescent="0.3">
      <c r="A2108" s="25" t="s">
        <v>8281</v>
      </c>
      <c r="B2108" s="25"/>
      <c r="C2108" s="26" t="s">
        <v>3005</v>
      </c>
      <c r="D2108" s="70"/>
      <c r="G2108" s="70" t="s">
        <v>1627</v>
      </c>
      <c r="H2108" s="26">
        <v>2</v>
      </c>
      <c r="I2108" s="70" t="s">
        <v>8282</v>
      </c>
      <c r="J2108" s="26" t="s">
        <v>4240</v>
      </c>
      <c r="K2108" s="26" t="s">
        <v>8283</v>
      </c>
      <c r="L2108" s="26" t="s">
        <v>10985</v>
      </c>
      <c r="M2108" s="76"/>
      <c r="N2108" s="76"/>
      <c r="O2108" s="76"/>
      <c r="P2108" s="76"/>
      <c r="Q2108" s="76"/>
      <c r="R2108" s="76"/>
      <c r="Z2108" s="70"/>
      <c r="AA2108" s="70"/>
      <c r="AB2108" s="70"/>
      <c r="AC2108" s="70"/>
    </row>
    <row r="2109" spans="1:31" s="26" customFormat="1" x14ac:dyDescent="0.3">
      <c r="A2109" s="25" t="s">
        <v>8284</v>
      </c>
      <c r="B2109" s="25"/>
      <c r="C2109" s="26" t="s">
        <v>3005</v>
      </c>
      <c r="D2109" s="70"/>
      <c r="G2109" s="70" t="s">
        <v>1627</v>
      </c>
      <c r="H2109" s="26">
        <v>3</v>
      </c>
      <c r="I2109" s="70" t="s">
        <v>8285</v>
      </c>
      <c r="J2109" s="26" t="s">
        <v>5328</v>
      </c>
      <c r="K2109" s="26" t="s">
        <v>8286</v>
      </c>
      <c r="L2109" s="26" t="s">
        <v>10986</v>
      </c>
      <c r="M2109" s="76"/>
      <c r="N2109" s="76"/>
      <c r="O2109" s="76"/>
      <c r="P2109" s="76"/>
      <c r="Q2109" s="76"/>
      <c r="R2109" s="76"/>
      <c r="T2109" s="26" t="s">
        <v>2200</v>
      </c>
      <c r="Z2109" s="70"/>
      <c r="AA2109" s="70"/>
      <c r="AB2109" s="70"/>
      <c r="AC2109" s="70"/>
      <c r="AE2109" s="26" t="s">
        <v>8287</v>
      </c>
    </row>
    <row r="2110" spans="1:31" s="24" customFormat="1" x14ac:dyDescent="0.3">
      <c r="A2110" s="23">
        <v>559</v>
      </c>
      <c r="B2110" s="23">
        <v>553</v>
      </c>
      <c r="C2110" s="24" t="s">
        <v>2165</v>
      </c>
      <c r="D2110" s="69" t="s">
        <v>1598</v>
      </c>
      <c r="E2110" s="24" t="s">
        <v>1597</v>
      </c>
      <c r="F2110" s="24" t="s">
        <v>1629</v>
      </c>
      <c r="G2110" s="69" t="s">
        <v>1630</v>
      </c>
      <c r="H2110" s="24">
        <v>6</v>
      </c>
      <c r="I2110" s="69"/>
      <c r="J2110" s="24" t="s">
        <v>3137</v>
      </c>
      <c r="K2110" s="24" t="s">
        <v>1631</v>
      </c>
      <c r="M2110" s="75" t="s">
        <v>732</v>
      </c>
      <c r="N2110" s="75"/>
      <c r="O2110" s="75"/>
      <c r="P2110" s="75"/>
      <c r="Q2110" s="75"/>
      <c r="R2110" s="75"/>
      <c r="T2110" s="24" t="s">
        <v>2200</v>
      </c>
      <c r="Z2110" s="69"/>
      <c r="AA2110" s="69"/>
      <c r="AB2110" s="69"/>
      <c r="AC2110" s="69"/>
      <c r="AE2110" s="24" t="s">
        <v>2882</v>
      </c>
    </row>
    <row r="2111" spans="1:31" s="26" customFormat="1" x14ac:dyDescent="0.3">
      <c r="A2111" s="25" t="s">
        <v>8288</v>
      </c>
      <c r="B2111" s="25"/>
      <c r="C2111" s="26" t="s">
        <v>3005</v>
      </c>
      <c r="D2111" s="70"/>
      <c r="G2111" s="70" t="s">
        <v>1630</v>
      </c>
      <c r="H2111" s="26">
        <v>2</v>
      </c>
      <c r="I2111" s="70" t="s">
        <v>6824</v>
      </c>
      <c r="J2111" s="26" t="s">
        <v>8289</v>
      </c>
      <c r="K2111" s="26" t="s">
        <v>6319</v>
      </c>
      <c r="L2111" s="26" t="s">
        <v>10987</v>
      </c>
      <c r="M2111" s="76"/>
      <c r="N2111" s="76"/>
      <c r="O2111" s="76"/>
      <c r="P2111" s="76"/>
      <c r="Q2111" s="76"/>
      <c r="R2111" s="76"/>
      <c r="Z2111" s="70"/>
      <c r="AA2111" s="70"/>
      <c r="AB2111" s="70"/>
      <c r="AC2111" s="70"/>
    </row>
    <row r="2112" spans="1:31" s="26" customFormat="1" x14ac:dyDescent="0.3">
      <c r="A2112" s="25" t="s">
        <v>8290</v>
      </c>
      <c r="B2112" s="25"/>
      <c r="C2112" s="26" t="s">
        <v>3005</v>
      </c>
      <c r="D2112" s="70"/>
      <c r="G2112" s="70" t="s">
        <v>1630</v>
      </c>
      <c r="H2112" s="26">
        <v>3</v>
      </c>
      <c r="I2112" s="70" t="s">
        <v>5126</v>
      </c>
      <c r="J2112" s="26" t="s">
        <v>3137</v>
      </c>
      <c r="K2112" s="26" t="s">
        <v>6313</v>
      </c>
      <c r="L2112" s="26" t="s">
        <v>9797</v>
      </c>
      <c r="M2112" s="76"/>
      <c r="N2112" s="76"/>
      <c r="O2112" s="76"/>
      <c r="P2112" s="76"/>
      <c r="Q2112" s="76"/>
      <c r="R2112" s="76"/>
      <c r="Z2112" s="70"/>
      <c r="AA2112" s="70"/>
      <c r="AB2112" s="70"/>
      <c r="AC2112" s="70"/>
    </row>
    <row r="2113" spans="1:30" s="26" customFormat="1" x14ac:dyDescent="0.3">
      <c r="A2113" s="25" t="s">
        <v>8291</v>
      </c>
      <c r="B2113" s="25"/>
      <c r="C2113" s="26" t="s">
        <v>3005</v>
      </c>
      <c r="D2113" s="70"/>
      <c r="G2113" s="70" t="s">
        <v>1630</v>
      </c>
      <c r="H2113" s="26">
        <v>2</v>
      </c>
      <c r="I2113" s="70" t="s">
        <v>6226</v>
      </c>
      <c r="J2113" s="26" t="s">
        <v>5942</v>
      </c>
      <c r="K2113" s="26" t="s">
        <v>5290</v>
      </c>
      <c r="L2113" s="26" t="s">
        <v>10988</v>
      </c>
      <c r="M2113" s="76"/>
      <c r="N2113" s="76"/>
      <c r="O2113" s="76"/>
      <c r="P2113" s="76"/>
      <c r="Q2113" s="76"/>
      <c r="R2113" s="76"/>
      <c r="Z2113" s="70"/>
      <c r="AA2113" s="70"/>
      <c r="AB2113" s="70"/>
      <c r="AC2113" s="70"/>
    </row>
    <row r="2114" spans="1:30" s="26" customFormat="1" x14ac:dyDescent="0.3">
      <c r="A2114" s="25" t="s">
        <v>8292</v>
      </c>
      <c r="B2114" s="25"/>
      <c r="C2114" s="26" t="s">
        <v>3005</v>
      </c>
      <c r="D2114" s="70"/>
      <c r="G2114" s="70" t="s">
        <v>1630</v>
      </c>
      <c r="H2114" s="26">
        <v>2</v>
      </c>
      <c r="I2114" s="70" t="s">
        <v>6589</v>
      </c>
      <c r="J2114" s="26" t="s">
        <v>5274</v>
      </c>
      <c r="K2114" s="26" t="s">
        <v>6910</v>
      </c>
      <c r="L2114" s="26" t="s">
        <v>10409</v>
      </c>
      <c r="M2114" s="76"/>
      <c r="N2114" s="76"/>
      <c r="O2114" s="76"/>
      <c r="P2114" s="76"/>
      <c r="Q2114" s="76"/>
      <c r="R2114" s="76"/>
      <c r="Z2114" s="70"/>
      <c r="AA2114" s="70"/>
      <c r="AB2114" s="70"/>
      <c r="AC2114" s="70"/>
    </row>
    <row r="2115" spans="1:30" s="26" customFormat="1" x14ac:dyDescent="0.3">
      <c r="A2115" s="25" t="s">
        <v>8293</v>
      </c>
      <c r="B2115" s="25"/>
      <c r="C2115" s="26" t="s">
        <v>3005</v>
      </c>
      <c r="D2115" s="70"/>
      <c r="G2115" s="70" t="s">
        <v>1630</v>
      </c>
      <c r="H2115" s="26">
        <v>3</v>
      </c>
      <c r="I2115" s="70" t="s">
        <v>3399</v>
      </c>
      <c r="J2115" s="26" t="s">
        <v>7739</v>
      </c>
      <c r="K2115" s="26" t="s">
        <v>6043</v>
      </c>
      <c r="L2115" s="26" t="s">
        <v>10989</v>
      </c>
      <c r="M2115" s="76"/>
      <c r="N2115" s="76"/>
      <c r="O2115" s="76"/>
      <c r="P2115" s="76"/>
      <c r="Q2115" s="76"/>
      <c r="R2115" s="76"/>
      <c r="Z2115" s="70"/>
      <c r="AA2115" s="70"/>
      <c r="AB2115" s="70"/>
      <c r="AC2115" s="70"/>
    </row>
    <row r="2116" spans="1:30" s="26" customFormat="1" x14ac:dyDescent="0.3">
      <c r="A2116" s="25" t="s">
        <v>8294</v>
      </c>
      <c r="B2116" s="25"/>
      <c r="C2116" s="26" t="s">
        <v>3005</v>
      </c>
      <c r="D2116" s="70"/>
      <c r="G2116" s="70" t="s">
        <v>1630</v>
      </c>
      <c r="H2116" s="26">
        <v>2</v>
      </c>
      <c r="I2116" s="70" t="s">
        <v>8295</v>
      </c>
      <c r="J2116" s="26" t="s">
        <v>6538</v>
      </c>
      <c r="K2116" s="26" t="s">
        <v>7016</v>
      </c>
      <c r="L2116" s="26" t="s">
        <v>10990</v>
      </c>
      <c r="M2116" s="76"/>
      <c r="N2116" s="76"/>
      <c r="O2116" s="76"/>
      <c r="P2116" s="76"/>
      <c r="Q2116" s="76"/>
      <c r="R2116" s="76"/>
      <c r="Z2116" s="70"/>
      <c r="AA2116" s="70"/>
      <c r="AB2116" s="70"/>
      <c r="AC2116" s="70"/>
    </row>
    <row r="2117" spans="1:30" s="24" customFormat="1" x14ac:dyDescent="0.3">
      <c r="A2117" s="23">
        <v>560</v>
      </c>
      <c r="B2117" s="23">
        <v>554</v>
      </c>
      <c r="C2117" s="24" t="s">
        <v>2165</v>
      </c>
      <c r="D2117" s="69" t="s">
        <v>1598</v>
      </c>
      <c r="E2117" s="24" t="s">
        <v>1597</v>
      </c>
      <c r="F2117" s="24" t="s">
        <v>1632</v>
      </c>
      <c r="G2117" s="69" t="s">
        <v>1633</v>
      </c>
      <c r="H2117" s="24">
        <v>8</v>
      </c>
      <c r="I2117" s="69"/>
      <c r="J2117" s="24" t="s">
        <v>3137</v>
      </c>
      <c r="K2117" s="24" t="s">
        <v>68</v>
      </c>
      <c r="M2117" s="75" t="s">
        <v>65</v>
      </c>
      <c r="N2117" s="75" t="s">
        <v>2015</v>
      </c>
      <c r="O2117" s="75"/>
      <c r="P2117" s="75"/>
      <c r="Q2117" s="75"/>
      <c r="R2117" s="75"/>
      <c r="Z2117" s="69"/>
      <c r="AA2117" s="69"/>
      <c r="AB2117" s="69"/>
      <c r="AC2117" s="69"/>
    </row>
    <row r="2118" spans="1:30" s="26" customFormat="1" x14ac:dyDescent="0.3">
      <c r="A2118" s="25" t="s">
        <v>8296</v>
      </c>
      <c r="B2118" s="25"/>
      <c r="C2118" s="26" t="s">
        <v>3005</v>
      </c>
      <c r="D2118" s="70"/>
      <c r="G2118" s="70" t="s">
        <v>1633</v>
      </c>
      <c r="H2118" s="26">
        <v>1</v>
      </c>
      <c r="I2118" s="70" t="s">
        <v>3767</v>
      </c>
      <c r="J2118" s="26" t="s">
        <v>4318</v>
      </c>
      <c r="K2118" s="26" t="s">
        <v>8297</v>
      </c>
      <c r="L2118" s="26" t="s">
        <v>10991</v>
      </c>
      <c r="M2118" s="76"/>
      <c r="N2118" s="76"/>
      <c r="O2118" s="76"/>
      <c r="P2118" s="76"/>
      <c r="Q2118" s="76"/>
      <c r="R2118" s="76"/>
      <c r="Z2118" s="70"/>
      <c r="AA2118" s="70"/>
      <c r="AB2118" s="70"/>
      <c r="AC2118" s="70"/>
    </row>
    <row r="2119" spans="1:30" s="26" customFormat="1" x14ac:dyDescent="0.3">
      <c r="A2119" s="25" t="s">
        <v>8298</v>
      </c>
      <c r="B2119" s="25"/>
      <c r="C2119" s="26" t="s">
        <v>3005</v>
      </c>
      <c r="D2119" s="70"/>
      <c r="G2119" s="70" t="s">
        <v>1633</v>
      </c>
      <c r="H2119" s="26">
        <v>1</v>
      </c>
      <c r="I2119" s="70" t="s">
        <v>8299</v>
      </c>
      <c r="J2119" s="26" t="s">
        <v>4240</v>
      </c>
      <c r="K2119" s="26" t="s">
        <v>8300</v>
      </c>
      <c r="L2119" s="26" t="s">
        <v>10745</v>
      </c>
      <c r="M2119" s="76"/>
      <c r="N2119" s="76"/>
      <c r="O2119" s="76"/>
      <c r="P2119" s="76"/>
      <c r="Q2119" s="76"/>
      <c r="R2119" s="76"/>
      <c r="Z2119" s="70"/>
      <c r="AA2119" s="70"/>
      <c r="AB2119" s="70"/>
      <c r="AC2119" s="70"/>
    </row>
    <row r="2120" spans="1:30" s="26" customFormat="1" x14ac:dyDescent="0.3">
      <c r="A2120" s="25" t="s">
        <v>8301</v>
      </c>
      <c r="B2120" s="25"/>
      <c r="C2120" s="26" t="s">
        <v>3005</v>
      </c>
      <c r="D2120" s="70"/>
      <c r="G2120" s="70" t="s">
        <v>1633</v>
      </c>
      <c r="H2120" s="26">
        <v>1</v>
      </c>
      <c r="I2120" s="70" t="s">
        <v>8302</v>
      </c>
      <c r="J2120" s="26" t="s">
        <v>5691</v>
      </c>
      <c r="K2120" s="26" t="s">
        <v>7160</v>
      </c>
      <c r="L2120" s="26" t="s">
        <v>10992</v>
      </c>
      <c r="M2120" s="76"/>
      <c r="N2120" s="76"/>
      <c r="O2120" s="76"/>
      <c r="P2120" s="76"/>
      <c r="Q2120" s="76"/>
      <c r="R2120" s="76"/>
      <c r="Z2120" s="70"/>
      <c r="AA2120" s="70"/>
      <c r="AB2120" s="70"/>
      <c r="AC2120" s="70"/>
    </row>
    <row r="2121" spans="1:30" s="26" customFormat="1" x14ac:dyDescent="0.3">
      <c r="A2121" s="25" t="s">
        <v>8303</v>
      </c>
      <c r="B2121" s="25"/>
      <c r="C2121" s="26" t="s">
        <v>3005</v>
      </c>
      <c r="D2121" s="70"/>
      <c r="G2121" s="70" t="s">
        <v>1633</v>
      </c>
      <c r="H2121" s="26">
        <v>1</v>
      </c>
      <c r="I2121" s="70" t="s">
        <v>8304</v>
      </c>
      <c r="J2121" s="26" t="s">
        <v>8305</v>
      </c>
      <c r="K2121" s="26" t="s">
        <v>8306</v>
      </c>
      <c r="L2121" s="26" t="s">
        <v>10993</v>
      </c>
      <c r="M2121" s="76"/>
      <c r="N2121" s="76"/>
      <c r="O2121" s="76"/>
      <c r="P2121" s="76"/>
      <c r="Q2121" s="76"/>
      <c r="R2121" s="76"/>
      <c r="Z2121" s="70"/>
      <c r="AA2121" s="70"/>
      <c r="AB2121" s="70"/>
      <c r="AC2121" s="70"/>
    </row>
    <row r="2122" spans="1:30" s="26" customFormat="1" x14ac:dyDescent="0.3">
      <c r="A2122" s="25" t="s">
        <v>8307</v>
      </c>
      <c r="B2122" s="25"/>
      <c r="C2122" s="26" t="s">
        <v>3005</v>
      </c>
      <c r="D2122" s="70"/>
      <c r="G2122" s="70" t="s">
        <v>1633</v>
      </c>
      <c r="H2122" s="26">
        <v>1</v>
      </c>
      <c r="I2122" s="70" t="s">
        <v>8308</v>
      </c>
      <c r="J2122" s="26" t="s">
        <v>5691</v>
      </c>
      <c r="K2122" s="26" t="s">
        <v>8309</v>
      </c>
      <c r="L2122" s="26" t="s">
        <v>10994</v>
      </c>
      <c r="M2122" s="76"/>
      <c r="N2122" s="76"/>
      <c r="O2122" s="76"/>
      <c r="P2122" s="76"/>
      <c r="Q2122" s="76"/>
      <c r="R2122" s="76"/>
      <c r="Z2122" s="70"/>
      <c r="AA2122" s="70"/>
      <c r="AB2122" s="70"/>
      <c r="AC2122" s="70"/>
    </row>
    <row r="2123" spans="1:30" s="26" customFormat="1" x14ac:dyDescent="0.3">
      <c r="A2123" s="25" t="s">
        <v>8310</v>
      </c>
      <c r="B2123" s="25"/>
      <c r="C2123" s="26" t="s">
        <v>3005</v>
      </c>
      <c r="D2123" s="70"/>
      <c r="G2123" s="70" t="s">
        <v>1633</v>
      </c>
      <c r="H2123" s="26">
        <v>1</v>
      </c>
      <c r="I2123" s="70" t="s">
        <v>7232</v>
      </c>
      <c r="J2123" s="26" t="s">
        <v>7233</v>
      </c>
      <c r="K2123" s="26" t="s">
        <v>8311</v>
      </c>
      <c r="L2123" s="26" t="s">
        <v>10743</v>
      </c>
      <c r="M2123" s="76"/>
      <c r="N2123" s="76"/>
      <c r="O2123" s="76"/>
      <c r="P2123" s="76"/>
      <c r="Q2123" s="76"/>
      <c r="R2123" s="76"/>
      <c r="Z2123" s="70"/>
      <c r="AA2123" s="70"/>
      <c r="AB2123" s="70"/>
      <c r="AC2123" s="70"/>
    </row>
    <row r="2124" spans="1:30" s="26" customFormat="1" x14ac:dyDescent="0.3">
      <c r="A2124" s="25" t="s">
        <v>8312</v>
      </c>
      <c r="B2124" s="25"/>
      <c r="C2124" s="26" t="s">
        <v>3005</v>
      </c>
      <c r="D2124" s="70"/>
      <c r="G2124" s="70" t="s">
        <v>1633</v>
      </c>
      <c r="H2124" s="26">
        <v>1</v>
      </c>
      <c r="I2124" s="70" t="s">
        <v>4243</v>
      </c>
      <c r="J2124" s="26" t="s">
        <v>3137</v>
      </c>
      <c r="K2124" s="26" t="s">
        <v>6818</v>
      </c>
      <c r="L2124" s="26" t="s">
        <v>10995</v>
      </c>
      <c r="M2124" s="76"/>
      <c r="N2124" s="76"/>
      <c r="O2124" s="76"/>
      <c r="P2124" s="76"/>
      <c r="Q2124" s="76"/>
      <c r="R2124" s="76"/>
      <c r="Z2124" s="70"/>
      <c r="AA2124" s="70"/>
      <c r="AB2124" s="70"/>
      <c r="AC2124" s="70"/>
    </row>
    <row r="2125" spans="1:30" s="26" customFormat="1" x14ac:dyDescent="0.3">
      <c r="A2125" s="25" t="s">
        <v>8313</v>
      </c>
      <c r="B2125" s="25"/>
      <c r="C2125" s="26" t="s">
        <v>3005</v>
      </c>
      <c r="D2125" s="70"/>
      <c r="G2125" s="70" t="s">
        <v>1633</v>
      </c>
      <c r="H2125" s="26">
        <v>1</v>
      </c>
      <c r="I2125" s="70" t="s">
        <v>5302</v>
      </c>
      <c r="J2125" s="26" t="s">
        <v>6294</v>
      </c>
      <c r="K2125" s="26" t="s">
        <v>8314</v>
      </c>
      <c r="L2125" s="26" t="s">
        <v>9796</v>
      </c>
      <c r="M2125" s="76"/>
      <c r="N2125" s="76"/>
      <c r="O2125" s="76"/>
      <c r="P2125" s="76"/>
      <c r="Q2125" s="76"/>
      <c r="R2125" s="76"/>
      <c r="Z2125" s="70"/>
      <c r="AA2125" s="70"/>
      <c r="AB2125" s="70"/>
      <c r="AC2125" s="70"/>
    </row>
    <row r="2126" spans="1:30" s="24" customFormat="1" x14ac:dyDescent="0.3">
      <c r="A2126" s="23">
        <v>561</v>
      </c>
      <c r="B2126" s="23">
        <v>556</v>
      </c>
      <c r="C2126" s="24" t="s">
        <v>2165</v>
      </c>
      <c r="D2126" s="69" t="s">
        <v>1635</v>
      </c>
      <c r="E2126" s="24" t="s">
        <v>1634</v>
      </c>
      <c r="F2126" s="24" t="s">
        <v>1636</v>
      </c>
      <c r="G2126" s="69" t="s">
        <v>1637</v>
      </c>
      <c r="H2126" s="24">
        <v>1</v>
      </c>
      <c r="I2126" s="69"/>
      <c r="J2126" s="24" t="s">
        <v>3334</v>
      </c>
      <c r="K2126" s="24" t="s">
        <v>43</v>
      </c>
      <c r="M2126" s="75" t="s">
        <v>15</v>
      </c>
      <c r="N2126" s="75"/>
      <c r="O2126" s="75"/>
      <c r="P2126" s="75" t="s">
        <v>58</v>
      </c>
      <c r="Q2126" s="75"/>
      <c r="R2126" s="75"/>
      <c r="Y2126" s="24" t="s">
        <v>2883</v>
      </c>
      <c r="Z2126" s="69"/>
      <c r="AA2126" s="69"/>
      <c r="AB2126" s="69" t="s">
        <v>2884</v>
      </c>
      <c r="AC2126" s="69"/>
      <c r="AD2126" s="24" t="s">
        <v>123</v>
      </c>
    </row>
    <row r="2127" spans="1:30" s="26" customFormat="1" x14ac:dyDescent="0.3">
      <c r="A2127" s="25" t="s">
        <v>8315</v>
      </c>
      <c r="B2127" s="25"/>
      <c r="C2127" s="26" t="s">
        <v>3005</v>
      </c>
      <c r="D2127" s="70"/>
      <c r="G2127" s="70" t="s">
        <v>1637</v>
      </c>
      <c r="H2127" s="26">
        <v>-1</v>
      </c>
      <c r="I2127" s="70" t="s">
        <v>8316</v>
      </c>
      <c r="J2127" s="26" t="s">
        <v>3334</v>
      </c>
      <c r="K2127" s="26" t="s">
        <v>8317</v>
      </c>
      <c r="L2127" s="26" t="s">
        <v>10996</v>
      </c>
      <c r="M2127" s="76"/>
      <c r="N2127" s="76"/>
      <c r="O2127" s="76"/>
      <c r="P2127" s="76"/>
      <c r="Q2127" s="76"/>
      <c r="R2127" s="76"/>
      <c r="Z2127" s="70"/>
      <c r="AA2127" s="70"/>
      <c r="AB2127" s="70"/>
      <c r="AC2127" s="70"/>
    </row>
    <row r="2128" spans="1:30" s="26" customFormat="1" x14ac:dyDescent="0.3">
      <c r="A2128" s="25" t="s">
        <v>8318</v>
      </c>
      <c r="B2128" s="25"/>
      <c r="C2128" s="26" t="s">
        <v>3005</v>
      </c>
      <c r="D2128" s="70"/>
      <c r="G2128" s="70" t="s">
        <v>1637</v>
      </c>
      <c r="H2128" s="26">
        <v>-1</v>
      </c>
      <c r="I2128" s="70" t="s">
        <v>5238</v>
      </c>
      <c r="J2128" s="26" t="s">
        <v>5239</v>
      </c>
      <c r="K2128" s="26" t="s">
        <v>3904</v>
      </c>
      <c r="M2128" s="76"/>
      <c r="N2128" s="76"/>
      <c r="O2128" s="76"/>
      <c r="P2128" s="76"/>
      <c r="Q2128" s="76"/>
      <c r="R2128" s="76"/>
      <c r="Z2128" s="70"/>
      <c r="AA2128" s="70"/>
      <c r="AB2128" s="70"/>
      <c r="AC2128" s="70"/>
    </row>
    <row r="2129" spans="1:29" s="26" customFormat="1" x14ac:dyDescent="0.3">
      <c r="A2129" s="25" t="s">
        <v>8319</v>
      </c>
      <c r="B2129" s="25"/>
      <c r="C2129" s="26" t="s">
        <v>3005</v>
      </c>
      <c r="D2129" s="70"/>
      <c r="G2129" s="70" t="s">
        <v>1637</v>
      </c>
      <c r="H2129" s="26">
        <v>-1</v>
      </c>
      <c r="I2129" s="70" t="s">
        <v>3745</v>
      </c>
      <c r="J2129" s="26" t="s">
        <v>8320</v>
      </c>
      <c r="K2129" s="26" t="s">
        <v>8321</v>
      </c>
      <c r="L2129" s="26" t="s">
        <v>10997</v>
      </c>
      <c r="M2129" s="76"/>
      <c r="N2129" s="76"/>
      <c r="O2129" s="76"/>
      <c r="P2129" s="76"/>
      <c r="Q2129" s="76"/>
      <c r="R2129" s="76"/>
      <c r="Z2129" s="70"/>
      <c r="AA2129" s="70"/>
      <c r="AB2129" s="70"/>
      <c r="AC2129" s="70"/>
    </row>
    <row r="2130" spans="1:29" s="26" customFormat="1" x14ac:dyDescent="0.3">
      <c r="A2130" s="25" t="s">
        <v>8322</v>
      </c>
      <c r="B2130" s="25"/>
      <c r="C2130" s="26" t="s">
        <v>3005</v>
      </c>
      <c r="D2130" s="70"/>
      <c r="G2130" s="70" t="s">
        <v>1637</v>
      </c>
      <c r="H2130" s="26">
        <v>-1</v>
      </c>
      <c r="I2130" s="70" t="s">
        <v>5072</v>
      </c>
      <c r="J2130" s="26" t="s">
        <v>5475</v>
      </c>
      <c r="K2130" s="26" t="s">
        <v>8323</v>
      </c>
      <c r="L2130" s="26" t="s">
        <v>10998</v>
      </c>
      <c r="M2130" s="76"/>
      <c r="N2130" s="76"/>
      <c r="O2130" s="76"/>
      <c r="P2130" s="76"/>
      <c r="Q2130" s="76"/>
      <c r="R2130" s="76"/>
      <c r="Z2130" s="70"/>
      <c r="AA2130" s="70"/>
      <c r="AB2130" s="70"/>
      <c r="AC2130" s="70"/>
    </row>
    <row r="2131" spans="1:29" s="26" customFormat="1" x14ac:dyDescent="0.3">
      <c r="A2131" s="25" t="s">
        <v>8324</v>
      </c>
      <c r="B2131" s="25"/>
      <c r="C2131" s="26" t="s">
        <v>3005</v>
      </c>
      <c r="D2131" s="70"/>
      <c r="G2131" s="70" t="s">
        <v>1637</v>
      </c>
      <c r="H2131" s="26">
        <v>-1</v>
      </c>
      <c r="I2131" s="70" t="s">
        <v>8325</v>
      </c>
      <c r="J2131" s="26" t="s">
        <v>8326</v>
      </c>
      <c r="K2131" s="26" t="s">
        <v>3215</v>
      </c>
      <c r="L2131" s="26" t="s">
        <v>3215</v>
      </c>
      <c r="M2131" s="76"/>
      <c r="N2131" s="76"/>
      <c r="O2131" s="76"/>
      <c r="P2131" s="76"/>
      <c r="Q2131" s="76"/>
      <c r="R2131" s="76"/>
      <c r="Z2131" s="70"/>
      <c r="AA2131" s="70"/>
      <c r="AB2131" s="70"/>
      <c r="AC2131" s="70"/>
    </row>
    <row r="2132" spans="1:29" s="26" customFormat="1" x14ac:dyDescent="0.3">
      <c r="A2132" s="25" t="s">
        <v>8327</v>
      </c>
      <c r="B2132" s="25"/>
      <c r="C2132" s="26" t="s">
        <v>3005</v>
      </c>
      <c r="D2132" s="70"/>
      <c r="G2132" s="70" t="s">
        <v>1637</v>
      </c>
      <c r="H2132" s="26">
        <v>2</v>
      </c>
      <c r="I2132" s="70" t="s">
        <v>8328</v>
      </c>
      <c r="J2132" s="26" t="s">
        <v>5475</v>
      </c>
      <c r="K2132" s="26" t="s">
        <v>6815</v>
      </c>
      <c r="M2132" s="76"/>
      <c r="N2132" s="76"/>
      <c r="O2132" s="76"/>
      <c r="P2132" s="76"/>
      <c r="Q2132" s="76"/>
      <c r="R2132" s="76"/>
      <c r="Y2132" s="26" t="s">
        <v>2883</v>
      </c>
      <c r="Z2132" s="70"/>
      <c r="AA2132" s="70"/>
      <c r="AB2132" s="70" t="s">
        <v>2884</v>
      </c>
      <c r="AC2132" s="70"/>
    </row>
    <row r="2133" spans="1:29" s="24" customFormat="1" x14ac:dyDescent="0.3">
      <c r="A2133" s="23">
        <v>562</v>
      </c>
      <c r="B2133" s="23">
        <v>557</v>
      </c>
      <c r="C2133" s="24" t="s">
        <v>2165</v>
      </c>
      <c r="D2133" s="69" t="s">
        <v>1635</v>
      </c>
      <c r="E2133" s="24" t="s">
        <v>1634</v>
      </c>
      <c r="F2133" s="24" t="s">
        <v>1638</v>
      </c>
      <c r="G2133" s="69" t="s">
        <v>1639</v>
      </c>
      <c r="H2133" s="24">
        <v>4</v>
      </c>
      <c r="I2133" s="69"/>
      <c r="J2133" s="24" t="s">
        <v>3385</v>
      </c>
      <c r="K2133" s="24" t="s">
        <v>68</v>
      </c>
      <c r="M2133" s="75" t="s">
        <v>65</v>
      </c>
      <c r="N2133" s="75" t="s">
        <v>2015</v>
      </c>
      <c r="O2133" s="75" t="s">
        <v>58</v>
      </c>
      <c r="P2133" s="75" t="s">
        <v>58</v>
      </c>
      <c r="Q2133" s="75"/>
      <c r="R2133" s="75"/>
      <c r="Z2133" s="69"/>
      <c r="AA2133" s="69"/>
      <c r="AB2133" s="69"/>
      <c r="AC2133" s="69" t="s">
        <v>11424</v>
      </c>
    </row>
    <row r="2134" spans="1:29" s="26" customFormat="1" x14ac:dyDescent="0.3">
      <c r="A2134" s="25" t="s">
        <v>8329</v>
      </c>
      <c r="B2134" s="25"/>
      <c r="C2134" s="26" t="s">
        <v>3005</v>
      </c>
      <c r="D2134" s="70"/>
      <c r="G2134" s="70" t="s">
        <v>1639</v>
      </c>
      <c r="H2134" s="26">
        <v>1</v>
      </c>
      <c r="I2134" s="70" t="s">
        <v>8330</v>
      </c>
      <c r="J2134" s="26" t="s">
        <v>3385</v>
      </c>
      <c r="K2134" s="26" t="s">
        <v>8331</v>
      </c>
      <c r="L2134" s="26" t="s">
        <v>10999</v>
      </c>
      <c r="M2134" s="76"/>
      <c r="N2134" s="76"/>
      <c r="O2134" s="76"/>
      <c r="P2134" s="76"/>
      <c r="Q2134" s="76"/>
      <c r="R2134" s="76"/>
      <c r="Z2134" s="70"/>
      <c r="AA2134" s="70"/>
      <c r="AB2134" s="70"/>
      <c r="AC2134" s="70"/>
    </row>
    <row r="2135" spans="1:29" s="26" customFormat="1" x14ac:dyDescent="0.3">
      <c r="A2135" s="25" t="s">
        <v>8332</v>
      </c>
      <c r="B2135" s="25"/>
      <c r="C2135" s="26" t="s">
        <v>3005</v>
      </c>
      <c r="D2135" s="70"/>
      <c r="G2135" s="70" t="s">
        <v>1639</v>
      </c>
      <c r="H2135" s="26">
        <v>1</v>
      </c>
      <c r="I2135" s="70" t="s">
        <v>8333</v>
      </c>
      <c r="J2135" s="26" t="s">
        <v>5942</v>
      </c>
      <c r="K2135" s="26" t="s">
        <v>8334</v>
      </c>
      <c r="L2135" s="26" t="s">
        <v>11000</v>
      </c>
      <c r="M2135" s="76"/>
      <c r="N2135" s="76"/>
      <c r="O2135" s="76"/>
      <c r="P2135" s="76"/>
      <c r="Q2135" s="76"/>
      <c r="R2135" s="76"/>
      <c r="Z2135" s="70"/>
      <c r="AA2135" s="70"/>
      <c r="AB2135" s="70"/>
      <c r="AC2135" s="70"/>
    </row>
    <row r="2136" spans="1:29" s="26" customFormat="1" x14ac:dyDescent="0.3">
      <c r="A2136" s="25" t="s">
        <v>8335</v>
      </c>
      <c r="B2136" s="25"/>
      <c r="C2136" s="26" t="s">
        <v>3005</v>
      </c>
      <c r="D2136" s="70"/>
      <c r="G2136" s="70" t="s">
        <v>1639</v>
      </c>
      <c r="H2136" s="26">
        <v>1</v>
      </c>
      <c r="I2136" s="70" t="s">
        <v>8336</v>
      </c>
      <c r="J2136" s="26" t="s">
        <v>8337</v>
      </c>
      <c r="K2136" s="26" t="s">
        <v>8338</v>
      </c>
      <c r="L2136" s="26" t="s">
        <v>10292</v>
      </c>
      <c r="M2136" s="76"/>
      <c r="N2136" s="76"/>
      <c r="O2136" s="76"/>
      <c r="P2136" s="76"/>
      <c r="Q2136" s="76"/>
      <c r="R2136" s="76"/>
      <c r="Z2136" s="70"/>
      <c r="AA2136" s="70"/>
      <c r="AB2136" s="70"/>
      <c r="AC2136" s="70"/>
    </row>
    <row r="2137" spans="1:29" s="26" customFormat="1" x14ac:dyDescent="0.3">
      <c r="A2137" s="25" t="s">
        <v>8339</v>
      </c>
      <c r="B2137" s="25"/>
      <c r="C2137" s="26" t="s">
        <v>3005</v>
      </c>
      <c r="D2137" s="70"/>
      <c r="G2137" s="70" t="s">
        <v>1639</v>
      </c>
      <c r="H2137" s="26">
        <v>1</v>
      </c>
      <c r="I2137" s="70" t="s">
        <v>8340</v>
      </c>
      <c r="J2137" s="26" t="s">
        <v>5475</v>
      </c>
      <c r="K2137" s="26" t="s">
        <v>5077</v>
      </c>
      <c r="L2137" s="26" t="s">
        <v>10970</v>
      </c>
      <c r="M2137" s="76"/>
      <c r="N2137" s="76"/>
      <c r="O2137" s="76"/>
      <c r="P2137" s="76"/>
      <c r="Q2137" s="76"/>
      <c r="R2137" s="76"/>
      <c r="Z2137" s="70"/>
      <c r="AA2137" s="70"/>
      <c r="AB2137" s="70"/>
      <c r="AC2137" s="70"/>
    </row>
    <row r="2138" spans="1:29" s="24" customFormat="1" x14ac:dyDescent="0.3">
      <c r="A2138" s="23">
        <v>563</v>
      </c>
      <c r="B2138" s="23">
        <v>558</v>
      </c>
      <c r="C2138" s="24" t="s">
        <v>2165</v>
      </c>
      <c r="D2138" s="69" t="s">
        <v>1641</v>
      </c>
      <c r="E2138" s="24" t="s">
        <v>1640</v>
      </c>
      <c r="F2138" s="24" t="s">
        <v>1642</v>
      </c>
      <c r="G2138" s="69" t="s">
        <v>1643</v>
      </c>
      <c r="H2138" s="24">
        <v>1</v>
      </c>
      <c r="I2138" s="69"/>
      <c r="J2138" s="24" t="s">
        <v>8341</v>
      </c>
      <c r="K2138" s="24" t="s">
        <v>43</v>
      </c>
      <c r="M2138" s="75" t="s">
        <v>15</v>
      </c>
      <c r="N2138" s="75"/>
      <c r="O2138" s="75"/>
      <c r="P2138" s="75"/>
      <c r="Q2138" s="75"/>
      <c r="R2138" s="75"/>
      <c r="Z2138" s="69"/>
      <c r="AA2138" s="69"/>
      <c r="AB2138" s="69"/>
      <c r="AC2138" s="69"/>
    </row>
    <row r="2139" spans="1:29" s="26" customFormat="1" x14ac:dyDescent="0.3">
      <c r="A2139" s="25" t="s">
        <v>8342</v>
      </c>
      <c r="B2139" s="25"/>
      <c r="C2139" s="26" t="s">
        <v>3005</v>
      </c>
      <c r="D2139" s="70"/>
      <c r="G2139" s="70" t="s">
        <v>1643</v>
      </c>
      <c r="H2139" s="26">
        <v>-1</v>
      </c>
      <c r="I2139" s="70" t="s">
        <v>5111</v>
      </c>
      <c r="J2139" s="26" t="s">
        <v>8341</v>
      </c>
      <c r="K2139" s="26" t="s">
        <v>8343</v>
      </c>
      <c r="L2139" s="26" t="s">
        <v>11001</v>
      </c>
      <c r="M2139" s="76"/>
      <c r="N2139" s="76"/>
      <c r="O2139" s="76"/>
      <c r="P2139" s="76"/>
      <c r="Q2139" s="76"/>
      <c r="R2139" s="76"/>
      <c r="Z2139" s="70"/>
      <c r="AA2139" s="70"/>
      <c r="AB2139" s="70"/>
      <c r="AC2139" s="70"/>
    </row>
    <row r="2140" spans="1:29" s="26" customFormat="1" x14ac:dyDescent="0.3">
      <c r="A2140" s="25" t="s">
        <v>8344</v>
      </c>
      <c r="B2140" s="25"/>
      <c r="C2140" s="26" t="s">
        <v>3005</v>
      </c>
      <c r="D2140" s="70"/>
      <c r="G2140" s="70" t="s">
        <v>1643</v>
      </c>
      <c r="H2140" s="26">
        <v>-1</v>
      </c>
      <c r="I2140" s="70" t="s">
        <v>6021</v>
      </c>
      <c r="J2140" s="26" t="s">
        <v>7140</v>
      </c>
      <c r="K2140" s="26" t="s">
        <v>8345</v>
      </c>
      <c r="L2140" s="26" t="s">
        <v>11002</v>
      </c>
      <c r="M2140" s="76"/>
      <c r="N2140" s="76"/>
      <c r="O2140" s="76"/>
      <c r="P2140" s="76"/>
      <c r="Q2140" s="76"/>
      <c r="R2140" s="76"/>
      <c r="Z2140" s="70"/>
      <c r="AA2140" s="70"/>
      <c r="AB2140" s="70"/>
      <c r="AC2140" s="70"/>
    </row>
    <row r="2141" spans="1:29" s="26" customFormat="1" x14ac:dyDescent="0.3">
      <c r="A2141" s="25" t="s">
        <v>8346</v>
      </c>
      <c r="B2141" s="25"/>
      <c r="C2141" s="26" t="s">
        <v>3005</v>
      </c>
      <c r="D2141" s="70"/>
      <c r="G2141" s="70" t="s">
        <v>1643</v>
      </c>
      <c r="H2141" s="26">
        <v>-1</v>
      </c>
      <c r="I2141" s="70" t="s">
        <v>8347</v>
      </c>
      <c r="J2141" s="26" t="s">
        <v>5519</v>
      </c>
      <c r="K2141" s="26" t="s">
        <v>2679</v>
      </c>
      <c r="L2141" s="26" t="s">
        <v>10808</v>
      </c>
      <c r="M2141" s="76"/>
      <c r="N2141" s="76"/>
      <c r="O2141" s="76"/>
      <c r="P2141" s="76"/>
      <c r="Q2141" s="76"/>
      <c r="R2141" s="76"/>
      <c r="Z2141" s="70"/>
      <c r="AA2141" s="70"/>
      <c r="AB2141" s="70"/>
      <c r="AC2141" s="70"/>
    </row>
    <row r="2142" spans="1:29" s="26" customFormat="1" x14ac:dyDescent="0.3">
      <c r="A2142" s="25" t="s">
        <v>8348</v>
      </c>
      <c r="B2142" s="25"/>
      <c r="C2142" s="26" t="s">
        <v>3005</v>
      </c>
      <c r="D2142" s="70"/>
      <c r="G2142" s="70" t="s">
        <v>1643</v>
      </c>
      <c r="H2142" s="26">
        <v>3</v>
      </c>
      <c r="I2142" s="70" t="s">
        <v>8349</v>
      </c>
      <c r="J2142" s="26" t="s">
        <v>7590</v>
      </c>
      <c r="K2142" s="26" t="s">
        <v>6291</v>
      </c>
      <c r="L2142" s="26" t="s">
        <v>11003</v>
      </c>
      <c r="M2142" s="76"/>
      <c r="N2142" s="76"/>
      <c r="O2142" s="76"/>
      <c r="P2142" s="76"/>
      <c r="Q2142" s="76"/>
      <c r="R2142" s="76"/>
      <c r="Z2142" s="70"/>
      <c r="AA2142" s="70"/>
      <c r="AB2142" s="70"/>
      <c r="AC2142" s="70"/>
    </row>
    <row r="2143" spans="1:29" s="26" customFormat="1" x14ac:dyDescent="0.3">
      <c r="A2143" s="25" t="s">
        <v>8350</v>
      </c>
      <c r="B2143" s="25"/>
      <c r="C2143" s="26" t="s">
        <v>3005</v>
      </c>
      <c r="D2143" s="70"/>
      <c r="G2143" s="70" t="s">
        <v>1643</v>
      </c>
      <c r="H2143" s="26">
        <v>-1</v>
      </c>
      <c r="I2143" s="70" t="s">
        <v>8351</v>
      </c>
      <c r="J2143" s="26" t="s">
        <v>8352</v>
      </c>
      <c r="K2143" s="26" t="s">
        <v>8353</v>
      </c>
      <c r="L2143" s="26" t="s">
        <v>3215</v>
      </c>
      <c r="M2143" s="76"/>
      <c r="N2143" s="76"/>
      <c r="O2143" s="76"/>
      <c r="P2143" s="76"/>
      <c r="Q2143" s="76"/>
      <c r="R2143" s="76"/>
      <c r="Z2143" s="70"/>
      <c r="AA2143" s="70"/>
      <c r="AB2143" s="70"/>
      <c r="AC2143" s="70"/>
    </row>
    <row r="2144" spans="1:29" s="24" customFormat="1" x14ac:dyDescent="0.3">
      <c r="A2144" s="23">
        <v>564</v>
      </c>
      <c r="B2144" s="23">
        <v>559</v>
      </c>
      <c r="C2144" s="24" t="s">
        <v>2165</v>
      </c>
      <c r="D2144" s="69" t="s">
        <v>1641</v>
      </c>
      <c r="E2144" s="24" t="s">
        <v>1640</v>
      </c>
      <c r="F2144" s="24" t="s">
        <v>1644</v>
      </c>
      <c r="G2144" s="69" t="s">
        <v>1645</v>
      </c>
      <c r="H2144" s="24">
        <v>6</v>
      </c>
      <c r="I2144" s="69"/>
      <c r="J2144" s="24" t="s">
        <v>5085</v>
      </c>
      <c r="K2144" s="24" t="s">
        <v>68</v>
      </c>
      <c r="M2144" s="75" t="s">
        <v>65</v>
      </c>
      <c r="N2144" s="75" t="s">
        <v>2015</v>
      </c>
      <c r="O2144" s="75"/>
      <c r="P2144" s="75"/>
      <c r="Q2144" s="75"/>
      <c r="R2144" s="75"/>
      <c r="V2144" s="24" t="s">
        <v>1642</v>
      </c>
      <c r="Z2144" s="69"/>
      <c r="AA2144" s="69"/>
      <c r="AB2144" s="69"/>
      <c r="AC2144" s="69"/>
    </row>
    <row r="2145" spans="1:29" s="26" customFormat="1" x14ac:dyDescent="0.3">
      <c r="A2145" s="25" t="s">
        <v>8354</v>
      </c>
      <c r="B2145" s="25"/>
      <c r="C2145" s="26" t="s">
        <v>3005</v>
      </c>
      <c r="D2145" s="70"/>
      <c r="G2145" s="70" t="s">
        <v>1645</v>
      </c>
      <c r="H2145" s="26">
        <v>1</v>
      </c>
      <c r="I2145" s="70" t="s">
        <v>8355</v>
      </c>
      <c r="J2145" s="26" t="s">
        <v>5523</v>
      </c>
      <c r="K2145" s="26" t="s">
        <v>7160</v>
      </c>
      <c r="L2145" s="26" t="s">
        <v>11004</v>
      </c>
      <c r="M2145" s="76"/>
      <c r="N2145" s="76"/>
      <c r="O2145" s="76"/>
      <c r="P2145" s="76"/>
      <c r="Q2145" s="76"/>
      <c r="R2145" s="76"/>
      <c r="Z2145" s="70"/>
      <c r="AA2145" s="70"/>
      <c r="AB2145" s="70"/>
      <c r="AC2145" s="70"/>
    </row>
    <row r="2146" spans="1:29" s="26" customFormat="1" x14ac:dyDescent="0.3">
      <c r="A2146" s="25" t="s">
        <v>8356</v>
      </c>
      <c r="B2146" s="25"/>
      <c r="C2146" s="26" t="s">
        <v>3005</v>
      </c>
      <c r="D2146" s="70"/>
      <c r="G2146" s="70" t="s">
        <v>1645</v>
      </c>
      <c r="H2146" s="26">
        <v>1</v>
      </c>
      <c r="I2146" s="70" t="s">
        <v>8357</v>
      </c>
      <c r="J2146" s="26" t="s">
        <v>7466</v>
      </c>
      <c r="K2146" s="26" t="s">
        <v>8358</v>
      </c>
      <c r="L2146" s="26" t="s">
        <v>10467</v>
      </c>
      <c r="M2146" s="76"/>
      <c r="N2146" s="76"/>
      <c r="O2146" s="76"/>
      <c r="P2146" s="76"/>
      <c r="Q2146" s="76"/>
      <c r="R2146" s="76"/>
      <c r="Z2146" s="70"/>
      <c r="AA2146" s="70"/>
      <c r="AB2146" s="70"/>
      <c r="AC2146" s="70"/>
    </row>
    <row r="2147" spans="1:29" s="26" customFormat="1" x14ac:dyDescent="0.3">
      <c r="A2147" s="25" t="s">
        <v>8359</v>
      </c>
      <c r="B2147" s="25"/>
      <c r="C2147" s="26" t="s">
        <v>3005</v>
      </c>
      <c r="D2147" s="70"/>
      <c r="G2147" s="70" t="s">
        <v>1645</v>
      </c>
      <c r="H2147" s="26">
        <v>1</v>
      </c>
      <c r="I2147" s="70" t="s">
        <v>8360</v>
      </c>
      <c r="J2147" s="26" t="s">
        <v>5227</v>
      </c>
      <c r="K2147" s="26" t="s">
        <v>6319</v>
      </c>
      <c r="L2147" s="26" t="s">
        <v>11005</v>
      </c>
      <c r="M2147" s="76"/>
      <c r="N2147" s="76"/>
      <c r="O2147" s="76"/>
      <c r="P2147" s="76"/>
      <c r="Q2147" s="76"/>
      <c r="R2147" s="76"/>
      <c r="Z2147" s="70"/>
      <c r="AA2147" s="70"/>
      <c r="AB2147" s="70"/>
      <c r="AC2147" s="70"/>
    </row>
    <row r="2148" spans="1:29" s="26" customFormat="1" x14ac:dyDescent="0.3">
      <c r="A2148" s="25" t="s">
        <v>8361</v>
      </c>
      <c r="B2148" s="25"/>
      <c r="C2148" s="26" t="s">
        <v>3005</v>
      </c>
      <c r="D2148" s="70"/>
      <c r="G2148" s="70" t="s">
        <v>1645</v>
      </c>
      <c r="H2148" s="26">
        <v>1</v>
      </c>
      <c r="I2148" s="70" t="s">
        <v>7153</v>
      </c>
      <c r="J2148" s="26" t="s">
        <v>5257</v>
      </c>
      <c r="K2148" s="26" t="s">
        <v>8232</v>
      </c>
      <c r="L2148" s="26" t="s">
        <v>11006</v>
      </c>
      <c r="M2148" s="76"/>
      <c r="N2148" s="76"/>
      <c r="O2148" s="76"/>
      <c r="P2148" s="76"/>
      <c r="Q2148" s="76"/>
      <c r="R2148" s="76"/>
      <c r="Z2148" s="70"/>
      <c r="AA2148" s="70"/>
      <c r="AB2148" s="70"/>
      <c r="AC2148" s="70"/>
    </row>
    <row r="2149" spans="1:29" s="26" customFormat="1" x14ac:dyDescent="0.3">
      <c r="A2149" s="25" t="s">
        <v>8362</v>
      </c>
      <c r="B2149" s="25"/>
      <c r="C2149" s="26" t="s">
        <v>3005</v>
      </c>
      <c r="D2149" s="70"/>
      <c r="G2149" s="70" t="s">
        <v>1645</v>
      </c>
      <c r="H2149" s="26">
        <v>1</v>
      </c>
      <c r="I2149" s="70" t="s">
        <v>8363</v>
      </c>
      <c r="J2149" s="26" t="s">
        <v>6909</v>
      </c>
      <c r="K2149" s="26" t="s">
        <v>8364</v>
      </c>
      <c r="L2149" s="26" t="s">
        <v>11007</v>
      </c>
      <c r="M2149" s="76"/>
      <c r="N2149" s="76"/>
      <c r="O2149" s="76"/>
      <c r="P2149" s="76"/>
      <c r="Q2149" s="76"/>
      <c r="R2149" s="76"/>
      <c r="Z2149" s="70"/>
      <c r="AA2149" s="70"/>
      <c r="AB2149" s="70"/>
      <c r="AC2149" s="70"/>
    </row>
    <row r="2150" spans="1:29" s="26" customFormat="1" x14ac:dyDescent="0.3">
      <c r="A2150" s="25" t="s">
        <v>8365</v>
      </c>
      <c r="B2150" s="25"/>
      <c r="C2150" s="26" t="s">
        <v>3005</v>
      </c>
      <c r="D2150" s="70"/>
      <c r="G2150" s="70" t="s">
        <v>1645</v>
      </c>
      <c r="H2150" s="26">
        <v>1</v>
      </c>
      <c r="I2150" s="70" t="s">
        <v>8366</v>
      </c>
      <c r="J2150" s="26" t="s">
        <v>5085</v>
      </c>
      <c r="K2150" s="26" t="s">
        <v>6818</v>
      </c>
      <c r="L2150" s="26" t="s">
        <v>11008</v>
      </c>
      <c r="M2150" s="76"/>
      <c r="N2150" s="76"/>
      <c r="O2150" s="76"/>
      <c r="P2150" s="76"/>
      <c r="Q2150" s="76"/>
      <c r="R2150" s="76"/>
      <c r="Z2150" s="70"/>
      <c r="AA2150" s="70"/>
      <c r="AB2150" s="70"/>
      <c r="AC2150" s="70"/>
    </row>
    <row r="2151" spans="1:29" s="24" customFormat="1" x14ac:dyDescent="0.3">
      <c r="A2151" s="23">
        <v>565</v>
      </c>
      <c r="B2151" s="23">
        <v>560</v>
      </c>
      <c r="C2151" s="24" t="s">
        <v>2165</v>
      </c>
      <c r="D2151" s="69" t="s">
        <v>1647</v>
      </c>
      <c r="E2151" s="24" t="s">
        <v>1646</v>
      </c>
      <c r="F2151" s="24" t="s">
        <v>1648</v>
      </c>
      <c r="G2151" s="69" t="s">
        <v>1649</v>
      </c>
      <c r="H2151" s="24">
        <v>1</v>
      </c>
      <c r="I2151" s="69"/>
      <c r="J2151" s="24" t="s">
        <v>3158</v>
      </c>
      <c r="K2151" s="24" t="s">
        <v>43</v>
      </c>
      <c r="M2151" s="75" t="s">
        <v>15</v>
      </c>
      <c r="N2151" s="75"/>
      <c r="O2151" s="75"/>
      <c r="P2151" s="75"/>
      <c r="Q2151" s="75"/>
      <c r="R2151" s="75"/>
      <c r="Z2151" s="69"/>
      <c r="AA2151" s="69"/>
      <c r="AB2151" s="69"/>
      <c r="AC2151" s="69"/>
    </row>
    <row r="2152" spans="1:29" s="26" customFormat="1" x14ac:dyDescent="0.3">
      <c r="A2152" s="25" t="s">
        <v>8367</v>
      </c>
      <c r="B2152" s="25"/>
      <c r="C2152" s="26" t="s">
        <v>3005</v>
      </c>
      <c r="D2152" s="70"/>
      <c r="G2152" s="70" t="s">
        <v>1649</v>
      </c>
      <c r="H2152" s="26">
        <v>-1</v>
      </c>
      <c r="I2152" s="70" t="s">
        <v>3879</v>
      </c>
      <c r="J2152" s="26" t="s">
        <v>8368</v>
      </c>
      <c r="K2152" s="26" t="s">
        <v>8369</v>
      </c>
      <c r="L2152" s="26" t="s">
        <v>11009</v>
      </c>
      <c r="M2152" s="76"/>
      <c r="N2152" s="76"/>
      <c r="O2152" s="76"/>
      <c r="P2152" s="76"/>
      <c r="Q2152" s="76"/>
      <c r="R2152" s="76"/>
      <c r="Z2152" s="70"/>
      <c r="AA2152" s="70"/>
      <c r="AB2152" s="70"/>
      <c r="AC2152" s="70"/>
    </row>
    <row r="2153" spans="1:29" s="26" customFormat="1" x14ac:dyDescent="0.3">
      <c r="A2153" s="25" t="s">
        <v>8370</v>
      </c>
      <c r="B2153" s="25"/>
      <c r="C2153" s="26" t="s">
        <v>3005</v>
      </c>
      <c r="D2153" s="70"/>
      <c r="G2153" s="70" t="s">
        <v>1649</v>
      </c>
      <c r="H2153" s="26">
        <v>-1</v>
      </c>
      <c r="I2153" s="70" t="s">
        <v>7177</v>
      </c>
      <c r="J2153" s="26" t="s">
        <v>5283</v>
      </c>
      <c r="K2153" s="26" t="s">
        <v>8371</v>
      </c>
      <c r="L2153" s="26" t="s">
        <v>11010</v>
      </c>
      <c r="M2153" s="76"/>
      <c r="N2153" s="76"/>
      <c r="O2153" s="76"/>
      <c r="P2153" s="76"/>
      <c r="Q2153" s="76"/>
      <c r="R2153" s="76"/>
      <c r="Z2153" s="70"/>
      <c r="AA2153" s="70"/>
      <c r="AB2153" s="70"/>
      <c r="AC2153" s="70"/>
    </row>
    <row r="2154" spans="1:29" s="26" customFormat="1" x14ac:dyDescent="0.3">
      <c r="A2154" s="25" t="s">
        <v>8372</v>
      </c>
      <c r="B2154" s="25"/>
      <c r="C2154" s="26" t="s">
        <v>3005</v>
      </c>
      <c r="D2154" s="70"/>
      <c r="G2154" s="70" t="s">
        <v>1649</v>
      </c>
      <c r="H2154" s="26">
        <v>-1</v>
      </c>
      <c r="I2154" s="70" t="s">
        <v>8373</v>
      </c>
      <c r="J2154" s="26" t="s">
        <v>8374</v>
      </c>
      <c r="K2154" s="26" t="s">
        <v>8375</v>
      </c>
      <c r="L2154" s="26" t="s">
        <v>11011</v>
      </c>
      <c r="M2154" s="76"/>
      <c r="N2154" s="76"/>
      <c r="O2154" s="76"/>
      <c r="P2154" s="76"/>
      <c r="Q2154" s="76"/>
      <c r="R2154" s="76"/>
      <c r="Z2154" s="70"/>
      <c r="AA2154" s="70"/>
      <c r="AB2154" s="70"/>
      <c r="AC2154" s="70"/>
    </row>
    <row r="2155" spans="1:29" s="26" customFormat="1" x14ac:dyDescent="0.3">
      <c r="A2155" s="25" t="s">
        <v>8376</v>
      </c>
      <c r="B2155" s="25"/>
      <c r="C2155" s="26" t="s">
        <v>3005</v>
      </c>
      <c r="D2155" s="70"/>
      <c r="G2155" s="70" t="s">
        <v>1649</v>
      </c>
      <c r="H2155" s="26">
        <v>-1</v>
      </c>
      <c r="I2155" s="70" t="s">
        <v>8377</v>
      </c>
      <c r="J2155" s="26" t="s">
        <v>3447</v>
      </c>
      <c r="K2155" s="26" t="s">
        <v>8378</v>
      </c>
      <c r="L2155" s="26" t="s">
        <v>11012</v>
      </c>
      <c r="M2155" s="76"/>
      <c r="N2155" s="76"/>
      <c r="O2155" s="76"/>
      <c r="P2155" s="76"/>
      <c r="Q2155" s="76"/>
      <c r="R2155" s="76"/>
      <c r="Z2155" s="70"/>
      <c r="AA2155" s="70"/>
      <c r="AB2155" s="70"/>
      <c r="AC2155" s="70"/>
    </row>
    <row r="2156" spans="1:29" s="26" customFormat="1" x14ac:dyDescent="0.3">
      <c r="A2156" s="25" t="s">
        <v>8379</v>
      </c>
      <c r="B2156" s="25"/>
      <c r="C2156" s="26" t="s">
        <v>3005</v>
      </c>
      <c r="D2156" s="70"/>
      <c r="G2156" s="70" t="s">
        <v>1649</v>
      </c>
      <c r="H2156" s="26">
        <v>-1</v>
      </c>
      <c r="I2156" s="70" t="s">
        <v>8380</v>
      </c>
      <c r="J2156" s="26" t="s">
        <v>5242</v>
      </c>
      <c r="K2156" s="26" t="s">
        <v>8381</v>
      </c>
      <c r="L2156" s="26" t="s">
        <v>11013</v>
      </c>
      <c r="M2156" s="76"/>
      <c r="N2156" s="76"/>
      <c r="O2156" s="76"/>
      <c r="P2156" s="76"/>
      <c r="Q2156" s="76"/>
      <c r="R2156" s="76"/>
      <c r="Z2156" s="70"/>
      <c r="AA2156" s="70"/>
      <c r="AB2156" s="70"/>
      <c r="AC2156" s="70"/>
    </row>
    <row r="2157" spans="1:29" s="26" customFormat="1" x14ac:dyDescent="0.3">
      <c r="A2157" s="25" t="s">
        <v>8382</v>
      </c>
      <c r="B2157" s="25"/>
      <c r="C2157" s="26" t="s">
        <v>3005</v>
      </c>
      <c r="D2157" s="70"/>
      <c r="G2157" s="70" t="s">
        <v>1649</v>
      </c>
      <c r="H2157" s="26">
        <v>-1</v>
      </c>
      <c r="I2157" s="70" t="s">
        <v>8383</v>
      </c>
      <c r="J2157" s="26" t="s">
        <v>5800</v>
      </c>
      <c r="K2157" s="26" t="s">
        <v>5775</v>
      </c>
      <c r="L2157" s="26" t="s">
        <v>11014</v>
      </c>
      <c r="M2157" s="76"/>
      <c r="N2157" s="76"/>
      <c r="O2157" s="76"/>
      <c r="P2157" s="76"/>
      <c r="Q2157" s="76"/>
      <c r="R2157" s="76"/>
      <c r="Z2157" s="70"/>
      <c r="AA2157" s="70"/>
      <c r="AB2157" s="70"/>
      <c r="AC2157" s="70"/>
    </row>
    <row r="2158" spans="1:29" s="26" customFormat="1" x14ac:dyDescent="0.3">
      <c r="A2158" s="25" t="s">
        <v>8384</v>
      </c>
      <c r="B2158" s="25"/>
      <c r="C2158" s="26" t="s">
        <v>3005</v>
      </c>
      <c r="D2158" s="70"/>
      <c r="G2158" s="70" t="s">
        <v>1649</v>
      </c>
      <c r="H2158" s="26">
        <v>-1</v>
      </c>
      <c r="I2158" s="70" t="s">
        <v>6804</v>
      </c>
      <c r="J2158" s="26" t="s">
        <v>5246</v>
      </c>
      <c r="K2158" s="26" t="s">
        <v>5148</v>
      </c>
      <c r="L2158" s="26" t="s">
        <v>11015</v>
      </c>
      <c r="M2158" s="76"/>
      <c r="N2158" s="76"/>
      <c r="O2158" s="76"/>
      <c r="P2158" s="76"/>
      <c r="Q2158" s="76"/>
      <c r="R2158" s="76"/>
      <c r="Z2158" s="70"/>
      <c r="AA2158" s="70"/>
      <c r="AB2158" s="70"/>
      <c r="AC2158" s="70"/>
    </row>
    <row r="2159" spans="1:29" s="26" customFormat="1" x14ac:dyDescent="0.3">
      <c r="A2159" s="25" t="s">
        <v>8385</v>
      </c>
      <c r="B2159" s="25"/>
      <c r="C2159" s="26" t="s">
        <v>3005</v>
      </c>
      <c r="D2159" s="70"/>
      <c r="G2159" s="70" t="s">
        <v>1649</v>
      </c>
      <c r="H2159" s="26">
        <v>-1</v>
      </c>
      <c r="I2159" s="70" t="s">
        <v>8386</v>
      </c>
      <c r="J2159" s="26" t="s">
        <v>5250</v>
      </c>
      <c r="K2159" s="26" t="s">
        <v>8387</v>
      </c>
      <c r="L2159" s="26" t="s">
        <v>11016</v>
      </c>
      <c r="M2159" s="76"/>
      <c r="N2159" s="76"/>
      <c r="O2159" s="76"/>
      <c r="P2159" s="76"/>
      <c r="Q2159" s="76"/>
      <c r="R2159" s="76"/>
      <c r="Z2159" s="70"/>
      <c r="AA2159" s="70"/>
      <c r="AB2159" s="70"/>
      <c r="AC2159" s="70"/>
    </row>
    <row r="2160" spans="1:29" s="26" customFormat="1" x14ac:dyDescent="0.3">
      <c r="A2160" s="25" t="s">
        <v>8388</v>
      </c>
      <c r="B2160" s="25"/>
      <c r="C2160" s="26" t="s">
        <v>3005</v>
      </c>
      <c r="D2160" s="70"/>
      <c r="G2160" s="70" t="s">
        <v>1649</v>
      </c>
      <c r="H2160" s="26">
        <v>-1</v>
      </c>
      <c r="I2160" s="70" t="s">
        <v>8389</v>
      </c>
      <c r="J2160" s="26" t="s">
        <v>8390</v>
      </c>
      <c r="K2160" s="26" t="s">
        <v>8391</v>
      </c>
      <c r="L2160" s="26" t="s">
        <v>11017</v>
      </c>
      <c r="M2160" s="76"/>
      <c r="N2160" s="76"/>
      <c r="O2160" s="76"/>
      <c r="P2160" s="76"/>
      <c r="Q2160" s="76"/>
      <c r="R2160" s="76"/>
      <c r="Z2160" s="70"/>
      <c r="AA2160" s="70"/>
      <c r="AB2160" s="70"/>
      <c r="AC2160" s="70"/>
    </row>
    <row r="2161" spans="1:29" s="26" customFormat="1" x14ac:dyDescent="0.3">
      <c r="A2161" s="25" t="s">
        <v>8392</v>
      </c>
      <c r="B2161" s="25"/>
      <c r="C2161" s="26" t="s">
        <v>3005</v>
      </c>
      <c r="D2161" s="70"/>
      <c r="G2161" s="70" t="s">
        <v>1649</v>
      </c>
      <c r="H2161" s="26">
        <v>-1</v>
      </c>
      <c r="I2161" s="70" t="s">
        <v>8393</v>
      </c>
      <c r="J2161" s="26" t="s">
        <v>8390</v>
      </c>
      <c r="K2161" s="26" t="s">
        <v>8394</v>
      </c>
      <c r="L2161" s="26" t="s">
        <v>11018</v>
      </c>
      <c r="M2161" s="76"/>
      <c r="N2161" s="76"/>
      <c r="O2161" s="76"/>
      <c r="P2161" s="76"/>
      <c r="Q2161" s="76"/>
      <c r="R2161" s="76"/>
      <c r="Z2161" s="70"/>
      <c r="AA2161" s="70"/>
      <c r="AB2161" s="70"/>
      <c r="AC2161" s="70"/>
    </row>
    <row r="2162" spans="1:29" s="26" customFormat="1" x14ac:dyDescent="0.3">
      <c r="A2162" s="25" t="s">
        <v>8395</v>
      </c>
      <c r="B2162" s="25"/>
      <c r="C2162" s="26" t="s">
        <v>3005</v>
      </c>
      <c r="D2162" s="70"/>
      <c r="G2162" s="70" t="s">
        <v>1649</v>
      </c>
      <c r="H2162" s="26">
        <v>-1</v>
      </c>
      <c r="I2162" s="70" t="s">
        <v>8396</v>
      </c>
      <c r="J2162" s="26" t="s">
        <v>5280</v>
      </c>
      <c r="K2162" s="26" t="s">
        <v>8397</v>
      </c>
      <c r="L2162" s="26" t="s">
        <v>8397</v>
      </c>
      <c r="M2162" s="76"/>
      <c r="N2162" s="76"/>
      <c r="O2162" s="76"/>
      <c r="P2162" s="76"/>
      <c r="Q2162" s="76"/>
      <c r="R2162" s="76"/>
      <c r="Z2162" s="70"/>
      <c r="AA2162" s="70"/>
      <c r="AB2162" s="70"/>
      <c r="AC2162" s="70"/>
    </row>
    <row r="2163" spans="1:29" s="26" customFormat="1" x14ac:dyDescent="0.3">
      <c r="A2163" s="25" t="s">
        <v>8398</v>
      </c>
      <c r="B2163" s="25"/>
      <c r="C2163" s="26" t="s">
        <v>3005</v>
      </c>
      <c r="D2163" s="70"/>
      <c r="G2163" s="70" t="s">
        <v>1649</v>
      </c>
      <c r="H2163" s="26">
        <v>-1</v>
      </c>
      <c r="I2163" s="70" t="s">
        <v>3151</v>
      </c>
      <c r="J2163" s="26" t="s">
        <v>5425</v>
      </c>
      <c r="K2163" s="26" t="s">
        <v>8399</v>
      </c>
      <c r="L2163" s="26" t="s">
        <v>11019</v>
      </c>
      <c r="M2163" s="76"/>
      <c r="N2163" s="76"/>
      <c r="O2163" s="76"/>
      <c r="P2163" s="76"/>
      <c r="Q2163" s="76"/>
      <c r="R2163" s="76"/>
      <c r="Z2163" s="70"/>
      <c r="AA2163" s="70"/>
      <c r="AB2163" s="70"/>
      <c r="AC2163" s="70"/>
    </row>
    <row r="2164" spans="1:29" s="26" customFormat="1" x14ac:dyDescent="0.3">
      <c r="A2164" s="25" t="s">
        <v>8400</v>
      </c>
      <c r="B2164" s="25"/>
      <c r="C2164" s="26" t="s">
        <v>3005</v>
      </c>
      <c r="D2164" s="70"/>
      <c r="G2164" s="70" t="s">
        <v>1649</v>
      </c>
      <c r="H2164" s="26">
        <v>2</v>
      </c>
      <c r="I2164" s="70" t="s">
        <v>6820</v>
      </c>
      <c r="J2164" s="26" t="s">
        <v>3158</v>
      </c>
      <c r="K2164" s="26" t="s">
        <v>8401</v>
      </c>
      <c r="L2164" s="26" t="s">
        <v>11020</v>
      </c>
      <c r="M2164" s="76"/>
      <c r="N2164" s="76"/>
      <c r="O2164" s="76"/>
      <c r="P2164" s="76"/>
      <c r="Q2164" s="76"/>
      <c r="R2164" s="76"/>
      <c r="Z2164" s="70"/>
      <c r="AA2164" s="70"/>
      <c r="AB2164" s="70"/>
      <c r="AC2164" s="70"/>
    </row>
    <row r="2165" spans="1:29" s="24" customFormat="1" x14ac:dyDescent="0.3">
      <c r="A2165" s="23">
        <v>566</v>
      </c>
      <c r="B2165" s="23">
        <v>561</v>
      </c>
      <c r="C2165" s="24" t="s">
        <v>2165</v>
      </c>
      <c r="D2165" s="69" t="s">
        <v>1647</v>
      </c>
      <c r="E2165" s="24" t="s">
        <v>1646</v>
      </c>
      <c r="F2165" s="24" t="s">
        <v>1650</v>
      </c>
      <c r="G2165" s="69" t="s">
        <v>1651</v>
      </c>
      <c r="H2165" s="24">
        <v>1</v>
      </c>
      <c r="I2165" s="69"/>
      <c r="J2165" s="24" t="s">
        <v>5616</v>
      </c>
      <c r="K2165" s="24" t="s">
        <v>1652</v>
      </c>
      <c r="L2165" s="24" t="s">
        <v>9891</v>
      </c>
      <c r="M2165" s="75" t="s">
        <v>15</v>
      </c>
      <c r="N2165" s="75"/>
      <c r="O2165" s="75"/>
      <c r="P2165" s="75"/>
      <c r="Q2165" s="75"/>
      <c r="R2165" s="75"/>
      <c r="V2165" s="24" t="s">
        <v>2885</v>
      </c>
      <c r="Z2165" s="69"/>
      <c r="AA2165" s="69"/>
      <c r="AB2165" s="69"/>
      <c r="AC2165" s="69"/>
    </row>
    <row r="2166" spans="1:29" s="26" customFormat="1" x14ac:dyDescent="0.3">
      <c r="A2166" s="25" t="s">
        <v>8402</v>
      </c>
      <c r="B2166" s="25"/>
      <c r="C2166" s="26" t="s">
        <v>3005</v>
      </c>
      <c r="D2166" s="70"/>
      <c r="G2166" s="70" t="s">
        <v>1651</v>
      </c>
      <c r="H2166" s="26">
        <v>-1</v>
      </c>
      <c r="I2166" s="70" t="s">
        <v>3576</v>
      </c>
      <c r="J2166" s="26" t="s">
        <v>5616</v>
      </c>
      <c r="K2166" s="26" t="s">
        <v>8403</v>
      </c>
      <c r="M2166" s="76"/>
      <c r="N2166" s="76"/>
      <c r="O2166" s="76"/>
      <c r="P2166" s="76"/>
      <c r="Q2166" s="76"/>
      <c r="R2166" s="76"/>
      <c r="Z2166" s="70"/>
      <c r="AA2166" s="70"/>
      <c r="AB2166" s="70"/>
      <c r="AC2166" s="70"/>
    </row>
    <row r="2167" spans="1:29" s="26" customFormat="1" x14ac:dyDescent="0.3">
      <c r="A2167" s="25" t="s">
        <v>8404</v>
      </c>
      <c r="B2167" s="25"/>
      <c r="C2167" s="26" t="s">
        <v>3005</v>
      </c>
      <c r="D2167" s="70"/>
      <c r="G2167" s="70" t="s">
        <v>1651</v>
      </c>
      <c r="H2167" s="26">
        <v>3</v>
      </c>
      <c r="I2167" s="70" t="s">
        <v>8405</v>
      </c>
      <c r="J2167" s="26" t="s">
        <v>6913</v>
      </c>
      <c r="K2167" s="26" t="s">
        <v>5764</v>
      </c>
      <c r="M2167" s="76"/>
      <c r="N2167" s="76"/>
      <c r="O2167" s="76"/>
      <c r="P2167" s="76"/>
      <c r="Q2167" s="76"/>
      <c r="R2167" s="76"/>
      <c r="Z2167" s="70"/>
      <c r="AA2167" s="70"/>
      <c r="AB2167" s="70"/>
      <c r="AC2167" s="70"/>
    </row>
    <row r="2168" spans="1:29" s="24" customFormat="1" x14ac:dyDescent="0.3">
      <c r="A2168" s="23">
        <v>567</v>
      </c>
      <c r="B2168" s="23">
        <v>562</v>
      </c>
      <c r="C2168" s="24" t="s">
        <v>2165</v>
      </c>
      <c r="D2168" s="69" t="s">
        <v>1647</v>
      </c>
      <c r="E2168" s="24" t="s">
        <v>1646</v>
      </c>
      <c r="F2168" s="24" t="s">
        <v>1653</v>
      </c>
      <c r="G2168" s="69" t="s">
        <v>1654</v>
      </c>
      <c r="I2168" s="69"/>
      <c r="J2168" s="24" t="s">
        <v>7861</v>
      </c>
      <c r="K2168" s="24" t="s">
        <v>68</v>
      </c>
      <c r="L2168" s="24" t="s">
        <v>9833</v>
      </c>
      <c r="M2168" s="75" t="s">
        <v>65</v>
      </c>
      <c r="N2168" s="75" t="s">
        <v>2025</v>
      </c>
      <c r="O2168" s="75" t="s">
        <v>58</v>
      </c>
      <c r="P2168" s="75" t="s">
        <v>58</v>
      </c>
      <c r="Q2168" s="75" t="s">
        <v>66</v>
      </c>
      <c r="R2168" s="75"/>
      <c r="Z2168" s="69" t="s">
        <v>2886</v>
      </c>
      <c r="AA2168" s="69"/>
      <c r="AB2168" s="69" t="s">
        <v>2886</v>
      </c>
      <c r="AC2168" s="69" t="s">
        <v>11425</v>
      </c>
    </row>
    <row r="2169" spans="1:29" s="24" customFormat="1" x14ac:dyDescent="0.3">
      <c r="A2169" s="23">
        <v>568</v>
      </c>
      <c r="B2169" s="23">
        <v>563</v>
      </c>
      <c r="C2169" s="24" t="s">
        <v>2165</v>
      </c>
      <c r="D2169" s="69" t="s">
        <v>1647</v>
      </c>
      <c r="E2169" s="24" t="s">
        <v>1646</v>
      </c>
      <c r="F2169" s="24" t="s">
        <v>1655</v>
      </c>
      <c r="G2169" s="69" t="s">
        <v>1656</v>
      </c>
      <c r="H2169" s="24">
        <v>3</v>
      </c>
      <c r="I2169" s="69"/>
      <c r="J2169" s="24" t="s">
        <v>3174</v>
      </c>
      <c r="K2169" s="24" t="s">
        <v>68</v>
      </c>
      <c r="M2169" s="75" t="s">
        <v>732</v>
      </c>
      <c r="N2169" s="75"/>
      <c r="O2169" s="75"/>
      <c r="P2169" s="75"/>
      <c r="Q2169" s="75"/>
      <c r="R2169" s="75"/>
      <c r="Z2169" s="69"/>
      <c r="AA2169" s="69"/>
      <c r="AB2169" s="69"/>
      <c r="AC2169" s="69"/>
    </row>
    <row r="2170" spans="1:29" s="26" customFormat="1" x14ac:dyDescent="0.3">
      <c r="A2170" s="25" t="s">
        <v>8406</v>
      </c>
      <c r="B2170" s="25"/>
      <c r="C2170" s="26" t="s">
        <v>3005</v>
      </c>
      <c r="D2170" s="70"/>
      <c r="G2170" s="70" t="s">
        <v>1656</v>
      </c>
      <c r="H2170" s="26">
        <v>2</v>
      </c>
      <c r="I2170" s="70" t="s">
        <v>8407</v>
      </c>
      <c r="J2170" s="26" t="s">
        <v>3174</v>
      </c>
      <c r="K2170" s="26" t="s">
        <v>5976</v>
      </c>
      <c r="L2170" s="26" t="s">
        <v>9989</v>
      </c>
      <c r="M2170" s="76"/>
      <c r="N2170" s="76"/>
      <c r="O2170" s="76"/>
      <c r="P2170" s="76"/>
      <c r="Q2170" s="76"/>
      <c r="R2170" s="76"/>
      <c r="Z2170" s="70"/>
      <c r="AA2170" s="70"/>
      <c r="AB2170" s="70"/>
      <c r="AC2170" s="70"/>
    </row>
    <row r="2171" spans="1:29" s="26" customFormat="1" x14ac:dyDescent="0.3">
      <c r="A2171" s="25" t="s">
        <v>8408</v>
      </c>
      <c r="B2171" s="25"/>
      <c r="C2171" s="26" t="s">
        <v>3005</v>
      </c>
      <c r="D2171" s="70"/>
      <c r="G2171" s="70" t="s">
        <v>1656</v>
      </c>
      <c r="H2171" s="26">
        <v>2</v>
      </c>
      <c r="I2171" s="70" t="s">
        <v>8409</v>
      </c>
      <c r="J2171" s="26" t="s">
        <v>8410</v>
      </c>
      <c r="K2171" s="26" t="s">
        <v>3912</v>
      </c>
      <c r="L2171" s="26" t="s">
        <v>11021</v>
      </c>
      <c r="M2171" s="76"/>
      <c r="N2171" s="76"/>
      <c r="O2171" s="76"/>
      <c r="P2171" s="76"/>
      <c r="Q2171" s="76"/>
      <c r="R2171" s="76"/>
      <c r="Z2171" s="70"/>
      <c r="AA2171" s="70"/>
      <c r="AB2171" s="70"/>
      <c r="AC2171" s="70"/>
    </row>
    <row r="2172" spans="1:29" s="26" customFormat="1" x14ac:dyDescent="0.3">
      <c r="A2172" s="25" t="s">
        <v>8411</v>
      </c>
      <c r="B2172" s="25"/>
      <c r="C2172" s="26" t="s">
        <v>3005</v>
      </c>
      <c r="D2172" s="70"/>
      <c r="G2172" s="70" t="s">
        <v>1656</v>
      </c>
      <c r="H2172" s="26">
        <v>3</v>
      </c>
      <c r="I2172" s="70" t="s">
        <v>8412</v>
      </c>
      <c r="J2172" s="26" t="s">
        <v>5475</v>
      </c>
      <c r="K2172" s="26" t="s">
        <v>6043</v>
      </c>
      <c r="L2172" s="26" t="s">
        <v>9831</v>
      </c>
      <c r="M2172" s="76"/>
      <c r="N2172" s="76"/>
      <c r="O2172" s="76"/>
      <c r="P2172" s="76"/>
      <c r="Q2172" s="76"/>
      <c r="R2172" s="76"/>
      <c r="Z2172" s="70"/>
      <c r="AA2172" s="70"/>
      <c r="AB2172" s="70"/>
      <c r="AC2172" s="70"/>
    </row>
    <row r="2173" spans="1:29" s="24" customFormat="1" x14ac:dyDescent="0.3">
      <c r="A2173" s="23">
        <v>569</v>
      </c>
      <c r="B2173" s="23">
        <v>564</v>
      </c>
      <c r="C2173" s="24" t="s">
        <v>2165</v>
      </c>
      <c r="D2173" s="69" t="s">
        <v>1647</v>
      </c>
      <c r="E2173" s="24" t="s">
        <v>1646</v>
      </c>
      <c r="F2173" s="24" t="s">
        <v>1657</v>
      </c>
      <c r="G2173" s="69" t="s">
        <v>1658</v>
      </c>
      <c r="H2173" s="24">
        <v>1</v>
      </c>
      <c r="I2173" s="69"/>
      <c r="J2173" s="24" t="s">
        <v>3110</v>
      </c>
      <c r="K2173" s="24" t="s">
        <v>43</v>
      </c>
      <c r="M2173" s="75" t="s">
        <v>15</v>
      </c>
      <c r="N2173" s="75"/>
      <c r="O2173" s="75"/>
      <c r="P2173" s="75"/>
      <c r="Q2173" s="75" t="s">
        <v>66</v>
      </c>
      <c r="R2173" s="75"/>
      <c r="V2173" s="24" t="s">
        <v>2887</v>
      </c>
      <c r="Z2173" s="69"/>
      <c r="AA2173" s="69"/>
      <c r="AB2173" s="69"/>
      <c r="AC2173" s="69"/>
    </row>
    <row r="2174" spans="1:29" s="26" customFormat="1" x14ac:dyDescent="0.3">
      <c r="A2174" s="25" t="s">
        <v>8413</v>
      </c>
      <c r="B2174" s="25"/>
      <c r="C2174" s="26" t="s">
        <v>3005</v>
      </c>
      <c r="D2174" s="70"/>
      <c r="G2174" s="70" t="s">
        <v>1658</v>
      </c>
      <c r="H2174" s="26">
        <v>-1</v>
      </c>
      <c r="I2174" s="70" t="s">
        <v>5400</v>
      </c>
      <c r="J2174" s="26" t="s">
        <v>6764</v>
      </c>
      <c r="K2174" s="26" t="s">
        <v>8414</v>
      </c>
      <c r="L2174" s="26" t="s">
        <v>11022</v>
      </c>
      <c r="M2174" s="76"/>
      <c r="N2174" s="76"/>
      <c r="O2174" s="76"/>
      <c r="P2174" s="76"/>
      <c r="Q2174" s="76"/>
      <c r="R2174" s="76"/>
      <c r="Z2174" s="70"/>
      <c r="AA2174" s="70"/>
      <c r="AB2174" s="70"/>
      <c r="AC2174" s="70"/>
    </row>
    <row r="2175" spans="1:29" s="26" customFormat="1" x14ac:dyDescent="0.3">
      <c r="A2175" s="25" t="s">
        <v>8415</v>
      </c>
      <c r="B2175" s="25"/>
      <c r="C2175" s="26" t="s">
        <v>3005</v>
      </c>
      <c r="D2175" s="70"/>
      <c r="G2175" s="70" t="s">
        <v>1658</v>
      </c>
      <c r="H2175" s="26">
        <v>-1</v>
      </c>
      <c r="I2175" s="70" t="s">
        <v>3546</v>
      </c>
      <c r="J2175" s="26" t="s">
        <v>8416</v>
      </c>
      <c r="K2175" s="26" t="s">
        <v>8417</v>
      </c>
      <c r="L2175" s="26" t="s">
        <v>11023</v>
      </c>
      <c r="M2175" s="76"/>
      <c r="N2175" s="76"/>
      <c r="O2175" s="76"/>
      <c r="P2175" s="76"/>
      <c r="Q2175" s="76"/>
      <c r="R2175" s="76"/>
      <c r="Z2175" s="70"/>
      <c r="AA2175" s="70"/>
      <c r="AB2175" s="70"/>
      <c r="AC2175" s="70"/>
    </row>
    <row r="2176" spans="1:29" s="26" customFormat="1" x14ac:dyDescent="0.3">
      <c r="A2176" s="25" t="s">
        <v>8418</v>
      </c>
      <c r="B2176" s="25"/>
      <c r="C2176" s="26" t="s">
        <v>3005</v>
      </c>
      <c r="D2176" s="70"/>
      <c r="G2176" s="70" t="s">
        <v>1658</v>
      </c>
      <c r="H2176" s="26">
        <v>-1</v>
      </c>
      <c r="I2176" s="70" t="s">
        <v>3814</v>
      </c>
      <c r="J2176" s="26" t="s">
        <v>7178</v>
      </c>
      <c r="K2176" s="26" t="s">
        <v>8419</v>
      </c>
      <c r="L2176" s="26" t="s">
        <v>10085</v>
      </c>
      <c r="M2176" s="76"/>
      <c r="N2176" s="76"/>
      <c r="O2176" s="76"/>
      <c r="P2176" s="76"/>
      <c r="Q2176" s="76"/>
      <c r="R2176" s="76"/>
      <c r="Z2176" s="70"/>
      <c r="AA2176" s="70"/>
      <c r="AB2176" s="70"/>
      <c r="AC2176" s="70"/>
    </row>
    <row r="2177" spans="1:30" s="26" customFormat="1" x14ac:dyDescent="0.3">
      <c r="A2177" s="25" t="s">
        <v>8420</v>
      </c>
      <c r="B2177" s="25"/>
      <c r="C2177" s="26" t="s">
        <v>3005</v>
      </c>
      <c r="D2177" s="70"/>
      <c r="G2177" s="70" t="s">
        <v>1658</v>
      </c>
      <c r="H2177" s="26">
        <v>-1</v>
      </c>
      <c r="I2177" s="70" t="s">
        <v>8421</v>
      </c>
      <c r="J2177" s="26" t="s">
        <v>3110</v>
      </c>
      <c r="K2177" s="26" t="s">
        <v>8422</v>
      </c>
      <c r="L2177" s="26" t="s">
        <v>11024</v>
      </c>
      <c r="M2177" s="76"/>
      <c r="N2177" s="76"/>
      <c r="O2177" s="76"/>
      <c r="P2177" s="76"/>
      <c r="Q2177" s="76"/>
      <c r="R2177" s="76"/>
      <c r="Z2177" s="70"/>
      <c r="AA2177" s="70"/>
      <c r="AB2177" s="70"/>
      <c r="AC2177" s="70"/>
    </row>
    <row r="2178" spans="1:30" s="26" customFormat="1" x14ac:dyDescent="0.3">
      <c r="A2178" s="25" t="s">
        <v>8423</v>
      </c>
      <c r="B2178" s="25"/>
      <c r="C2178" s="26" t="s">
        <v>3005</v>
      </c>
      <c r="D2178" s="70"/>
      <c r="G2178" s="70" t="s">
        <v>1658</v>
      </c>
      <c r="H2178" s="26">
        <v>-1</v>
      </c>
      <c r="I2178" s="70" t="s">
        <v>8424</v>
      </c>
      <c r="J2178" s="26" t="s">
        <v>8425</v>
      </c>
      <c r="K2178" s="26" t="s">
        <v>8426</v>
      </c>
      <c r="L2178" s="26" t="s">
        <v>11025</v>
      </c>
      <c r="M2178" s="76"/>
      <c r="N2178" s="76"/>
      <c r="O2178" s="76"/>
      <c r="P2178" s="76"/>
      <c r="Q2178" s="76"/>
      <c r="R2178" s="76"/>
      <c r="Z2178" s="70"/>
      <c r="AA2178" s="70"/>
      <c r="AB2178" s="70"/>
      <c r="AC2178" s="70"/>
    </row>
    <row r="2179" spans="1:30" s="26" customFormat="1" x14ac:dyDescent="0.3">
      <c r="A2179" s="25" t="s">
        <v>8427</v>
      </c>
      <c r="B2179" s="25"/>
      <c r="C2179" s="26" t="s">
        <v>3005</v>
      </c>
      <c r="D2179" s="70"/>
      <c r="G2179" s="70" t="s">
        <v>1658</v>
      </c>
      <c r="H2179" s="26">
        <v>3</v>
      </c>
      <c r="I2179" s="70" t="s">
        <v>3694</v>
      </c>
      <c r="J2179" s="26" t="s">
        <v>8428</v>
      </c>
      <c r="K2179" s="26" t="s">
        <v>6291</v>
      </c>
      <c r="L2179" s="26" t="s">
        <v>9788</v>
      </c>
      <c r="M2179" s="76"/>
      <c r="N2179" s="76"/>
      <c r="O2179" s="76"/>
      <c r="P2179" s="76"/>
      <c r="Q2179" s="76"/>
      <c r="R2179" s="76"/>
      <c r="Z2179" s="70"/>
      <c r="AA2179" s="70"/>
      <c r="AB2179" s="70"/>
      <c r="AC2179" s="70"/>
    </row>
    <row r="2180" spans="1:30" s="26" customFormat="1" x14ac:dyDescent="0.3">
      <c r="A2180" s="25" t="s">
        <v>8429</v>
      </c>
      <c r="B2180" s="25"/>
      <c r="C2180" s="26" t="s">
        <v>3005</v>
      </c>
      <c r="D2180" s="70"/>
      <c r="G2180" s="70" t="s">
        <v>1658</v>
      </c>
      <c r="H2180" s="26">
        <v>-1</v>
      </c>
      <c r="I2180" s="70" t="s">
        <v>8430</v>
      </c>
      <c r="J2180" s="26" t="s">
        <v>5328</v>
      </c>
      <c r="K2180" s="26" t="s">
        <v>4302</v>
      </c>
      <c r="L2180" s="26" t="s">
        <v>11026</v>
      </c>
      <c r="M2180" s="76"/>
      <c r="N2180" s="76"/>
      <c r="O2180" s="76"/>
      <c r="P2180" s="76"/>
      <c r="Q2180" s="76"/>
      <c r="R2180" s="76"/>
      <c r="Z2180" s="70"/>
      <c r="AA2180" s="70"/>
      <c r="AB2180" s="70"/>
      <c r="AC2180" s="70"/>
    </row>
    <row r="2181" spans="1:30" s="24" customFormat="1" x14ac:dyDescent="0.3">
      <c r="A2181" s="23">
        <v>570</v>
      </c>
      <c r="B2181" s="23">
        <v>565</v>
      </c>
      <c r="C2181" s="24" t="s">
        <v>2165</v>
      </c>
      <c r="D2181" s="69" t="s">
        <v>1647</v>
      </c>
      <c r="E2181" s="24" t="s">
        <v>1646</v>
      </c>
      <c r="F2181" s="24" t="s">
        <v>1659</v>
      </c>
      <c r="G2181" s="69" t="s">
        <v>1660</v>
      </c>
      <c r="I2181" s="69"/>
      <c r="J2181" s="24" t="s">
        <v>3016</v>
      </c>
      <c r="K2181" s="24" t="s">
        <v>1661</v>
      </c>
      <c r="M2181" s="75" t="s">
        <v>107</v>
      </c>
      <c r="N2181" s="75"/>
      <c r="O2181" s="75"/>
      <c r="P2181" s="75"/>
      <c r="Q2181" s="75"/>
      <c r="R2181" s="75"/>
      <c r="Z2181" s="69"/>
      <c r="AA2181" s="69"/>
      <c r="AB2181" s="69"/>
      <c r="AC2181" s="69"/>
      <c r="AD2181" s="24" t="s">
        <v>1662</v>
      </c>
    </row>
    <row r="2182" spans="1:30" s="26" customFormat="1" x14ac:dyDescent="0.3">
      <c r="A2182" s="25" t="s">
        <v>8431</v>
      </c>
      <c r="B2182" s="25"/>
      <c r="C2182" s="26" t="s">
        <v>3005</v>
      </c>
      <c r="D2182" s="70"/>
      <c r="G2182" s="70" t="s">
        <v>1660</v>
      </c>
      <c r="H2182" s="26">
        <v>-1</v>
      </c>
      <c r="I2182" s="70" t="s">
        <v>8432</v>
      </c>
      <c r="J2182" s="26" t="s">
        <v>3016</v>
      </c>
      <c r="K2182" s="26" t="s">
        <v>8433</v>
      </c>
      <c r="L2182" s="26" t="s">
        <v>11027</v>
      </c>
      <c r="M2182" s="76"/>
      <c r="N2182" s="76"/>
      <c r="O2182" s="76"/>
      <c r="P2182" s="76"/>
      <c r="Q2182" s="76"/>
      <c r="R2182" s="76"/>
      <c r="Z2182" s="70"/>
      <c r="AA2182" s="70"/>
      <c r="AB2182" s="70"/>
      <c r="AC2182" s="70"/>
    </row>
    <row r="2183" spans="1:30" s="26" customFormat="1" x14ac:dyDescent="0.3">
      <c r="A2183" s="25" t="s">
        <v>8434</v>
      </c>
      <c r="B2183" s="25"/>
      <c r="C2183" s="26" t="s">
        <v>3005</v>
      </c>
      <c r="D2183" s="70"/>
      <c r="G2183" s="70" t="s">
        <v>1660</v>
      </c>
      <c r="H2183" s="26">
        <v>-1</v>
      </c>
      <c r="I2183" s="70" t="s">
        <v>8435</v>
      </c>
      <c r="J2183" s="26" t="s">
        <v>3907</v>
      </c>
      <c r="K2183" s="26" t="s">
        <v>8436</v>
      </c>
      <c r="L2183" s="26" t="s">
        <v>10062</v>
      </c>
      <c r="M2183" s="76"/>
      <c r="N2183" s="76"/>
      <c r="O2183" s="76"/>
      <c r="P2183" s="76"/>
      <c r="Q2183" s="76"/>
      <c r="R2183" s="76"/>
      <c r="Z2183" s="70"/>
      <c r="AA2183" s="70"/>
      <c r="AB2183" s="70"/>
      <c r="AC2183" s="70"/>
    </row>
    <row r="2184" spans="1:30" s="26" customFormat="1" x14ac:dyDescent="0.3">
      <c r="A2184" s="25" t="s">
        <v>8437</v>
      </c>
      <c r="B2184" s="25"/>
      <c r="C2184" s="26" t="s">
        <v>3005</v>
      </c>
      <c r="D2184" s="70"/>
      <c r="G2184" s="70" t="s">
        <v>1660</v>
      </c>
      <c r="H2184" s="26">
        <v>-1</v>
      </c>
      <c r="I2184" s="70" t="s">
        <v>3957</v>
      </c>
      <c r="J2184" s="26" t="s">
        <v>8438</v>
      </c>
      <c r="K2184" s="26" t="s">
        <v>3757</v>
      </c>
      <c r="L2184" s="26" t="s">
        <v>3757</v>
      </c>
      <c r="M2184" s="76"/>
      <c r="N2184" s="76"/>
      <c r="O2184" s="76"/>
      <c r="P2184" s="76"/>
      <c r="Q2184" s="76"/>
      <c r="R2184" s="76"/>
      <c r="Z2184" s="70"/>
      <c r="AA2184" s="70"/>
      <c r="AB2184" s="70"/>
      <c r="AC2184" s="70"/>
    </row>
    <row r="2185" spans="1:30" s="24" customFormat="1" x14ac:dyDescent="0.3">
      <c r="A2185" s="23">
        <v>571</v>
      </c>
      <c r="B2185" s="23">
        <v>566</v>
      </c>
      <c r="C2185" s="24" t="s">
        <v>2165</v>
      </c>
      <c r="D2185" s="69" t="s">
        <v>1647</v>
      </c>
      <c r="E2185" s="24" t="s">
        <v>1646</v>
      </c>
      <c r="F2185" s="24" t="s">
        <v>1663</v>
      </c>
      <c r="G2185" s="69" t="s">
        <v>1664</v>
      </c>
      <c r="I2185" s="69"/>
      <c r="J2185" s="24" t="s">
        <v>3092</v>
      </c>
      <c r="K2185" s="24" t="s">
        <v>1665</v>
      </c>
      <c r="L2185" s="24" t="s">
        <v>9892</v>
      </c>
      <c r="M2185" s="75" t="s">
        <v>19</v>
      </c>
      <c r="N2185" s="75"/>
      <c r="O2185" s="75"/>
      <c r="P2185" s="75"/>
      <c r="Q2185" s="75"/>
      <c r="R2185" s="75" t="s">
        <v>2166</v>
      </c>
      <c r="V2185" s="24" t="s">
        <v>2888</v>
      </c>
      <c r="Z2185" s="69"/>
      <c r="AA2185" s="69"/>
      <c r="AB2185" s="69"/>
      <c r="AC2185" s="69" t="s">
        <v>11426</v>
      </c>
    </row>
    <row r="2186" spans="1:30" s="24" customFormat="1" x14ac:dyDescent="0.3">
      <c r="A2186" s="23">
        <v>572</v>
      </c>
      <c r="B2186" s="23">
        <v>567</v>
      </c>
      <c r="C2186" s="24" t="s">
        <v>2165</v>
      </c>
      <c r="D2186" s="69" t="s">
        <v>1647</v>
      </c>
      <c r="E2186" s="24" t="s">
        <v>1646</v>
      </c>
      <c r="F2186" s="24" t="s">
        <v>1666</v>
      </c>
      <c r="G2186" s="69" t="s">
        <v>1667</v>
      </c>
      <c r="I2186" s="69"/>
      <c r="J2186" s="24" t="s">
        <v>8439</v>
      </c>
      <c r="K2186" s="24" t="s">
        <v>1668</v>
      </c>
      <c r="L2186" s="24" t="s">
        <v>9893</v>
      </c>
      <c r="M2186" s="75" t="s">
        <v>19</v>
      </c>
      <c r="N2186" s="75"/>
      <c r="O2186" s="75"/>
      <c r="P2186" s="75"/>
      <c r="Q2186" s="75"/>
      <c r="R2186" s="75" t="s">
        <v>2166</v>
      </c>
      <c r="U2186" s="24" t="s">
        <v>2185</v>
      </c>
      <c r="V2186" s="24" t="s">
        <v>2889</v>
      </c>
      <c r="Z2186" s="69"/>
      <c r="AA2186" s="69"/>
      <c r="AB2186" s="69"/>
      <c r="AC2186" s="69" t="s">
        <v>11427</v>
      </c>
    </row>
    <row r="2187" spans="1:30" s="24" customFormat="1" x14ac:dyDescent="0.3">
      <c r="A2187" s="23">
        <v>573</v>
      </c>
      <c r="B2187" s="23">
        <v>568</v>
      </c>
      <c r="C2187" s="24" t="s">
        <v>2165</v>
      </c>
      <c r="D2187" s="69" t="s">
        <v>1647</v>
      </c>
      <c r="E2187" s="24" t="s">
        <v>1646</v>
      </c>
      <c r="F2187" s="24" t="s">
        <v>1669</v>
      </c>
      <c r="G2187" s="69" t="s">
        <v>1670</v>
      </c>
      <c r="I2187" s="69"/>
      <c r="J2187" s="24" t="s">
        <v>4136</v>
      </c>
      <c r="K2187" s="24" t="s">
        <v>1671</v>
      </c>
      <c r="L2187" s="24" t="s">
        <v>9894</v>
      </c>
      <c r="M2187" s="75" t="s">
        <v>19</v>
      </c>
      <c r="N2187" s="75"/>
      <c r="O2187" s="75"/>
      <c r="P2187" s="75"/>
      <c r="Q2187" s="75"/>
      <c r="R2187" s="75" t="s">
        <v>2166</v>
      </c>
      <c r="U2187" s="24" t="s">
        <v>2209</v>
      </c>
      <c r="V2187" s="24" t="s">
        <v>2171</v>
      </c>
      <c r="Y2187" s="24" t="s">
        <v>2890</v>
      </c>
      <c r="Z2187" s="69"/>
      <c r="AA2187" s="69"/>
      <c r="AB2187" s="69"/>
      <c r="AC2187" s="69"/>
      <c r="AD2187" s="24" t="s">
        <v>11347</v>
      </c>
    </row>
    <row r="2188" spans="1:30" s="24" customFormat="1" x14ac:dyDescent="0.3">
      <c r="A2188" s="23">
        <v>574</v>
      </c>
      <c r="B2188" s="23">
        <v>569</v>
      </c>
      <c r="C2188" s="24" t="s">
        <v>2165</v>
      </c>
      <c r="D2188" s="69" t="s">
        <v>1647</v>
      </c>
      <c r="E2188" s="24" t="s">
        <v>1646</v>
      </c>
      <c r="F2188" s="24" t="s">
        <v>1672</v>
      </c>
      <c r="G2188" s="69" t="s">
        <v>1673</v>
      </c>
      <c r="I2188" s="69"/>
      <c r="J2188" s="24" t="s">
        <v>6862</v>
      </c>
      <c r="K2188" s="24" t="s">
        <v>1674</v>
      </c>
      <c r="L2188" s="24" t="s">
        <v>9895</v>
      </c>
      <c r="M2188" s="75" t="s">
        <v>50</v>
      </c>
      <c r="N2188" s="75"/>
      <c r="O2188" s="75"/>
      <c r="P2188" s="75"/>
      <c r="Q2188" s="75"/>
      <c r="R2188" s="75"/>
      <c r="U2188" s="24" t="s">
        <v>2891</v>
      </c>
      <c r="Z2188" s="69"/>
      <c r="AA2188" s="69"/>
      <c r="AB2188" s="69"/>
      <c r="AC2188" s="69" t="s">
        <v>11428</v>
      </c>
    </row>
    <row r="2189" spans="1:30" s="24" customFormat="1" x14ac:dyDescent="0.3">
      <c r="A2189" s="23">
        <v>575</v>
      </c>
      <c r="B2189" s="23">
        <v>570</v>
      </c>
      <c r="C2189" s="24" t="s">
        <v>2165</v>
      </c>
      <c r="D2189" s="69" t="s">
        <v>1647</v>
      </c>
      <c r="E2189" s="24" t="s">
        <v>1646</v>
      </c>
      <c r="F2189" s="24" t="s">
        <v>1675</v>
      </c>
      <c r="G2189" s="69" t="s">
        <v>1676</v>
      </c>
      <c r="I2189" s="69"/>
      <c r="J2189" s="24" t="s">
        <v>3662</v>
      </c>
      <c r="K2189" s="24" t="s">
        <v>1677</v>
      </c>
      <c r="L2189" s="24" t="s">
        <v>9896</v>
      </c>
      <c r="M2189" s="75" t="s">
        <v>50</v>
      </c>
      <c r="N2189" s="75"/>
      <c r="O2189" s="75"/>
      <c r="P2189" s="75"/>
      <c r="Q2189" s="75"/>
      <c r="R2189" s="75"/>
      <c r="Z2189" s="69"/>
      <c r="AA2189" s="69"/>
      <c r="AB2189" s="69"/>
      <c r="AC2189" s="69" t="s">
        <v>11429</v>
      </c>
    </row>
    <row r="2190" spans="1:30" s="24" customFormat="1" x14ac:dyDescent="0.3">
      <c r="A2190" s="23">
        <v>576</v>
      </c>
      <c r="B2190" s="23">
        <v>571</v>
      </c>
      <c r="C2190" s="24" t="s">
        <v>2165</v>
      </c>
      <c r="D2190" s="69" t="s">
        <v>1647</v>
      </c>
      <c r="E2190" s="24" t="s">
        <v>1646</v>
      </c>
      <c r="F2190" s="24" t="s">
        <v>1678</v>
      </c>
      <c r="G2190" s="69" t="s">
        <v>1679</v>
      </c>
      <c r="I2190" s="69"/>
      <c r="J2190" s="24" t="s">
        <v>3016</v>
      </c>
      <c r="K2190" s="24" t="s">
        <v>1680</v>
      </c>
      <c r="L2190" s="24" t="s">
        <v>9897</v>
      </c>
      <c r="M2190" s="75" t="s">
        <v>19</v>
      </c>
      <c r="N2190" s="75"/>
      <c r="O2190" s="75"/>
      <c r="P2190" s="75"/>
      <c r="Q2190" s="75"/>
      <c r="R2190" s="75" t="s">
        <v>2166</v>
      </c>
      <c r="U2190" s="24" t="s">
        <v>2892</v>
      </c>
      <c r="V2190" s="24" t="s">
        <v>2171</v>
      </c>
      <c r="Z2190" s="69"/>
      <c r="AA2190" s="69"/>
      <c r="AB2190" s="69"/>
      <c r="AC2190" s="69"/>
      <c r="AD2190" s="24" t="s">
        <v>11348</v>
      </c>
    </row>
    <row r="2191" spans="1:30" s="24" customFormat="1" x14ac:dyDescent="0.3">
      <c r="A2191" s="23">
        <v>577</v>
      </c>
      <c r="B2191" s="23">
        <v>572</v>
      </c>
      <c r="C2191" s="24" t="s">
        <v>2165</v>
      </c>
      <c r="D2191" s="69" t="s">
        <v>1647</v>
      </c>
      <c r="E2191" s="24" t="s">
        <v>1646</v>
      </c>
      <c r="F2191" s="24" t="s">
        <v>1681</v>
      </c>
      <c r="G2191" s="69" t="s">
        <v>1682</v>
      </c>
      <c r="I2191" s="69"/>
      <c r="J2191" s="24" t="s">
        <v>3110</v>
      </c>
      <c r="K2191" s="24" t="s">
        <v>1683</v>
      </c>
      <c r="M2191" s="75" t="s">
        <v>19</v>
      </c>
      <c r="N2191" s="75"/>
      <c r="O2191" s="75"/>
      <c r="P2191" s="75"/>
      <c r="Q2191" s="75"/>
      <c r="R2191" s="75" t="s">
        <v>2166</v>
      </c>
      <c r="V2191" s="24" t="s">
        <v>2171</v>
      </c>
      <c r="W2191" s="24" t="s">
        <v>2893</v>
      </c>
      <c r="Z2191" s="69"/>
      <c r="AA2191" s="69"/>
      <c r="AB2191" s="69"/>
      <c r="AC2191" s="69"/>
      <c r="AD2191" s="24" t="s">
        <v>11349</v>
      </c>
    </row>
    <row r="2192" spans="1:30" s="26" customFormat="1" x14ac:dyDescent="0.3">
      <c r="A2192" s="25" t="s">
        <v>8440</v>
      </c>
      <c r="B2192" s="25"/>
      <c r="C2192" s="26" t="s">
        <v>3005</v>
      </c>
      <c r="D2192" s="70"/>
      <c r="G2192" s="70" t="s">
        <v>1682</v>
      </c>
      <c r="H2192" s="26">
        <v>-1</v>
      </c>
      <c r="I2192" s="70" t="s">
        <v>8441</v>
      </c>
      <c r="J2192" s="26" t="s">
        <v>8442</v>
      </c>
      <c r="K2192" s="26" t="s">
        <v>8443</v>
      </c>
      <c r="L2192" s="26" t="s">
        <v>11028</v>
      </c>
      <c r="M2192" s="76"/>
      <c r="N2192" s="76"/>
      <c r="O2192" s="76"/>
      <c r="P2192" s="76"/>
      <c r="Q2192" s="76"/>
      <c r="R2192" s="76"/>
      <c r="Z2192" s="70"/>
      <c r="AA2192" s="70"/>
      <c r="AB2192" s="70"/>
      <c r="AC2192" s="70"/>
    </row>
    <row r="2193" spans="1:31" s="26" customFormat="1" x14ac:dyDescent="0.3">
      <c r="A2193" s="25" t="s">
        <v>8444</v>
      </c>
      <c r="B2193" s="25"/>
      <c r="C2193" s="26" t="s">
        <v>3005</v>
      </c>
      <c r="D2193" s="70"/>
      <c r="G2193" s="70" t="s">
        <v>1682</v>
      </c>
      <c r="H2193" s="26">
        <v>-1</v>
      </c>
      <c r="I2193" s="70" t="s">
        <v>8445</v>
      </c>
      <c r="J2193" s="26" t="s">
        <v>3110</v>
      </c>
      <c r="K2193" s="26" t="s">
        <v>8446</v>
      </c>
      <c r="L2193" s="26" t="s">
        <v>11029</v>
      </c>
      <c r="M2193" s="76"/>
      <c r="N2193" s="76"/>
      <c r="O2193" s="76"/>
      <c r="P2193" s="76"/>
      <c r="Q2193" s="76"/>
      <c r="R2193" s="76"/>
      <c r="Z2193" s="70"/>
      <c r="AA2193" s="70"/>
      <c r="AB2193" s="70"/>
      <c r="AC2193" s="70"/>
    </row>
    <row r="2194" spans="1:31" s="26" customFormat="1" x14ac:dyDescent="0.3">
      <c r="A2194" s="25" t="s">
        <v>8447</v>
      </c>
      <c r="B2194" s="25"/>
      <c r="C2194" s="26" t="s">
        <v>3005</v>
      </c>
      <c r="D2194" s="70"/>
      <c r="G2194" s="70" t="s">
        <v>1682</v>
      </c>
      <c r="H2194" s="26">
        <v>-1</v>
      </c>
      <c r="I2194" s="70" t="s">
        <v>8448</v>
      </c>
      <c r="J2194" s="26" t="s">
        <v>8449</v>
      </c>
      <c r="K2194" s="26" t="s">
        <v>8450</v>
      </c>
      <c r="L2194" s="26" t="s">
        <v>11030</v>
      </c>
      <c r="M2194" s="76"/>
      <c r="N2194" s="76"/>
      <c r="O2194" s="76"/>
      <c r="P2194" s="76"/>
      <c r="Q2194" s="76"/>
      <c r="R2194" s="76"/>
      <c r="Z2194" s="70"/>
      <c r="AA2194" s="70"/>
      <c r="AB2194" s="70"/>
      <c r="AC2194" s="70"/>
    </row>
    <row r="2195" spans="1:31" s="26" customFormat="1" x14ac:dyDescent="0.3">
      <c r="A2195" s="25" t="s">
        <v>8451</v>
      </c>
      <c r="B2195" s="25"/>
      <c r="C2195" s="26" t="s">
        <v>3005</v>
      </c>
      <c r="D2195" s="70"/>
      <c r="G2195" s="70" t="s">
        <v>1682</v>
      </c>
      <c r="H2195" s="26">
        <v>-1</v>
      </c>
      <c r="I2195" s="70" t="s">
        <v>8452</v>
      </c>
      <c r="J2195" s="26" t="s">
        <v>8453</v>
      </c>
      <c r="K2195" s="26" t="s">
        <v>8454</v>
      </c>
      <c r="L2195" s="26" t="s">
        <v>11031</v>
      </c>
      <c r="M2195" s="76"/>
      <c r="N2195" s="76"/>
      <c r="O2195" s="76"/>
      <c r="P2195" s="76"/>
      <c r="Q2195" s="76"/>
      <c r="R2195" s="76"/>
      <c r="Z2195" s="70"/>
      <c r="AA2195" s="70"/>
      <c r="AB2195" s="70"/>
      <c r="AC2195" s="70"/>
    </row>
    <row r="2196" spans="1:31" s="26" customFormat="1" x14ac:dyDescent="0.3">
      <c r="A2196" s="25" t="s">
        <v>8455</v>
      </c>
      <c r="B2196" s="25"/>
      <c r="C2196" s="26" t="s">
        <v>3005</v>
      </c>
      <c r="D2196" s="70"/>
      <c r="G2196" s="70" t="s">
        <v>1682</v>
      </c>
      <c r="H2196" s="26">
        <v>-1</v>
      </c>
      <c r="I2196" s="70" t="s">
        <v>3938</v>
      </c>
      <c r="J2196" s="26" t="s">
        <v>6565</v>
      </c>
      <c r="K2196" s="26" t="s">
        <v>8456</v>
      </c>
      <c r="L2196" s="26" t="s">
        <v>8456</v>
      </c>
      <c r="M2196" s="76"/>
      <c r="N2196" s="76"/>
      <c r="O2196" s="76"/>
      <c r="P2196" s="76"/>
      <c r="Q2196" s="76"/>
      <c r="R2196" s="76"/>
      <c r="Z2196" s="70"/>
      <c r="AA2196" s="70"/>
      <c r="AB2196" s="70"/>
      <c r="AC2196" s="70"/>
    </row>
    <row r="2197" spans="1:31" s="26" customFormat="1" x14ac:dyDescent="0.3">
      <c r="A2197" s="25" t="s">
        <v>8457</v>
      </c>
      <c r="B2197" s="25"/>
      <c r="C2197" s="26" t="s">
        <v>3005</v>
      </c>
      <c r="D2197" s="70"/>
      <c r="G2197" s="70" t="s">
        <v>1682</v>
      </c>
      <c r="H2197" s="26">
        <v>-1</v>
      </c>
      <c r="I2197" s="70" t="s">
        <v>8458</v>
      </c>
      <c r="J2197" s="26" t="s">
        <v>8459</v>
      </c>
      <c r="K2197" s="26" t="s">
        <v>8460</v>
      </c>
      <c r="L2197" s="26" t="s">
        <v>11032</v>
      </c>
      <c r="M2197" s="76"/>
      <c r="N2197" s="76"/>
      <c r="O2197" s="76"/>
      <c r="P2197" s="76"/>
      <c r="Q2197" s="76"/>
      <c r="R2197" s="76"/>
      <c r="Z2197" s="70"/>
      <c r="AA2197" s="70"/>
      <c r="AB2197" s="70"/>
      <c r="AC2197" s="70"/>
    </row>
    <row r="2198" spans="1:31" s="26" customFormat="1" x14ac:dyDescent="0.3">
      <c r="A2198" s="25" t="s">
        <v>8461</v>
      </c>
      <c r="B2198" s="25"/>
      <c r="C2198" s="26" t="s">
        <v>3005</v>
      </c>
      <c r="D2198" s="70"/>
      <c r="G2198" s="70" t="s">
        <v>1682</v>
      </c>
      <c r="H2198" s="26">
        <v>-1</v>
      </c>
      <c r="I2198" s="70" t="s">
        <v>8462</v>
      </c>
      <c r="J2198" s="26" t="s">
        <v>8463</v>
      </c>
      <c r="K2198" s="26" t="s">
        <v>8464</v>
      </c>
      <c r="L2198" s="26" t="s">
        <v>11033</v>
      </c>
      <c r="M2198" s="76"/>
      <c r="N2198" s="76"/>
      <c r="O2198" s="76"/>
      <c r="P2198" s="76"/>
      <c r="Q2198" s="76"/>
      <c r="R2198" s="76"/>
      <c r="Z2198" s="70"/>
      <c r="AA2198" s="70"/>
      <c r="AB2198" s="70"/>
      <c r="AC2198" s="70"/>
    </row>
    <row r="2199" spans="1:31" s="26" customFormat="1" x14ac:dyDescent="0.3">
      <c r="A2199" s="25" t="s">
        <v>8465</v>
      </c>
      <c r="B2199" s="25"/>
      <c r="C2199" s="26" t="s">
        <v>3005</v>
      </c>
      <c r="D2199" s="70"/>
      <c r="G2199" s="70" t="s">
        <v>1682</v>
      </c>
      <c r="H2199" s="26">
        <v>-1</v>
      </c>
      <c r="I2199" s="70" t="s">
        <v>8466</v>
      </c>
      <c r="J2199" s="26" t="s">
        <v>5434</v>
      </c>
      <c r="K2199" s="26" t="s">
        <v>8467</v>
      </c>
      <c r="L2199" s="26" t="s">
        <v>11034</v>
      </c>
      <c r="M2199" s="76"/>
      <c r="N2199" s="76"/>
      <c r="O2199" s="76"/>
      <c r="P2199" s="76"/>
      <c r="Q2199" s="76"/>
      <c r="R2199" s="76"/>
      <c r="Z2199" s="70"/>
      <c r="AA2199" s="70"/>
      <c r="AB2199" s="70"/>
      <c r="AC2199" s="70"/>
    </row>
    <row r="2200" spans="1:31" s="26" customFormat="1" x14ac:dyDescent="0.3">
      <c r="A2200" s="25" t="s">
        <v>8468</v>
      </c>
      <c r="B2200" s="25"/>
      <c r="C2200" s="26" t="s">
        <v>3005</v>
      </c>
      <c r="D2200" s="70"/>
      <c r="G2200" s="70" t="s">
        <v>1682</v>
      </c>
      <c r="H2200" s="26">
        <v>-1</v>
      </c>
      <c r="I2200" s="70" t="s">
        <v>8469</v>
      </c>
      <c r="J2200" s="26" t="s">
        <v>8470</v>
      </c>
      <c r="K2200" s="26" t="s">
        <v>8471</v>
      </c>
      <c r="M2200" s="76"/>
      <c r="N2200" s="76"/>
      <c r="O2200" s="76"/>
      <c r="P2200" s="76"/>
      <c r="Q2200" s="76"/>
      <c r="R2200" s="76"/>
      <c r="Z2200" s="70"/>
      <c r="AA2200" s="70"/>
      <c r="AB2200" s="70"/>
      <c r="AC2200" s="70"/>
    </row>
    <row r="2201" spans="1:31" s="26" customFormat="1" x14ac:dyDescent="0.3">
      <c r="A2201" s="25" t="s">
        <v>8472</v>
      </c>
      <c r="B2201" s="25"/>
      <c r="C2201" s="26" t="s">
        <v>3005</v>
      </c>
      <c r="D2201" s="70"/>
      <c r="G2201" s="70" t="s">
        <v>1682</v>
      </c>
      <c r="H2201" s="26">
        <v>-1</v>
      </c>
      <c r="I2201" s="70" t="s">
        <v>8473</v>
      </c>
      <c r="J2201" s="26" t="s">
        <v>8474</v>
      </c>
      <c r="K2201" s="26" t="s">
        <v>8475</v>
      </c>
      <c r="L2201" s="26" t="s">
        <v>11035</v>
      </c>
      <c r="M2201" s="76"/>
      <c r="N2201" s="76"/>
      <c r="O2201" s="76"/>
      <c r="P2201" s="76"/>
      <c r="Q2201" s="76"/>
      <c r="R2201" s="76"/>
      <c r="Z2201" s="70"/>
      <c r="AA2201" s="70"/>
      <c r="AB2201" s="70"/>
      <c r="AC2201" s="70"/>
    </row>
    <row r="2202" spans="1:31" s="26" customFormat="1" x14ac:dyDescent="0.3">
      <c r="A2202" s="25" t="s">
        <v>8476</v>
      </c>
      <c r="B2202" s="25"/>
      <c r="C2202" s="26" t="s">
        <v>3005</v>
      </c>
      <c r="D2202" s="70"/>
      <c r="G2202" s="70" t="s">
        <v>1682</v>
      </c>
      <c r="H2202" s="26">
        <v>1</v>
      </c>
      <c r="I2202" s="70" t="s">
        <v>8477</v>
      </c>
      <c r="J2202" s="26" t="s">
        <v>7724</v>
      </c>
      <c r="K2202" s="26" t="s">
        <v>8478</v>
      </c>
      <c r="L2202" s="26" t="s">
        <v>11036</v>
      </c>
      <c r="M2202" s="76"/>
      <c r="N2202" s="76"/>
      <c r="O2202" s="76"/>
      <c r="P2202" s="76"/>
      <c r="Q2202" s="76"/>
      <c r="R2202" s="76"/>
      <c r="Z2202" s="70"/>
      <c r="AA2202" s="70"/>
      <c r="AB2202" s="70"/>
      <c r="AC2202" s="70"/>
    </row>
    <row r="2203" spans="1:31" s="26" customFormat="1" x14ac:dyDescent="0.3">
      <c r="A2203" s="25" t="s">
        <v>8479</v>
      </c>
      <c r="B2203" s="25"/>
      <c r="C2203" s="26" t="s">
        <v>3005</v>
      </c>
      <c r="D2203" s="70"/>
      <c r="G2203" s="70" t="s">
        <v>1682</v>
      </c>
      <c r="H2203" s="26">
        <v>-1</v>
      </c>
      <c r="I2203" s="70" t="s">
        <v>6060</v>
      </c>
      <c r="J2203" s="26" t="s">
        <v>8480</v>
      </c>
      <c r="K2203" s="26" t="s">
        <v>8481</v>
      </c>
      <c r="L2203" s="26" t="s">
        <v>11037</v>
      </c>
      <c r="M2203" s="76"/>
      <c r="N2203" s="76"/>
      <c r="O2203" s="76"/>
      <c r="P2203" s="76"/>
      <c r="Q2203" s="76"/>
      <c r="R2203" s="76"/>
      <c r="Z2203" s="70"/>
      <c r="AA2203" s="70"/>
      <c r="AB2203" s="70"/>
      <c r="AC2203" s="70"/>
    </row>
    <row r="2204" spans="1:31" s="26" customFormat="1" x14ac:dyDescent="0.3">
      <c r="A2204" s="25" t="s">
        <v>8482</v>
      </c>
      <c r="B2204" s="25"/>
      <c r="C2204" s="26" t="s">
        <v>3005</v>
      </c>
      <c r="D2204" s="70"/>
      <c r="G2204" s="70" t="s">
        <v>1682</v>
      </c>
      <c r="H2204" s="26">
        <v>-1</v>
      </c>
      <c r="I2204" s="70" t="s">
        <v>3576</v>
      </c>
      <c r="J2204" s="26" t="s">
        <v>3749</v>
      </c>
      <c r="K2204" s="26" t="s">
        <v>8483</v>
      </c>
      <c r="L2204" s="26" t="s">
        <v>11038</v>
      </c>
      <c r="M2204" s="76"/>
      <c r="N2204" s="76"/>
      <c r="O2204" s="76"/>
      <c r="P2204" s="76"/>
      <c r="Q2204" s="76"/>
      <c r="R2204" s="76"/>
      <c r="Z2204" s="70"/>
      <c r="AA2204" s="70"/>
      <c r="AB2204" s="70"/>
      <c r="AC2204" s="70"/>
    </row>
    <row r="2205" spans="1:31" s="24" customFormat="1" x14ac:dyDescent="0.3">
      <c r="A2205" s="23">
        <v>578</v>
      </c>
      <c r="B2205" s="23">
        <v>573</v>
      </c>
      <c r="C2205" s="24" t="s">
        <v>2165</v>
      </c>
      <c r="D2205" s="69" t="s">
        <v>1647</v>
      </c>
      <c r="E2205" s="24" t="s">
        <v>1646</v>
      </c>
      <c r="F2205" s="24" t="s">
        <v>1684</v>
      </c>
      <c r="G2205" s="69" t="s">
        <v>1685</v>
      </c>
      <c r="H2205" s="24">
        <v>2</v>
      </c>
      <c r="I2205" s="69"/>
      <c r="J2205" s="24" t="s">
        <v>5852</v>
      </c>
      <c r="K2205" s="24" t="s">
        <v>68</v>
      </c>
      <c r="M2205" s="75" t="s">
        <v>65</v>
      </c>
      <c r="N2205" s="75" t="s">
        <v>2015</v>
      </c>
      <c r="O2205" s="75"/>
      <c r="P2205" s="75"/>
      <c r="Q2205" s="75"/>
      <c r="R2205" s="75"/>
      <c r="T2205" s="24" t="s">
        <v>2174</v>
      </c>
      <c r="W2205" s="24" t="s">
        <v>2894</v>
      </c>
      <c r="Z2205" s="69"/>
      <c r="AA2205" s="69"/>
      <c r="AB2205" s="69"/>
      <c r="AC2205" s="69"/>
      <c r="AE2205" s="24" t="s">
        <v>2895</v>
      </c>
    </row>
    <row r="2206" spans="1:31" s="26" customFormat="1" x14ac:dyDescent="0.3">
      <c r="A2206" s="25" t="s">
        <v>8484</v>
      </c>
      <c r="B2206" s="25"/>
      <c r="C2206" s="26" t="s">
        <v>3005</v>
      </c>
      <c r="D2206" s="70"/>
      <c r="G2206" s="70" t="s">
        <v>1685</v>
      </c>
      <c r="H2206" s="26">
        <v>1</v>
      </c>
      <c r="I2206" s="70" t="s">
        <v>8485</v>
      </c>
      <c r="J2206" s="26" t="s">
        <v>5852</v>
      </c>
      <c r="K2206" s="26" t="s">
        <v>8486</v>
      </c>
      <c r="L2206" s="26" t="s">
        <v>11039</v>
      </c>
      <c r="M2206" s="76"/>
      <c r="N2206" s="76"/>
      <c r="O2206" s="76"/>
      <c r="P2206" s="76"/>
      <c r="Q2206" s="76"/>
      <c r="R2206" s="76"/>
      <c r="Z2206" s="70"/>
      <c r="AA2206" s="70"/>
      <c r="AB2206" s="70"/>
      <c r="AC2206" s="70"/>
    </row>
    <row r="2207" spans="1:31" s="26" customFormat="1" x14ac:dyDescent="0.3">
      <c r="A2207" s="25" t="s">
        <v>8487</v>
      </c>
      <c r="B2207" s="25"/>
      <c r="C2207" s="26" t="s">
        <v>3005</v>
      </c>
      <c r="D2207" s="70"/>
      <c r="G2207" s="70" t="s">
        <v>1685</v>
      </c>
      <c r="H2207" s="26">
        <v>1</v>
      </c>
      <c r="I2207" s="70" t="s">
        <v>3576</v>
      </c>
      <c r="J2207" s="26" t="s">
        <v>3804</v>
      </c>
      <c r="K2207" s="26" t="s">
        <v>8488</v>
      </c>
      <c r="L2207" s="26" t="s">
        <v>11040</v>
      </c>
      <c r="M2207" s="76"/>
      <c r="N2207" s="76"/>
      <c r="O2207" s="76"/>
      <c r="P2207" s="76"/>
      <c r="Q2207" s="76"/>
      <c r="R2207" s="76"/>
      <c r="Z2207" s="70"/>
      <c r="AA2207" s="70"/>
      <c r="AB2207" s="70"/>
      <c r="AC2207" s="70"/>
    </row>
    <row r="2208" spans="1:31" s="24" customFormat="1" x14ac:dyDescent="0.3">
      <c r="A2208" s="23">
        <v>579</v>
      </c>
      <c r="B2208" s="23">
        <v>574</v>
      </c>
      <c r="C2208" s="24" t="s">
        <v>2165</v>
      </c>
      <c r="D2208" s="69" t="s">
        <v>1647</v>
      </c>
      <c r="E2208" s="24" t="s">
        <v>1646</v>
      </c>
      <c r="F2208" s="24" t="s">
        <v>1686</v>
      </c>
      <c r="G2208" s="69" t="s">
        <v>1687</v>
      </c>
      <c r="H2208" s="24">
        <v>4</v>
      </c>
      <c r="I2208" s="69"/>
      <c r="J2208" s="24" t="s">
        <v>3804</v>
      </c>
      <c r="K2208" s="24" t="s">
        <v>68</v>
      </c>
      <c r="M2208" s="75" t="s">
        <v>65</v>
      </c>
      <c r="N2208" s="75" t="s">
        <v>2015</v>
      </c>
      <c r="O2208" s="75"/>
      <c r="P2208" s="75"/>
      <c r="Q2208" s="75"/>
      <c r="R2208" s="75"/>
      <c r="Z2208" s="69"/>
      <c r="AA2208" s="69"/>
      <c r="AB2208" s="69"/>
      <c r="AC2208" s="69"/>
    </row>
    <row r="2209" spans="1:31" s="26" customFormat="1" x14ac:dyDescent="0.3">
      <c r="A2209" s="25" t="s">
        <v>8489</v>
      </c>
      <c r="B2209" s="25"/>
      <c r="C2209" s="26" t="s">
        <v>3005</v>
      </c>
      <c r="D2209" s="70"/>
      <c r="G2209" s="70" t="s">
        <v>1687</v>
      </c>
      <c r="H2209" s="26">
        <v>1</v>
      </c>
      <c r="I2209" s="70" t="s">
        <v>8490</v>
      </c>
      <c r="J2209" s="26" t="s">
        <v>3804</v>
      </c>
      <c r="K2209" s="26" t="s">
        <v>8491</v>
      </c>
      <c r="L2209" s="26" t="s">
        <v>11041</v>
      </c>
      <c r="M2209" s="76"/>
      <c r="N2209" s="76"/>
      <c r="O2209" s="76"/>
      <c r="P2209" s="76"/>
      <c r="Q2209" s="76"/>
      <c r="R2209" s="76"/>
      <c r="Z2209" s="70"/>
      <c r="AA2209" s="70"/>
      <c r="AB2209" s="70"/>
      <c r="AC2209" s="70"/>
    </row>
    <row r="2210" spans="1:31" s="26" customFormat="1" x14ac:dyDescent="0.3">
      <c r="A2210" s="25" t="s">
        <v>8492</v>
      </c>
      <c r="B2210" s="25"/>
      <c r="C2210" s="26" t="s">
        <v>3005</v>
      </c>
      <c r="D2210" s="70"/>
      <c r="G2210" s="70" t="s">
        <v>1687</v>
      </c>
      <c r="H2210" s="26">
        <v>1</v>
      </c>
      <c r="I2210" s="70" t="s">
        <v>5068</v>
      </c>
      <c r="J2210" s="26" t="s">
        <v>3911</v>
      </c>
      <c r="K2210" s="26" t="s">
        <v>8493</v>
      </c>
      <c r="L2210" s="26" t="s">
        <v>11042</v>
      </c>
      <c r="M2210" s="76"/>
      <c r="N2210" s="76"/>
      <c r="O2210" s="76"/>
      <c r="P2210" s="76"/>
      <c r="Q2210" s="76"/>
      <c r="R2210" s="76"/>
      <c r="Z2210" s="70"/>
      <c r="AA2210" s="70"/>
      <c r="AB2210" s="70"/>
      <c r="AC2210" s="70"/>
    </row>
    <row r="2211" spans="1:31" s="26" customFormat="1" x14ac:dyDescent="0.3">
      <c r="A2211" s="25" t="s">
        <v>8494</v>
      </c>
      <c r="B2211" s="25"/>
      <c r="C2211" s="26" t="s">
        <v>3005</v>
      </c>
      <c r="D2211" s="70"/>
      <c r="G2211" s="70" t="s">
        <v>1687</v>
      </c>
      <c r="H2211" s="26">
        <v>1</v>
      </c>
      <c r="I2211" s="70" t="s">
        <v>7247</v>
      </c>
      <c r="J2211" s="26" t="s">
        <v>5521</v>
      </c>
      <c r="K2211" s="26" t="s">
        <v>8495</v>
      </c>
      <c r="M2211" s="76"/>
      <c r="N2211" s="76"/>
      <c r="O2211" s="76"/>
      <c r="P2211" s="76"/>
      <c r="Q2211" s="76"/>
      <c r="R2211" s="76"/>
      <c r="T2211" s="26" t="s">
        <v>2254</v>
      </c>
      <c r="Y2211" s="26" t="s">
        <v>8496</v>
      </c>
      <c r="Z2211" s="70"/>
      <c r="AA2211" s="70"/>
      <c r="AB2211" s="70" t="s">
        <v>8497</v>
      </c>
      <c r="AC2211" s="70"/>
      <c r="AE2211" s="26" t="s">
        <v>8498</v>
      </c>
    </row>
    <row r="2212" spans="1:31" s="26" customFormat="1" x14ac:dyDescent="0.3">
      <c r="A2212" s="25" t="s">
        <v>8499</v>
      </c>
      <c r="B2212" s="25"/>
      <c r="C2212" s="26" t="s">
        <v>3005</v>
      </c>
      <c r="D2212" s="70"/>
      <c r="G2212" s="70" t="s">
        <v>1687</v>
      </c>
      <c r="H2212" s="26">
        <v>1</v>
      </c>
      <c r="I2212" s="70" t="s">
        <v>8500</v>
      </c>
      <c r="J2212" s="26" t="s">
        <v>8337</v>
      </c>
      <c r="K2212" s="26" t="s">
        <v>5764</v>
      </c>
      <c r="L2212" s="26" t="s">
        <v>9880</v>
      </c>
      <c r="M2212" s="76"/>
      <c r="N2212" s="76"/>
      <c r="O2212" s="76"/>
      <c r="P2212" s="76"/>
      <c r="Q2212" s="76"/>
      <c r="R2212" s="76"/>
      <c r="Z2212" s="70"/>
      <c r="AA2212" s="70"/>
      <c r="AB2212" s="70"/>
      <c r="AC2212" s="70"/>
    </row>
    <row r="2213" spans="1:31" s="24" customFormat="1" x14ac:dyDescent="0.3">
      <c r="A2213" s="23">
        <v>580</v>
      </c>
      <c r="B2213" s="23">
        <v>575</v>
      </c>
      <c r="C2213" s="24" t="s">
        <v>2165</v>
      </c>
      <c r="D2213" s="69" t="s">
        <v>1647</v>
      </c>
      <c r="E2213" s="24" t="s">
        <v>1646</v>
      </c>
      <c r="F2213" s="24" t="s">
        <v>1688</v>
      </c>
      <c r="G2213" s="69" t="s">
        <v>1689</v>
      </c>
      <c r="I2213" s="69"/>
      <c r="J2213" s="24" t="s">
        <v>5478</v>
      </c>
      <c r="K2213" s="24" t="s">
        <v>68</v>
      </c>
      <c r="L2213" s="24" t="s">
        <v>9890</v>
      </c>
      <c r="M2213" s="75" t="s">
        <v>65</v>
      </c>
      <c r="N2213" s="75" t="s">
        <v>2017</v>
      </c>
      <c r="O2213" s="75"/>
      <c r="P2213" s="75"/>
      <c r="Q2213" s="75"/>
      <c r="R2213" s="75"/>
      <c r="T2213" s="24" t="s">
        <v>2174</v>
      </c>
      <c r="W2213" s="24" t="s">
        <v>2896</v>
      </c>
      <c r="Z2213" s="69"/>
      <c r="AA2213" s="69"/>
      <c r="AB2213" s="69"/>
      <c r="AC2213" s="69"/>
      <c r="AD2213" s="24" t="s">
        <v>123</v>
      </c>
      <c r="AE2213" s="24" t="s">
        <v>2897</v>
      </c>
    </row>
    <row r="2214" spans="1:31" s="24" customFormat="1" x14ac:dyDescent="0.3">
      <c r="A2214" s="23">
        <v>581</v>
      </c>
      <c r="B2214" s="23">
        <v>576</v>
      </c>
      <c r="C2214" s="24" t="s">
        <v>2165</v>
      </c>
      <c r="D2214" s="69" t="s">
        <v>1691</v>
      </c>
      <c r="E2214" s="24" t="s">
        <v>1690</v>
      </c>
      <c r="F2214" s="24" t="s">
        <v>1692</v>
      </c>
      <c r="G2214" s="69" t="s">
        <v>1693</v>
      </c>
      <c r="I2214" s="69"/>
      <c r="J2214" s="24" t="s">
        <v>4225</v>
      </c>
      <c r="K2214" s="24" t="s">
        <v>1694</v>
      </c>
      <c r="L2214" s="24" t="s">
        <v>9898</v>
      </c>
      <c r="M2214" s="75" t="s">
        <v>15</v>
      </c>
      <c r="N2214" s="75"/>
      <c r="O2214" s="75" t="s">
        <v>58</v>
      </c>
      <c r="P2214" s="75" t="s">
        <v>58</v>
      </c>
      <c r="Q2214" s="75"/>
      <c r="R2214" s="75"/>
      <c r="V2214" s="24" t="s">
        <v>2898</v>
      </c>
      <c r="Z2214" s="69"/>
      <c r="AA2214" s="69"/>
      <c r="AB2214" s="69"/>
      <c r="AC2214" s="69" t="s">
        <v>11430</v>
      </c>
    </row>
    <row r="2215" spans="1:31" s="24" customFormat="1" x14ac:dyDescent="0.3">
      <c r="A2215" s="23">
        <v>582</v>
      </c>
      <c r="B2215" s="23">
        <v>577</v>
      </c>
      <c r="C2215" s="24" t="s">
        <v>2165</v>
      </c>
      <c r="D2215" s="69" t="s">
        <v>1691</v>
      </c>
      <c r="E2215" s="24" t="s">
        <v>1690</v>
      </c>
      <c r="F2215" s="24" t="s">
        <v>1695</v>
      </c>
      <c r="G2215" s="69" t="s">
        <v>1696</v>
      </c>
      <c r="I2215" s="69"/>
      <c r="J2215" s="24" t="s">
        <v>5274</v>
      </c>
      <c r="K2215" s="24" t="s">
        <v>68</v>
      </c>
      <c r="L2215" s="24" t="s">
        <v>9843</v>
      </c>
      <c r="M2215" s="75" t="s">
        <v>65</v>
      </c>
      <c r="N2215" s="75" t="s">
        <v>2015</v>
      </c>
      <c r="O2215" s="75" t="s">
        <v>66</v>
      </c>
      <c r="P2215" s="75" t="s">
        <v>66</v>
      </c>
      <c r="Q2215" s="75" t="s">
        <v>66</v>
      </c>
      <c r="R2215" s="75"/>
      <c r="V2215" s="24" t="s">
        <v>2899</v>
      </c>
      <c r="Z2215" s="69"/>
      <c r="AA2215" s="69"/>
      <c r="AB2215" s="69"/>
      <c r="AC2215" s="69" t="s">
        <v>11431</v>
      </c>
    </row>
    <row r="2216" spans="1:31" s="24" customFormat="1" x14ac:dyDescent="0.3">
      <c r="A2216" s="23">
        <v>583</v>
      </c>
      <c r="B2216" s="23">
        <v>578</v>
      </c>
      <c r="C2216" s="24" t="s">
        <v>2165</v>
      </c>
      <c r="D2216" s="69" t="s">
        <v>1691</v>
      </c>
      <c r="E2216" s="24" t="s">
        <v>1690</v>
      </c>
      <c r="F2216" s="24" t="s">
        <v>1697</v>
      </c>
      <c r="G2216" s="69" t="s">
        <v>1698</v>
      </c>
      <c r="I2216" s="69"/>
      <c r="J2216" s="24" t="s">
        <v>4136</v>
      </c>
      <c r="K2216" s="24" t="s">
        <v>1011</v>
      </c>
      <c r="M2216" s="75" t="s">
        <v>19</v>
      </c>
      <c r="N2216" s="75"/>
      <c r="O2216" s="75"/>
      <c r="P2216" s="75"/>
      <c r="Q2216" s="75"/>
      <c r="R2216" s="75" t="s">
        <v>2166</v>
      </c>
      <c r="U2216" s="24" t="s">
        <v>2209</v>
      </c>
      <c r="V2216" s="24" t="s">
        <v>2171</v>
      </c>
      <c r="Z2216" s="69"/>
      <c r="AA2216" s="69"/>
      <c r="AB2216" s="69"/>
      <c r="AC2216" s="69"/>
      <c r="AD2216" s="24" t="s">
        <v>11350</v>
      </c>
    </row>
    <row r="2217" spans="1:31" s="26" customFormat="1" x14ac:dyDescent="0.3">
      <c r="A2217" s="25" t="s">
        <v>8501</v>
      </c>
      <c r="B2217" s="25"/>
      <c r="C2217" s="26" t="s">
        <v>3005</v>
      </c>
      <c r="D2217" s="70"/>
      <c r="G2217" s="70" t="s">
        <v>1698</v>
      </c>
      <c r="H2217" s="26">
        <v>-1</v>
      </c>
      <c r="I2217" s="70" t="s">
        <v>4544</v>
      </c>
      <c r="J2217" s="26" t="s">
        <v>4136</v>
      </c>
      <c r="K2217" s="26" t="s">
        <v>8502</v>
      </c>
      <c r="L2217" s="26" t="s">
        <v>11043</v>
      </c>
      <c r="M2217" s="76"/>
      <c r="N2217" s="76"/>
      <c r="O2217" s="76"/>
      <c r="P2217" s="76"/>
      <c r="Q2217" s="76"/>
      <c r="R2217" s="76"/>
      <c r="U2217" s="26" t="s">
        <v>5497</v>
      </c>
      <c r="Z2217" s="70"/>
      <c r="AA2217" s="70"/>
      <c r="AB2217" s="70"/>
      <c r="AC2217" s="70"/>
    </row>
    <row r="2218" spans="1:31" s="26" customFormat="1" x14ac:dyDescent="0.3">
      <c r="A2218" s="25" t="s">
        <v>8503</v>
      </c>
      <c r="B2218" s="25"/>
      <c r="C2218" s="26" t="s">
        <v>3005</v>
      </c>
      <c r="D2218" s="70"/>
      <c r="G2218" s="70" t="s">
        <v>1698</v>
      </c>
      <c r="H2218" s="26">
        <v>-1</v>
      </c>
      <c r="I2218" s="70" t="s">
        <v>3748</v>
      </c>
      <c r="J2218" s="26" t="s">
        <v>6877</v>
      </c>
      <c r="K2218" s="26" t="s">
        <v>8504</v>
      </c>
      <c r="L2218" s="26" t="s">
        <v>11044</v>
      </c>
      <c r="M2218" s="76"/>
      <c r="N2218" s="76"/>
      <c r="O2218" s="76"/>
      <c r="P2218" s="76"/>
      <c r="Q2218" s="76"/>
      <c r="R2218" s="76"/>
      <c r="U2218" s="26" t="s">
        <v>5497</v>
      </c>
      <c r="Z2218" s="70"/>
      <c r="AA2218" s="70"/>
      <c r="AB2218" s="70"/>
      <c r="AC2218" s="70"/>
    </row>
    <row r="2219" spans="1:31" s="24" customFormat="1" x14ac:dyDescent="0.3">
      <c r="A2219" s="23">
        <v>584</v>
      </c>
      <c r="B2219" s="23">
        <v>579</v>
      </c>
      <c r="C2219" s="24" t="s">
        <v>2165</v>
      </c>
      <c r="D2219" s="69" t="s">
        <v>1691</v>
      </c>
      <c r="E2219" s="24" t="s">
        <v>1690</v>
      </c>
      <c r="F2219" s="24" t="s">
        <v>1699</v>
      </c>
      <c r="G2219" s="69" t="s">
        <v>1700</v>
      </c>
      <c r="I2219" s="69"/>
      <c r="J2219" s="24" t="s">
        <v>5892</v>
      </c>
      <c r="K2219" s="24" t="s">
        <v>1701</v>
      </c>
      <c r="L2219" s="24" t="s">
        <v>9899</v>
      </c>
      <c r="M2219" s="75" t="s">
        <v>15</v>
      </c>
      <c r="N2219" s="75"/>
      <c r="O2219" s="75"/>
      <c r="P2219" s="75"/>
      <c r="Q2219" s="75"/>
      <c r="R2219" s="75" t="s">
        <v>2166</v>
      </c>
      <c r="V2219" s="24" t="s">
        <v>2900</v>
      </c>
      <c r="Z2219" s="69"/>
      <c r="AA2219" s="69"/>
      <c r="AB2219" s="69"/>
      <c r="AC2219" s="69"/>
    </row>
    <row r="2220" spans="1:31" s="24" customFormat="1" x14ac:dyDescent="0.3">
      <c r="A2220" s="23">
        <v>585</v>
      </c>
      <c r="B2220" s="23">
        <v>580</v>
      </c>
      <c r="C2220" s="24" t="s">
        <v>2165</v>
      </c>
      <c r="D2220" s="69" t="s">
        <v>1691</v>
      </c>
      <c r="E2220" s="24" t="s">
        <v>1690</v>
      </c>
      <c r="F2220" s="24" t="s">
        <v>1702</v>
      </c>
      <c r="G2220" s="69" t="s">
        <v>1703</v>
      </c>
      <c r="I2220" s="69"/>
      <c r="J2220" s="24" t="s">
        <v>8505</v>
      </c>
      <c r="K2220" s="24" t="s">
        <v>1011</v>
      </c>
      <c r="M2220" s="75" t="s">
        <v>50</v>
      </c>
      <c r="N2220" s="75"/>
      <c r="O2220" s="75"/>
      <c r="P2220" s="75"/>
      <c r="Q2220" s="75"/>
      <c r="R2220" s="75"/>
      <c r="U2220" s="24" t="s">
        <v>2901</v>
      </c>
      <c r="V2220" s="24" t="s">
        <v>2902</v>
      </c>
      <c r="Z2220" s="69"/>
      <c r="AA2220" s="69"/>
      <c r="AB2220" s="69"/>
      <c r="AC2220" s="69"/>
      <c r="AD2220" s="24" t="s">
        <v>11351</v>
      </c>
    </row>
    <row r="2221" spans="1:31" s="26" customFormat="1" x14ac:dyDescent="0.3">
      <c r="A2221" s="25" t="s">
        <v>8506</v>
      </c>
      <c r="B2221" s="25"/>
      <c r="C2221" s="26" t="s">
        <v>3005</v>
      </c>
      <c r="D2221" s="70"/>
      <c r="G2221" s="70" t="s">
        <v>1703</v>
      </c>
      <c r="H2221" s="26">
        <v>-1</v>
      </c>
      <c r="I2221" s="70" t="s">
        <v>8507</v>
      </c>
      <c r="J2221" s="26" t="s">
        <v>8505</v>
      </c>
      <c r="K2221" s="26" t="s">
        <v>8508</v>
      </c>
      <c r="L2221" s="26" t="s">
        <v>11045</v>
      </c>
      <c r="M2221" s="76"/>
      <c r="N2221" s="76"/>
      <c r="O2221" s="76"/>
      <c r="P2221" s="76"/>
      <c r="Q2221" s="76"/>
      <c r="R2221" s="76"/>
      <c r="U2221" s="26" t="s">
        <v>8509</v>
      </c>
      <c r="Z2221" s="70"/>
      <c r="AA2221" s="70"/>
      <c r="AB2221" s="70"/>
      <c r="AC2221" s="70"/>
    </row>
    <row r="2222" spans="1:31" s="26" customFormat="1" x14ac:dyDescent="0.3">
      <c r="A2222" s="25" t="s">
        <v>8510</v>
      </c>
      <c r="B2222" s="25"/>
      <c r="C2222" s="26" t="s">
        <v>3005</v>
      </c>
      <c r="D2222" s="70"/>
      <c r="G2222" s="70" t="s">
        <v>1703</v>
      </c>
      <c r="H2222" s="26">
        <v>-1</v>
      </c>
      <c r="I2222" s="70" t="s">
        <v>8511</v>
      </c>
      <c r="J2222" s="26" t="s">
        <v>8512</v>
      </c>
      <c r="K2222" s="26" t="s">
        <v>8513</v>
      </c>
      <c r="L2222" s="26" t="s">
        <v>11046</v>
      </c>
      <c r="M2222" s="76"/>
      <c r="N2222" s="76"/>
      <c r="O2222" s="76"/>
      <c r="P2222" s="76"/>
      <c r="Q2222" s="76"/>
      <c r="R2222" s="76"/>
      <c r="U2222" s="26" t="s">
        <v>8514</v>
      </c>
      <c r="Z2222" s="70"/>
      <c r="AA2222" s="70"/>
      <c r="AB2222" s="70"/>
      <c r="AC2222" s="70"/>
    </row>
    <row r="2223" spans="1:31" s="24" customFormat="1" x14ac:dyDescent="0.3">
      <c r="A2223" s="23">
        <v>586</v>
      </c>
      <c r="B2223" s="23">
        <v>581</v>
      </c>
      <c r="C2223" s="24" t="s">
        <v>2165</v>
      </c>
      <c r="D2223" s="69" t="s">
        <v>1691</v>
      </c>
      <c r="E2223" s="24" t="s">
        <v>1690</v>
      </c>
      <c r="F2223" s="24" t="s">
        <v>1704</v>
      </c>
      <c r="G2223" s="69" t="s">
        <v>1705</v>
      </c>
      <c r="I2223" s="69"/>
      <c r="J2223" s="24" t="s">
        <v>5328</v>
      </c>
      <c r="K2223" s="24" t="s">
        <v>1706</v>
      </c>
      <c r="M2223" s="75" t="s">
        <v>19</v>
      </c>
      <c r="N2223" s="75"/>
      <c r="O2223" s="75"/>
      <c r="P2223" s="75"/>
      <c r="Q2223" s="75"/>
      <c r="R2223" s="75" t="s">
        <v>2166</v>
      </c>
      <c r="T2223" s="24" t="s">
        <v>2179</v>
      </c>
      <c r="V2223" s="24" t="s">
        <v>2171</v>
      </c>
      <c r="Z2223" s="69"/>
      <c r="AA2223" s="69"/>
      <c r="AB2223" s="69"/>
      <c r="AC2223" s="69"/>
      <c r="AD2223" s="24" t="s">
        <v>11352</v>
      </c>
      <c r="AE2223" s="24" t="s">
        <v>2903</v>
      </c>
    </row>
    <row r="2224" spans="1:31" s="26" customFormat="1" x14ac:dyDescent="0.3">
      <c r="A2224" s="25" t="s">
        <v>8515</v>
      </c>
      <c r="B2224" s="25"/>
      <c r="C2224" s="26" t="s">
        <v>3005</v>
      </c>
      <c r="D2224" s="70"/>
      <c r="G2224" s="70" t="s">
        <v>1705</v>
      </c>
      <c r="H2224" s="26">
        <v>-1</v>
      </c>
      <c r="I2224" s="70" t="s">
        <v>8516</v>
      </c>
      <c r="J2224" s="26" t="s">
        <v>5632</v>
      </c>
      <c r="K2224" s="26" t="s">
        <v>7534</v>
      </c>
      <c r="L2224" s="26" t="s">
        <v>11047</v>
      </c>
      <c r="M2224" s="76"/>
      <c r="N2224" s="76"/>
      <c r="O2224" s="76"/>
      <c r="P2224" s="76"/>
      <c r="Q2224" s="76"/>
      <c r="R2224" s="76"/>
      <c r="Z2224" s="70"/>
      <c r="AA2224" s="70"/>
      <c r="AB2224" s="70"/>
      <c r="AC2224" s="70"/>
    </row>
    <row r="2225" spans="1:31" s="26" customFormat="1" x14ac:dyDescent="0.3">
      <c r="A2225" s="25" t="s">
        <v>8517</v>
      </c>
      <c r="B2225" s="25"/>
      <c r="C2225" s="26" t="s">
        <v>3005</v>
      </c>
      <c r="D2225" s="70"/>
      <c r="G2225" s="70" t="s">
        <v>1705</v>
      </c>
      <c r="H2225" s="26">
        <v>-1</v>
      </c>
      <c r="I2225" s="70" t="s">
        <v>8518</v>
      </c>
      <c r="J2225" s="26" t="s">
        <v>5328</v>
      </c>
      <c r="K2225" s="26" t="s">
        <v>8514</v>
      </c>
      <c r="L2225" s="26" t="s">
        <v>11048</v>
      </c>
      <c r="M2225" s="76"/>
      <c r="N2225" s="76"/>
      <c r="O2225" s="76"/>
      <c r="P2225" s="76"/>
      <c r="Q2225" s="76"/>
      <c r="R2225" s="76"/>
      <c r="Z2225" s="70"/>
      <c r="AA2225" s="70"/>
      <c r="AB2225" s="70"/>
      <c r="AC2225" s="70"/>
    </row>
    <row r="2226" spans="1:31" s="24" customFormat="1" x14ac:dyDescent="0.3">
      <c r="A2226" s="23">
        <v>587</v>
      </c>
      <c r="B2226" s="23">
        <v>582</v>
      </c>
      <c r="C2226" s="24" t="s">
        <v>2165</v>
      </c>
      <c r="D2226" s="69" t="s">
        <v>1691</v>
      </c>
      <c r="E2226" s="24" t="s">
        <v>1690</v>
      </c>
      <c r="F2226" s="24" t="s">
        <v>1707</v>
      </c>
      <c r="G2226" s="69" t="s">
        <v>1708</v>
      </c>
      <c r="H2226" s="24">
        <v>7</v>
      </c>
      <c r="I2226" s="69"/>
      <c r="J2226" s="24" t="s">
        <v>6932</v>
      </c>
      <c r="K2226" s="24" t="s">
        <v>1709</v>
      </c>
      <c r="M2226" s="75" t="s">
        <v>15</v>
      </c>
      <c r="N2226" s="75"/>
      <c r="O2226" s="75"/>
      <c r="P2226" s="75"/>
      <c r="Q2226" s="75"/>
      <c r="R2226" s="75"/>
      <c r="Z2226" s="69"/>
      <c r="AA2226" s="69"/>
      <c r="AB2226" s="69"/>
      <c r="AC2226" s="69"/>
    </row>
    <row r="2227" spans="1:31" s="26" customFormat="1" x14ac:dyDescent="0.3">
      <c r="A2227" s="25" t="s">
        <v>8519</v>
      </c>
      <c r="B2227" s="25"/>
      <c r="C2227" s="26" t="s">
        <v>3005</v>
      </c>
      <c r="D2227" s="70"/>
      <c r="G2227" s="70" t="s">
        <v>1708</v>
      </c>
      <c r="H2227" s="26">
        <v>-1</v>
      </c>
      <c r="I2227" s="70" t="s">
        <v>8520</v>
      </c>
      <c r="J2227" s="26" t="s">
        <v>3894</v>
      </c>
      <c r="K2227" s="26" t="s">
        <v>8521</v>
      </c>
      <c r="M2227" s="76"/>
      <c r="N2227" s="76"/>
      <c r="O2227" s="76"/>
      <c r="P2227" s="76"/>
      <c r="Q2227" s="76"/>
      <c r="R2227" s="76"/>
      <c r="Z2227" s="70"/>
      <c r="AA2227" s="70"/>
      <c r="AB2227" s="70"/>
      <c r="AC2227" s="70"/>
    </row>
    <row r="2228" spans="1:31" s="26" customFormat="1" x14ac:dyDescent="0.3">
      <c r="A2228" s="25" t="s">
        <v>8522</v>
      </c>
      <c r="B2228" s="25"/>
      <c r="C2228" s="26" t="s">
        <v>3005</v>
      </c>
      <c r="D2228" s="70"/>
      <c r="G2228" s="70" t="s">
        <v>1708</v>
      </c>
      <c r="H2228" s="26">
        <v>-1</v>
      </c>
      <c r="I2228" s="70" t="s">
        <v>8523</v>
      </c>
      <c r="J2228" s="26" t="s">
        <v>8524</v>
      </c>
      <c r="K2228" s="26" t="s">
        <v>7090</v>
      </c>
      <c r="M2228" s="76"/>
      <c r="N2228" s="76"/>
      <c r="O2228" s="76"/>
      <c r="P2228" s="76"/>
      <c r="Q2228" s="76"/>
      <c r="R2228" s="76"/>
      <c r="Z2228" s="70"/>
      <c r="AA2228" s="70"/>
      <c r="AB2228" s="70"/>
      <c r="AC2228" s="70"/>
    </row>
    <row r="2229" spans="1:31" s="26" customFormat="1" x14ac:dyDescent="0.3">
      <c r="A2229" s="25" t="s">
        <v>8525</v>
      </c>
      <c r="B2229" s="25"/>
      <c r="C2229" s="26" t="s">
        <v>3005</v>
      </c>
      <c r="D2229" s="70"/>
      <c r="G2229" s="70" t="s">
        <v>1708</v>
      </c>
      <c r="H2229" s="26">
        <v>-1</v>
      </c>
      <c r="I2229" s="70" t="s">
        <v>8526</v>
      </c>
      <c r="J2229" s="26" t="s">
        <v>8527</v>
      </c>
      <c r="K2229" s="26" t="s">
        <v>8528</v>
      </c>
      <c r="M2229" s="76"/>
      <c r="N2229" s="76"/>
      <c r="O2229" s="76"/>
      <c r="P2229" s="76"/>
      <c r="Q2229" s="76"/>
      <c r="R2229" s="76"/>
      <c r="Z2229" s="70"/>
      <c r="AA2229" s="70"/>
      <c r="AB2229" s="70"/>
      <c r="AC2229" s="70"/>
    </row>
    <row r="2230" spans="1:31" s="26" customFormat="1" x14ac:dyDescent="0.3">
      <c r="A2230" s="25" t="s">
        <v>8529</v>
      </c>
      <c r="B2230" s="25"/>
      <c r="C2230" s="26" t="s">
        <v>3005</v>
      </c>
      <c r="D2230" s="70"/>
      <c r="G2230" s="70" t="s">
        <v>1708</v>
      </c>
      <c r="H2230" s="26">
        <v>-1</v>
      </c>
      <c r="I2230" s="70" t="s">
        <v>8530</v>
      </c>
      <c r="J2230" s="26" t="s">
        <v>8531</v>
      </c>
      <c r="K2230" s="26" t="s">
        <v>5614</v>
      </c>
      <c r="M2230" s="76"/>
      <c r="N2230" s="76"/>
      <c r="O2230" s="76"/>
      <c r="P2230" s="76"/>
      <c r="Q2230" s="76"/>
      <c r="R2230" s="76"/>
      <c r="Z2230" s="70"/>
      <c r="AA2230" s="70"/>
      <c r="AB2230" s="70"/>
      <c r="AC2230" s="70"/>
    </row>
    <row r="2231" spans="1:31" s="26" customFormat="1" x14ac:dyDescent="0.3">
      <c r="A2231" s="25" t="s">
        <v>8532</v>
      </c>
      <c r="B2231" s="25"/>
      <c r="C2231" s="26" t="s">
        <v>3005</v>
      </c>
      <c r="D2231" s="70"/>
      <c r="G2231" s="70" t="s">
        <v>1708</v>
      </c>
      <c r="H2231" s="26">
        <v>-1</v>
      </c>
      <c r="I2231" s="70" t="s">
        <v>3850</v>
      </c>
      <c r="J2231" s="26" t="s">
        <v>4187</v>
      </c>
      <c r="K2231" s="26" t="s">
        <v>8533</v>
      </c>
      <c r="L2231" s="26" t="s">
        <v>11049</v>
      </c>
      <c r="M2231" s="76"/>
      <c r="N2231" s="76"/>
      <c r="O2231" s="76"/>
      <c r="P2231" s="76"/>
      <c r="Q2231" s="76"/>
      <c r="R2231" s="76"/>
      <c r="Z2231" s="70"/>
      <c r="AA2231" s="70"/>
      <c r="AB2231" s="70"/>
      <c r="AC2231" s="70"/>
    </row>
    <row r="2232" spans="1:31" s="26" customFormat="1" x14ac:dyDescent="0.3">
      <c r="A2232" s="25" t="s">
        <v>8534</v>
      </c>
      <c r="B2232" s="25"/>
      <c r="C2232" s="26" t="s">
        <v>3005</v>
      </c>
      <c r="D2232" s="70"/>
      <c r="G2232" s="70" t="s">
        <v>1708</v>
      </c>
      <c r="H2232" s="26">
        <v>-1</v>
      </c>
      <c r="I2232" s="70" t="s">
        <v>6960</v>
      </c>
      <c r="J2232" s="26" t="s">
        <v>8535</v>
      </c>
      <c r="K2232" s="26" t="s">
        <v>8536</v>
      </c>
      <c r="L2232" s="26" t="s">
        <v>11050</v>
      </c>
      <c r="M2232" s="76"/>
      <c r="N2232" s="76"/>
      <c r="O2232" s="76"/>
      <c r="P2232" s="76"/>
      <c r="Q2232" s="76"/>
      <c r="R2232" s="76"/>
      <c r="Z2232" s="70"/>
      <c r="AA2232" s="70"/>
      <c r="AB2232" s="70"/>
      <c r="AC2232" s="70"/>
    </row>
    <row r="2233" spans="1:31" s="26" customFormat="1" x14ac:dyDescent="0.3">
      <c r="A2233" s="25" t="s">
        <v>8537</v>
      </c>
      <c r="B2233" s="25"/>
      <c r="C2233" s="26" t="s">
        <v>3005</v>
      </c>
      <c r="D2233" s="70"/>
      <c r="G2233" s="70" t="s">
        <v>1708</v>
      </c>
      <c r="H2233" s="26">
        <v>-1</v>
      </c>
      <c r="I2233" s="70" t="s">
        <v>4235</v>
      </c>
      <c r="J2233" s="26" t="s">
        <v>8538</v>
      </c>
      <c r="K2233" s="26" t="s">
        <v>8539</v>
      </c>
      <c r="L2233" s="26" t="s">
        <v>11051</v>
      </c>
      <c r="M2233" s="76"/>
      <c r="N2233" s="76"/>
      <c r="O2233" s="76"/>
      <c r="P2233" s="76"/>
      <c r="Q2233" s="76"/>
      <c r="R2233" s="76"/>
      <c r="Z2233" s="70"/>
      <c r="AA2233" s="70"/>
      <c r="AB2233" s="70"/>
      <c r="AC2233" s="70"/>
    </row>
    <row r="2234" spans="1:31" s="26" customFormat="1" x14ac:dyDescent="0.3">
      <c r="A2234" s="25" t="s">
        <v>8540</v>
      </c>
      <c r="B2234" s="25"/>
      <c r="C2234" s="26" t="s">
        <v>3005</v>
      </c>
      <c r="D2234" s="70"/>
      <c r="G2234" s="70" t="s">
        <v>1708</v>
      </c>
      <c r="H2234" s="26">
        <v>-1</v>
      </c>
      <c r="I2234" s="70" t="s">
        <v>4392</v>
      </c>
      <c r="J2234" s="26" t="s">
        <v>5519</v>
      </c>
      <c r="K2234" s="26" t="s">
        <v>3765</v>
      </c>
      <c r="M2234" s="76"/>
      <c r="N2234" s="76"/>
      <c r="O2234" s="76"/>
      <c r="P2234" s="76"/>
      <c r="Q2234" s="76"/>
      <c r="R2234" s="76"/>
      <c r="Z2234" s="70"/>
      <c r="AA2234" s="70"/>
      <c r="AB2234" s="70"/>
      <c r="AC2234" s="70"/>
    </row>
    <row r="2235" spans="1:31" s="26" customFormat="1" x14ac:dyDescent="0.3">
      <c r="A2235" s="25" t="s">
        <v>8541</v>
      </c>
      <c r="B2235" s="25"/>
      <c r="C2235" s="26" t="s">
        <v>3005</v>
      </c>
      <c r="D2235" s="70"/>
      <c r="G2235" s="70" t="s">
        <v>1708</v>
      </c>
      <c r="H2235" s="26">
        <v>-1</v>
      </c>
      <c r="I2235" s="70" t="s">
        <v>8542</v>
      </c>
      <c r="J2235" s="26" t="s">
        <v>8543</v>
      </c>
      <c r="K2235" s="26" t="s">
        <v>3757</v>
      </c>
      <c r="M2235" s="76"/>
      <c r="N2235" s="76"/>
      <c r="O2235" s="76"/>
      <c r="P2235" s="76"/>
      <c r="Q2235" s="76"/>
      <c r="R2235" s="76"/>
      <c r="T2235" s="26" t="s">
        <v>2254</v>
      </c>
      <c r="Z2235" s="70"/>
      <c r="AA2235" s="70"/>
      <c r="AB2235" s="70"/>
      <c r="AC2235" s="70"/>
      <c r="AE2235" s="26" t="s">
        <v>8544</v>
      </c>
    </row>
    <row r="2236" spans="1:31" s="26" customFormat="1" x14ac:dyDescent="0.3">
      <c r="A2236" s="25" t="s">
        <v>8545</v>
      </c>
      <c r="B2236" s="25"/>
      <c r="C2236" s="26" t="s">
        <v>3005</v>
      </c>
      <c r="D2236" s="70"/>
      <c r="G2236" s="70" t="s">
        <v>1708</v>
      </c>
      <c r="H2236" s="26">
        <v>3</v>
      </c>
      <c r="I2236" s="70" t="s">
        <v>8546</v>
      </c>
      <c r="J2236" s="26" t="s">
        <v>8547</v>
      </c>
      <c r="K2236" s="26" t="s">
        <v>6295</v>
      </c>
      <c r="L2236" s="26" t="s">
        <v>9836</v>
      </c>
      <c r="M2236" s="76"/>
      <c r="N2236" s="76"/>
      <c r="O2236" s="76"/>
      <c r="P2236" s="76"/>
      <c r="Q2236" s="76"/>
      <c r="R2236" s="76"/>
      <c r="Z2236" s="70"/>
      <c r="AA2236" s="70"/>
      <c r="AB2236" s="70"/>
      <c r="AC2236" s="70"/>
    </row>
    <row r="2237" spans="1:31" s="26" customFormat="1" x14ac:dyDescent="0.3">
      <c r="A2237" s="25" t="s">
        <v>8548</v>
      </c>
      <c r="B2237" s="25"/>
      <c r="C2237" s="26" t="s">
        <v>3005</v>
      </c>
      <c r="D2237" s="70"/>
      <c r="G2237" s="70" t="s">
        <v>1708</v>
      </c>
      <c r="H2237" s="26">
        <v>3</v>
      </c>
      <c r="I2237" s="70" t="s">
        <v>8549</v>
      </c>
      <c r="J2237" s="26" t="s">
        <v>8280</v>
      </c>
      <c r="K2237" s="26" t="s">
        <v>8550</v>
      </c>
      <c r="L2237" s="26" t="s">
        <v>11052</v>
      </c>
      <c r="M2237" s="76"/>
      <c r="N2237" s="76"/>
      <c r="O2237" s="76"/>
      <c r="P2237" s="76"/>
      <c r="Q2237" s="76"/>
      <c r="R2237" s="76"/>
      <c r="Z2237" s="70"/>
      <c r="AA2237" s="70"/>
      <c r="AB2237" s="70"/>
      <c r="AC2237" s="70"/>
    </row>
    <row r="2238" spans="1:31" s="26" customFormat="1" x14ac:dyDescent="0.3">
      <c r="A2238" s="25" t="s">
        <v>8551</v>
      </c>
      <c r="B2238" s="25"/>
      <c r="C2238" s="26" t="s">
        <v>3005</v>
      </c>
      <c r="D2238" s="70"/>
      <c r="G2238" s="70" t="s">
        <v>1708</v>
      </c>
      <c r="H2238" s="26">
        <v>3</v>
      </c>
      <c r="I2238" s="70" t="s">
        <v>5302</v>
      </c>
      <c r="J2238" s="26" t="s">
        <v>3804</v>
      </c>
      <c r="K2238" s="26" t="s">
        <v>6892</v>
      </c>
      <c r="M2238" s="76"/>
      <c r="N2238" s="76"/>
      <c r="O2238" s="76"/>
      <c r="P2238" s="76"/>
      <c r="Q2238" s="76"/>
      <c r="R2238" s="76"/>
      <c r="Z2238" s="70"/>
      <c r="AA2238" s="70"/>
      <c r="AB2238" s="70"/>
      <c r="AC2238" s="70"/>
    </row>
    <row r="2239" spans="1:31" s="26" customFormat="1" x14ac:dyDescent="0.3">
      <c r="A2239" s="25" t="s">
        <v>8552</v>
      </c>
      <c r="B2239" s="25"/>
      <c r="C2239" s="26" t="s">
        <v>3005</v>
      </c>
      <c r="D2239" s="70"/>
      <c r="G2239" s="70" t="s">
        <v>1708</v>
      </c>
      <c r="H2239" s="26">
        <v>3</v>
      </c>
      <c r="I2239" s="70" t="s">
        <v>4243</v>
      </c>
      <c r="J2239" s="26" t="s">
        <v>3804</v>
      </c>
      <c r="K2239" s="26" t="s">
        <v>8553</v>
      </c>
      <c r="M2239" s="76"/>
      <c r="N2239" s="76"/>
      <c r="O2239" s="76"/>
      <c r="P2239" s="76"/>
      <c r="Q2239" s="76"/>
      <c r="R2239" s="76"/>
      <c r="Z2239" s="70"/>
      <c r="AA2239" s="70"/>
      <c r="AB2239" s="70"/>
      <c r="AC2239" s="70"/>
    </row>
    <row r="2240" spans="1:31" s="26" customFormat="1" x14ac:dyDescent="0.3">
      <c r="A2240" s="25" t="s">
        <v>8554</v>
      </c>
      <c r="B2240" s="25"/>
      <c r="C2240" s="26" t="s">
        <v>3005</v>
      </c>
      <c r="D2240" s="70"/>
      <c r="G2240" s="70" t="s">
        <v>1708</v>
      </c>
      <c r="H2240" s="26">
        <v>3</v>
      </c>
      <c r="I2240" s="70" t="s">
        <v>6499</v>
      </c>
      <c r="J2240" s="26" t="s">
        <v>8280</v>
      </c>
      <c r="K2240" s="26" t="s">
        <v>8555</v>
      </c>
      <c r="M2240" s="76"/>
      <c r="N2240" s="76"/>
      <c r="O2240" s="76"/>
      <c r="P2240" s="76"/>
      <c r="Q2240" s="76"/>
      <c r="R2240" s="76"/>
      <c r="Z2240" s="70"/>
      <c r="AA2240" s="70"/>
      <c r="AB2240" s="70"/>
      <c r="AC2240" s="70"/>
    </row>
    <row r="2241" spans="1:31" s="26" customFormat="1" x14ac:dyDescent="0.3">
      <c r="A2241" s="25" t="s">
        <v>8556</v>
      </c>
      <c r="B2241" s="25"/>
      <c r="C2241" s="26" t="s">
        <v>3005</v>
      </c>
      <c r="D2241" s="70"/>
      <c r="G2241" s="70" t="s">
        <v>1708</v>
      </c>
      <c r="H2241" s="26">
        <v>3</v>
      </c>
      <c r="I2241" s="70" t="s">
        <v>8557</v>
      </c>
      <c r="J2241" s="26" t="s">
        <v>5478</v>
      </c>
      <c r="K2241" s="26" t="s">
        <v>8274</v>
      </c>
      <c r="M2241" s="76"/>
      <c r="N2241" s="76"/>
      <c r="O2241" s="76"/>
      <c r="P2241" s="76"/>
      <c r="Q2241" s="76"/>
      <c r="R2241" s="76"/>
      <c r="Z2241" s="70"/>
      <c r="AA2241" s="70"/>
      <c r="AB2241" s="70"/>
      <c r="AC2241" s="70"/>
    </row>
    <row r="2242" spans="1:31" s="26" customFormat="1" x14ac:dyDescent="0.3">
      <c r="A2242" s="25" t="s">
        <v>8558</v>
      </c>
      <c r="B2242" s="25"/>
      <c r="C2242" s="26" t="s">
        <v>3005</v>
      </c>
      <c r="D2242" s="70"/>
      <c r="G2242" s="70" t="s">
        <v>1708</v>
      </c>
      <c r="H2242" s="26">
        <v>3</v>
      </c>
      <c r="I2242" s="70" t="s">
        <v>8559</v>
      </c>
      <c r="J2242" s="26" t="s">
        <v>6913</v>
      </c>
      <c r="K2242" s="26" t="s">
        <v>8560</v>
      </c>
      <c r="M2242" s="76"/>
      <c r="N2242" s="76"/>
      <c r="O2242" s="76"/>
      <c r="P2242" s="76"/>
      <c r="Q2242" s="76"/>
      <c r="R2242" s="76"/>
      <c r="Z2242" s="70"/>
      <c r="AA2242" s="70"/>
      <c r="AB2242" s="70"/>
      <c r="AC2242" s="70"/>
    </row>
    <row r="2243" spans="1:31" s="26" customFormat="1" x14ac:dyDescent="0.3">
      <c r="A2243" s="25" t="s">
        <v>8561</v>
      </c>
      <c r="B2243" s="25"/>
      <c r="C2243" s="26" t="s">
        <v>3005</v>
      </c>
      <c r="D2243" s="70"/>
      <c r="G2243" s="70" t="s">
        <v>1708</v>
      </c>
      <c r="H2243" s="26">
        <v>-1</v>
      </c>
      <c r="I2243" s="70" t="s">
        <v>8562</v>
      </c>
      <c r="J2243" s="26" t="s">
        <v>7739</v>
      </c>
      <c r="K2243" s="26" t="s">
        <v>7888</v>
      </c>
      <c r="M2243" s="76"/>
      <c r="N2243" s="76"/>
      <c r="O2243" s="76"/>
      <c r="P2243" s="76"/>
      <c r="Q2243" s="76"/>
      <c r="R2243" s="76"/>
      <c r="Z2243" s="70"/>
      <c r="AA2243" s="70"/>
      <c r="AB2243" s="70"/>
      <c r="AC2243" s="70"/>
    </row>
    <row r="2244" spans="1:31" s="26" customFormat="1" x14ac:dyDescent="0.3">
      <c r="A2244" s="25" t="s">
        <v>8563</v>
      </c>
      <c r="B2244" s="25"/>
      <c r="C2244" s="26" t="s">
        <v>3005</v>
      </c>
      <c r="D2244" s="70"/>
      <c r="G2244" s="70" t="s">
        <v>1708</v>
      </c>
      <c r="H2244" s="26">
        <v>-1</v>
      </c>
      <c r="I2244" s="70" t="s">
        <v>3723</v>
      </c>
      <c r="J2244" s="26" t="s">
        <v>8564</v>
      </c>
      <c r="K2244" s="26" t="s">
        <v>8565</v>
      </c>
      <c r="M2244" s="76"/>
      <c r="N2244" s="76"/>
      <c r="O2244" s="76"/>
      <c r="P2244" s="76"/>
      <c r="Q2244" s="76"/>
      <c r="R2244" s="76"/>
      <c r="Z2244" s="70"/>
      <c r="AA2244" s="70"/>
      <c r="AB2244" s="70"/>
      <c r="AC2244" s="70"/>
    </row>
    <row r="2245" spans="1:31" s="26" customFormat="1" x14ac:dyDescent="0.3">
      <c r="A2245" s="25" t="s">
        <v>8566</v>
      </c>
      <c r="B2245" s="25"/>
      <c r="C2245" s="26" t="s">
        <v>3005</v>
      </c>
      <c r="D2245" s="70"/>
      <c r="G2245" s="70" t="s">
        <v>1708</v>
      </c>
      <c r="H2245" s="26">
        <v>-1</v>
      </c>
      <c r="I2245" s="70" t="s">
        <v>5740</v>
      </c>
      <c r="J2245" s="26" t="s">
        <v>8567</v>
      </c>
      <c r="K2245" s="26" t="s">
        <v>8568</v>
      </c>
      <c r="M2245" s="76"/>
      <c r="N2245" s="76"/>
      <c r="O2245" s="76"/>
      <c r="P2245" s="76"/>
      <c r="Q2245" s="76"/>
      <c r="R2245" s="76"/>
      <c r="Z2245" s="70"/>
      <c r="AA2245" s="70"/>
      <c r="AB2245" s="70"/>
      <c r="AC2245" s="70"/>
    </row>
    <row r="2246" spans="1:31" s="26" customFormat="1" x14ac:dyDescent="0.3">
      <c r="A2246" s="25" t="s">
        <v>8569</v>
      </c>
      <c r="B2246" s="25"/>
      <c r="C2246" s="26" t="s">
        <v>3005</v>
      </c>
      <c r="D2246" s="70"/>
      <c r="G2246" s="70" t="s">
        <v>1708</v>
      </c>
      <c r="H2246" s="26">
        <v>-1</v>
      </c>
      <c r="I2246" s="70" t="s">
        <v>8570</v>
      </c>
      <c r="J2246" s="26" t="s">
        <v>5759</v>
      </c>
      <c r="K2246" s="26" t="s">
        <v>8571</v>
      </c>
      <c r="M2246" s="76"/>
      <c r="N2246" s="76"/>
      <c r="O2246" s="76"/>
      <c r="P2246" s="76"/>
      <c r="Q2246" s="76"/>
      <c r="R2246" s="76"/>
      <c r="Z2246" s="70"/>
      <c r="AA2246" s="70"/>
      <c r="AB2246" s="70"/>
      <c r="AC2246" s="70"/>
    </row>
    <row r="2247" spans="1:31" s="26" customFormat="1" x14ac:dyDescent="0.3">
      <c r="A2247" s="25" t="s">
        <v>8572</v>
      </c>
      <c r="B2247" s="25"/>
      <c r="C2247" s="26" t="s">
        <v>3005</v>
      </c>
      <c r="D2247" s="70"/>
      <c r="G2247" s="70" t="s">
        <v>1708</v>
      </c>
      <c r="H2247" s="26">
        <v>-1</v>
      </c>
      <c r="I2247" s="70" t="s">
        <v>5342</v>
      </c>
      <c r="J2247" s="26" t="s">
        <v>5324</v>
      </c>
      <c r="K2247" s="26" t="s">
        <v>8573</v>
      </c>
      <c r="M2247" s="76"/>
      <c r="N2247" s="76"/>
      <c r="O2247" s="76"/>
      <c r="P2247" s="76"/>
      <c r="Q2247" s="76"/>
      <c r="R2247" s="76"/>
      <c r="Z2247" s="70"/>
      <c r="AA2247" s="70"/>
      <c r="AB2247" s="70"/>
      <c r="AC2247" s="70"/>
    </row>
    <row r="2248" spans="1:31" s="26" customFormat="1" x14ac:dyDescent="0.3">
      <c r="A2248" s="25" t="s">
        <v>8574</v>
      </c>
      <c r="B2248" s="25"/>
      <c r="C2248" s="26" t="s">
        <v>3005</v>
      </c>
      <c r="D2248" s="70"/>
      <c r="G2248" s="70" t="s">
        <v>1708</v>
      </c>
      <c r="H2248" s="26">
        <v>-1</v>
      </c>
      <c r="I2248" s="70" t="s">
        <v>8575</v>
      </c>
      <c r="J2248" s="26" t="s">
        <v>8576</v>
      </c>
      <c r="K2248" s="26" t="s">
        <v>8577</v>
      </c>
      <c r="M2248" s="76"/>
      <c r="N2248" s="76"/>
      <c r="O2248" s="76"/>
      <c r="P2248" s="76"/>
      <c r="Q2248" s="76"/>
      <c r="R2248" s="76"/>
      <c r="Z2248" s="70"/>
      <c r="AA2248" s="70"/>
      <c r="AB2248" s="70"/>
      <c r="AC2248" s="70"/>
    </row>
    <row r="2249" spans="1:31" s="26" customFormat="1" x14ac:dyDescent="0.3">
      <c r="A2249" s="25" t="s">
        <v>8578</v>
      </c>
      <c r="B2249" s="25"/>
      <c r="C2249" s="26" t="s">
        <v>3005</v>
      </c>
      <c r="D2249" s="70"/>
      <c r="G2249" s="70" t="s">
        <v>1708</v>
      </c>
      <c r="H2249" s="26">
        <v>-1</v>
      </c>
      <c r="I2249" s="70" t="s">
        <v>3459</v>
      </c>
      <c r="J2249" s="26" t="s">
        <v>8579</v>
      </c>
      <c r="K2249" s="26" t="s">
        <v>6962</v>
      </c>
      <c r="M2249" s="76"/>
      <c r="N2249" s="76"/>
      <c r="O2249" s="76"/>
      <c r="P2249" s="76"/>
      <c r="Q2249" s="76"/>
      <c r="R2249" s="76"/>
      <c r="T2249" s="26" t="s">
        <v>2200</v>
      </c>
      <c r="Z2249" s="70"/>
      <c r="AA2249" s="70"/>
      <c r="AB2249" s="70"/>
      <c r="AC2249" s="70"/>
      <c r="AE2249" s="26" t="s">
        <v>8580</v>
      </c>
    </row>
    <row r="2250" spans="1:31" s="26" customFormat="1" x14ac:dyDescent="0.3">
      <c r="A2250" s="25" t="s">
        <v>8581</v>
      </c>
      <c r="B2250" s="25"/>
      <c r="C2250" s="26" t="s">
        <v>3005</v>
      </c>
      <c r="D2250" s="70"/>
      <c r="G2250" s="70" t="s">
        <v>1708</v>
      </c>
      <c r="H2250" s="26">
        <v>-1</v>
      </c>
      <c r="I2250" s="70" t="s">
        <v>8582</v>
      </c>
      <c r="J2250" s="26" t="s">
        <v>8583</v>
      </c>
      <c r="K2250" s="26" t="s">
        <v>8584</v>
      </c>
      <c r="L2250" s="26" t="s">
        <v>11053</v>
      </c>
      <c r="M2250" s="76"/>
      <c r="N2250" s="76"/>
      <c r="O2250" s="76"/>
      <c r="P2250" s="76"/>
      <c r="Q2250" s="76"/>
      <c r="R2250" s="76"/>
      <c r="Z2250" s="70"/>
      <c r="AA2250" s="70"/>
      <c r="AB2250" s="70"/>
      <c r="AC2250" s="70"/>
    </row>
    <row r="2251" spans="1:31" s="26" customFormat="1" x14ac:dyDescent="0.3">
      <c r="A2251" s="25" t="s">
        <v>8585</v>
      </c>
      <c r="B2251" s="25"/>
      <c r="C2251" s="26" t="s">
        <v>3005</v>
      </c>
      <c r="D2251" s="70"/>
      <c r="G2251" s="70" t="s">
        <v>1708</v>
      </c>
      <c r="H2251" s="26">
        <v>-1</v>
      </c>
      <c r="I2251" s="70" t="s">
        <v>8586</v>
      </c>
      <c r="J2251" s="26" t="s">
        <v>8587</v>
      </c>
      <c r="K2251" s="26" t="s">
        <v>8588</v>
      </c>
      <c r="M2251" s="76"/>
      <c r="N2251" s="76"/>
      <c r="O2251" s="76"/>
      <c r="P2251" s="76"/>
      <c r="Q2251" s="76"/>
      <c r="R2251" s="76"/>
      <c r="Z2251" s="70"/>
      <c r="AA2251" s="70"/>
      <c r="AB2251" s="70"/>
      <c r="AC2251" s="70"/>
    </row>
    <row r="2252" spans="1:31" s="26" customFormat="1" x14ac:dyDescent="0.3">
      <c r="A2252" s="25" t="s">
        <v>8589</v>
      </c>
      <c r="B2252" s="25"/>
      <c r="C2252" s="26" t="s">
        <v>3005</v>
      </c>
      <c r="D2252" s="70"/>
      <c r="G2252" s="70" t="s">
        <v>1708</v>
      </c>
      <c r="H2252" s="26">
        <v>-1</v>
      </c>
      <c r="I2252" s="70" t="s">
        <v>8590</v>
      </c>
      <c r="J2252" s="26" t="s">
        <v>8591</v>
      </c>
      <c r="K2252" s="26" t="s">
        <v>8592</v>
      </c>
      <c r="L2252" s="26" t="s">
        <v>11054</v>
      </c>
      <c r="M2252" s="76"/>
      <c r="N2252" s="76"/>
      <c r="O2252" s="76"/>
      <c r="P2252" s="76"/>
      <c r="Q2252" s="76"/>
      <c r="R2252" s="76"/>
      <c r="Z2252" s="70"/>
      <c r="AA2252" s="70"/>
      <c r="AB2252" s="70"/>
      <c r="AC2252" s="70"/>
    </row>
    <row r="2253" spans="1:31" s="26" customFormat="1" x14ac:dyDescent="0.3">
      <c r="A2253" s="25" t="s">
        <v>8593</v>
      </c>
      <c r="B2253" s="25"/>
      <c r="C2253" s="26" t="s">
        <v>3005</v>
      </c>
      <c r="D2253" s="70"/>
      <c r="G2253" s="70" t="s">
        <v>1708</v>
      </c>
      <c r="H2253" s="26">
        <v>-1</v>
      </c>
      <c r="I2253" s="70" t="s">
        <v>5123</v>
      </c>
      <c r="J2253" s="26" t="s">
        <v>8594</v>
      </c>
      <c r="K2253" s="26" t="s">
        <v>8595</v>
      </c>
      <c r="M2253" s="76"/>
      <c r="N2253" s="76"/>
      <c r="O2253" s="76"/>
      <c r="P2253" s="76"/>
      <c r="Q2253" s="76"/>
      <c r="R2253" s="76"/>
      <c r="Z2253" s="70"/>
      <c r="AA2253" s="70"/>
      <c r="AB2253" s="70"/>
      <c r="AC2253" s="70"/>
    </row>
    <row r="2254" spans="1:31" s="26" customFormat="1" x14ac:dyDescent="0.3">
      <c r="A2254" s="25" t="s">
        <v>8596</v>
      </c>
      <c r="B2254" s="25"/>
      <c r="C2254" s="26" t="s">
        <v>3005</v>
      </c>
      <c r="D2254" s="70"/>
      <c r="G2254" s="70" t="s">
        <v>1708</v>
      </c>
      <c r="H2254" s="26">
        <v>-1</v>
      </c>
      <c r="I2254" s="70" t="s">
        <v>8597</v>
      </c>
      <c r="J2254" s="26" t="s">
        <v>6495</v>
      </c>
      <c r="K2254" s="26" t="s">
        <v>8598</v>
      </c>
      <c r="L2254" s="26" t="s">
        <v>11055</v>
      </c>
      <c r="M2254" s="76"/>
      <c r="N2254" s="76"/>
      <c r="O2254" s="76"/>
      <c r="P2254" s="76"/>
      <c r="Q2254" s="76"/>
      <c r="R2254" s="76"/>
      <c r="Z2254" s="70"/>
      <c r="AA2254" s="70"/>
      <c r="AB2254" s="70"/>
      <c r="AC2254" s="70"/>
    </row>
    <row r="2255" spans="1:31" s="26" customFormat="1" x14ac:dyDescent="0.3">
      <c r="A2255" s="25" t="s">
        <v>8599</v>
      </c>
      <c r="B2255" s="25"/>
      <c r="C2255" s="26" t="s">
        <v>3005</v>
      </c>
      <c r="D2255" s="70"/>
      <c r="G2255" s="70" t="s">
        <v>1708</v>
      </c>
      <c r="H2255" s="26">
        <v>-1</v>
      </c>
      <c r="I2255" s="70" t="s">
        <v>8600</v>
      </c>
      <c r="J2255" s="26" t="s">
        <v>6495</v>
      </c>
      <c r="K2255" s="26" t="s">
        <v>8601</v>
      </c>
      <c r="M2255" s="76"/>
      <c r="N2255" s="76"/>
      <c r="O2255" s="76"/>
      <c r="P2255" s="76"/>
      <c r="Q2255" s="76"/>
      <c r="R2255" s="76"/>
      <c r="Z2255" s="70"/>
      <c r="AA2255" s="70"/>
      <c r="AB2255" s="70"/>
      <c r="AC2255" s="70"/>
    </row>
    <row r="2256" spans="1:31" s="26" customFormat="1" x14ac:dyDescent="0.3">
      <c r="A2256" s="25" t="s">
        <v>8602</v>
      </c>
      <c r="B2256" s="25"/>
      <c r="C2256" s="26" t="s">
        <v>3005</v>
      </c>
      <c r="D2256" s="70"/>
      <c r="G2256" s="70" t="s">
        <v>1708</v>
      </c>
      <c r="H2256" s="26">
        <v>-1</v>
      </c>
      <c r="I2256" s="70" t="s">
        <v>8603</v>
      </c>
      <c r="J2256" s="26" t="s">
        <v>8604</v>
      </c>
      <c r="K2256" s="26" t="s">
        <v>8605</v>
      </c>
      <c r="L2256" s="26" t="s">
        <v>11056</v>
      </c>
      <c r="M2256" s="76"/>
      <c r="N2256" s="76"/>
      <c r="O2256" s="76"/>
      <c r="P2256" s="76"/>
      <c r="Q2256" s="76"/>
      <c r="R2256" s="76"/>
      <c r="Z2256" s="70"/>
      <c r="AA2256" s="70"/>
      <c r="AB2256" s="70"/>
      <c r="AC2256" s="70"/>
    </row>
    <row r="2257" spans="1:29" s="26" customFormat="1" x14ac:dyDescent="0.3">
      <c r="A2257" s="25" t="s">
        <v>8606</v>
      </c>
      <c r="B2257" s="25"/>
      <c r="C2257" s="26" t="s">
        <v>3005</v>
      </c>
      <c r="D2257" s="70"/>
      <c r="G2257" s="70" t="s">
        <v>1708</v>
      </c>
      <c r="H2257" s="26">
        <v>-1</v>
      </c>
      <c r="I2257" s="70" t="s">
        <v>8607</v>
      </c>
      <c r="J2257" s="26" t="s">
        <v>8608</v>
      </c>
      <c r="K2257" s="26" t="s">
        <v>8609</v>
      </c>
      <c r="L2257" s="26" t="s">
        <v>11057</v>
      </c>
      <c r="M2257" s="76"/>
      <c r="N2257" s="76"/>
      <c r="O2257" s="76"/>
      <c r="P2257" s="76"/>
      <c r="Q2257" s="76"/>
      <c r="R2257" s="76"/>
      <c r="Z2257" s="70"/>
      <c r="AA2257" s="70"/>
      <c r="AB2257" s="70"/>
      <c r="AC2257" s="70"/>
    </row>
    <row r="2258" spans="1:29" s="26" customFormat="1" x14ac:dyDescent="0.3">
      <c r="A2258" s="25" t="s">
        <v>8610</v>
      </c>
      <c r="B2258" s="25"/>
      <c r="C2258" s="26" t="s">
        <v>3005</v>
      </c>
      <c r="D2258" s="70"/>
      <c r="G2258" s="70" t="s">
        <v>1708</v>
      </c>
      <c r="H2258" s="26">
        <v>-1</v>
      </c>
      <c r="I2258" s="70" t="s">
        <v>8611</v>
      </c>
      <c r="J2258" s="26" t="s">
        <v>4941</v>
      </c>
      <c r="K2258" s="26" t="s">
        <v>8612</v>
      </c>
      <c r="L2258" s="26" t="s">
        <v>11058</v>
      </c>
      <c r="M2258" s="76"/>
      <c r="N2258" s="76"/>
      <c r="O2258" s="76"/>
      <c r="P2258" s="76"/>
      <c r="Q2258" s="76"/>
      <c r="R2258" s="76"/>
      <c r="Z2258" s="70"/>
      <c r="AA2258" s="70"/>
      <c r="AB2258" s="70"/>
      <c r="AC2258" s="70"/>
    </row>
    <row r="2259" spans="1:29" s="26" customFormat="1" x14ac:dyDescent="0.3">
      <c r="A2259" s="25" t="s">
        <v>8613</v>
      </c>
      <c r="B2259" s="25"/>
      <c r="C2259" s="26" t="s">
        <v>3005</v>
      </c>
      <c r="D2259" s="70"/>
      <c r="G2259" s="70" t="s">
        <v>1708</v>
      </c>
      <c r="H2259" s="26">
        <v>-1</v>
      </c>
      <c r="I2259" s="70" t="s">
        <v>8614</v>
      </c>
      <c r="J2259" s="26" t="s">
        <v>6495</v>
      </c>
      <c r="K2259" s="26" t="s">
        <v>8615</v>
      </c>
      <c r="M2259" s="76"/>
      <c r="N2259" s="76"/>
      <c r="O2259" s="76"/>
      <c r="P2259" s="76"/>
      <c r="Q2259" s="76"/>
      <c r="R2259" s="76"/>
      <c r="Z2259" s="70"/>
      <c r="AA2259" s="70"/>
      <c r="AB2259" s="70"/>
      <c r="AC2259" s="70"/>
    </row>
    <row r="2260" spans="1:29" s="26" customFormat="1" x14ac:dyDescent="0.3">
      <c r="A2260" s="25" t="s">
        <v>8616</v>
      </c>
      <c r="B2260" s="25"/>
      <c r="C2260" s="26" t="s">
        <v>3005</v>
      </c>
      <c r="D2260" s="70"/>
      <c r="G2260" s="70" t="s">
        <v>1708</v>
      </c>
      <c r="H2260" s="26">
        <v>-1</v>
      </c>
      <c r="I2260" s="70" t="s">
        <v>8617</v>
      </c>
      <c r="J2260" s="26" t="s">
        <v>6495</v>
      </c>
      <c r="K2260" s="26" t="s">
        <v>8618</v>
      </c>
      <c r="L2260" s="26" t="s">
        <v>11059</v>
      </c>
      <c r="M2260" s="76"/>
      <c r="N2260" s="76"/>
      <c r="O2260" s="76"/>
      <c r="P2260" s="76"/>
      <c r="Q2260" s="76"/>
      <c r="R2260" s="76"/>
      <c r="Z2260" s="70"/>
      <c r="AA2260" s="70"/>
      <c r="AB2260" s="70"/>
      <c r="AC2260" s="70"/>
    </row>
    <row r="2261" spans="1:29" s="26" customFormat="1" x14ac:dyDescent="0.3">
      <c r="A2261" s="25" t="s">
        <v>8619</v>
      </c>
      <c r="B2261" s="25"/>
      <c r="C2261" s="26" t="s">
        <v>3005</v>
      </c>
      <c r="D2261" s="70"/>
      <c r="G2261" s="70" t="s">
        <v>1708</v>
      </c>
      <c r="H2261" s="26">
        <v>-1</v>
      </c>
      <c r="I2261" s="70" t="s">
        <v>8620</v>
      </c>
      <c r="J2261" s="26" t="s">
        <v>6495</v>
      </c>
      <c r="K2261" s="26" t="s">
        <v>8621</v>
      </c>
      <c r="L2261" s="26" t="s">
        <v>11060</v>
      </c>
      <c r="M2261" s="76"/>
      <c r="N2261" s="76"/>
      <c r="O2261" s="76"/>
      <c r="P2261" s="76"/>
      <c r="Q2261" s="76"/>
      <c r="R2261" s="76"/>
      <c r="Z2261" s="70"/>
      <c r="AA2261" s="70"/>
      <c r="AB2261" s="70"/>
      <c r="AC2261" s="70"/>
    </row>
    <row r="2262" spans="1:29" s="26" customFormat="1" x14ac:dyDescent="0.3">
      <c r="A2262" s="25" t="s">
        <v>8622</v>
      </c>
      <c r="B2262" s="25"/>
      <c r="C2262" s="26" t="s">
        <v>3005</v>
      </c>
      <c r="D2262" s="70"/>
      <c r="G2262" s="70" t="s">
        <v>1708</v>
      </c>
      <c r="H2262" s="26">
        <v>-1</v>
      </c>
      <c r="I2262" s="70" t="s">
        <v>8623</v>
      </c>
      <c r="J2262" s="26" t="s">
        <v>6495</v>
      </c>
      <c r="K2262" s="26" t="s">
        <v>8624</v>
      </c>
      <c r="L2262" s="26" t="s">
        <v>11061</v>
      </c>
      <c r="M2262" s="76"/>
      <c r="N2262" s="76"/>
      <c r="O2262" s="76"/>
      <c r="P2262" s="76"/>
      <c r="Q2262" s="76"/>
      <c r="R2262" s="76"/>
      <c r="Z2262" s="70"/>
      <c r="AA2262" s="70"/>
      <c r="AB2262" s="70"/>
      <c r="AC2262" s="70"/>
    </row>
    <row r="2263" spans="1:29" s="26" customFormat="1" x14ac:dyDescent="0.3">
      <c r="A2263" s="25" t="s">
        <v>8625</v>
      </c>
      <c r="B2263" s="25"/>
      <c r="C2263" s="26" t="s">
        <v>3005</v>
      </c>
      <c r="D2263" s="70"/>
      <c r="G2263" s="70" t="s">
        <v>1708</v>
      </c>
      <c r="H2263" s="26">
        <v>-1</v>
      </c>
      <c r="I2263" s="70" t="s">
        <v>8626</v>
      </c>
      <c r="J2263" s="26" t="s">
        <v>6495</v>
      </c>
      <c r="K2263" s="26" t="s">
        <v>8627</v>
      </c>
      <c r="M2263" s="76"/>
      <c r="N2263" s="76"/>
      <c r="O2263" s="76"/>
      <c r="P2263" s="76"/>
      <c r="Q2263" s="76"/>
      <c r="R2263" s="76"/>
      <c r="Z2263" s="70"/>
      <c r="AA2263" s="70"/>
      <c r="AB2263" s="70"/>
      <c r="AC2263" s="70"/>
    </row>
    <row r="2264" spans="1:29" s="26" customFormat="1" x14ac:dyDescent="0.3">
      <c r="A2264" s="25" t="s">
        <v>8628</v>
      </c>
      <c r="B2264" s="25"/>
      <c r="C2264" s="26" t="s">
        <v>3005</v>
      </c>
      <c r="D2264" s="70"/>
      <c r="G2264" s="70" t="s">
        <v>1708</v>
      </c>
      <c r="H2264" s="26">
        <v>-1</v>
      </c>
      <c r="I2264" s="70" t="s">
        <v>3063</v>
      </c>
      <c r="J2264" s="26" t="s">
        <v>8629</v>
      </c>
      <c r="K2264" s="26" t="s">
        <v>8630</v>
      </c>
      <c r="L2264" s="26" t="s">
        <v>11062</v>
      </c>
      <c r="M2264" s="76"/>
      <c r="N2264" s="76"/>
      <c r="O2264" s="76"/>
      <c r="P2264" s="76"/>
      <c r="Q2264" s="76"/>
      <c r="R2264" s="76"/>
      <c r="Z2264" s="70"/>
      <c r="AA2264" s="70"/>
      <c r="AB2264" s="70"/>
      <c r="AC2264" s="70"/>
    </row>
    <row r="2265" spans="1:29" s="26" customFormat="1" x14ac:dyDescent="0.3">
      <c r="A2265" s="25" t="s">
        <v>8631</v>
      </c>
      <c r="B2265" s="25"/>
      <c r="C2265" s="26" t="s">
        <v>3005</v>
      </c>
      <c r="D2265" s="70"/>
      <c r="G2265" s="70" t="s">
        <v>1708</v>
      </c>
      <c r="H2265" s="26">
        <v>-1</v>
      </c>
      <c r="I2265" s="70" t="s">
        <v>8632</v>
      </c>
      <c r="J2265" s="26" t="s">
        <v>8633</v>
      </c>
      <c r="K2265" s="26" t="s">
        <v>8634</v>
      </c>
      <c r="L2265" s="26" t="s">
        <v>11063</v>
      </c>
      <c r="M2265" s="76"/>
      <c r="N2265" s="76"/>
      <c r="O2265" s="76"/>
      <c r="P2265" s="76"/>
      <c r="Q2265" s="76"/>
      <c r="R2265" s="76"/>
      <c r="Z2265" s="70"/>
      <c r="AA2265" s="70"/>
      <c r="AB2265" s="70"/>
      <c r="AC2265" s="70"/>
    </row>
    <row r="2266" spans="1:29" s="26" customFormat="1" x14ac:dyDescent="0.3">
      <c r="A2266" s="25" t="s">
        <v>8635</v>
      </c>
      <c r="B2266" s="25"/>
      <c r="C2266" s="26" t="s">
        <v>3005</v>
      </c>
      <c r="D2266" s="70"/>
      <c r="G2266" s="70" t="s">
        <v>1708</v>
      </c>
      <c r="H2266" s="26">
        <v>-1</v>
      </c>
      <c r="I2266" s="70" t="s">
        <v>8636</v>
      </c>
      <c r="J2266" s="26" t="s">
        <v>8637</v>
      </c>
      <c r="K2266" s="26" t="s">
        <v>8638</v>
      </c>
      <c r="M2266" s="76"/>
      <c r="N2266" s="76"/>
      <c r="O2266" s="76"/>
      <c r="P2266" s="76"/>
      <c r="Q2266" s="76"/>
      <c r="R2266" s="76"/>
      <c r="Z2266" s="70"/>
      <c r="AA2266" s="70"/>
      <c r="AB2266" s="70"/>
      <c r="AC2266" s="70"/>
    </row>
    <row r="2267" spans="1:29" s="26" customFormat="1" x14ac:dyDescent="0.3">
      <c r="A2267" s="25" t="s">
        <v>8639</v>
      </c>
      <c r="B2267" s="25"/>
      <c r="C2267" s="26" t="s">
        <v>3005</v>
      </c>
      <c r="D2267" s="70"/>
      <c r="G2267" s="70" t="s">
        <v>1708</v>
      </c>
      <c r="H2267" s="26">
        <v>-1</v>
      </c>
      <c r="I2267" s="70" t="s">
        <v>8640</v>
      </c>
      <c r="J2267" s="26" t="s">
        <v>8641</v>
      </c>
      <c r="K2267" s="26" t="s">
        <v>3244</v>
      </c>
      <c r="M2267" s="76"/>
      <c r="N2267" s="76"/>
      <c r="O2267" s="76"/>
      <c r="P2267" s="76"/>
      <c r="Q2267" s="76"/>
      <c r="R2267" s="76"/>
      <c r="Z2267" s="70"/>
      <c r="AA2267" s="70"/>
      <c r="AB2267" s="70"/>
      <c r="AC2267" s="70"/>
    </row>
    <row r="2268" spans="1:29" s="26" customFormat="1" x14ac:dyDescent="0.3">
      <c r="A2268" s="25" t="s">
        <v>8642</v>
      </c>
      <c r="B2268" s="25"/>
      <c r="C2268" s="26" t="s">
        <v>3005</v>
      </c>
      <c r="D2268" s="70"/>
      <c r="G2268" s="70" t="s">
        <v>1708</v>
      </c>
      <c r="H2268" s="26">
        <v>-1</v>
      </c>
      <c r="I2268" s="70" t="s">
        <v>8643</v>
      </c>
      <c r="J2268" s="26" t="s">
        <v>6932</v>
      </c>
      <c r="K2268" s="26" t="s">
        <v>6100</v>
      </c>
      <c r="M2268" s="76"/>
      <c r="N2268" s="76"/>
      <c r="O2268" s="76"/>
      <c r="P2268" s="76"/>
      <c r="Q2268" s="76"/>
      <c r="R2268" s="76"/>
      <c r="Z2268" s="70"/>
      <c r="AA2268" s="70"/>
      <c r="AB2268" s="70"/>
      <c r="AC2268" s="70"/>
    </row>
    <row r="2269" spans="1:29" s="26" customFormat="1" x14ac:dyDescent="0.3">
      <c r="A2269" s="25" t="s">
        <v>8644</v>
      </c>
      <c r="B2269" s="25"/>
      <c r="C2269" s="26" t="s">
        <v>3005</v>
      </c>
      <c r="D2269" s="70"/>
      <c r="G2269" s="70" t="s">
        <v>1708</v>
      </c>
      <c r="H2269" s="26">
        <v>-1</v>
      </c>
      <c r="I2269" s="70" t="s">
        <v>8645</v>
      </c>
      <c r="J2269" s="26" t="s">
        <v>8646</v>
      </c>
      <c r="K2269" s="26" t="s">
        <v>4966</v>
      </c>
      <c r="M2269" s="76"/>
      <c r="N2269" s="76"/>
      <c r="O2269" s="76"/>
      <c r="P2269" s="76"/>
      <c r="Q2269" s="76"/>
      <c r="R2269" s="76"/>
      <c r="Z2269" s="70"/>
      <c r="AA2269" s="70"/>
      <c r="AB2269" s="70"/>
      <c r="AC2269" s="70"/>
    </row>
    <row r="2270" spans="1:29" s="26" customFormat="1" x14ac:dyDescent="0.3">
      <c r="A2270" s="25" t="s">
        <v>8647</v>
      </c>
      <c r="B2270" s="25"/>
      <c r="C2270" s="26" t="s">
        <v>3005</v>
      </c>
      <c r="D2270" s="70"/>
      <c r="G2270" s="70" t="s">
        <v>1708</v>
      </c>
      <c r="H2270" s="26">
        <v>-1</v>
      </c>
      <c r="I2270" s="70" t="s">
        <v>3842</v>
      </c>
      <c r="J2270" s="26" t="s">
        <v>8648</v>
      </c>
      <c r="K2270" s="26" t="s">
        <v>8649</v>
      </c>
      <c r="M2270" s="76"/>
      <c r="N2270" s="76"/>
      <c r="O2270" s="76"/>
      <c r="P2270" s="76"/>
      <c r="Q2270" s="76"/>
      <c r="R2270" s="76"/>
      <c r="Z2270" s="70"/>
      <c r="AA2270" s="70"/>
      <c r="AB2270" s="70"/>
      <c r="AC2270" s="70"/>
    </row>
    <row r="2271" spans="1:29" s="26" customFormat="1" x14ac:dyDescent="0.3">
      <c r="A2271" s="25" t="s">
        <v>8650</v>
      </c>
      <c r="B2271" s="25"/>
      <c r="C2271" s="26" t="s">
        <v>3005</v>
      </c>
      <c r="D2271" s="70"/>
      <c r="G2271" s="70" t="s">
        <v>1708</v>
      </c>
      <c r="H2271" s="26">
        <v>-1</v>
      </c>
      <c r="I2271" s="70" t="s">
        <v>8113</v>
      </c>
      <c r="J2271" s="26" t="s">
        <v>8651</v>
      </c>
      <c r="K2271" s="26" t="s">
        <v>8652</v>
      </c>
      <c r="M2271" s="76"/>
      <c r="N2271" s="76"/>
      <c r="O2271" s="76"/>
      <c r="P2271" s="76"/>
      <c r="Q2271" s="76"/>
      <c r="R2271" s="76"/>
      <c r="Z2271" s="70"/>
      <c r="AA2271" s="70"/>
      <c r="AB2271" s="70"/>
      <c r="AC2271" s="70"/>
    </row>
    <row r="2272" spans="1:29" s="26" customFormat="1" x14ac:dyDescent="0.3">
      <c r="A2272" s="25" t="s">
        <v>8653</v>
      </c>
      <c r="B2272" s="25"/>
      <c r="C2272" s="26" t="s">
        <v>3005</v>
      </c>
      <c r="D2272" s="70"/>
      <c r="G2272" s="70" t="s">
        <v>1708</v>
      </c>
      <c r="H2272" s="26">
        <v>-1</v>
      </c>
      <c r="I2272" s="70" t="s">
        <v>4968</v>
      </c>
      <c r="J2272" s="26" t="s">
        <v>8654</v>
      </c>
      <c r="K2272" s="26" t="s">
        <v>8655</v>
      </c>
      <c r="M2272" s="76"/>
      <c r="N2272" s="76"/>
      <c r="O2272" s="76"/>
      <c r="P2272" s="76"/>
      <c r="Q2272" s="76"/>
      <c r="R2272" s="76"/>
      <c r="Z2272" s="70"/>
      <c r="AA2272" s="70"/>
      <c r="AB2272" s="70"/>
      <c r="AC2272" s="70"/>
    </row>
    <row r="2273" spans="1:31" s="26" customFormat="1" x14ac:dyDescent="0.3">
      <c r="A2273" s="25" t="s">
        <v>8656</v>
      </c>
      <c r="B2273" s="25"/>
      <c r="C2273" s="26" t="s">
        <v>3005</v>
      </c>
      <c r="D2273" s="70"/>
      <c r="G2273" s="70" t="s">
        <v>1708</v>
      </c>
      <c r="H2273" s="26">
        <v>-1</v>
      </c>
      <c r="I2273" s="70" t="s">
        <v>8657</v>
      </c>
      <c r="J2273" s="26" t="s">
        <v>6495</v>
      </c>
      <c r="K2273" s="26" t="s">
        <v>8658</v>
      </c>
      <c r="M2273" s="76"/>
      <c r="N2273" s="76"/>
      <c r="O2273" s="76"/>
      <c r="P2273" s="76"/>
      <c r="Q2273" s="76"/>
      <c r="R2273" s="76"/>
      <c r="Z2273" s="70"/>
      <c r="AA2273" s="70"/>
      <c r="AB2273" s="70"/>
      <c r="AC2273" s="70"/>
    </row>
    <row r="2274" spans="1:31" s="26" customFormat="1" x14ac:dyDescent="0.3">
      <c r="A2274" s="25" t="s">
        <v>8659</v>
      </c>
      <c r="B2274" s="25"/>
      <c r="C2274" s="26" t="s">
        <v>3005</v>
      </c>
      <c r="D2274" s="70"/>
      <c r="G2274" s="70" t="s">
        <v>1708</v>
      </c>
      <c r="H2274" s="26">
        <v>-1</v>
      </c>
      <c r="I2274" s="70" t="s">
        <v>8660</v>
      </c>
      <c r="J2274" s="26" t="s">
        <v>8661</v>
      </c>
      <c r="K2274" s="26" t="s">
        <v>8662</v>
      </c>
      <c r="M2274" s="76"/>
      <c r="N2274" s="76"/>
      <c r="O2274" s="76"/>
      <c r="P2274" s="76"/>
      <c r="Q2274" s="76"/>
      <c r="R2274" s="76"/>
      <c r="Z2274" s="70"/>
      <c r="AA2274" s="70"/>
      <c r="AB2274" s="70"/>
      <c r="AC2274" s="70"/>
    </row>
    <row r="2275" spans="1:31" s="26" customFormat="1" x14ac:dyDescent="0.3">
      <c r="A2275" s="25" t="s">
        <v>8663</v>
      </c>
      <c r="B2275" s="25"/>
      <c r="C2275" s="26" t="s">
        <v>3005</v>
      </c>
      <c r="D2275" s="70"/>
      <c r="G2275" s="70" t="s">
        <v>1708</v>
      </c>
      <c r="H2275" s="26">
        <v>-1</v>
      </c>
      <c r="I2275" s="70" t="s">
        <v>8664</v>
      </c>
      <c r="J2275" s="26" t="s">
        <v>6272</v>
      </c>
      <c r="K2275" s="26" t="s">
        <v>4973</v>
      </c>
      <c r="M2275" s="76"/>
      <c r="N2275" s="76"/>
      <c r="O2275" s="76"/>
      <c r="P2275" s="76"/>
      <c r="Q2275" s="76"/>
      <c r="R2275" s="76"/>
      <c r="T2275" s="26" t="s">
        <v>2254</v>
      </c>
      <c r="Z2275" s="70"/>
      <c r="AA2275" s="70"/>
      <c r="AB2275" s="70"/>
      <c r="AC2275" s="70"/>
      <c r="AE2275" s="26" t="s">
        <v>8665</v>
      </c>
    </row>
    <row r="2276" spans="1:31" s="24" customFormat="1" x14ac:dyDescent="0.3">
      <c r="A2276" s="23">
        <v>588</v>
      </c>
      <c r="B2276" s="23">
        <v>583</v>
      </c>
      <c r="C2276" s="24" t="s">
        <v>2165</v>
      </c>
      <c r="D2276" s="69" t="s">
        <v>1691</v>
      </c>
      <c r="E2276" s="24" t="s">
        <v>1690</v>
      </c>
      <c r="F2276" s="24" t="s">
        <v>1710</v>
      </c>
      <c r="G2276" s="69" t="s">
        <v>1711</v>
      </c>
      <c r="I2276" s="69"/>
      <c r="J2276" s="24" t="s">
        <v>3298</v>
      </c>
      <c r="K2276" s="24" t="s">
        <v>1712</v>
      </c>
      <c r="L2276" s="24" t="s">
        <v>9900</v>
      </c>
      <c r="M2276" s="75" t="s">
        <v>50</v>
      </c>
      <c r="N2276" s="75"/>
      <c r="O2276" s="75"/>
      <c r="P2276" s="75"/>
      <c r="Q2276" s="75"/>
      <c r="R2276" s="75"/>
      <c r="U2276" s="24" t="s">
        <v>2209</v>
      </c>
      <c r="Z2276" s="69"/>
      <c r="AA2276" s="69"/>
      <c r="AB2276" s="69"/>
      <c r="AC2276" s="69"/>
    </row>
    <row r="2277" spans="1:31" s="24" customFormat="1" x14ac:dyDescent="0.3">
      <c r="A2277" s="23">
        <v>589</v>
      </c>
      <c r="B2277" s="23">
        <v>584</v>
      </c>
      <c r="C2277" s="24" t="s">
        <v>2165</v>
      </c>
      <c r="D2277" s="69" t="s">
        <v>1691</v>
      </c>
      <c r="E2277" s="24" t="s">
        <v>1690</v>
      </c>
      <c r="F2277" s="24" t="s">
        <v>1713</v>
      </c>
      <c r="G2277" s="69" t="s">
        <v>1714</v>
      </c>
      <c r="I2277" s="69"/>
      <c r="J2277" s="24" t="s">
        <v>3298</v>
      </c>
      <c r="K2277" s="24" t="s">
        <v>1715</v>
      </c>
      <c r="L2277" s="24" t="s">
        <v>9901</v>
      </c>
      <c r="M2277" s="75" t="s">
        <v>19</v>
      </c>
      <c r="N2277" s="75"/>
      <c r="O2277" s="75"/>
      <c r="P2277" s="75"/>
      <c r="Q2277" s="75"/>
      <c r="R2277" s="75" t="s">
        <v>2166</v>
      </c>
      <c r="U2277" s="24" t="s">
        <v>2904</v>
      </c>
      <c r="Z2277" s="69"/>
      <c r="AA2277" s="69"/>
      <c r="AB2277" s="69"/>
      <c r="AC2277" s="69"/>
    </row>
    <row r="2278" spans="1:31" s="24" customFormat="1" x14ac:dyDescent="0.3">
      <c r="A2278" s="23">
        <v>590</v>
      </c>
      <c r="B2278" s="23">
        <v>585</v>
      </c>
      <c r="C2278" s="24" t="s">
        <v>2165</v>
      </c>
      <c r="D2278" s="69" t="s">
        <v>1691</v>
      </c>
      <c r="E2278" s="24" t="s">
        <v>1690</v>
      </c>
      <c r="F2278" s="24" t="s">
        <v>1716</v>
      </c>
      <c r="G2278" s="69" t="s">
        <v>1717</v>
      </c>
      <c r="I2278" s="69"/>
      <c r="J2278" s="24" t="s">
        <v>8666</v>
      </c>
      <c r="K2278" s="24" t="s">
        <v>1718</v>
      </c>
      <c r="M2278" s="75" t="s">
        <v>50</v>
      </c>
      <c r="N2278" s="75"/>
      <c r="O2278" s="75"/>
      <c r="P2278" s="75"/>
      <c r="Q2278" s="75"/>
      <c r="R2278" s="75"/>
      <c r="U2278" s="24" t="s">
        <v>2232</v>
      </c>
      <c r="Z2278" s="69"/>
      <c r="AA2278" s="69"/>
      <c r="AB2278" s="69"/>
      <c r="AC2278" s="69"/>
    </row>
    <row r="2279" spans="1:31" s="26" customFormat="1" x14ac:dyDescent="0.3">
      <c r="A2279" s="25" t="s">
        <v>8667</v>
      </c>
      <c r="B2279" s="25"/>
      <c r="C2279" s="26" t="s">
        <v>3005</v>
      </c>
      <c r="D2279" s="70"/>
      <c r="G2279" s="70" t="s">
        <v>1717</v>
      </c>
      <c r="H2279" s="26">
        <v>-1</v>
      </c>
      <c r="I2279" s="70" t="s">
        <v>8668</v>
      </c>
      <c r="J2279" s="26" t="s">
        <v>8669</v>
      </c>
      <c r="K2279" s="26" t="s">
        <v>8670</v>
      </c>
      <c r="L2279" s="26" t="s">
        <v>11064</v>
      </c>
      <c r="M2279" s="76"/>
      <c r="N2279" s="76"/>
      <c r="O2279" s="76"/>
      <c r="P2279" s="76"/>
      <c r="Q2279" s="76"/>
      <c r="R2279" s="76"/>
      <c r="T2279" s="26" t="s">
        <v>2200</v>
      </c>
      <c r="U2279" s="26" t="s">
        <v>8671</v>
      </c>
      <c r="Z2279" s="70"/>
      <c r="AA2279" s="70"/>
      <c r="AB2279" s="70"/>
      <c r="AC2279" s="70"/>
      <c r="AE2279" s="26" t="s">
        <v>8672</v>
      </c>
    </row>
    <row r="2280" spans="1:31" s="26" customFormat="1" x14ac:dyDescent="0.3">
      <c r="A2280" s="25" t="s">
        <v>8673</v>
      </c>
      <c r="B2280" s="25"/>
      <c r="C2280" s="26" t="s">
        <v>3005</v>
      </c>
      <c r="D2280" s="70"/>
      <c r="G2280" s="70" t="s">
        <v>1717</v>
      </c>
      <c r="H2280" s="26">
        <v>2</v>
      </c>
      <c r="I2280" s="70" t="s">
        <v>8674</v>
      </c>
      <c r="J2280" s="26" t="s">
        <v>8666</v>
      </c>
      <c r="K2280" s="26" t="s">
        <v>8675</v>
      </c>
      <c r="L2280" s="26" t="s">
        <v>11065</v>
      </c>
      <c r="M2280" s="76"/>
      <c r="N2280" s="76"/>
      <c r="O2280" s="76"/>
      <c r="P2280" s="76"/>
      <c r="Q2280" s="76"/>
      <c r="R2280" s="76"/>
      <c r="T2280" s="26" t="s">
        <v>2200</v>
      </c>
      <c r="U2280" s="26" t="s">
        <v>8676</v>
      </c>
      <c r="Z2280" s="70"/>
      <c r="AA2280" s="70"/>
      <c r="AB2280" s="70"/>
      <c r="AC2280" s="70"/>
    </row>
    <row r="2281" spans="1:31" s="24" customFormat="1" x14ac:dyDescent="0.3">
      <c r="A2281" s="23">
        <v>591</v>
      </c>
      <c r="B2281" s="23">
        <v>586</v>
      </c>
      <c r="C2281" s="24" t="s">
        <v>2165</v>
      </c>
      <c r="D2281" s="69" t="s">
        <v>1691</v>
      </c>
      <c r="E2281" s="24" t="s">
        <v>1690</v>
      </c>
      <c r="F2281" s="24" t="s">
        <v>1719</v>
      </c>
      <c r="G2281" s="69" t="s">
        <v>1720</v>
      </c>
      <c r="I2281" s="69"/>
      <c r="J2281" s="24" t="s">
        <v>8677</v>
      </c>
      <c r="K2281" s="24" t="s">
        <v>1721</v>
      </c>
      <c r="L2281" s="24" t="s">
        <v>9902</v>
      </c>
      <c r="M2281" s="75" t="s">
        <v>19</v>
      </c>
      <c r="N2281" s="75"/>
      <c r="O2281" s="75"/>
      <c r="P2281" s="75"/>
      <c r="Q2281" s="75"/>
      <c r="R2281" s="75" t="s">
        <v>2166</v>
      </c>
      <c r="U2281" s="24" t="s">
        <v>2905</v>
      </c>
      <c r="V2281" s="24" t="s">
        <v>2171</v>
      </c>
      <c r="Z2281" s="69"/>
      <c r="AA2281" s="69"/>
      <c r="AB2281" s="69"/>
      <c r="AC2281" s="69"/>
      <c r="AD2281" s="24" t="s">
        <v>1722</v>
      </c>
    </row>
    <row r="2282" spans="1:31" s="24" customFormat="1" x14ac:dyDescent="0.3">
      <c r="A2282" s="23">
        <v>592</v>
      </c>
      <c r="B2282" s="23">
        <v>587</v>
      </c>
      <c r="C2282" s="24" t="s">
        <v>2165</v>
      </c>
      <c r="D2282" s="69" t="s">
        <v>1724</v>
      </c>
      <c r="E2282" s="24" t="s">
        <v>1723</v>
      </c>
      <c r="F2282" s="24" t="s">
        <v>1725</v>
      </c>
      <c r="G2282" s="69" t="s">
        <v>1726</v>
      </c>
      <c r="I2282" s="69"/>
      <c r="J2282" s="24" t="s">
        <v>3323</v>
      </c>
      <c r="K2282" s="24" t="s">
        <v>68</v>
      </c>
      <c r="L2282" s="24" t="s">
        <v>5823</v>
      </c>
      <c r="M2282" s="75" t="s">
        <v>65</v>
      </c>
      <c r="N2282" s="75" t="s">
        <v>2015</v>
      </c>
      <c r="O2282" s="75"/>
      <c r="P2282" s="75"/>
      <c r="Q2282" s="75"/>
      <c r="R2282" s="75"/>
      <c r="T2282" s="24" t="s">
        <v>2179</v>
      </c>
      <c r="V2282" s="24" t="s">
        <v>2906</v>
      </c>
      <c r="Z2282" s="69"/>
      <c r="AA2282" s="69"/>
      <c r="AB2282" s="69"/>
      <c r="AC2282" s="69"/>
      <c r="AE2282" s="24" t="s">
        <v>2907</v>
      </c>
    </row>
    <row r="2283" spans="1:31" s="24" customFormat="1" x14ac:dyDescent="0.3">
      <c r="A2283" s="23">
        <v>593</v>
      </c>
      <c r="B2283" s="23">
        <v>588</v>
      </c>
      <c r="C2283" s="24" t="s">
        <v>2165</v>
      </c>
      <c r="D2283" s="69" t="s">
        <v>1724</v>
      </c>
      <c r="E2283" s="24" t="s">
        <v>1723</v>
      </c>
      <c r="F2283" s="24" t="s">
        <v>1727</v>
      </c>
      <c r="G2283" s="69" t="s">
        <v>1728</v>
      </c>
      <c r="H2283" s="24">
        <v>4</v>
      </c>
      <c r="I2283" s="69"/>
      <c r="J2283" s="24" t="s">
        <v>8678</v>
      </c>
      <c r="K2283" s="24" t="s">
        <v>68</v>
      </c>
      <c r="M2283" s="75" t="s">
        <v>65</v>
      </c>
      <c r="N2283" s="75" t="s">
        <v>2015</v>
      </c>
      <c r="O2283" s="75"/>
      <c r="P2283" s="75"/>
      <c r="Q2283" s="75" t="s">
        <v>66</v>
      </c>
      <c r="R2283" s="75"/>
      <c r="Z2283" s="69"/>
      <c r="AA2283" s="69"/>
      <c r="AB2283" s="69" t="s">
        <v>2908</v>
      </c>
      <c r="AC2283" s="69"/>
    </row>
    <row r="2284" spans="1:31" s="26" customFormat="1" x14ac:dyDescent="0.3">
      <c r="A2284" s="25" t="s">
        <v>8679</v>
      </c>
      <c r="B2284" s="25"/>
      <c r="C2284" s="26" t="s">
        <v>3005</v>
      </c>
      <c r="D2284" s="70"/>
      <c r="G2284" s="70" t="s">
        <v>1728</v>
      </c>
      <c r="H2284" s="26">
        <v>1</v>
      </c>
      <c r="I2284" s="70" t="s">
        <v>5898</v>
      </c>
      <c r="J2284" s="26" t="s">
        <v>8678</v>
      </c>
      <c r="K2284" s="26" t="s">
        <v>8680</v>
      </c>
      <c r="L2284" s="26" t="s">
        <v>10393</v>
      </c>
      <c r="M2284" s="76"/>
      <c r="N2284" s="76"/>
      <c r="O2284" s="76"/>
      <c r="P2284" s="76"/>
      <c r="Q2284" s="76"/>
      <c r="R2284" s="76"/>
      <c r="Z2284" s="70"/>
      <c r="AA2284" s="70"/>
      <c r="AB2284" s="70"/>
      <c r="AC2284" s="70"/>
    </row>
    <row r="2285" spans="1:31" s="26" customFormat="1" x14ac:dyDescent="0.3">
      <c r="A2285" s="25" t="s">
        <v>8681</v>
      </c>
      <c r="B2285" s="25"/>
      <c r="C2285" s="26" t="s">
        <v>3005</v>
      </c>
      <c r="D2285" s="70"/>
      <c r="G2285" s="70" t="s">
        <v>1728</v>
      </c>
      <c r="H2285" s="26">
        <v>1</v>
      </c>
      <c r="I2285" s="70" t="s">
        <v>8682</v>
      </c>
      <c r="J2285" s="26" t="s">
        <v>8683</v>
      </c>
      <c r="K2285" s="26" t="s">
        <v>8684</v>
      </c>
      <c r="L2285" s="26" t="s">
        <v>11066</v>
      </c>
      <c r="M2285" s="76"/>
      <c r="N2285" s="76"/>
      <c r="O2285" s="76"/>
      <c r="P2285" s="76"/>
      <c r="Q2285" s="76"/>
      <c r="R2285" s="76"/>
      <c r="Z2285" s="70"/>
      <c r="AA2285" s="70"/>
      <c r="AB2285" s="70"/>
      <c r="AC2285" s="70"/>
    </row>
    <row r="2286" spans="1:31" s="26" customFormat="1" x14ac:dyDescent="0.3">
      <c r="A2286" s="25" t="s">
        <v>8685</v>
      </c>
      <c r="B2286" s="25"/>
      <c r="C2286" s="26" t="s">
        <v>3005</v>
      </c>
      <c r="D2286" s="70"/>
      <c r="G2286" s="70" t="s">
        <v>1728</v>
      </c>
      <c r="H2286" s="26">
        <v>1</v>
      </c>
      <c r="I2286" s="70" t="s">
        <v>8686</v>
      </c>
      <c r="J2286" s="26" t="s">
        <v>4244</v>
      </c>
      <c r="K2286" s="26" t="s">
        <v>8687</v>
      </c>
      <c r="L2286" s="26" t="s">
        <v>11067</v>
      </c>
      <c r="M2286" s="76"/>
      <c r="N2286" s="76"/>
      <c r="O2286" s="76"/>
      <c r="P2286" s="76"/>
      <c r="Q2286" s="76"/>
      <c r="R2286" s="76"/>
      <c r="Z2286" s="70"/>
      <c r="AA2286" s="70"/>
      <c r="AB2286" s="70"/>
      <c r="AC2286" s="70"/>
    </row>
    <row r="2287" spans="1:31" s="26" customFormat="1" x14ac:dyDescent="0.3">
      <c r="A2287" s="25" t="s">
        <v>8688</v>
      </c>
      <c r="B2287" s="25"/>
      <c r="C2287" s="26" t="s">
        <v>3005</v>
      </c>
      <c r="D2287" s="70"/>
      <c r="G2287" s="70" t="s">
        <v>1728</v>
      </c>
      <c r="H2287" s="26">
        <v>1</v>
      </c>
      <c r="I2287" s="70" t="s">
        <v>7156</v>
      </c>
      <c r="J2287" s="26" t="s">
        <v>5080</v>
      </c>
      <c r="K2287" s="26" t="s">
        <v>8689</v>
      </c>
      <c r="M2287" s="76"/>
      <c r="N2287" s="76"/>
      <c r="O2287" s="76"/>
      <c r="P2287" s="76"/>
      <c r="Q2287" s="76"/>
      <c r="R2287" s="76"/>
      <c r="T2287" s="26" t="s">
        <v>2254</v>
      </c>
      <c r="Y2287" s="26" t="s">
        <v>8690</v>
      </c>
      <c r="Z2287" s="70"/>
      <c r="AA2287" s="70"/>
      <c r="AB2287" s="70" t="s">
        <v>8691</v>
      </c>
      <c r="AC2287" s="70"/>
      <c r="AE2287" s="26" t="s">
        <v>8692</v>
      </c>
    </row>
    <row r="2288" spans="1:31" s="24" customFormat="1" x14ac:dyDescent="0.3">
      <c r="A2288" s="23">
        <v>594</v>
      </c>
      <c r="B2288" s="23">
        <v>589</v>
      </c>
      <c r="C2288" s="24" t="s">
        <v>2165</v>
      </c>
      <c r="D2288" s="69" t="s">
        <v>1724</v>
      </c>
      <c r="E2288" s="24" t="s">
        <v>1723</v>
      </c>
      <c r="F2288" s="24" t="s">
        <v>1729</v>
      </c>
      <c r="G2288" s="69" t="s">
        <v>1730</v>
      </c>
      <c r="I2288" s="69"/>
      <c r="J2288" s="24" t="s">
        <v>5085</v>
      </c>
      <c r="K2288" s="24" t="s">
        <v>68</v>
      </c>
      <c r="L2288" s="24" t="s">
        <v>9903</v>
      </c>
      <c r="M2288" s="75" t="s">
        <v>65</v>
      </c>
      <c r="N2288" s="75" t="s">
        <v>2015</v>
      </c>
      <c r="O2288" s="75"/>
      <c r="P2288" s="75"/>
      <c r="Q2288" s="75"/>
      <c r="R2288" s="75"/>
      <c r="Z2288" s="69"/>
      <c r="AA2288" s="69"/>
      <c r="AB2288" s="69" t="s">
        <v>2909</v>
      </c>
      <c r="AC2288" s="69"/>
    </row>
    <row r="2289" spans="1:31" s="24" customFormat="1" x14ac:dyDescent="0.3">
      <c r="A2289" s="23">
        <v>595</v>
      </c>
      <c r="B2289" s="23">
        <v>590</v>
      </c>
      <c r="C2289" s="24" t="s">
        <v>2165</v>
      </c>
      <c r="D2289" s="69" t="s">
        <v>1724</v>
      </c>
      <c r="E2289" s="24" t="s">
        <v>1723</v>
      </c>
      <c r="F2289" s="24" t="s">
        <v>1731</v>
      </c>
      <c r="G2289" s="69" t="s">
        <v>1732</v>
      </c>
      <c r="I2289" s="69"/>
      <c r="J2289" s="24" t="s">
        <v>5303</v>
      </c>
      <c r="K2289" s="24" t="s">
        <v>68</v>
      </c>
      <c r="L2289" s="24" t="s">
        <v>9904</v>
      </c>
      <c r="M2289" s="75" t="s">
        <v>65</v>
      </c>
      <c r="N2289" s="75" t="s">
        <v>2027</v>
      </c>
      <c r="O2289" s="75" t="s">
        <v>67</v>
      </c>
      <c r="P2289" s="75" t="s">
        <v>67</v>
      </c>
      <c r="Q2289" s="75" t="s">
        <v>67</v>
      </c>
      <c r="R2289" s="75"/>
      <c r="Z2289" s="69"/>
      <c r="AA2289" s="69"/>
      <c r="AB2289" s="69" t="s">
        <v>2910</v>
      </c>
      <c r="AC2289" s="69"/>
    </row>
    <row r="2290" spans="1:31" s="24" customFormat="1" x14ac:dyDescent="0.3">
      <c r="A2290" s="23">
        <v>596</v>
      </c>
      <c r="B2290" s="23">
        <v>591</v>
      </c>
      <c r="C2290" s="24" t="s">
        <v>2165</v>
      </c>
      <c r="D2290" s="69" t="s">
        <v>1724</v>
      </c>
      <c r="E2290" s="24" t="s">
        <v>1723</v>
      </c>
      <c r="F2290" s="24" t="s">
        <v>1733</v>
      </c>
      <c r="G2290" s="69" t="s">
        <v>1734</v>
      </c>
      <c r="I2290" s="69"/>
      <c r="J2290" s="24" t="s">
        <v>8693</v>
      </c>
      <c r="K2290" s="24" t="s">
        <v>1735</v>
      </c>
      <c r="L2290" s="24" t="s">
        <v>9905</v>
      </c>
      <c r="M2290" s="75" t="s">
        <v>50</v>
      </c>
      <c r="N2290" s="75"/>
      <c r="O2290" s="75"/>
      <c r="P2290" s="75"/>
      <c r="Q2290" s="75"/>
      <c r="R2290" s="75"/>
      <c r="U2290" s="24" t="s">
        <v>2911</v>
      </c>
      <c r="W2290" s="24" t="s">
        <v>2912</v>
      </c>
      <c r="Z2290" s="69"/>
      <c r="AA2290" s="69"/>
      <c r="AB2290" s="69"/>
      <c r="AC2290" s="69"/>
    </row>
    <row r="2291" spans="1:31" s="24" customFormat="1" x14ac:dyDescent="0.3">
      <c r="A2291" s="23">
        <v>597</v>
      </c>
      <c r="B2291" s="23">
        <v>592</v>
      </c>
      <c r="C2291" s="24" t="s">
        <v>2165</v>
      </c>
      <c r="D2291" s="69" t="s">
        <v>1724</v>
      </c>
      <c r="E2291" s="24" t="s">
        <v>1723</v>
      </c>
      <c r="F2291" s="24" t="s">
        <v>1736</v>
      </c>
      <c r="G2291" s="69" t="s">
        <v>1737</v>
      </c>
      <c r="I2291" s="69"/>
      <c r="J2291" s="24" t="s">
        <v>3298</v>
      </c>
      <c r="K2291" s="24" t="s">
        <v>1738</v>
      </c>
      <c r="M2291" s="75" t="s">
        <v>50</v>
      </c>
      <c r="N2291" s="75"/>
      <c r="O2291" s="75"/>
      <c r="P2291" s="75"/>
      <c r="Q2291" s="75"/>
      <c r="R2291" s="75" t="s">
        <v>2166</v>
      </c>
      <c r="Z2291" s="69"/>
      <c r="AA2291" s="69"/>
      <c r="AB2291" s="69"/>
      <c r="AC2291" s="69"/>
    </row>
    <row r="2292" spans="1:31" s="26" customFormat="1" x14ac:dyDescent="0.3">
      <c r="A2292" s="25" t="s">
        <v>8694</v>
      </c>
      <c r="B2292" s="25"/>
      <c r="C2292" s="26" t="s">
        <v>3005</v>
      </c>
      <c r="D2292" s="70"/>
      <c r="G2292" s="70" t="s">
        <v>1737</v>
      </c>
      <c r="H2292" s="26">
        <v>-1</v>
      </c>
      <c r="I2292" s="70" t="s">
        <v>4544</v>
      </c>
      <c r="J2292" s="26" t="s">
        <v>3298</v>
      </c>
      <c r="K2292" s="26" t="s">
        <v>8695</v>
      </c>
      <c r="L2292" s="26" t="s">
        <v>11068</v>
      </c>
      <c r="M2292" s="76"/>
      <c r="N2292" s="76"/>
      <c r="O2292" s="76"/>
      <c r="P2292" s="76"/>
      <c r="Q2292" s="76"/>
      <c r="R2292" s="76"/>
      <c r="U2292" s="26" t="s">
        <v>8696</v>
      </c>
      <c r="Z2292" s="70"/>
      <c r="AA2292" s="70"/>
      <c r="AB2292" s="70"/>
      <c r="AC2292" s="70"/>
    </row>
    <row r="2293" spans="1:31" s="26" customFormat="1" x14ac:dyDescent="0.3">
      <c r="A2293" s="25" t="s">
        <v>8697</v>
      </c>
      <c r="B2293" s="25"/>
      <c r="C2293" s="26" t="s">
        <v>3005</v>
      </c>
      <c r="D2293" s="70"/>
      <c r="G2293" s="70" t="s">
        <v>1737</v>
      </c>
      <c r="H2293" s="26">
        <v>-1</v>
      </c>
      <c r="I2293" s="70" t="s">
        <v>8698</v>
      </c>
      <c r="J2293" s="26" t="s">
        <v>8699</v>
      </c>
      <c r="K2293" s="26" t="s">
        <v>8700</v>
      </c>
      <c r="L2293" s="26" t="s">
        <v>11069</v>
      </c>
      <c r="M2293" s="76"/>
      <c r="N2293" s="76"/>
      <c r="O2293" s="76"/>
      <c r="P2293" s="76"/>
      <c r="Q2293" s="76"/>
      <c r="R2293" s="76"/>
      <c r="Z2293" s="70"/>
      <c r="AA2293" s="70"/>
      <c r="AB2293" s="70"/>
      <c r="AC2293" s="70"/>
    </row>
    <row r="2294" spans="1:31" s="26" customFormat="1" x14ac:dyDescent="0.3">
      <c r="A2294" s="25" t="s">
        <v>8701</v>
      </c>
      <c r="B2294" s="25"/>
      <c r="C2294" s="26" t="s">
        <v>3005</v>
      </c>
      <c r="D2294" s="70"/>
      <c r="G2294" s="70" t="s">
        <v>1737</v>
      </c>
      <c r="H2294" s="26">
        <v>-1</v>
      </c>
      <c r="I2294" s="70" t="s">
        <v>8702</v>
      </c>
      <c r="J2294" s="26" t="s">
        <v>8703</v>
      </c>
      <c r="K2294" s="26" t="s">
        <v>8704</v>
      </c>
      <c r="L2294" s="26" t="s">
        <v>11070</v>
      </c>
      <c r="M2294" s="76"/>
      <c r="N2294" s="76"/>
      <c r="O2294" s="76"/>
      <c r="P2294" s="76"/>
      <c r="Q2294" s="76"/>
      <c r="R2294" s="76"/>
      <c r="U2294" s="26" t="s">
        <v>8705</v>
      </c>
      <c r="Z2294" s="70"/>
      <c r="AA2294" s="70"/>
      <c r="AB2294" s="70"/>
      <c r="AC2294" s="70"/>
    </row>
    <row r="2295" spans="1:31" s="26" customFormat="1" x14ac:dyDescent="0.3">
      <c r="A2295" s="25" t="s">
        <v>8706</v>
      </c>
      <c r="B2295" s="25"/>
      <c r="C2295" s="26" t="s">
        <v>3005</v>
      </c>
      <c r="D2295" s="70"/>
      <c r="G2295" s="70" t="s">
        <v>1737</v>
      </c>
      <c r="H2295" s="26">
        <v>-1</v>
      </c>
      <c r="I2295" s="70" t="s">
        <v>8707</v>
      </c>
      <c r="J2295" s="26" t="s">
        <v>8699</v>
      </c>
      <c r="K2295" s="26" t="s">
        <v>8708</v>
      </c>
      <c r="L2295" s="26" t="s">
        <v>11071</v>
      </c>
      <c r="M2295" s="76"/>
      <c r="N2295" s="76"/>
      <c r="O2295" s="76"/>
      <c r="P2295" s="76"/>
      <c r="Q2295" s="76"/>
      <c r="R2295" s="76"/>
      <c r="U2295" s="26" t="s">
        <v>5983</v>
      </c>
      <c r="Z2295" s="70"/>
      <c r="AA2295" s="70"/>
      <c r="AB2295" s="70"/>
      <c r="AC2295" s="70"/>
    </row>
    <row r="2296" spans="1:31" s="24" customFormat="1" x14ac:dyDescent="0.3">
      <c r="A2296" s="23">
        <v>598</v>
      </c>
      <c r="B2296" s="23">
        <v>593</v>
      </c>
      <c r="C2296" s="24" t="s">
        <v>2165</v>
      </c>
      <c r="D2296" s="69" t="s">
        <v>1724</v>
      </c>
      <c r="E2296" s="24" t="s">
        <v>1723</v>
      </c>
      <c r="F2296" s="24" t="s">
        <v>1739</v>
      </c>
      <c r="G2296" s="69" t="s">
        <v>1740</v>
      </c>
      <c r="I2296" s="69"/>
      <c r="J2296" s="24" t="s">
        <v>8709</v>
      </c>
      <c r="K2296" s="24" t="s">
        <v>1741</v>
      </c>
      <c r="M2296" s="75" t="s">
        <v>50</v>
      </c>
      <c r="N2296" s="75"/>
      <c r="O2296" s="75"/>
      <c r="P2296" s="75"/>
      <c r="Q2296" s="75"/>
      <c r="R2296" s="75"/>
      <c r="T2296" s="24" t="s">
        <v>2330</v>
      </c>
      <c r="Z2296" s="69"/>
      <c r="AA2296" s="69"/>
      <c r="AB2296" s="69"/>
      <c r="AC2296" s="69"/>
      <c r="AE2296" s="24" t="s">
        <v>2913</v>
      </c>
    </row>
    <row r="2297" spans="1:31" s="26" customFormat="1" x14ac:dyDescent="0.3">
      <c r="A2297" s="25" t="s">
        <v>8710</v>
      </c>
      <c r="B2297" s="25"/>
      <c r="C2297" s="26" t="s">
        <v>3005</v>
      </c>
      <c r="D2297" s="70"/>
      <c r="G2297" s="70" t="s">
        <v>1740</v>
      </c>
      <c r="H2297" s="26">
        <v>-1</v>
      </c>
      <c r="I2297" s="70" t="s">
        <v>3167</v>
      </c>
      <c r="J2297" s="26" t="s">
        <v>8709</v>
      </c>
      <c r="K2297" s="26" t="s">
        <v>8711</v>
      </c>
      <c r="L2297" s="26" t="s">
        <v>11072</v>
      </c>
      <c r="M2297" s="76"/>
      <c r="N2297" s="76"/>
      <c r="O2297" s="76"/>
      <c r="P2297" s="76"/>
      <c r="Q2297" s="76"/>
      <c r="R2297" s="76"/>
      <c r="U2297" s="26" t="s">
        <v>7694</v>
      </c>
      <c r="Z2297" s="70"/>
      <c r="AA2297" s="70"/>
      <c r="AB2297" s="70"/>
      <c r="AC2297" s="70"/>
    </row>
    <row r="2298" spans="1:31" s="26" customFormat="1" x14ac:dyDescent="0.3">
      <c r="A2298" s="25" t="s">
        <v>8712</v>
      </c>
      <c r="B2298" s="25"/>
      <c r="C2298" s="26" t="s">
        <v>3005</v>
      </c>
      <c r="D2298" s="70"/>
      <c r="G2298" s="70" t="s">
        <v>1740</v>
      </c>
      <c r="H2298" s="26">
        <v>-1</v>
      </c>
      <c r="I2298" s="70" t="s">
        <v>8713</v>
      </c>
      <c r="J2298" s="26" t="s">
        <v>3954</v>
      </c>
      <c r="K2298" s="26" t="s">
        <v>8714</v>
      </c>
      <c r="M2298" s="76"/>
      <c r="N2298" s="76"/>
      <c r="O2298" s="76"/>
      <c r="P2298" s="76"/>
      <c r="Q2298" s="76"/>
      <c r="R2298" s="76"/>
      <c r="T2298" s="26" t="s">
        <v>2254</v>
      </c>
      <c r="U2298" s="26" t="s">
        <v>8715</v>
      </c>
      <c r="Z2298" s="70"/>
      <c r="AA2298" s="70"/>
      <c r="AB2298" s="70"/>
      <c r="AC2298" s="70"/>
      <c r="AE2298" s="26" t="s">
        <v>8716</v>
      </c>
    </row>
    <row r="2299" spans="1:31" s="26" customFormat="1" x14ac:dyDescent="0.3">
      <c r="A2299" s="25" t="s">
        <v>8717</v>
      </c>
      <c r="B2299" s="25"/>
      <c r="C2299" s="26" t="s">
        <v>3005</v>
      </c>
      <c r="D2299" s="70"/>
      <c r="G2299" s="70" t="s">
        <v>1740</v>
      </c>
      <c r="H2299" s="26">
        <v>-1</v>
      </c>
      <c r="I2299" s="70" t="s">
        <v>8718</v>
      </c>
      <c r="J2299" s="26" t="s">
        <v>8719</v>
      </c>
      <c r="K2299" s="26" t="s">
        <v>8720</v>
      </c>
      <c r="L2299" s="26" t="s">
        <v>11073</v>
      </c>
      <c r="M2299" s="76"/>
      <c r="N2299" s="76"/>
      <c r="O2299" s="76"/>
      <c r="P2299" s="76"/>
      <c r="Q2299" s="76"/>
      <c r="R2299" s="76"/>
      <c r="T2299" s="26" t="s">
        <v>2254</v>
      </c>
      <c r="Z2299" s="70"/>
      <c r="AA2299" s="70"/>
      <c r="AB2299" s="70"/>
      <c r="AC2299" s="70"/>
      <c r="AE2299" s="26" t="s">
        <v>8721</v>
      </c>
    </row>
    <row r="2300" spans="1:31" s="24" customFormat="1" x14ac:dyDescent="0.3">
      <c r="A2300" s="23">
        <v>599</v>
      </c>
      <c r="B2300" s="23">
        <v>594</v>
      </c>
      <c r="C2300" s="24" t="s">
        <v>2165</v>
      </c>
      <c r="D2300" s="69" t="s">
        <v>1724</v>
      </c>
      <c r="E2300" s="24" t="s">
        <v>1723</v>
      </c>
      <c r="F2300" s="24" t="s">
        <v>1742</v>
      </c>
      <c r="G2300" s="69" t="s">
        <v>1743</v>
      </c>
      <c r="I2300" s="69"/>
      <c r="J2300" s="24" t="s">
        <v>8722</v>
      </c>
      <c r="K2300" s="24" t="s">
        <v>68</v>
      </c>
      <c r="L2300" s="24" t="s">
        <v>9906</v>
      </c>
      <c r="M2300" s="75" t="s">
        <v>65</v>
      </c>
      <c r="N2300" s="75" t="s">
        <v>2015</v>
      </c>
      <c r="O2300" s="75" t="s">
        <v>66</v>
      </c>
      <c r="P2300" s="75" t="s">
        <v>66</v>
      </c>
      <c r="Q2300" s="75" t="s">
        <v>67</v>
      </c>
      <c r="R2300" s="75"/>
      <c r="Z2300" s="69"/>
      <c r="AA2300" s="69"/>
      <c r="AB2300" s="69"/>
      <c r="AC2300" s="69"/>
    </row>
    <row r="2301" spans="1:31" s="24" customFormat="1" x14ac:dyDescent="0.3">
      <c r="A2301" s="23">
        <v>600</v>
      </c>
      <c r="B2301" s="23">
        <v>595</v>
      </c>
      <c r="C2301" s="24" t="s">
        <v>2165</v>
      </c>
      <c r="D2301" s="69" t="s">
        <v>1724</v>
      </c>
      <c r="E2301" s="24" t="s">
        <v>1723</v>
      </c>
      <c r="F2301" s="24" t="s">
        <v>1744</v>
      </c>
      <c r="G2301" s="69" t="s">
        <v>1745</v>
      </c>
      <c r="I2301" s="69"/>
      <c r="J2301" s="24" t="s">
        <v>8723</v>
      </c>
      <c r="K2301" s="24" t="s">
        <v>1746</v>
      </c>
      <c r="L2301" s="24" t="s">
        <v>9907</v>
      </c>
      <c r="M2301" s="75" t="s">
        <v>50</v>
      </c>
      <c r="N2301" s="75"/>
      <c r="O2301" s="75"/>
      <c r="P2301" s="75"/>
      <c r="Q2301" s="75"/>
      <c r="R2301" s="75"/>
      <c r="U2301" s="24" t="s">
        <v>2788</v>
      </c>
      <c r="Z2301" s="69"/>
      <c r="AA2301" s="69"/>
      <c r="AB2301" s="69"/>
      <c r="AC2301" s="69"/>
    </row>
    <row r="2302" spans="1:31" s="24" customFormat="1" x14ac:dyDescent="0.3">
      <c r="A2302" s="23">
        <v>601</v>
      </c>
      <c r="B2302" s="23">
        <v>596</v>
      </c>
      <c r="C2302" s="24" t="s">
        <v>2165</v>
      </c>
      <c r="D2302" s="69" t="s">
        <v>1724</v>
      </c>
      <c r="E2302" s="24" t="s">
        <v>1723</v>
      </c>
      <c r="F2302" s="24" t="s">
        <v>1747</v>
      </c>
      <c r="G2302" s="69" t="s">
        <v>1748</v>
      </c>
      <c r="H2302" s="24">
        <v>2</v>
      </c>
      <c r="I2302" s="69"/>
      <c r="J2302" s="24" t="s">
        <v>7370</v>
      </c>
      <c r="K2302" s="24" t="s">
        <v>68</v>
      </c>
      <c r="M2302" s="75" t="s">
        <v>65</v>
      </c>
      <c r="N2302" s="75" t="s">
        <v>2019</v>
      </c>
      <c r="O2302" s="75" t="s">
        <v>58</v>
      </c>
      <c r="P2302" s="75" t="s">
        <v>58</v>
      </c>
      <c r="Q2302" s="75"/>
      <c r="R2302" s="75"/>
      <c r="V2302" s="24" t="s">
        <v>2914</v>
      </c>
      <c r="W2302" s="24" t="s">
        <v>2914</v>
      </c>
      <c r="Y2302" s="24" t="s">
        <v>2915</v>
      </c>
      <c r="Z2302" s="69"/>
      <c r="AA2302" s="69"/>
      <c r="AB2302" s="69"/>
      <c r="AC2302" s="69"/>
    </row>
    <row r="2303" spans="1:31" s="26" customFormat="1" x14ac:dyDescent="0.3">
      <c r="A2303" s="25" t="s">
        <v>8724</v>
      </c>
      <c r="B2303" s="25"/>
      <c r="C2303" s="26" t="s">
        <v>3005</v>
      </c>
      <c r="D2303" s="70"/>
      <c r="G2303" s="70" t="s">
        <v>1748</v>
      </c>
      <c r="H2303" s="26">
        <v>1</v>
      </c>
      <c r="I2303" s="70" t="s">
        <v>8725</v>
      </c>
      <c r="J2303" s="26" t="s">
        <v>7370</v>
      </c>
      <c r="K2303" s="26" t="s">
        <v>7826</v>
      </c>
      <c r="M2303" s="76"/>
      <c r="N2303" s="76"/>
      <c r="O2303" s="76"/>
      <c r="P2303" s="76"/>
      <c r="Q2303" s="76"/>
      <c r="R2303" s="76"/>
      <c r="Z2303" s="70"/>
      <c r="AA2303" s="70"/>
      <c r="AB2303" s="70"/>
      <c r="AC2303" s="70"/>
    </row>
    <row r="2304" spans="1:31" s="26" customFormat="1" x14ac:dyDescent="0.3">
      <c r="A2304" s="25" t="s">
        <v>8726</v>
      </c>
      <c r="B2304" s="25"/>
      <c r="C2304" s="26" t="s">
        <v>3005</v>
      </c>
      <c r="D2304" s="70"/>
      <c r="G2304" s="70" t="s">
        <v>1748</v>
      </c>
      <c r="H2304" s="26">
        <v>1</v>
      </c>
      <c r="I2304" s="70" t="s">
        <v>8727</v>
      </c>
      <c r="J2304" s="26" t="s">
        <v>5353</v>
      </c>
      <c r="K2304" s="26" t="s">
        <v>8309</v>
      </c>
      <c r="M2304" s="76"/>
      <c r="N2304" s="76"/>
      <c r="O2304" s="76"/>
      <c r="P2304" s="76"/>
      <c r="Q2304" s="76"/>
      <c r="R2304" s="76"/>
      <c r="Y2304" s="26" t="s">
        <v>8728</v>
      </c>
      <c r="Z2304" s="70"/>
      <c r="AA2304" s="70"/>
      <c r="AB2304" s="70" t="s">
        <v>8729</v>
      </c>
      <c r="AC2304" s="70"/>
    </row>
    <row r="2305" spans="1:30" s="24" customFormat="1" x14ac:dyDescent="0.3">
      <c r="A2305" s="23">
        <v>602</v>
      </c>
      <c r="B2305" s="23">
        <v>597</v>
      </c>
      <c r="C2305" s="24" t="s">
        <v>2165</v>
      </c>
      <c r="D2305" s="69" t="s">
        <v>1724</v>
      </c>
      <c r="E2305" s="24" t="s">
        <v>1723</v>
      </c>
      <c r="F2305" s="24" t="s">
        <v>1749</v>
      </c>
      <c r="G2305" s="69" t="s">
        <v>1750</v>
      </c>
      <c r="I2305" s="69"/>
      <c r="J2305" s="24" t="s">
        <v>6290</v>
      </c>
      <c r="K2305" s="24" t="s">
        <v>68</v>
      </c>
      <c r="L2305" s="24" t="s">
        <v>9908</v>
      </c>
      <c r="M2305" s="75" t="s">
        <v>65</v>
      </c>
      <c r="N2305" s="75" t="s">
        <v>2030</v>
      </c>
      <c r="O2305" s="75" t="s">
        <v>58</v>
      </c>
      <c r="P2305" s="75" t="s">
        <v>58</v>
      </c>
      <c r="Q2305" s="75"/>
      <c r="R2305" s="75"/>
      <c r="Y2305" s="24" t="s">
        <v>2916</v>
      </c>
      <c r="Z2305" s="69"/>
      <c r="AA2305" s="69"/>
      <c r="AB2305" s="69"/>
      <c r="AC2305" s="69"/>
      <c r="AD2305" s="24" t="s">
        <v>123</v>
      </c>
    </row>
    <row r="2306" spans="1:30" s="24" customFormat="1" x14ac:dyDescent="0.3">
      <c r="A2306" s="23">
        <v>603</v>
      </c>
      <c r="B2306" s="23">
        <v>598</v>
      </c>
      <c r="C2306" s="24" t="s">
        <v>2165</v>
      </c>
      <c r="D2306" s="69" t="s">
        <v>1724</v>
      </c>
      <c r="E2306" s="24" t="s">
        <v>1723</v>
      </c>
      <c r="F2306" s="24" t="s">
        <v>1751</v>
      </c>
      <c r="G2306" s="69" t="s">
        <v>1752</v>
      </c>
      <c r="H2306" s="24">
        <v>4</v>
      </c>
      <c r="I2306" s="69"/>
      <c r="J2306" s="24" t="s">
        <v>3364</v>
      </c>
      <c r="K2306" s="24" t="s">
        <v>1266</v>
      </c>
      <c r="M2306" s="75" t="s">
        <v>15</v>
      </c>
      <c r="N2306" s="75"/>
      <c r="O2306" s="75"/>
      <c r="P2306" s="75"/>
      <c r="Q2306" s="75"/>
      <c r="R2306" s="75"/>
      <c r="Y2306" s="24" t="s">
        <v>2917</v>
      </c>
      <c r="Z2306" s="69"/>
      <c r="AA2306" s="69"/>
      <c r="AB2306" s="69"/>
      <c r="AC2306" s="69"/>
    </row>
    <row r="2307" spans="1:30" s="26" customFormat="1" x14ac:dyDescent="0.3">
      <c r="A2307" s="25" t="s">
        <v>8730</v>
      </c>
      <c r="B2307" s="25"/>
      <c r="C2307" s="26" t="s">
        <v>3005</v>
      </c>
      <c r="D2307" s="70"/>
      <c r="G2307" s="70" t="s">
        <v>1752</v>
      </c>
      <c r="H2307" s="26">
        <v>-1</v>
      </c>
      <c r="I2307" s="70" t="s">
        <v>6119</v>
      </c>
      <c r="J2307" s="26" t="s">
        <v>3364</v>
      </c>
      <c r="K2307" s="26" t="s">
        <v>7199</v>
      </c>
      <c r="L2307" s="26" t="s">
        <v>11074</v>
      </c>
      <c r="M2307" s="76"/>
      <c r="N2307" s="76"/>
      <c r="O2307" s="76"/>
      <c r="P2307" s="76"/>
      <c r="Q2307" s="76"/>
      <c r="R2307" s="76"/>
      <c r="Z2307" s="70"/>
      <c r="AA2307" s="70"/>
      <c r="AB2307" s="70"/>
      <c r="AC2307" s="70"/>
    </row>
    <row r="2308" spans="1:30" s="26" customFormat="1" x14ac:dyDescent="0.3">
      <c r="A2308" s="25" t="s">
        <v>8731</v>
      </c>
      <c r="B2308" s="25"/>
      <c r="C2308" s="26" t="s">
        <v>3005</v>
      </c>
      <c r="D2308" s="70"/>
      <c r="G2308" s="70" t="s">
        <v>1752</v>
      </c>
      <c r="H2308" s="26">
        <v>-1</v>
      </c>
      <c r="I2308" s="70" t="s">
        <v>4887</v>
      </c>
      <c r="J2308" s="26" t="s">
        <v>8732</v>
      </c>
      <c r="K2308" s="26" t="s">
        <v>8733</v>
      </c>
      <c r="L2308" s="26" t="s">
        <v>11075</v>
      </c>
      <c r="M2308" s="76"/>
      <c r="N2308" s="76"/>
      <c r="O2308" s="76"/>
      <c r="P2308" s="76"/>
      <c r="Q2308" s="76"/>
      <c r="R2308" s="76"/>
      <c r="Z2308" s="70"/>
      <c r="AA2308" s="70"/>
      <c r="AB2308" s="70"/>
      <c r="AC2308" s="70"/>
    </row>
    <row r="2309" spans="1:30" s="26" customFormat="1" x14ac:dyDescent="0.3">
      <c r="A2309" s="25" t="s">
        <v>8734</v>
      </c>
      <c r="B2309" s="25"/>
      <c r="C2309" s="26" t="s">
        <v>3005</v>
      </c>
      <c r="D2309" s="70"/>
      <c r="G2309" s="70" t="s">
        <v>1752</v>
      </c>
      <c r="H2309" s="26">
        <v>-1</v>
      </c>
      <c r="I2309" s="70" t="s">
        <v>3417</v>
      </c>
      <c r="J2309" s="26" t="s">
        <v>8735</v>
      </c>
      <c r="K2309" s="26" t="s">
        <v>5614</v>
      </c>
      <c r="L2309" s="26" t="s">
        <v>11076</v>
      </c>
      <c r="M2309" s="76"/>
      <c r="N2309" s="76"/>
      <c r="O2309" s="76"/>
      <c r="P2309" s="76"/>
      <c r="Q2309" s="76"/>
      <c r="R2309" s="76"/>
      <c r="Z2309" s="70"/>
      <c r="AA2309" s="70"/>
      <c r="AB2309" s="70"/>
      <c r="AC2309" s="70"/>
    </row>
    <row r="2310" spans="1:30" s="26" customFormat="1" x14ac:dyDescent="0.3">
      <c r="A2310" s="25" t="s">
        <v>8736</v>
      </c>
      <c r="B2310" s="25"/>
      <c r="C2310" s="26" t="s">
        <v>3005</v>
      </c>
      <c r="D2310" s="70"/>
      <c r="G2310" s="70" t="s">
        <v>1752</v>
      </c>
      <c r="H2310" s="26">
        <v>-1</v>
      </c>
      <c r="I2310" s="70" t="s">
        <v>7206</v>
      </c>
      <c r="J2310" s="26" t="s">
        <v>5154</v>
      </c>
      <c r="K2310" s="26" t="s">
        <v>8737</v>
      </c>
      <c r="L2310" s="26" t="s">
        <v>11077</v>
      </c>
      <c r="M2310" s="76"/>
      <c r="N2310" s="76"/>
      <c r="O2310" s="76"/>
      <c r="P2310" s="76"/>
      <c r="Q2310" s="76"/>
      <c r="R2310" s="76"/>
      <c r="Z2310" s="70"/>
      <c r="AA2310" s="70"/>
      <c r="AB2310" s="70"/>
      <c r="AC2310" s="70"/>
    </row>
    <row r="2311" spans="1:30" s="26" customFormat="1" x14ac:dyDescent="0.3">
      <c r="A2311" s="25" t="s">
        <v>8738</v>
      </c>
      <c r="B2311" s="25"/>
      <c r="C2311" s="26" t="s">
        <v>3005</v>
      </c>
      <c r="D2311" s="70"/>
      <c r="G2311" s="70" t="s">
        <v>1752</v>
      </c>
      <c r="H2311" s="26">
        <v>2</v>
      </c>
      <c r="I2311" s="70" t="s">
        <v>8739</v>
      </c>
      <c r="J2311" s="26" t="s">
        <v>8740</v>
      </c>
      <c r="K2311" s="26" t="s">
        <v>5976</v>
      </c>
      <c r="L2311" s="26" t="s">
        <v>10999</v>
      </c>
      <c r="M2311" s="76"/>
      <c r="N2311" s="76"/>
      <c r="O2311" s="76"/>
      <c r="P2311" s="76"/>
      <c r="Q2311" s="76"/>
      <c r="R2311" s="76"/>
      <c r="Z2311" s="70"/>
      <c r="AA2311" s="70"/>
      <c r="AB2311" s="70"/>
      <c r="AC2311" s="70"/>
    </row>
    <row r="2312" spans="1:30" s="26" customFormat="1" x14ac:dyDescent="0.3">
      <c r="A2312" s="25" t="s">
        <v>8741</v>
      </c>
      <c r="B2312" s="25"/>
      <c r="C2312" s="26" t="s">
        <v>3005</v>
      </c>
      <c r="D2312" s="70"/>
      <c r="G2312" s="70" t="s">
        <v>1752</v>
      </c>
      <c r="H2312" s="26">
        <v>3</v>
      </c>
      <c r="I2312" s="70" t="s">
        <v>8742</v>
      </c>
      <c r="J2312" s="26" t="s">
        <v>5638</v>
      </c>
      <c r="K2312" s="26" t="s">
        <v>5104</v>
      </c>
      <c r="L2312" s="26" t="s">
        <v>11078</v>
      </c>
      <c r="M2312" s="76"/>
      <c r="N2312" s="76"/>
      <c r="O2312" s="76"/>
      <c r="P2312" s="76"/>
      <c r="Q2312" s="76"/>
      <c r="R2312" s="76"/>
      <c r="Z2312" s="70"/>
      <c r="AA2312" s="70"/>
      <c r="AB2312" s="70"/>
      <c r="AC2312" s="70"/>
    </row>
    <row r="2313" spans="1:30" s="26" customFormat="1" x14ac:dyDescent="0.3">
      <c r="A2313" s="25" t="s">
        <v>8743</v>
      </c>
      <c r="B2313" s="25"/>
      <c r="C2313" s="26" t="s">
        <v>3005</v>
      </c>
      <c r="D2313" s="70"/>
      <c r="G2313" s="70" t="s">
        <v>1752</v>
      </c>
      <c r="H2313" s="26">
        <v>2</v>
      </c>
      <c r="I2313" s="70" t="s">
        <v>5319</v>
      </c>
      <c r="J2313" s="26" t="s">
        <v>5475</v>
      </c>
      <c r="K2313" s="26" t="s">
        <v>8744</v>
      </c>
      <c r="L2313" s="26" t="s">
        <v>11079</v>
      </c>
      <c r="M2313" s="76"/>
      <c r="N2313" s="76"/>
      <c r="O2313" s="76"/>
      <c r="P2313" s="76"/>
      <c r="Q2313" s="76"/>
      <c r="R2313" s="76"/>
      <c r="Z2313" s="70"/>
      <c r="AA2313" s="70"/>
      <c r="AB2313" s="70"/>
      <c r="AC2313" s="70"/>
    </row>
    <row r="2314" spans="1:30" s="26" customFormat="1" x14ac:dyDescent="0.3">
      <c r="A2314" s="25" t="s">
        <v>8745</v>
      </c>
      <c r="B2314" s="25"/>
      <c r="C2314" s="26" t="s">
        <v>3005</v>
      </c>
      <c r="D2314" s="70"/>
      <c r="G2314" s="70" t="s">
        <v>1752</v>
      </c>
      <c r="H2314" s="26">
        <v>3</v>
      </c>
      <c r="I2314" s="70" t="s">
        <v>5302</v>
      </c>
      <c r="J2314" s="26" t="s">
        <v>5307</v>
      </c>
      <c r="K2314" s="26" t="s">
        <v>6892</v>
      </c>
      <c r="L2314" s="26" t="s">
        <v>9796</v>
      </c>
      <c r="M2314" s="76"/>
      <c r="N2314" s="76"/>
      <c r="O2314" s="76"/>
      <c r="P2314" s="76"/>
      <c r="Q2314" s="76"/>
      <c r="R2314" s="76"/>
      <c r="Z2314" s="70"/>
      <c r="AA2314" s="70"/>
      <c r="AB2314" s="70"/>
      <c r="AC2314" s="70"/>
    </row>
    <row r="2315" spans="1:30" s="26" customFormat="1" x14ac:dyDescent="0.3">
      <c r="A2315" s="25" t="s">
        <v>8746</v>
      </c>
      <c r="B2315" s="25"/>
      <c r="C2315" s="26" t="s">
        <v>3005</v>
      </c>
      <c r="D2315" s="70"/>
      <c r="G2315" s="70" t="s">
        <v>1752</v>
      </c>
      <c r="H2315" s="26">
        <v>-1</v>
      </c>
      <c r="I2315" s="70" t="s">
        <v>8747</v>
      </c>
      <c r="J2315" s="26" t="s">
        <v>3426</v>
      </c>
      <c r="K2315" s="26" t="s">
        <v>8748</v>
      </c>
      <c r="M2315" s="76"/>
      <c r="N2315" s="76"/>
      <c r="O2315" s="76"/>
      <c r="P2315" s="76"/>
      <c r="Q2315" s="76"/>
      <c r="R2315" s="76"/>
      <c r="Z2315" s="70"/>
      <c r="AA2315" s="70"/>
      <c r="AB2315" s="70"/>
      <c r="AC2315" s="70"/>
    </row>
    <row r="2316" spans="1:30" s="26" customFormat="1" x14ac:dyDescent="0.3">
      <c r="A2316" s="25" t="s">
        <v>8749</v>
      </c>
      <c r="B2316" s="25"/>
      <c r="C2316" s="26" t="s">
        <v>3005</v>
      </c>
      <c r="D2316" s="70"/>
      <c r="G2316" s="70" t="s">
        <v>1752</v>
      </c>
      <c r="H2316" s="26">
        <v>-1</v>
      </c>
      <c r="I2316" s="70" t="s">
        <v>8750</v>
      </c>
      <c r="J2316" s="26" t="s">
        <v>8751</v>
      </c>
      <c r="K2316" s="26" t="s">
        <v>8752</v>
      </c>
      <c r="M2316" s="76"/>
      <c r="N2316" s="76"/>
      <c r="O2316" s="76"/>
      <c r="P2316" s="76"/>
      <c r="Q2316" s="76"/>
      <c r="R2316" s="76"/>
      <c r="Z2316" s="70"/>
      <c r="AA2316" s="70"/>
      <c r="AB2316" s="70"/>
      <c r="AC2316" s="70"/>
    </row>
    <row r="2317" spans="1:30" s="24" customFormat="1" x14ac:dyDescent="0.3">
      <c r="A2317" s="23">
        <v>604</v>
      </c>
      <c r="B2317" s="23">
        <v>599</v>
      </c>
      <c r="C2317" s="24" t="s">
        <v>2165</v>
      </c>
      <c r="D2317" s="69" t="s">
        <v>1724</v>
      </c>
      <c r="E2317" s="24" t="s">
        <v>1723</v>
      </c>
      <c r="F2317" s="24" t="s">
        <v>1753</v>
      </c>
      <c r="G2317" s="69" t="s">
        <v>1754</v>
      </c>
      <c r="H2317" s="24">
        <v>5</v>
      </c>
      <c r="I2317" s="69"/>
      <c r="J2317" s="24" t="s">
        <v>5085</v>
      </c>
      <c r="K2317" s="24" t="s">
        <v>1755</v>
      </c>
      <c r="M2317" s="75" t="s">
        <v>15</v>
      </c>
      <c r="N2317" s="75"/>
      <c r="O2317" s="75"/>
      <c r="P2317" s="75"/>
      <c r="Q2317" s="75"/>
      <c r="R2317" s="75"/>
      <c r="V2317" s="24" t="s">
        <v>2918</v>
      </c>
      <c r="W2317" s="24" t="s">
        <v>2919</v>
      </c>
      <c r="Y2317" s="24" t="s">
        <v>2920</v>
      </c>
      <c r="Z2317" s="69"/>
      <c r="AA2317" s="69"/>
      <c r="AB2317" s="69"/>
      <c r="AC2317" s="69"/>
    </row>
    <row r="2318" spans="1:30" s="26" customFormat="1" x14ac:dyDescent="0.3">
      <c r="A2318" s="25" t="s">
        <v>8753</v>
      </c>
      <c r="B2318" s="25"/>
      <c r="C2318" s="26" t="s">
        <v>3005</v>
      </c>
      <c r="D2318" s="70"/>
      <c r="G2318" s="70" t="s">
        <v>1754</v>
      </c>
      <c r="H2318" s="26">
        <v>-1</v>
      </c>
      <c r="I2318" s="70" t="s">
        <v>8754</v>
      </c>
      <c r="J2318" s="26" t="s">
        <v>7833</v>
      </c>
      <c r="K2318" s="26" t="s">
        <v>8755</v>
      </c>
      <c r="L2318" s="26" t="s">
        <v>10875</v>
      </c>
      <c r="M2318" s="76"/>
      <c r="N2318" s="76"/>
      <c r="O2318" s="76"/>
      <c r="P2318" s="76"/>
      <c r="Q2318" s="76"/>
      <c r="R2318" s="76"/>
      <c r="Z2318" s="70"/>
      <c r="AA2318" s="70"/>
      <c r="AB2318" s="70"/>
      <c r="AC2318" s="70"/>
    </row>
    <row r="2319" spans="1:30" s="26" customFormat="1" x14ac:dyDescent="0.3">
      <c r="A2319" s="25" t="s">
        <v>8756</v>
      </c>
      <c r="B2319" s="25"/>
      <c r="C2319" s="26" t="s">
        <v>3005</v>
      </c>
      <c r="D2319" s="70"/>
      <c r="G2319" s="70" t="s">
        <v>1754</v>
      </c>
      <c r="H2319" s="26">
        <v>-1</v>
      </c>
      <c r="I2319" s="70" t="s">
        <v>8757</v>
      </c>
      <c r="J2319" s="26" t="s">
        <v>8758</v>
      </c>
      <c r="K2319" s="26" t="s">
        <v>8759</v>
      </c>
      <c r="L2319" s="26" t="s">
        <v>11080</v>
      </c>
      <c r="M2319" s="76"/>
      <c r="N2319" s="76"/>
      <c r="O2319" s="76"/>
      <c r="P2319" s="76"/>
      <c r="Q2319" s="76"/>
      <c r="R2319" s="76"/>
      <c r="Z2319" s="70"/>
      <c r="AA2319" s="70"/>
      <c r="AB2319" s="70"/>
      <c r="AC2319" s="70"/>
    </row>
    <row r="2320" spans="1:30" s="26" customFormat="1" x14ac:dyDescent="0.3">
      <c r="A2320" s="25" t="s">
        <v>8760</v>
      </c>
      <c r="B2320" s="25"/>
      <c r="C2320" s="26" t="s">
        <v>3005</v>
      </c>
      <c r="D2320" s="70"/>
      <c r="G2320" s="70" t="s">
        <v>1754</v>
      </c>
      <c r="H2320" s="26">
        <v>3</v>
      </c>
      <c r="I2320" s="70" t="s">
        <v>6824</v>
      </c>
      <c r="J2320" s="26" t="s">
        <v>8225</v>
      </c>
      <c r="K2320" s="26" t="s">
        <v>6920</v>
      </c>
      <c r="L2320" s="26" t="s">
        <v>10672</v>
      </c>
      <c r="M2320" s="76"/>
      <c r="N2320" s="76"/>
      <c r="O2320" s="76"/>
      <c r="P2320" s="76"/>
      <c r="Q2320" s="76"/>
      <c r="R2320" s="76"/>
      <c r="Z2320" s="70"/>
      <c r="AA2320" s="70"/>
      <c r="AB2320" s="70"/>
      <c r="AC2320" s="70"/>
    </row>
    <row r="2321" spans="1:31" s="26" customFormat="1" x14ac:dyDescent="0.3">
      <c r="A2321" s="25" t="s">
        <v>8761</v>
      </c>
      <c r="B2321" s="25"/>
      <c r="C2321" s="26" t="s">
        <v>3005</v>
      </c>
      <c r="D2321" s="70"/>
      <c r="G2321" s="70" t="s">
        <v>1754</v>
      </c>
      <c r="H2321" s="26">
        <v>2</v>
      </c>
      <c r="I2321" s="70" t="s">
        <v>6162</v>
      </c>
      <c r="J2321" s="26" t="s">
        <v>5303</v>
      </c>
      <c r="K2321" s="26" t="s">
        <v>8196</v>
      </c>
      <c r="L2321" s="26" t="s">
        <v>11081</v>
      </c>
      <c r="M2321" s="76"/>
      <c r="N2321" s="76"/>
      <c r="O2321" s="76"/>
      <c r="P2321" s="76"/>
      <c r="Q2321" s="76"/>
      <c r="R2321" s="76"/>
      <c r="Z2321" s="70"/>
      <c r="AA2321" s="70"/>
      <c r="AB2321" s="70"/>
      <c r="AC2321" s="70"/>
    </row>
    <row r="2322" spans="1:31" s="26" customFormat="1" x14ac:dyDescent="0.3">
      <c r="A2322" s="25" t="s">
        <v>8762</v>
      </c>
      <c r="B2322" s="25"/>
      <c r="C2322" s="26" t="s">
        <v>3005</v>
      </c>
      <c r="D2322" s="70"/>
      <c r="G2322" s="70" t="s">
        <v>1754</v>
      </c>
      <c r="H2322" s="26">
        <v>3</v>
      </c>
      <c r="I2322" s="70" t="s">
        <v>8363</v>
      </c>
      <c r="J2322" s="26" t="s">
        <v>8225</v>
      </c>
      <c r="K2322" s="26" t="s">
        <v>8763</v>
      </c>
      <c r="L2322" s="26" t="s">
        <v>11082</v>
      </c>
      <c r="M2322" s="76"/>
      <c r="N2322" s="76"/>
      <c r="O2322" s="76"/>
      <c r="P2322" s="76"/>
      <c r="Q2322" s="76"/>
      <c r="R2322" s="76"/>
      <c r="Z2322" s="70"/>
      <c r="AA2322" s="70"/>
      <c r="AB2322" s="70"/>
      <c r="AC2322" s="70"/>
    </row>
    <row r="2323" spans="1:31" s="26" customFormat="1" x14ac:dyDescent="0.3">
      <c r="A2323" s="25" t="s">
        <v>8764</v>
      </c>
      <c r="B2323" s="25"/>
      <c r="C2323" s="26" t="s">
        <v>3005</v>
      </c>
      <c r="D2323" s="70"/>
      <c r="G2323" s="70" t="s">
        <v>1754</v>
      </c>
      <c r="H2323" s="26">
        <v>3</v>
      </c>
      <c r="I2323" s="70" t="s">
        <v>8765</v>
      </c>
      <c r="J2323" s="26" t="s">
        <v>5085</v>
      </c>
      <c r="K2323" s="26" t="s">
        <v>6917</v>
      </c>
      <c r="L2323" s="26" t="s">
        <v>10501</v>
      </c>
      <c r="M2323" s="76"/>
      <c r="N2323" s="76"/>
      <c r="O2323" s="76"/>
      <c r="P2323" s="76"/>
      <c r="Q2323" s="76"/>
      <c r="R2323" s="76"/>
      <c r="Z2323" s="70"/>
      <c r="AA2323" s="70"/>
      <c r="AB2323" s="70"/>
      <c r="AC2323" s="70"/>
    </row>
    <row r="2324" spans="1:31" s="26" customFormat="1" x14ac:dyDescent="0.3">
      <c r="A2324" s="25" t="s">
        <v>8766</v>
      </c>
      <c r="B2324" s="25"/>
      <c r="C2324" s="26" t="s">
        <v>3005</v>
      </c>
      <c r="D2324" s="70"/>
      <c r="G2324" s="70" t="s">
        <v>1754</v>
      </c>
      <c r="H2324" s="26">
        <v>3</v>
      </c>
      <c r="I2324" s="70" t="s">
        <v>8767</v>
      </c>
      <c r="J2324" s="26" t="s">
        <v>5080</v>
      </c>
      <c r="K2324" s="26" t="s">
        <v>6043</v>
      </c>
      <c r="M2324" s="76"/>
      <c r="N2324" s="76"/>
      <c r="O2324" s="76"/>
      <c r="P2324" s="76"/>
      <c r="Q2324" s="76"/>
      <c r="R2324" s="76"/>
      <c r="T2324" s="26" t="s">
        <v>2200</v>
      </c>
      <c r="Z2324" s="70"/>
      <c r="AA2324" s="70"/>
      <c r="AB2324" s="70"/>
      <c r="AC2324" s="70"/>
      <c r="AE2324" s="26" t="s">
        <v>8768</v>
      </c>
    </row>
    <row r="2325" spans="1:31" s="24" customFormat="1" x14ac:dyDescent="0.3">
      <c r="A2325" s="23">
        <v>605</v>
      </c>
      <c r="B2325" s="23">
        <v>600</v>
      </c>
      <c r="C2325" s="24" t="s">
        <v>2165</v>
      </c>
      <c r="D2325" s="69" t="s">
        <v>1724</v>
      </c>
      <c r="E2325" s="24" t="s">
        <v>1723</v>
      </c>
      <c r="F2325" s="24" t="s">
        <v>1756</v>
      </c>
      <c r="G2325" s="69" t="s">
        <v>1757</v>
      </c>
      <c r="I2325" s="69"/>
      <c r="J2325" s="24" t="s">
        <v>8769</v>
      </c>
      <c r="K2325" s="24" t="s">
        <v>1011</v>
      </c>
      <c r="M2325" s="75" t="s">
        <v>50</v>
      </c>
      <c r="N2325" s="75"/>
      <c r="O2325" s="75"/>
      <c r="P2325" s="75"/>
      <c r="Q2325" s="75"/>
      <c r="R2325" s="75"/>
      <c r="U2325" s="24" t="s">
        <v>2921</v>
      </c>
      <c r="Z2325" s="69"/>
      <c r="AA2325" s="69"/>
      <c r="AB2325" s="69"/>
      <c r="AC2325" s="69"/>
    </row>
    <row r="2326" spans="1:31" s="26" customFormat="1" x14ac:dyDescent="0.3">
      <c r="A2326" s="25" t="s">
        <v>8770</v>
      </c>
      <c r="B2326" s="25"/>
      <c r="C2326" s="26" t="s">
        <v>3005</v>
      </c>
      <c r="D2326" s="70"/>
      <c r="G2326" s="70" t="s">
        <v>1757</v>
      </c>
      <c r="H2326" s="26">
        <v>-1</v>
      </c>
      <c r="I2326" s="70" t="s">
        <v>3546</v>
      </c>
      <c r="J2326" s="26" t="s">
        <v>8771</v>
      </c>
      <c r="K2326" s="26" t="s">
        <v>8772</v>
      </c>
      <c r="L2326" s="26" t="s">
        <v>11083</v>
      </c>
      <c r="M2326" s="76"/>
      <c r="N2326" s="76"/>
      <c r="O2326" s="76"/>
      <c r="P2326" s="76"/>
      <c r="Q2326" s="76"/>
      <c r="R2326" s="76"/>
      <c r="U2326" s="26" t="s">
        <v>8773</v>
      </c>
      <c r="Z2326" s="70"/>
      <c r="AA2326" s="70"/>
      <c r="AB2326" s="70"/>
      <c r="AC2326" s="70"/>
    </row>
    <row r="2327" spans="1:31" s="26" customFormat="1" x14ac:dyDescent="0.3">
      <c r="A2327" s="25" t="s">
        <v>8774</v>
      </c>
      <c r="B2327" s="25"/>
      <c r="C2327" s="26" t="s">
        <v>3005</v>
      </c>
      <c r="D2327" s="70"/>
      <c r="G2327" s="70" t="s">
        <v>1757</v>
      </c>
      <c r="H2327" s="26">
        <v>-1</v>
      </c>
      <c r="I2327" s="70" t="s">
        <v>8775</v>
      </c>
      <c r="J2327" s="26" t="s">
        <v>8769</v>
      </c>
      <c r="K2327" s="26" t="s">
        <v>8776</v>
      </c>
      <c r="L2327" s="26" t="s">
        <v>11084</v>
      </c>
      <c r="M2327" s="76"/>
      <c r="N2327" s="76"/>
      <c r="O2327" s="76"/>
      <c r="P2327" s="76"/>
      <c r="Q2327" s="76"/>
      <c r="R2327" s="76"/>
      <c r="U2327" s="26" t="s">
        <v>8777</v>
      </c>
      <c r="Z2327" s="70"/>
      <c r="AA2327" s="70"/>
      <c r="AB2327" s="70"/>
      <c r="AC2327" s="70"/>
    </row>
    <row r="2328" spans="1:31" s="24" customFormat="1" x14ac:dyDescent="0.3">
      <c r="A2328" s="23">
        <v>606</v>
      </c>
      <c r="B2328" s="23">
        <v>601</v>
      </c>
      <c r="C2328" s="24" t="s">
        <v>2165</v>
      </c>
      <c r="D2328" s="69" t="s">
        <v>1724</v>
      </c>
      <c r="E2328" s="24" t="s">
        <v>1723</v>
      </c>
      <c r="F2328" s="24" t="s">
        <v>1758</v>
      </c>
      <c r="G2328" s="69" t="s">
        <v>1759</v>
      </c>
      <c r="I2328" s="69"/>
      <c r="J2328" s="24" t="s">
        <v>8778</v>
      </c>
      <c r="K2328" s="24" t="s">
        <v>1760</v>
      </c>
      <c r="L2328" s="24" t="s">
        <v>9909</v>
      </c>
      <c r="M2328" s="75" t="s">
        <v>19</v>
      </c>
      <c r="N2328" s="75"/>
      <c r="O2328" s="75" t="s">
        <v>58</v>
      </c>
      <c r="P2328" s="75" t="s">
        <v>58</v>
      </c>
      <c r="Q2328" s="75"/>
      <c r="R2328" s="75" t="s">
        <v>2166</v>
      </c>
      <c r="T2328" s="24" t="s">
        <v>2179</v>
      </c>
      <c r="V2328" s="24" t="s">
        <v>1756</v>
      </c>
      <c r="Z2328" s="69"/>
      <c r="AA2328" s="69"/>
      <c r="AB2328" s="69"/>
      <c r="AC2328" s="69"/>
      <c r="AD2328" s="24" t="s">
        <v>11353</v>
      </c>
      <c r="AE2328" s="24" t="s">
        <v>2922</v>
      </c>
    </row>
    <row r="2329" spans="1:31" s="24" customFormat="1" x14ac:dyDescent="0.3">
      <c r="A2329" s="23">
        <v>607</v>
      </c>
      <c r="B2329" s="23">
        <v>602</v>
      </c>
      <c r="C2329" s="24" t="s">
        <v>2165</v>
      </c>
      <c r="D2329" s="69" t="s">
        <v>1724</v>
      </c>
      <c r="E2329" s="24" t="s">
        <v>1723</v>
      </c>
      <c r="F2329" s="24" t="s">
        <v>1761</v>
      </c>
      <c r="G2329" s="69" t="s">
        <v>1762</v>
      </c>
      <c r="H2329" s="24">
        <v>3</v>
      </c>
      <c r="I2329" s="69"/>
      <c r="J2329" s="24" t="s">
        <v>5475</v>
      </c>
      <c r="K2329" s="24" t="s">
        <v>1763</v>
      </c>
      <c r="M2329" s="75" t="s">
        <v>15</v>
      </c>
      <c r="N2329" s="75"/>
      <c r="O2329" s="75"/>
      <c r="P2329" s="75"/>
      <c r="Q2329" s="75"/>
      <c r="R2329" s="75"/>
      <c r="V2329" s="24" t="s">
        <v>2923</v>
      </c>
      <c r="Z2329" s="69"/>
      <c r="AA2329" s="69"/>
      <c r="AB2329" s="69"/>
      <c r="AC2329" s="69"/>
    </row>
    <row r="2330" spans="1:31" s="26" customFormat="1" x14ac:dyDescent="0.3">
      <c r="A2330" s="25" t="s">
        <v>8779</v>
      </c>
      <c r="B2330" s="25"/>
      <c r="C2330" s="26" t="s">
        <v>3005</v>
      </c>
      <c r="D2330" s="70"/>
      <c r="G2330" s="70" t="s">
        <v>1762</v>
      </c>
      <c r="H2330" s="26">
        <v>2</v>
      </c>
      <c r="I2330" s="70" t="s">
        <v>8780</v>
      </c>
      <c r="J2330" s="26" t="s">
        <v>5523</v>
      </c>
      <c r="K2330" s="26" t="s">
        <v>5976</v>
      </c>
      <c r="L2330" s="26" t="s">
        <v>11085</v>
      </c>
      <c r="M2330" s="76"/>
      <c r="N2330" s="76"/>
      <c r="O2330" s="76"/>
      <c r="P2330" s="76"/>
      <c r="Q2330" s="76"/>
      <c r="R2330" s="76"/>
      <c r="Z2330" s="70"/>
      <c r="AA2330" s="70"/>
      <c r="AB2330" s="70"/>
      <c r="AC2330" s="70"/>
    </row>
    <row r="2331" spans="1:31" s="26" customFormat="1" x14ac:dyDescent="0.3">
      <c r="A2331" s="25" t="s">
        <v>8781</v>
      </c>
      <c r="B2331" s="25"/>
      <c r="C2331" s="26" t="s">
        <v>3005</v>
      </c>
      <c r="D2331" s="70"/>
      <c r="G2331" s="70" t="s">
        <v>1762</v>
      </c>
      <c r="H2331" s="26">
        <v>2</v>
      </c>
      <c r="I2331" s="70" t="s">
        <v>6820</v>
      </c>
      <c r="J2331" s="26" t="s">
        <v>5475</v>
      </c>
      <c r="K2331" s="26" t="s">
        <v>6818</v>
      </c>
      <c r="L2331" s="26" t="s">
        <v>11086</v>
      </c>
      <c r="M2331" s="76"/>
      <c r="N2331" s="76"/>
      <c r="O2331" s="76"/>
      <c r="P2331" s="76"/>
      <c r="Q2331" s="76"/>
      <c r="R2331" s="76"/>
      <c r="Z2331" s="70"/>
      <c r="AA2331" s="70"/>
      <c r="AB2331" s="70"/>
      <c r="AC2331" s="70"/>
    </row>
    <row r="2332" spans="1:31" s="26" customFormat="1" x14ac:dyDescent="0.3">
      <c r="A2332" s="25" t="s">
        <v>8782</v>
      </c>
      <c r="B2332" s="25"/>
      <c r="C2332" s="26" t="s">
        <v>3005</v>
      </c>
      <c r="D2332" s="70"/>
      <c r="G2332" s="70" t="s">
        <v>1762</v>
      </c>
      <c r="H2332" s="26">
        <v>2</v>
      </c>
      <c r="I2332" s="70" t="s">
        <v>8783</v>
      </c>
      <c r="J2332" s="26" t="s">
        <v>7931</v>
      </c>
      <c r="K2332" s="26" t="s">
        <v>5290</v>
      </c>
      <c r="L2332" s="26" t="s">
        <v>9910</v>
      </c>
      <c r="M2332" s="76"/>
      <c r="N2332" s="76"/>
      <c r="O2332" s="76"/>
      <c r="P2332" s="76"/>
      <c r="Q2332" s="76"/>
      <c r="R2332" s="76"/>
      <c r="Z2332" s="70"/>
      <c r="AA2332" s="70"/>
      <c r="AB2332" s="70"/>
      <c r="AC2332" s="70"/>
    </row>
    <row r="2333" spans="1:31" s="26" customFormat="1" x14ac:dyDescent="0.3">
      <c r="A2333" s="25" t="s">
        <v>8784</v>
      </c>
      <c r="B2333" s="25"/>
      <c r="C2333" s="26" t="s">
        <v>3005</v>
      </c>
      <c r="D2333" s="70"/>
      <c r="G2333" s="70" t="s">
        <v>1762</v>
      </c>
      <c r="H2333" s="26">
        <v>-1</v>
      </c>
      <c r="I2333" s="70" t="s">
        <v>5029</v>
      </c>
      <c r="J2333" s="26" t="s">
        <v>8564</v>
      </c>
      <c r="K2333" s="26" t="s">
        <v>8785</v>
      </c>
      <c r="L2333" s="26" t="s">
        <v>11087</v>
      </c>
      <c r="M2333" s="76"/>
      <c r="N2333" s="76"/>
      <c r="O2333" s="76"/>
      <c r="P2333" s="76"/>
      <c r="Q2333" s="76"/>
      <c r="R2333" s="76"/>
      <c r="Z2333" s="70"/>
      <c r="AA2333" s="70"/>
      <c r="AB2333" s="70"/>
      <c r="AC2333" s="70"/>
    </row>
    <row r="2334" spans="1:31" s="26" customFormat="1" x14ac:dyDescent="0.3">
      <c r="A2334" s="25" t="s">
        <v>8786</v>
      </c>
      <c r="B2334" s="25"/>
      <c r="C2334" s="26" t="s">
        <v>3005</v>
      </c>
      <c r="D2334" s="70"/>
      <c r="G2334" s="70" t="s">
        <v>1762</v>
      </c>
      <c r="H2334" s="26">
        <v>-1</v>
      </c>
      <c r="I2334" s="70" t="s">
        <v>4179</v>
      </c>
      <c r="J2334" s="26" t="s">
        <v>8564</v>
      </c>
      <c r="K2334" s="26" t="s">
        <v>7888</v>
      </c>
      <c r="L2334" s="26" t="s">
        <v>11088</v>
      </c>
      <c r="M2334" s="76"/>
      <c r="N2334" s="76"/>
      <c r="O2334" s="76"/>
      <c r="P2334" s="76"/>
      <c r="Q2334" s="76"/>
      <c r="R2334" s="76"/>
      <c r="Z2334" s="70"/>
      <c r="AA2334" s="70"/>
      <c r="AB2334" s="70"/>
      <c r="AC2334" s="70"/>
    </row>
    <row r="2335" spans="1:31" s="26" customFormat="1" x14ac:dyDescent="0.3">
      <c r="A2335" s="25" t="s">
        <v>8787</v>
      </c>
      <c r="B2335" s="25"/>
      <c r="C2335" s="26" t="s">
        <v>3005</v>
      </c>
      <c r="D2335" s="70"/>
      <c r="G2335" s="70" t="s">
        <v>1762</v>
      </c>
      <c r="H2335" s="26">
        <v>-1</v>
      </c>
      <c r="I2335" s="70" t="s">
        <v>8788</v>
      </c>
      <c r="J2335" s="26" t="s">
        <v>8438</v>
      </c>
      <c r="K2335" s="26" t="s">
        <v>8789</v>
      </c>
      <c r="L2335" s="26" t="s">
        <v>11089</v>
      </c>
      <c r="M2335" s="76"/>
      <c r="N2335" s="76"/>
      <c r="O2335" s="76"/>
      <c r="P2335" s="76"/>
      <c r="Q2335" s="76"/>
      <c r="R2335" s="76"/>
      <c r="Z2335" s="70"/>
      <c r="AA2335" s="70"/>
      <c r="AB2335" s="70"/>
      <c r="AC2335" s="70"/>
    </row>
    <row r="2336" spans="1:31" s="26" customFormat="1" x14ac:dyDescent="0.3">
      <c r="A2336" s="25" t="s">
        <v>8790</v>
      </c>
      <c r="B2336" s="25"/>
      <c r="C2336" s="26" t="s">
        <v>3005</v>
      </c>
      <c r="D2336" s="70"/>
      <c r="G2336" s="70" t="s">
        <v>1762</v>
      </c>
      <c r="H2336" s="26">
        <v>-1</v>
      </c>
      <c r="I2336" s="70" t="s">
        <v>5378</v>
      </c>
      <c r="J2336" s="26" t="s">
        <v>8791</v>
      </c>
      <c r="K2336" s="26" t="s">
        <v>8792</v>
      </c>
      <c r="L2336" s="26" t="s">
        <v>11090</v>
      </c>
      <c r="M2336" s="76"/>
      <c r="N2336" s="76"/>
      <c r="O2336" s="76"/>
      <c r="P2336" s="76"/>
      <c r="Q2336" s="76"/>
      <c r="R2336" s="76"/>
      <c r="Z2336" s="70"/>
      <c r="AA2336" s="70"/>
      <c r="AB2336" s="70"/>
      <c r="AC2336" s="70"/>
    </row>
    <row r="2337" spans="1:31" s="24" customFormat="1" x14ac:dyDescent="0.3">
      <c r="A2337" s="23">
        <v>608</v>
      </c>
      <c r="B2337" s="23">
        <v>603</v>
      </c>
      <c r="C2337" s="24" t="s">
        <v>2165</v>
      </c>
      <c r="D2337" s="69" t="s">
        <v>1724</v>
      </c>
      <c r="E2337" s="24" t="s">
        <v>1723</v>
      </c>
      <c r="F2337" s="24" t="s">
        <v>1764</v>
      </c>
      <c r="G2337" s="69" t="s">
        <v>1765</v>
      </c>
      <c r="I2337" s="69"/>
      <c r="J2337" s="24" t="s">
        <v>6913</v>
      </c>
      <c r="K2337" s="24" t="s">
        <v>68</v>
      </c>
      <c r="L2337" s="24" t="s">
        <v>9910</v>
      </c>
      <c r="M2337" s="75" t="s">
        <v>65</v>
      </c>
      <c r="N2337" s="75" t="s">
        <v>2025</v>
      </c>
      <c r="O2337" s="75"/>
      <c r="P2337" s="75"/>
      <c r="Q2337" s="75"/>
      <c r="R2337" s="75"/>
      <c r="T2337" s="24" t="s">
        <v>2924</v>
      </c>
      <c r="W2337" s="24" t="s">
        <v>2925</v>
      </c>
      <c r="Z2337" s="69"/>
      <c r="AA2337" s="69"/>
      <c r="AB2337" s="69"/>
      <c r="AC2337" s="69"/>
      <c r="AD2337" s="24" t="s">
        <v>123</v>
      </c>
      <c r="AE2337" s="24" t="s">
        <v>2926</v>
      </c>
    </row>
    <row r="2338" spans="1:31" s="24" customFormat="1" x14ac:dyDescent="0.3">
      <c r="A2338" s="23">
        <v>609</v>
      </c>
      <c r="B2338" s="23">
        <v>604</v>
      </c>
      <c r="C2338" s="24" t="s">
        <v>2165</v>
      </c>
      <c r="D2338" s="69" t="s">
        <v>1724</v>
      </c>
      <c r="E2338" s="24" t="s">
        <v>1723</v>
      </c>
      <c r="F2338" s="24" t="s">
        <v>1766</v>
      </c>
      <c r="G2338" s="69" t="s">
        <v>1767</v>
      </c>
      <c r="H2338" s="24">
        <v>7</v>
      </c>
      <c r="I2338" s="69"/>
      <c r="J2338" s="24" t="s">
        <v>4187</v>
      </c>
      <c r="K2338" s="24" t="s">
        <v>1768</v>
      </c>
      <c r="M2338" s="75" t="s">
        <v>15</v>
      </c>
      <c r="N2338" s="75"/>
      <c r="O2338" s="75"/>
      <c r="P2338" s="75"/>
      <c r="Q2338" s="75"/>
      <c r="R2338" s="75"/>
      <c r="T2338" s="24" t="s">
        <v>2254</v>
      </c>
      <c r="Y2338" s="24" t="s">
        <v>2927</v>
      </c>
      <c r="Z2338" s="69"/>
      <c r="AA2338" s="69"/>
      <c r="AB2338" s="69" t="s">
        <v>2928</v>
      </c>
      <c r="AC2338" s="69"/>
      <c r="AE2338" s="24" t="s">
        <v>2929</v>
      </c>
    </row>
    <row r="2339" spans="1:31" s="26" customFormat="1" x14ac:dyDescent="0.3">
      <c r="A2339" s="25" t="s">
        <v>8793</v>
      </c>
      <c r="B2339" s="25"/>
      <c r="C2339" s="26" t="s">
        <v>3005</v>
      </c>
      <c r="D2339" s="70"/>
      <c r="G2339" s="70" t="s">
        <v>1767</v>
      </c>
      <c r="H2339" s="26">
        <v>3</v>
      </c>
      <c r="I2339" s="70" t="s">
        <v>8794</v>
      </c>
      <c r="J2339" s="26" t="s">
        <v>5619</v>
      </c>
      <c r="K2339" s="26" t="s">
        <v>6291</v>
      </c>
      <c r="L2339" s="26" t="s">
        <v>11091</v>
      </c>
      <c r="M2339" s="76"/>
      <c r="N2339" s="76"/>
      <c r="O2339" s="76"/>
      <c r="P2339" s="76"/>
      <c r="Q2339" s="76"/>
      <c r="R2339" s="76"/>
      <c r="Z2339" s="70"/>
      <c r="AA2339" s="70"/>
      <c r="AB2339" s="70"/>
      <c r="AC2339" s="70"/>
    </row>
    <row r="2340" spans="1:31" s="26" customFormat="1" x14ac:dyDescent="0.3">
      <c r="A2340" s="25" t="s">
        <v>8795</v>
      </c>
      <c r="B2340" s="25"/>
      <c r="C2340" s="26" t="s">
        <v>3005</v>
      </c>
      <c r="D2340" s="70"/>
      <c r="G2340" s="70" t="s">
        <v>1767</v>
      </c>
      <c r="H2340" s="26">
        <v>3</v>
      </c>
      <c r="I2340" s="70" t="s">
        <v>8796</v>
      </c>
      <c r="J2340" s="26" t="s">
        <v>5691</v>
      </c>
      <c r="K2340" s="26" t="s">
        <v>6295</v>
      </c>
      <c r="L2340" s="26" t="s">
        <v>9836</v>
      </c>
      <c r="M2340" s="76"/>
      <c r="N2340" s="76"/>
      <c r="O2340" s="76"/>
      <c r="P2340" s="76"/>
      <c r="Q2340" s="76"/>
      <c r="R2340" s="76"/>
      <c r="T2340" s="26" t="s">
        <v>2254</v>
      </c>
      <c r="Y2340" s="26" t="s">
        <v>2927</v>
      </c>
      <c r="Z2340" s="70"/>
      <c r="AA2340" s="70"/>
      <c r="AB2340" s="70" t="s">
        <v>2928</v>
      </c>
      <c r="AC2340" s="70"/>
      <c r="AE2340" s="26" t="s">
        <v>8797</v>
      </c>
    </row>
    <row r="2341" spans="1:31" s="26" customFormat="1" x14ac:dyDescent="0.3">
      <c r="A2341" s="25" t="s">
        <v>8798</v>
      </c>
      <c r="B2341" s="25"/>
      <c r="C2341" s="26" t="s">
        <v>3005</v>
      </c>
      <c r="D2341" s="70"/>
      <c r="G2341" s="70" t="s">
        <v>1767</v>
      </c>
      <c r="H2341" s="26">
        <v>3</v>
      </c>
      <c r="I2341" s="70" t="s">
        <v>8799</v>
      </c>
      <c r="J2341" s="26" t="s">
        <v>7466</v>
      </c>
      <c r="K2341" s="26" t="s">
        <v>8800</v>
      </c>
      <c r="L2341" s="26" t="s">
        <v>11052</v>
      </c>
      <c r="M2341" s="76"/>
      <c r="N2341" s="76"/>
      <c r="O2341" s="76"/>
      <c r="P2341" s="76"/>
      <c r="Q2341" s="76"/>
      <c r="R2341" s="76"/>
      <c r="Z2341" s="70"/>
      <c r="AA2341" s="70"/>
      <c r="AB2341" s="70"/>
      <c r="AC2341" s="70"/>
    </row>
    <row r="2342" spans="1:31" s="26" customFormat="1" x14ac:dyDescent="0.3">
      <c r="A2342" s="25" t="s">
        <v>8801</v>
      </c>
      <c r="B2342" s="25"/>
      <c r="C2342" s="26" t="s">
        <v>3005</v>
      </c>
      <c r="D2342" s="70"/>
      <c r="G2342" s="70" t="s">
        <v>1767</v>
      </c>
      <c r="H2342" s="26">
        <v>3</v>
      </c>
      <c r="I2342" s="70" t="s">
        <v>5302</v>
      </c>
      <c r="J2342" s="26" t="s">
        <v>8802</v>
      </c>
      <c r="K2342" s="26" t="s">
        <v>6892</v>
      </c>
      <c r="L2342" s="26" t="s">
        <v>11092</v>
      </c>
      <c r="M2342" s="76"/>
      <c r="N2342" s="76"/>
      <c r="O2342" s="76"/>
      <c r="P2342" s="76"/>
      <c r="Q2342" s="76"/>
      <c r="R2342" s="76"/>
      <c r="Z2342" s="70"/>
      <c r="AA2342" s="70"/>
      <c r="AB2342" s="70"/>
      <c r="AC2342" s="70"/>
    </row>
    <row r="2343" spans="1:31" s="26" customFormat="1" x14ac:dyDescent="0.3">
      <c r="A2343" s="25" t="s">
        <v>8803</v>
      </c>
      <c r="B2343" s="25"/>
      <c r="C2343" s="26" t="s">
        <v>3005</v>
      </c>
      <c r="D2343" s="70"/>
      <c r="G2343" s="70" t="s">
        <v>1767</v>
      </c>
      <c r="H2343" s="26">
        <v>4</v>
      </c>
      <c r="I2343" s="70" t="s">
        <v>8804</v>
      </c>
      <c r="J2343" s="26" t="s">
        <v>3804</v>
      </c>
      <c r="K2343" s="26" t="s">
        <v>8805</v>
      </c>
      <c r="L2343" s="26" t="s">
        <v>11093</v>
      </c>
      <c r="M2343" s="76"/>
      <c r="N2343" s="76"/>
      <c r="O2343" s="76"/>
      <c r="P2343" s="76"/>
      <c r="Q2343" s="76"/>
      <c r="R2343" s="76"/>
      <c r="Z2343" s="70"/>
      <c r="AA2343" s="70"/>
      <c r="AB2343" s="70"/>
      <c r="AC2343" s="70"/>
    </row>
    <row r="2344" spans="1:31" s="26" customFormat="1" x14ac:dyDescent="0.3">
      <c r="A2344" s="25" t="s">
        <v>8806</v>
      </c>
      <c r="B2344" s="25"/>
      <c r="C2344" s="26" t="s">
        <v>3005</v>
      </c>
      <c r="D2344" s="70"/>
      <c r="G2344" s="70" t="s">
        <v>1767</v>
      </c>
      <c r="H2344" s="26">
        <v>2</v>
      </c>
      <c r="I2344" s="70" t="s">
        <v>6499</v>
      </c>
      <c r="J2344" s="26" t="s">
        <v>6500</v>
      </c>
      <c r="K2344" s="26" t="s">
        <v>8807</v>
      </c>
      <c r="L2344" s="26" t="s">
        <v>11094</v>
      </c>
      <c r="M2344" s="76"/>
      <c r="N2344" s="76"/>
      <c r="O2344" s="76"/>
      <c r="P2344" s="76"/>
      <c r="Q2344" s="76"/>
      <c r="R2344" s="76"/>
      <c r="Z2344" s="70"/>
      <c r="AA2344" s="70"/>
      <c r="AB2344" s="70"/>
      <c r="AC2344" s="70"/>
    </row>
    <row r="2345" spans="1:31" s="26" customFormat="1" x14ac:dyDescent="0.3">
      <c r="A2345" s="25" t="s">
        <v>8808</v>
      </c>
      <c r="B2345" s="25"/>
      <c r="C2345" s="26" t="s">
        <v>3005</v>
      </c>
      <c r="D2345" s="70"/>
      <c r="G2345" s="70" t="s">
        <v>1767</v>
      </c>
      <c r="H2345" s="26">
        <v>2</v>
      </c>
      <c r="I2345" s="70" t="s">
        <v>5230</v>
      </c>
      <c r="J2345" s="26" t="s">
        <v>4248</v>
      </c>
      <c r="K2345" s="26" t="s">
        <v>5807</v>
      </c>
      <c r="L2345" s="26" t="s">
        <v>11095</v>
      </c>
      <c r="M2345" s="76"/>
      <c r="N2345" s="76"/>
      <c r="O2345" s="76"/>
      <c r="P2345" s="76"/>
      <c r="Q2345" s="76"/>
      <c r="R2345" s="76"/>
      <c r="Z2345" s="70"/>
      <c r="AA2345" s="70"/>
      <c r="AB2345" s="70"/>
      <c r="AC2345" s="70"/>
    </row>
    <row r="2346" spans="1:31" s="26" customFormat="1" x14ac:dyDescent="0.3">
      <c r="A2346" s="25" t="s">
        <v>8809</v>
      </c>
      <c r="B2346" s="25"/>
      <c r="C2346" s="26" t="s">
        <v>3005</v>
      </c>
      <c r="D2346" s="70"/>
      <c r="G2346" s="70" t="s">
        <v>1767</v>
      </c>
      <c r="H2346" s="26">
        <v>-1</v>
      </c>
      <c r="I2346" s="70" t="s">
        <v>8810</v>
      </c>
      <c r="J2346" s="26" t="s">
        <v>7724</v>
      </c>
      <c r="K2346" s="26" t="s">
        <v>3765</v>
      </c>
      <c r="M2346" s="76"/>
      <c r="N2346" s="76"/>
      <c r="O2346" s="76"/>
      <c r="P2346" s="76"/>
      <c r="Q2346" s="76"/>
      <c r="R2346" s="76"/>
      <c r="T2346" s="26" t="s">
        <v>2254</v>
      </c>
      <c r="Z2346" s="70"/>
      <c r="AA2346" s="70"/>
      <c r="AB2346" s="70"/>
      <c r="AC2346" s="70"/>
      <c r="AE2346" s="26" t="s">
        <v>8811</v>
      </c>
    </row>
    <row r="2347" spans="1:31" s="26" customFormat="1" x14ac:dyDescent="0.3">
      <c r="A2347" s="25" t="s">
        <v>8812</v>
      </c>
      <c r="B2347" s="25"/>
      <c r="C2347" s="26" t="s">
        <v>3005</v>
      </c>
      <c r="D2347" s="70"/>
      <c r="G2347" s="70" t="s">
        <v>1767</v>
      </c>
      <c r="H2347" s="26">
        <v>-1</v>
      </c>
      <c r="I2347" s="70" t="s">
        <v>6880</v>
      </c>
      <c r="J2347" s="26" t="s">
        <v>8813</v>
      </c>
      <c r="K2347" s="26" t="s">
        <v>3846</v>
      </c>
      <c r="M2347" s="76"/>
      <c r="N2347" s="76"/>
      <c r="O2347" s="76"/>
      <c r="P2347" s="76"/>
      <c r="Q2347" s="76"/>
      <c r="R2347" s="76"/>
      <c r="T2347" s="26" t="s">
        <v>2254</v>
      </c>
      <c r="Z2347" s="70"/>
      <c r="AA2347" s="70"/>
      <c r="AB2347" s="70"/>
      <c r="AC2347" s="70"/>
      <c r="AE2347" s="26" t="s">
        <v>8814</v>
      </c>
    </row>
    <row r="2348" spans="1:31" s="26" customFormat="1" x14ac:dyDescent="0.3">
      <c r="A2348" s="25" t="s">
        <v>8815</v>
      </c>
      <c r="B2348" s="25"/>
      <c r="C2348" s="26" t="s">
        <v>3005</v>
      </c>
      <c r="D2348" s="70"/>
      <c r="G2348" s="70" t="s">
        <v>1767</v>
      </c>
      <c r="H2348" s="26">
        <v>-1</v>
      </c>
      <c r="I2348" s="70" t="s">
        <v>7187</v>
      </c>
      <c r="J2348" s="26" t="s">
        <v>4187</v>
      </c>
      <c r="K2348" s="26" t="s">
        <v>3215</v>
      </c>
      <c r="M2348" s="76"/>
      <c r="N2348" s="76"/>
      <c r="O2348" s="76"/>
      <c r="P2348" s="76"/>
      <c r="Q2348" s="76"/>
      <c r="R2348" s="76"/>
      <c r="T2348" s="26" t="s">
        <v>2254</v>
      </c>
      <c r="Z2348" s="70"/>
      <c r="AA2348" s="70"/>
      <c r="AB2348" s="70"/>
      <c r="AC2348" s="70"/>
      <c r="AE2348" s="26" t="s">
        <v>8816</v>
      </c>
    </row>
    <row r="2349" spans="1:31" s="26" customFormat="1" x14ac:dyDescent="0.3">
      <c r="A2349" s="25" t="s">
        <v>8817</v>
      </c>
      <c r="B2349" s="25"/>
      <c r="C2349" s="26" t="s">
        <v>3005</v>
      </c>
      <c r="D2349" s="70"/>
      <c r="G2349" s="70" t="s">
        <v>1767</v>
      </c>
      <c r="H2349" s="26">
        <v>-1</v>
      </c>
      <c r="I2349" s="70" t="s">
        <v>7845</v>
      </c>
      <c r="J2349" s="26" t="s">
        <v>7730</v>
      </c>
      <c r="K2349" s="26" t="s">
        <v>3900</v>
      </c>
      <c r="M2349" s="76"/>
      <c r="N2349" s="76"/>
      <c r="O2349" s="76"/>
      <c r="P2349" s="76"/>
      <c r="Q2349" s="76"/>
      <c r="R2349" s="76"/>
      <c r="T2349" s="26" t="s">
        <v>2254</v>
      </c>
      <c r="Z2349" s="70"/>
      <c r="AA2349" s="70"/>
      <c r="AB2349" s="70"/>
      <c r="AC2349" s="70"/>
      <c r="AE2349" s="26" t="s">
        <v>8818</v>
      </c>
    </row>
    <row r="2350" spans="1:31" s="24" customFormat="1" x14ac:dyDescent="0.3">
      <c r="A2350" s="23">
        <v>610</v>
      </c>
      <c r="B2350" s="23">
        <v>605</v>
      </c>
      <c r="C2350" s="24" t="s">
        <v>2165</v>
      </c>
      <c r="D2350" s="69" t="s">
        <v>1724</v>
      </c>
      <c r="E2350" s="24" t="s">
        <v>1723</v>
      </c>
      <c r="F2350" s="24" t="s">
        <v>1769</v>
      </c>
      <c r="G2350" s="69" t="s">
        <v>1770</v>
      </c>
      <c r="I2350" s="69"/>
      <c r="J2350" s="24" t="s">
        <v>5080</v>
      </c>
      <c r="K2350" s="24" t="s">
        <v>68</v>
      </c>
      <c r="L2350" s="24" t="s">
        <v>9911</v>
      </c>
      <c r="M2350" s="75" t="s">
        <v>65</v>
      </c>
      <c r="N2350" s="75" t="s">
        <v>2022</v>
      </c>
      <c r="O2350" s="75" t="s">
        <v>67</v>
      </c>
      <c r="P2350" s="75" t="s">
        <v>67</v>
      </c>
      <c r="Q2350" s="75" t="s">
        <v>67</v>
      </c>
      <c r="R2350" s="75" t="s">
        <v>2166</v>
      </c>
      <c r="V2350" s="24" t="s">
        <v>2930</v>
      </c>
      <c r="W2350" s="24" t="s">
        <v>2931</v>
      </c>
      <c r="Y2350" s="24" t="s">
        <v>2932</v>
      </c>
      <c r="Z2350" s="69"/>
      <c r="AA2350" s="69"/>
      <c r="AB2350" s="69"/>
      <c r="AC2350" s="69"/>
    </row>
    <row r="2351" spans="1:31" s="24" customFormat="1" x14ac:dyDescent="0.3">
      <c r="A2351" s="23">
        <v>611</v>
      </c>
      <c r="B2351" s="23">
        <v>606</v>
      </c>
      <c r="C2351" s="24" t="s">
        <v>2165</v>
      </c>
      <c r="D2351" s="69" t="s">
        <v>1724</v>
      </c>
      <c r="E2351" s="24" t="s">
        <v>1723</v>
      </c>
      <c r="F2351" s="24" t="s">
        <v>1771</v>
      </c>
      <c r="G2351" s="69" t="s">
        <v>1772</v>
      </c>
      <c r="I2351" s="69"/>
      <c r="J2351" s="24" t="s">
        <v>5801</v>
      </c>
      <c r="K2351" s="24" t="s">
        <v>68</v>
      </c>
      <c r="L2351" s="24" t="s">
        <v>9862</v>
      </c>
      <c r="M2351" s="75" t="s">
        <v>65</v>
      </c>
      <c r="N2351" s="75" t="s">
        <v>2017</v>
      </c>
      <c r="O2351" s="75" t="s">
        <v>66</v>
      </c>
      <c r="P2351" s="75" t="s">
        <v>66</v>
      </c>
      <c r="Q2351" s="75" t="s">
        <v>66</v>
      </c>
      <c r="R2351" s="75"/>
      <c r="V2351" s="24" t="s">
        <v>2933</v>
      </c>
      <c r="W2351" s="24" t="s">
        <v>2934</v>
      </c>
      <c r="Y2351" s="24" t="s">
        <v>2935</v>
      </c>
      <c r="Z2351" s="69"/>
      <c r="AA2351" s="69"/>
      <c r="AB2351" s="69"/>
      <c r="AC2351" s="69"/>
    </row>
    <row r="2352" spans="1:31" s="24" customFormat="1" x14ac:dyDescent="0.3">
      <c r="A2352" s="23">
        <v>612</v>
      </c>
      <c r="B2352" s="23">
        <v>607</v>
      </c>
      <c r="C2352" s="24" t="s">
        <v>2165</v>
      </c>
      <c r="D2352" s="69" t="s">
        <v>1724</v>
      </c>
      <c r="E2352" s="24" t="s">
        <v>1723</v>
      </c>
      <c r="F2352" s="24" t="s">
        <v>1773</v>
      </c>
      <c r="G2352" s="69" t="s">
        <v>1774</v>
      </c>
      <c r="I2352" s="69"/>
      <c r="J2352" s="24" t="s">
        <v>5231</v>
      </c>
      <c r="K2352" s="24" t="s">
        <v>68</v>
      </c>
      <c r="L2352" s="24" t="s">
        <v>9912</v>
      </c>
      <c r="M2352" s="75" t="s">
        <v>65</v>
      </c>
      <c r="N2352" s="75" t="s">
        <v>2025</v>
      </c>
      <c r="O2352" s="75" t="s">
        <v>58</v>
      </c>
      <c r="P2352" s="75" t="s">
        <v>58</v>
      </c>
      <c r="Q2352" s="75" t="s">
        <v>66</v>
      </c>
      <c r="R2352" s="75"/>
      <c r="V2352" s="24" t="s">
        <v>2936</v>
      </c>
      <c r="W2352" s="24" t="s">
        <v>2937</v>
      </c>
      <c r="Y2352" s="24" t="s">
        <v>2938</v>
      </c>
      <c r="Z2352" s="69"/>
      <c r="AA2352" s="69"/>
      <c r="AB2352" s="69"/>
      <c r="AC2352" s="69"/>
    </row>
    <row r="2353" spans="1:31" s="24" customFormat="1" x14ac:dyDescent="0.3">
      <c r="A2353" s="23">
        <v>613</v>
      </c>
      <c r="B2353" s="23">
        <v>608</v>
      </c>
      <c r="C2353" s="24" t="s">
        <v>2165</v>
      </c>
      <c r="D2353" s="69" t="s">
        <v>1724</v>
      </c>
      <c r="E2353" s="24" t="s">
        <v>1723</v>
      </c>
      <c r="F2353" s="24" t="s">
        <v>1775</v>
      </c>
      <c r="G2353" s="69" t="s">
        <v>1776</v>
      </c>
      <c r="I2353" s="69"/>
      <c r="J2353" s="24" t="s">
        <v>4136</v>
      </c>
      <c r="K2353" s="24" t="s">
        <v>1011</v>
      </c>
      <c r="M2353" s="75" t="s">
        <v>19</v>
      </c>
      <c r="N2353" s="75"/>
      <c r="O2353" s="75"/>
      <c r="P2353" s="75"/>
      <c r="Q2353" s="75"/>
      <c r="R2353" s="75" t="s">
        <v>2166</v>
      </c>
      <c r="U2353" s="24" t="s">
        <v>2209</v>
      </c>
      <c r="Z2353" s="69"/>
      <c r="AA2353" s="69" t="s">
        <v>2939</v>
      </c>
      <c r="AB2353" s="69"/>
      <c r="AC2353" s="69"/>
    </row>
    <row r="2354" spans="1:31" s="26" customFormat="1" x14ac:dyDescent="0.3">
      <c r="A2354" s="25" t="s">
        <v>8819</v>
      </c>
      <c r="B2354" s="25"/>
      <c r="C2354" s="26" t="s">
        <v>3005</v>
      </c>
      <c r="D2354" s="70"/>
      <c r="G2354" s="70" t="s">
        <v>1776</v>
      </c>
      <c r="H2354" s="26">
        <v>-1</v>
      </c>
      <c r="I2354" s="70" t="s">
        <v>8820</v>
      </c>
      <c r="J2354" s="26" t="s">
        <v>8821</v>
      </c>
      <c r="K2354" s="26" t="s">
        <v>8822</v>
      </c>
      <c r="L2354" s="26" t="s">
        <v>11096</v>
      </c>
      <c r="M2354" s="76"/>
      <c r="N2354" s="76"/>
      <c r="O2354" s="76"/>
      <c r="P2354" s="76"/>
      <c r="Q2354" s="76"/>
      <c r="R2354" s="76"/>
      <c r="U2354" s="26" t="s">
        <v>7625</v>
      </c>
      <c r="Z2354" s="70"/>
      <c r="AA2354" s="70"/>
      <c r="AB2354" s="70"/>
      <c r="AC2354" s="70"/>
    </row>
    <row r="2355" spans="1:31" s="26" customFormat="1" x14ac:dyDescent="0.3">
      <c r="A2355" s="25" t="s">
        <v>8823</v>
      </c>
      <c r="B2355" s="25"/>
      <c r="C2355" s="26" t="s">
        <v>3005</v>
      </c>
      <c r="D2355" s="70"/>
      <c r="G2355" s="70" t="s">
        <v>1776</v>
      </c>
      <c r="H2355" s="26">
        <v>-1</v>
      </c>
      <c r="I2355" s="70" t="s">
        <v>8824</v>
      </c>
      <c r="J2355" s="26" t="s">
        <v>4136</v>
      </c>
      <c r="K2355" s="26" t="s">
        <v>8825</v>
      </c>
      <c r="L2355" s="26" t="s">
        <v>11097</v>
      </c>
      <c r="M2355" s="76"/>
      <c r="N2355" s="76"/>
      <c r="O2355" s="76"/>
      <c r="P2355" s="76"/>
      <c r="Q2355" s="76"/>
      <c r="R2355" s="76"/>
      <c r="U2355" s="26" t="s">
        <v>5497</v>
      </c>
      <c r="Z2355" s="70"/>
      <c r="AA2355" s="70"/>
      <c r="AB2355" s="70"/>
      <c r="AC2355" s="70"/>
    </row>
    <row r="2356" spans="1:31" s="26" customFormat="1" x14ac:dyDescent="0.3">
      <c r="A2356" s="25" t="s">
        <v>8826</v>
      </c>
      <c r="B2356" s="25"/>
      <c r="C2356" s="26" t="s">
        <v>3005</v>
      </c>
      <c r="D2356" s="70"/>
      <c r="G2356" s="70" t="s">
        <v>1776</v>
      </c>
      <c r="H2356" s="26">
        <v>-1</v>
      </c>
      <c r="I2356" s="70" t="s">
        <v>8827</v>
      </c>
      <c r="J2356" s="26" t="s">
        <v>8828</v>
      </c>
      <c r="K2356" s="26" t="s">
        <v>8829</v>
      </c>
      <c r="M2356" s="76"/>
      <c r="N2356" s="76"/>
      <c r="O2356" s="76"/>
      <c r="P2356" s="76"/>
      <c r="Q2356" s="76"/>
      <c r="R2356" s="76"/>
      <c r="Z2356" s="70"/>
      <c r="AA2356" s="70"/>
      <c r="AB2356" s="70"/>
      <c r="AC2356" s="70"/>
    </row>
    <row r="2357" spans="1:31" s="24" customFormat="1" x14ac:dyDescent="0.3">
      <c r="A2357" s="23">
        <v>614</v>
      </c>
      <c r="B2357" s="23">
        <v>609</v>
      </c>
      <c r="C2357" s="24" t="s">
        <v>2165</v>
      </c>
      <c r="D2357" s="69" t="s">
        <v>1724</v>
      </c>
      <c r="E2357" s="24" t="s">
        <v>1723</v>
      </c>
      <c r="F2357" s="24" t="s">
        <v>1777</v>
      </c>
      <c r="G2357" s="69" t="s">
        <v>1778</v>
      </c>
      <c r="I2357" s="69"/>
      <c r="J2357" s="24" t="s">
        <v>3016</v>
      </c>
      <c r="K2357" s="24" t="s">
        <v>1779</v>
      </c>
      <c r="M2357" s="75" t="s">
        <v>19</v>
      </c>
      <c r="N2357" s="75"/>
      <c r="O2357" s="75"/>
      <c r="P2357" s="75"/>
      <c r="Q2357" s="75"/>
      <c r="R2357" s="75" t="s">
        <v>2166</v>
      </c>
      <c r="U2357" s="24" t="s">
        <v>2940</v>
      </c>
      <c r="V2357" s="24" t="s">
        <v>2171</v>
      </c>
      <c r="Z2357" s="69"/>
      <c r="AA2357" s="69"/>
      <c r="AB2357" s="69" t="s">
        <v>2941</v>
      </c>
      <c r="AC2357" s="69"/>
      <c r="AD2357" s="24" t="s">
        <v>1780</v>
      </c>
    </row>
    <row r="2358" spans="1:31" s="26" customFormat="1" x14ac:dyDescent="0.3">
      <c r="A2358" s="25" t="s">
        <v>8830</v>
      </c>
      <c r="B2358" s="25"/>
      <c r="C2358" s="26" t="s">
        <v>3005</v>
      </c>
      <c r="D2358" s="70"/>
      <c r="G2358" s="70" t="s">
        <v>1778</v>
      </c>
      <c r="H2358" s="26">
        <v>-1</v>
      </c>
      <c r="I2358" s="70" t="s">
        <v>8831</v>
      </c>
      <c r="J2358" s="26" t="s">
        <v>3016</v>
      </c>
      <c r="K2358" s="26" t="s">
        <v>8832</v>
      </c>
      <c r="L2358" s="26" t="s">
        <v>11098</v>
      </c>
      <c r="M2358" s="76"/>
      <c r="N2358" s="76"/>
      <c r="O2358" s="76"/>
      <c r="P2358" s="76"/>
      <c r="Q2358" s="76"/>
      <c r="R2358" s="76"/>
      <c r="U2358" s="26" t="s">
        <v>8833</v>
      </c>
      <c r="Z2358" s="70"/>
      <c r="AA2358" s="70"/>
      <c r="AB2358" s="70"/>
      <c r="AC2358" s="70"/>
    </row>
    <row r="2359" spans="1:31" s="26" customFormat="1" x14ac:dyDescent="0.3">
      <c r="A2359" s="25" t="s">
        <v>8834</v>
      </c>
      <c r="B2359" s="25"/>
      <c r="C2359" s="26" t="s">
        <v>3005</v>
      </c>
      <c r="D2359" s="70"/>
      <c r="G2359" s="70" t="s">
        <v>1778</v>
      </c>
      <c r="H2359" s="26">
        <v>-1</v>
      </c>
      <c r="I2359" s="70" t="s">
        <v>8835</v>
      </c>
      <c r="J2359" s="26" t="s">
        <v>8836</v>
      </c>
      <c r="K2359" s="26" t="s">
        <v>8837</v>
      </c>
      <c r="L2359" s="26" t="s">
        <v>11099</v>
      </c>
      <c r="M2359" s="76"/>
      <c r="N2359" s="76"/>
      <c r="O2359" s="76"/>
      <c r="P2359" s="76"/>
      <c r="Q2359" s="76"/>
      <c r="R2359" s="76"/>
      <c r="U2359" s="26" t="s">
        <v>8838</v>
      </c>
      <c r="Z2359" s="70"/>
      <c r="AA2359" s="70"/>
      <c r="AB2359" s="70"/>
      <c r="AC2359" s="70"/>
    </row>
    <row r="2360" spans="1:31" s="26" customFormat="1" x14ac:dyDescent="0.3">
      <c r="A2360" s="25" t="s">
        <v>8839</v>
      </c>
      <c r="B2360" s="25"/>
      <c r="C2360" s="26" t="s">
        <v>3005</v>
      </c>
      <c r="D2360" s="70"/>
      <c r="G2360" s="70" t="s">
        <v>1778</v>
      </c>
      <c r="H2360" s="26">
        <v>-1</v>
      </c>
      <c r="I2360" s="70" t="s">
        <v>8840</v>
      </c>
      <c r="J2360" s="26" t="s">
        <v>8841</v>
      </c>
      <c r="K2360" s="26" t="s">
        <v>8842</v>
      </c>
      <c r="L2360" s="26" t="s">
        <v>11100</v>
      </c>
      <c r="M2360" s="76"/>
      <c r="N2360" s="76"/>
      <c r="O2360" s="76"/>
      <c r="P2360" s="76"/>
      <c r="Q2360" s="76"/>
      <c r="R2360" s="76"/>
      <c r="U2360" s="26" t="s">
        <v>6407</v>
      </c>
      <c r="Z2360" s="70"/>
      <c r="AA2360" s="70"/>
      <c r="AB2360" s="70"/>
      <c r="AC2360" s="70"/>
    </row>
    <row r="2361" spans="1:31" s="26" customFormat="1" x14ac:dyDescent="0.3">
      <c r="A2361" s="25" t="s">
        <v>8843</v>
      </c>
      <c r="B2361" s="25"/>
      <c r="C2361" s="26" t="s">
        <v>3005</v>
      </c>
      <c r="D2361" s="70"/>
      <c r="G2361" s="70" t="s">
        <v>1778</v>
      </c>
      <c r="H2361" s="26">
        <v>-1</v>
      </c>
      <c r="I2361" s="70" t="s">
        <v>8844</v>
      </c>
      <c r="J2361" s="26" t="s">
        <v>8845</v>
      </c>
      <c r="K2361" s="26" t="s">
        <v>8846</v>
      </c>
      <c r="M2361" s="76"/>
      <c r="N2361" s="76"/>
      <c r="O2361" s="76"/>
      <c r="P2361" s="76"/>
      <c r="Q2361" s="76"/>
      <c r="R2361" s="76"/>
      <c r="T2361" s="26" t="s">
        <v>2200</v>
      </c>
      <c r="Z2361" s="70"/>
      <c r="AA2361" s="70"/>
      <c r="AB2361" s="70"/>
      <c r="AC2361" s="70"/>
      <c r="AE2361" s="26" t="s">
        <v>8847</v>
      </c>
    </row>
    <row r="2362" spans="1:31" s="26" customFormat="1" x14ac:dyDescent="0.3">
      <c r="A2362" s="25" t="s">
        <v>8848</v>
      </c>
      <c r="B2362" s="25"/>
      <c r="C2362" s="26" t="s">
        <v>3005</v>
      </c>
      <c r="D2362" s="70"/>
      <c r="G2362" s="70" t="s">
        <v>1778</v>
      </c>
      <c r="H2362" s="26">
        <v>-1</v>
      </c>
      <c r="I2362" s="70" t="s">
        <v>8849</v>
      </c>
      <c r="J2362" s="26" t="s">
        <v>8850</v>
      </c>
      <c r="K2362" s="26" t="s">
        <v>8851</v>
      </c>
      <c r="L2362" s="26" t="s">
        <v>11101</v>
      </c>
      <c r="M2362" s="76"/>
      <c r="N2362" s="76"/>
      <c r="O2362" s="76"/>
      <c r="P2362" s="76"/>
      <c r="Q2362" s="76"/>
      <c r="R2362" s="76"/>
      <c r="U2362" s="26" t="s">
        <v>8852</v>
      </c>
      <c r="Z2362" s="70"/>
      <c r="AA2362" s="70"/>
      <c r="AB2362" s="70"/>
      <c r="AC2362" s="70"/>
    </row>
    <row r="2363" spans="1:31" s="26" customFormat="1" x14ac:dyDescent="0.3">
      <c r="A2363" s="25" t="s">
        <v>8853</v>
      </c>
      <c r="B2363" s="25"/>
      <c r="C2363" s="26" t="s">
        <v>3005</v>
      </c>
      <c r="D2363" s="70"/>
      <c r="G2363" s="70" t="s">
        <v>1778</v>
      </c>
      <c r="H2363" s="26">
        <v>-1</v>
      </c>
      <c r="I2363" s="70" t="s">
        <v>8854</v>
      </c>
      <c r="J2363" s="26" t="s">
        <v>8855</v>
      </c>
      <c r="K2363" s="26" t="s">
        <v>8856</v>
      </c>
      <c r="M2363" s="76"/>
      <c r="N2363" s="76"/>
      <c r="O2363" s="76"/>
      <c r="P2363" s="76"/>
      <c r="Q2363" s="76"/>
      <c r="R2363" s="76"/>
      <c r="U2363" s="26" t="s">
        <v>8857</v>
      </c>
      <c r="Z2363" s="70"/>
      <c r="AA2363" s="70"/>
      <c r="AB2363" s="70"/>
      <c r="AC2363" s="70"/>
    </row>
    <row r="2364" spans="1:31" s="26" customFormat="1" x14ac:dyDescent="0.3">
      <c r="A2364" s="25" t="s">
        <v>8858</v>
      </c>
      <c r="B2364" s="25"/>
      <c r="C2364" s="26" t="s">
        <v>3005</v>
      </c>
      <c r="D2364" s="70"/>
      <c r="G2364" s="70" t="s">
        <v>1778</v>
      </c>
      <c r="H2364" s="26">
        <v>-1</v>
      </c>
      <c r="I2364" s="70" t="s">
        <v>8859</v>
      </c>
      <c r="J2364" s="26" t="s">
        <v>8860</v>
      </c>
      <c r="K2364" s="26" t="s">
        <v>8861</v>
      </c>
      <c r="L2364" s="26" t="s">
        <v>11102</v>
      </c>
      <c r="M2364" s="76"/>
      <c r="N2364" s="76"/>
      <c r="O2364" s="76"/>
      <c r="P2364" s="76"/>
      <c r="Q2364" s="76"/>
      <c r="R2364" s="76"/>
      <c r="U2364" s="26" t="s">
        <v>8862</v>
      </c>
      <c r="Z2364" s="70"/>
      <c r="AA2364" s="70"/>
      <c r="AB2364" s="70"/>
      <c r="AC2364" s="70"/>
    </row>
    <row r="2365" spans="1:31" s="26" customFormat="1" x14ac:dyDescent="0.3">
      <c r="A2365" s="25" t="s">
        <v>8863</v>
      </c>
      <c r="B2365" s="25"/>
      <c r="C2365" s="26" t="s">
        <v>3005</v>
      </c>
      <c r="D2365" s="70"/>
      <c r="G2365" s="70" t="s">
        <v>1778</v>
      </c>
      <c r="H2365" s="26">
        <v>-1</v>
      </c>
      <c r="I2365" s="70" t="s">
        <v>3786</v>
      </c>
      <c r="J2365" s="26" t="s">
        <v>4398</v>
      </c>
      <c r="K2365" s="26" t="s">
        <v>8864</v>
      </c>
      <c r="L2365" s="26" t="s">
        <v>11103</v>
      </c>
      <c r="M2365" s="76"/>
      <c r="N2365" s="76"/>
      <c r="O2365" s="76"/>
      <c r="P2365" s="76"/>
      <c r="Q2365" s="76"/>
      <c r="R2365" s="76"/>
      <c r="U2365" s="26" t="s">
        <v>8865</v>
      </c>
      <c r="Z2365" s="70"/>
      <c r="AA2365" s="70"/>
      <c r="AB2365" s="70"/>
      <c r="AC2365" s="70"/>
    </row>
    <row r="2366" spans="1:31" s="26" customFormat="1" x14ac:dyDescent="0.3">
      <c r="A2366" s="25" t="s">
        <v>8866</v>
      </c>
      <c r="B2366" s="25"/>
      <c r="C2366" s="26" t="s">
        <v>3005</v>
      </c>
      <c r="D2366" s="70"/>
      <c r="G2366" s="70" t="s">
        <v>1778</v>
      </c>
      <c r="H2366" s="26">
        <v>-1</v>
      </c>
      <c r="I2366" s="70" t="s">
        <v>6021</v>
      </c>
      <c r="J2366" s="26" t="s">
        <v>7907</v>
      </c>
      <c r="K2366" s="26" t="s">
        <v>8867</v>
      </c>
      <c r="M2366" s="76"/>
      <c r="N2366" s="76"/>
      <c r="O2366" s="76"/>
      <c r="P2366" s="76"/>
      <c r="Q2366" s="76"/>
      <c r="R2366" s="76"/>
      <c r="U2366" s="26" t="s">
        <v>8862</v>
      </c>
      <c r="Z2366" s="70"/>
      <c r="AA2366" s="70"/>
      <c r="AB2366" s="70"/>
      <c r="AC2366" s="70"/>
    </row>
    <row r="2367" spans="1:31" s="26" customFormat="1" x14ac:dyDescent="0.3">
      <c r="A2367" s="25" t="s">
        <v>8868</v>
      </c>
      <c r="B2367" s="25"/>
      <c r="C2367" s="26" t="s">
        <v>3005</v>
      </c>
      <c r="D2367" s="70"/>
      <c r="G2367" s="70" t="s">
        <v>1778</v>
      </c>
      <c r="H2367" s="26">
        <v>-1</v>
      </c>
      <c r="I2367" s="70" t="s">
        <v>8869</v>
      </c>
      <c r="J2367" s="26" t="s">
        <v>8870</v>
      </c>
      <c r="K2367" s="26" t="s">
        <v>8871</v>
      </c>
      <c r="L2367" s="26" t="s">
        <v>11104</v>
      </c>
      <c r="M2367" s="76"/>
      <c r="N2367" s="76"/>
      <c r="O2367" s="76"/>
      <c r="P2367" s="76"/>
      <c r="Q2367" s="76"/>
      <c r="R2367" s="76"/>
      <c r="U2367" s="26" t="s">
        <v>7651</v>
      </c>
      <c r="Z2367" s="70"/>
      <c r="AA2367" s="70"/>
      <c r="AB2367" s="70"/>
      <c r="AC2367" s="70"/>
    </row>
    <row r="2368" spans="1:31" s="26" customFormat="1" x14ac:dyDescent="0.3">
      <c r="A2368" s="25" t="s">
        <v>8872</v>
      </c>
      <c r="B2368" s="25"/>
      <c r="C2368" s="26" t="s">
        <v>3005</v>
      </c>
      <c r="D2368" s="70"/>
      <c r="G2368" s="70" t="s">
        <v>1778</v>
      </c>
      <c r="H2368" s="26">
        <v>-1</v>
      </c>
      <c r="I2368" s="70" t="s">
        <v>8873</v>
      </c>
      <c r="J2368" s="26" t="s">
        <v>8870</v>
      </c>
      <c r="K2368" s="26" t="s">
        <v>7534</v>
      </c>
      <c r="L2368" s="26" t="s">
        <v>11105</v>
      </c>
      <c r="M2368" s="76"/>
      <c r="N2368" s="76"/>
      <c r="O2368" s="76"/>
      <c r="P2368" s="76"/>
      <c r="Q2368" s="76"/>
      <c r="R2368" s="76"/>
      <c r="U2368" s="26" t="s">
        <v>4337</v>
      </c>
      <c r="Z2368" s="70"/>
      <c r="AA2368" s="70"/>
      <c r="AB2368" s="70"/>
      <c r="AC2368" s="70"/>
    </row>
    <row r="2369" spans="1:31" s="24" customFormat="1" x14ac:dyDescent="0.3">
      <c r="A2369" s="23">
        <v>615</v>
      </c>
      <c r="B2369" s="23">
        <v>610</v>
      </c>
      <c r="C2369" s="24" t="s">
        <v>2165</v>
      </c>
      <c r="D2369" s="69" t="s">
        <v>1724</v>
      </c>
      <c r="E2369" s="24" t="s">
        <v>1723</v>
      </c>
      <c r="F2369" s="24" t="s">
        <v>1781</v>
      </c>
      <c r="G2369" s="69" t="s">
        <v>1782</v>
      </c>
      <c r="I2369" s="69"/>
      <c r="J2369" s="24" t="s">
        <v>4136</v>
      </c>
      <c r="K2369" s="24" t="s">
        <v>360</v>
      </c>
      <c r="L2369" s="24" t="s">
        <v>9913</v>
      </c>
      <c r="M2369" s="75" t="s">
        <v>50</v>
      </c>
      <c r="N2369" s="75"/>
      <c r="O2369" s="75"/>
      <c r="P2369" s="75"/>
      <c r="Q2369" s="75"/>
      <c r="R2369" s="75"/>
      <c r="U2369" s="24" t="s">
        <v>2293</v>
      </c>
      <c r="Z2369" s="69"/>
      <c r="AA2369" s="69"/>
      <c r="AB2369" s="69"/>
      <c r="AC2369" s="69"/>
      <c r="AD2369" s="24" t="s">
        <v>123</v>
      </c>
    </row>
    <row r="2370" spans="1:31" s="26" customFormat="1" x14ac:dyDescent="0.3">
      <c r="A2370" s="25" t="s">
        <v>8874</v>
      </c>
      <c r="B2370" s="25"/>
      <c r="C2370" s="26" t="s">
        <v>3005</v>
      </c>
      <c r="D2370" s="70"/>
      <c r="G2370" s="70" t="s">
        <v>1782</v>
      </c>
      <c r="H2370" s="26">
        <v>-1</v>
      </c>
      <c r="I2370" s="70" t="s">
        <v>8875</v>
      </c>
      <c r="J2370" s="26" t="s">
        <v>4136</v>
      </c>
      <c r="K2370" s="26" t="s">
        <v>8876</v>
      </c>
      <c r="M2370" s="76"/>
      <c r="N2370" s="76"/>
      <c r="O2370" s="76"/>
      <c r="P2370" s="76"/>
      <c r="Q2370" s="76"/>
      <c r="R2370" s="76"/>
      <c r="U2370" s="26" t="s">
        <v>7625</v>
      </c>
      <c r="Z2370" s="70"/>
      <c r="AA2370" s="70"/>
      <c r="AB2370" s="70"/>
      <c r="AC2370" s="70"/>
    </row>
    <row r="2371" spans="1:31" s="26" customFormat="1" x14ac:dyDescent="0.3">
      <c r="A2371" s="25" t="s">
        <v>8877</v>
      </c>
      <c r="B2371" s="25"/>
      <c r="C2371" s="26" t="s">
        <v>3005</v>
      </c>
      <c r="D2371" s="70"/>
      <c r="G2371" s="70" t="s">
        <v>1782</v>
      </c>
      <c r="H2371" s="26">
        <v>-1</v>
      </c>
      <c r="I2371" s="70" t="s">
        <v>8878</v>
      </c>
      <c r="J2371" s="26" t="s">
        <v>3092</v>
      </c>
      <c r="K2371" s="26" t="s">
        <v>8879</v>
      </c>
      <c r="M2371" s="76"/>
      <c r="N2371" s="76"/>
      <c r="O2371" s="76"/>
      <c r="P2371" s="76"/>
      <c r="Q2371" s="76"/>
      <c r="R2371" s="76"/>
      <c r="U2371" s="26" t="s">
        <v>8880</v>
      </c>
      <c r="Z2371" s="70"/>
      <c r="AA2371" s="70"/>
      <c r="AB2371" s="70"/>
      <c r="AC2371" s="70"/>
    </row>
    <row r="2372" spans="1:31" s="26" customFormat="1" x14ac:dyDescent="0.3">
      <c r="A2372" s="25" t="s">
        <v>8881</v>
      </c>
      <c r="B2372" s="25"/>
      <c r="C2372" s="26" t="s">
        <v>3005</v>
      </c>
      <c r="D2372" s="70"/>
      <c r="G2372" s="70" t="s">
        <v>1782</v>
      </c>
      <c r="H2372" s="26">
        <v>-1</v>
      </c>
      <c r="I2372" s="70" t="s">
        <v>8882</v>
      </c>
      <c r="J2372" s="26" t="s">
        <v>8883</v>
      </c>
      <c r="K2372" s="26" t="s">
        <v>7807</v>
      </c>
      <c r="M2372" s="76"/>
      <c r="N2372" s="76"/>
      <c r="O2372" s="76"/>
      <c r="P2372" s="76"/>
      <c r="Q2372" s="76"/>
      <c r="R2372" s="76"/>
      <c r="Z2372" s="70"/>
      <c r="AA2372" s="70"/>
      <c r="AB2372" s="70"/>
      <c r="AC2372" s="70"/>
    </row>
    <row r="2373" spans="1:31" s="24" customFormat="1" x14ac:dyDescent="0.3">
      <c r="A2373" s="23">
        <v>616</v>
      </c>
      <c r="B2373" s="23">
        <v>611</v>
      </c>
      <c r="C2373" s="24" t="s">
        <v>2165</v>
      </c>
      <c r="D2373" s="69" t="s">
        <v>1724</v>
      </c>
      <c r="E2373" s="24" t="s">
        <v>1723</v>
      </c>
      <c r="F2373" s="24" t="s">
        <v>1783</v>
      </c>
      <c r="G2373" s="69" t="s">
        <v>1784</v>
      </c>
      <c r="I2373" s="69"/>
      <c r="J2373" s="24" t="s">
        <v>8884</v>
      </c>
      <c r="K2373" s="24" t="s">
        <v>1785</v>
      </c>
      <c r="L2373" s="24" t="s">
        <v>9914</v>
      </c>
      <c r="M2373" s="75" t="s">
        <v>19</v>
      </c>
      <c r="N2373" s="75"/>
      <c r="O2373" s="75"/>
      <c r="P2373" s="75"/>
      <c r="Q2373" s="75"/>
      <c r="R2373" s="75" t="s">
        <v>2166</v>
      </c>
      <c r="U2373" s="24" t="s">
        <v>2942</v>
      </c>
      <c r="V2373" s="24" t="s">
        <v>2171</v>
      </c>
      <c r="Y2373" s="24" t="s">
        <v>2943</v>
      </c>
      <c r="Z2373" s="69"/>
      <c r="AA2373" s="69"/>
      <c r="AB2373" s="69"/>
      <c r="AC2373" s="69"/>
      <c r="AD2373" s="24" t="s">
        <v>1786</v>
      </c>
    </row>
    <row r="2374" spans="1:31" s="24" customFormat="1" x14ac:dyDescent="0.3">
      <c r="A2374" s="23">
        <v>617</v>
      </c>
      <c r="B2374" s="23">
        <v>612</v>
      </c>
      <c r="C2374" s="24" t="s">
        <v>2165</v>
      </c>
      <c r="D2374" s="69" t="s">
        <v>1724</v>
      </c>
      <c r="E2374" s="24" t="s">
        <v>1723</v>
      </c>
      <c r="F2374" s="24" t="s">
        <v>1787</v>
      </c>
      <c r="G2374" s="69" t="s">
        <v>1788</v>
      </c>
      <c r="I2374" s="69"/>
      <c r="J2374" s="24" t="s">
        <v>5531</v>
      </c>
      <c r="K2374" s="24" t="s">
        <v>1789</v>
      </c>
      <c r="L2374" s="24" t="s">
        <v>9915</v>
      </c>
      <c r="M2374" s="75" t="s">
        <v>19</v>
      </c>
      <c r="N2374" s="75"/>
      <c r="O2374" s="75"/>
      <c r="P2374" s="75"/>
      <c r="Q2374" s="75"/>
      <c r="R2374" s="75" t="s">
        <v>2166</v>
      </c>
      <c r="U2374" s="24" t="s">
        <v>2944</v>
      </c>
      <c r="V2374" s="24" t="s">
        <v>2171</v>
      </c>
      <c r="Z2374" s="69"/>
      <c r="AA2374" s="69"/>
      <c r="AB2374" s="69"/>
      <c r="AC2374" s="69"/>
      <c r="AD2374" s="24" t="s">
        <v>1790</v>
      </c>
    </row>
    <row r="2375" spans="1:31" s="24" customFormat="1" x14ac:dyDescent="0.3">
      <c r="A2375" s="23">
        <v>618</v>
      </c>
      <c r="B2375" s="23">
        <v>613</v>
      </c>
      <c r="C2375" s="24" t="s">
        <v>2165</v>
      </c>
      <c r="D2375" s="69" t="s">
        <v>1724</v>
      </c>
      <c r="E2375" s="24" t="s">
        <v>1723</v>
      </c>
      <c r="F2375" s="24" t="s">
        <v>1791</v>
      </c>
      <c r="G2375" s="69" t="s">
        <v>1792</v>
      </c>
      <c r="I2375" s="69"/>
      <c r="J2375" s="24" t="s">
        <v>3245</v>
      </c>
      <c r="K2375" s="24" t="s">
        <v>1011</v>
      </c>
      <c r="M2375" s="75" t="s">
        <v>50</v>
      </c>
      <c r="N2375" s="75"/>
      <c r="O2375" s="75"/>
      <c r="P2375" s="75"/>
      <c r="Q2375" s="75"/>
      <c r="R2375" s="75"/>
      <c r="U2375" s="24" t="s">
        <v>2944</v>
      </c>
      <c r="Z2375" s="69"/>
      <c r="AA2375" s="69"/>
      <c r="AB2375" s="69"/>
      <c r="AC2375" s="69"/>
    </row>
    <row r="2376" spans="1:31" s="26" customFormat="1" x14ac:dyDescent="0.3">
      <c r="A2376" s="25" t="s">
        <v>8885</v>
      </c>
      <c r="B2376" s="25"/>
      <c r="C2376" s="26" t="s">
        <v>3005</v>
      </c>
      <c r="D2376" s="70"/>
      <c r="G2376" s="70" t="s">
        <v>1792</v>
      </c>
      <c r="H2376" s="26">
        <v>-1</v>
      </c>
      <c r="I2376" s="70" t="s">
        <v>8886</v>
      </c>
      <c r="J2376" s="26" t="s">
        <v>3245</v>
      </c>
      <c r="K2376" s="26" t="s">
        <v>8887</v>
      </c>
      <c r="M2376" s="76"/>
      <c r="N2376" s="76"/>
      <c r="O2376" s="76"/>
      <c r="P2376" s="76"/>
      <c r="Q2376" s="76"/>
      <c r="R2376" s="76"/>
      <c r="U2376" s="26" t="s">
        <v>5376</v>
      </c>
      <c r="Z2376" s="70"/>
      <c r="AA2376" s="70"/>
      <c r="AB2376" s="70"/>
      <c r="AC2376" s="70"/>
    </row>
    <row r="2377" spans="1:31" s="26" customFormat="1" x14ac:dyDescent="0.3">
      <c r="A2377" s="25" t="s">
        <v>8888</v>
      </c>
      <c r="B2377" s="25"/>
      <c r="C2377" s="26" t="s">
        <v>3005</v>
      </c>
      <c r="D2377" s="70"/>
      <c r="G2377" s="70" t="s">
        <v>1792</v>
      </c>
      <c r="H2377" s="26">
        <v>-1</v>
      </c>
      <c r="I2377" s="70" t="s">
        <v>8889</v>
      </c>
      <c r="J2377" s="26" t="s">
        <v>5162</v>
      </c>
      <c r="K2377" s="26" t="s">
        <v>8890</v>
      </c>
      <c r="M2377" s="76"/>
      <c r="N2377" s="76"/>
      <c r="O2377" s="76"/>
      <c r="P2377" s="76"/>
      <c r="Q2377" s="76"/>
      <c r="R2377" s="76"/>
      <c r="T2377" s="26" t="s">
        <v>2254</v>
      </c>
      <c r="Z2377" s="70"/>
      <c r="AA2377" s="70"/>
      <c r="AB2377" s="70"/>
      <c r="AC2377" s="70"/>
      <c r="AE2377" s="26" t="s">
        <v>8891</v>
      </c>
    </row>
    <row r="2378" spans="1:31" s="24" customFormat="1" x14ac:dyDescent="0.3">
      <c r="A2378" s="23">
        <v>619</v>
      </c>
      <c r="B2378" s="23">
        <v>614</v>
      </c>
      <c r="C2378" s="24" t="s">
        <v>2165</v>
      </c>
      <c r="D2378" s="69" t="s">
        <v>1724</v>
      </c>
      <c r="E2378" s="24" t="s">
        <v>1723</v>
      </c>
      <c r="F2378" s="24" t="s">
        <v>1793</v>
      </c>
      <c r="G2378" s="69" t="s">
        <v>1794</v>
      </c>
      <c r="I2378" s="69"/>
      <c r="J2378" s="24" t="s">
        <v>3245</v>
      </c>
      <c r="K2378" s="24" t="s">
        <v>1795</v>
      </c>
      <c r="L2378" s="24" t="s">
        <v>9916</v>
      </c>
      <c r="M2378" s="75" t="s">
        <v>50</v>
      </c>
      <c r="N2378" s="75"/>
      <c r="O2378" s="75"/>
      <c r="P2378" s="75"/>
      <c r="Q2378" s="75"/>
      <c r="R2378" s="75"/>
      <c r="U2378" s="24" t="s">
        <v>2921</v>
      </c>
      <c r="Z2378" s="69"/>
      <c r="AA2378" s="69"/>
      <c r="AB2378" s="69"/>
      <c r="AC2378" s="69"/>
    </row>
    <row r="2379" spans="1:31" s="24" customFormat="1" x14ac:dyDescent="0.3">
      <c r="A2379" s="23">
        <v>620</v>
      </c>
      <c r="B2379" s="23">
        <v>615</v>
      </c>
      <c r="C2379" s="24" t="s">
        <v>2165</v>
      </c>
      <c r="D2379" s="69" t="s">
        <v>1724</v>
      </c>
      <c r="E2379" s="24" t="s">
        <v>1723</v>
      </c>
      <c r="F2379" s="24" t="s">
        <v>1796</v>
      </c>
      <c r="G2379" s="69" t="s">
        <v>1797</v>
      </c>
      <c r="I2379" s="69"/>
      <c r="J2379" s="24" t="s">
        <v>3165</v>
      </c>
      <c r="K2379" s="24" t="s">
        <v>1798</v>
      </c>
      <c r="L2379" s="24" t="s">
        <v>9917</v>
      </c>
      <c r="M2379" s="75" t="s">
        <v>19</v>
      </c>
      <c r="N2379" s="75"/>
      <c r="O2379" s="75"/>
      <c r="P2379" s="75"/>
      <c r="Q2379" s="75"/>
      <c r="R2379" s="75" t="s">
        <v>2166</v>
      </c>
      <c r="U2379" s="24" t="s">
        <v>2945</v>
      </c>
      <c r="V2379" s="24" t="s">
        <v>2946</v>
      </c>
      <c r="Y2379" s="24" t="s">
        <v>2947</v>
      </c>
      <c r="Z2379" s="69"/>
      <c r="AA2379" s="69"/>
      <c r="AB2379" s="69"/>
      <c r="AC2379" s="69"/>
    </row>
    <row r="2380" spans="1:31" s="24" customFormat="1" x14ac:dyDescent="0.3">
      <c r="A2380" s="23">
        <v>621</v>
      </c>
      <c r="B2380" s="23">
        <v>616</v>
      </c>
      <c r="C2380" s="24" t="s">
        <v>2165</v>
      </c>
      <c r="D2380" s="69" t="s">
        <v>1724</v>
      </c>
      <c r="E2380" s="24" t="s">
        <v>1723</v>
      </c>
      <c r="F2380" s="24" t="s">
        <v>1799</v>
      </c>
      <c r="G2380" s="69" t="s">
        <v>1800</v>
      </c>
      <c r="H2380" s="24">
        <v>2</v>
      </c>
      <c r="I2380" s="69"/>
      <c r="J2380" s="24" t="s">
        <v>5085</v>
      </c>
      <c r="K2380" s="24" t="s">
        <v>68</v>
      </c>
      <c r="M2380" s="75" t="s">
        <v>65</v>
      </c>
      <c r="N2380" s="75" t="s">
        <v>2020</v>
      </c>
      <c r="O2380" s="75" t="s">
        <v>66</v>
      </c>
      <c r="P2380" s="75" t="s">
        <v>66</v>
      </c>
      <c r="Q2380" s="75" t="s">
        <v>66</v>
      </c>
      <c r="R2380" s="75"/>
      <c r="Z2380" s="69"/>
      <c r="AA2380" s="69"/>
      <c r="AB2380" s="69"/>
      <c r="AC2380" s="69"/>
    </row>
    <row r="2381" spans="1:31" s="26" customFormat="1" x14ac:dyDescent="0.3">
      <c r="A2381" s="25" t="s">
        <v>8892</v>
      </c>
      <c r="B2381" s="25"/>
      <c r="C2381" s="26" t="s">
        <v>3005</v>
      </c>
      <c r="D2381" s="70"/>
      <c r="G2381" s="70" t="s">
        <v>1800</v>
      </c>
      <c r="H2381" s="26">
        <v>1</v>
      </c>
      <c r="I2381" s="70" t="s">
        <v>6162</v>
      </c>
      <c r="J2381" s="26" t="s">
        <v>5080</v>
      </c>
      <c r="K2381" s="26" t="s">
        <v>6319</v>
      </c>
      <c r="L2381" s="26" t="s">
        <v>11106</v>
      </c>
      <c r="M2381" s="76"/>
      <c r="N2381" s="76"/>
      <c r="O2381" s="76"/>
      <c r="P2381" s="76"/>
      <c r="Q2381" s="76"/>
      <c r="R2381" s="76"/>
      <c r="Z2381" s="70"/>
      <c r="AA2381" s="70"/>
      <c r="AB2381" s="70"/>
      <c r="AC2381" s="70"/>
    </row>
    <row r="2382" spans="1:31" s="26" customFormat="1" x14ac:dyDescent="0.3">
      <c r="A2382" s="25" t="s">
        <v>8893</v>
      </c>
      <c r="B2382" s="25"/>
      <c r="C2382" s="26" t="s">
        <v>3005</v>
      </c>
      <c r="D2382" s="70"/>
      <c r="G2382" s="70" t="s">
        <v>1800</v>
      </c>
      <c r="H2382" s="26">
        <v>1</v>
      </c>
      <c r="I2382" s="70" t="s">
        <v>6915</v>
      </c>
      <c r="J2382" s="26" t="s">
        <v>5085</v>
      </c>
      <c r="K2382" s="26" t="s">
        <v>5290</v>
      </c>
      <c r="L2382" s="26" t="s">
        <v>9808</v>
      </c>
      <c r="M2382" s="76"/>
      <c r="N2382" s="76"/>
      <c r="O2382" s="76"/>
      <c r="P2382" s="76"/>
      <c r="Q2382" s="76"/>
      <c r="R2382" s="76"/>
      <c r="Z2382" s="70"/>
      <c r="AA2382" s="70"/>
      <c r="AB2382" s="70"/>
      <c r="AC2382" s="70"/>
    </row>
    <row r="2383" spans="1:31" s="24" customFormat="1" x14ac:dyDescent="0.3">
      <c r="A2383" s="23">
        <v>622</v>
      </c>
      <c r="B2383" s="23">
        <v>617</v>
      </c>
      <c r="C2383" s="24" t="s">
        <v>2165</v>
      </c>
      <c r="D2383" s="69" t="s">
        <v>1724</v>
      </c>
      <c r="E2383" s="24" t="s">
        <v>1723</v>
      </c>
      <c r="F2383" s="24" t="s">
        <v>1801</v>
      </c>
      <c r="G2383" s="69" t="s">
        <v>1802</v>
      </c>
      <c r="I2383" s="69"/>
      <c r="J2383" s="24" t="s">
        <v>5253</v>
      </c>
      <c r="K2383" s="24" t="s">
        <v>68</v>
      </c>
      <c r="L2383" s="24" t="s">
        <v>9918</v>
      </c>
      <c r="M2383" s="75" t="s">
        <v>65</v>
      </c>
      <c r="N2383" s="75" t="s">
        <v>2016</v>
      </c>
      <c r="O2383" s="75" t="s">
        <v>66</v>
      </c>
      <c r="P2383" s="75" t="s">
        <v>66</v>
      </c>
      <c r="Q2383" s="75" t="s">
        <v>66</v>
      </c>
      <c r="R2383" s="75"/>
      <c r="Z2383" s="69"/>
      <c r="AA2383" s="69"/>
      <c r="AB2383" s="69"/>
      <c r="AC2383" s="69"/>
    </row>
    <row r="2384" spans="1:31" s="24" customFormat="1" x14ac:dyDescent="0.3">
      <c r="A2384" s="23">
        <v>623</v>
      </c>
      <c r="B2384" s="23">
        <v>618</v>
      </c>
      <c r="C2384" s="24" t="s">
        <v>2165</v>
      </c>
      <c r="D2384" s="69" t="s">
        <v>1724</v>
      </c>
      <c r="E2384" s="24" t="s">
        <v>1723</v>
      </c>
      <c r="F2384" s="24" t="s">
        <v>1803</v>
      </c>
      <c r="G2384" s="69" t="s">
        <v>1804</v>
      </c>
      <c r="I2384" s="69"/>
      <c r="J2384" s="24" t="s">
        <v>8894</v>
      </c>
      <c r="K2384" s="24" t="s">
        <v>68</v>
      </c>
      <c r="L2384" s="24" t="s">
        <v>9919</v>
      </c>
      <c r="M2384" s="75" t="s">
        <v>65</v>
      </c>
      <c r="N2384" s="75" t="s">
        <v>2025</v>
      </c>
      <c r="O2384" s="75"/>
      <c r="P2384" s="75"/>
      <c r="Q2384" s="75"/>
      <c r="R2384" s="75"/>
      <c r="Z2384" s="69"/>
      <c r="AA2384" s="69"/>
      <c r="AB2384" s="69"/>
      <c r="AC2384" s="69"/>
    </row>
    <row r="2385" spans="1:31" s="24" customFormat="1" x14ac:dyDescent="0.3">
      <c r="A2385" s="23">
        <v>624</v>
      </c>
      <c r="B2385" s="23">
        <v>619</v>
      </c>
      <c r="C2385" s="24" t="s">
        <v>2165</v>
      </c>
      <c r="D2385" s="69" t="s">
        <v>1724</v>
      </c>
      <c r="E2385" s="24" t="s">
        <v>1723</v>
      </c>
      <c r="F2385" s="24" t="s">
        <v>1805</v>
      </c>
      <c r="G2385" s="69" t="s">
        <v>1806</v>
      </c>
      <c r="H2385" s="24">
        <v>8</v>
      </c>
      <c r="I2385" s="69"/>
      <c r="J2385" s="24" t="s">
        <v>5523</v>
      </c>
      <c r="K2385" s="24" t="s">
        <v>68</v>
      </c>
      <c r="M2385" s="75" t="s">
        <v>65</v>
      </c>
      <c r="N2385" s="75" t="s">
        <v>2015</v>
      </c>
      <c r="O2385" s="75"/>
      <c r="P2385" s="75"/>
      <c r="Q2385" s="75"/>
      <c r="R2385" s="75"/>
      <c r="T2385" s="24" t="s">
        <v>2179</v>
      </c>
      <c r="V2385" s="24" t="s">
        <v>2948</v>
      </c>
      <c r="Y2385" s="24" t="s">
        <v>2949</v>
      </c>
      <c r="Z2385" s="69"/>
      <c r="AA2385" s="69"/>
      <c r="AB2385" s="69"/>
      <c r="AC2385" s="69"/>
      <c r="AE2385" s="24" t="s">
        <v>2950</v>
      </c>
    </row>
    <row r="2386" spans="1:31" s="26" customFormat="1" x14ac:dyDescent="0.3">
      <c r="A2386" s="25" t="s">
        <v>8895</v>
      </c>
      <c r="B2386" s="25"/>
      <c r="C2386" s="26" t="s">
        <v>3005</v>
      </c>
      <c r="D2386" s="70"/>
      <c r="G2386" s="70" t="s">
        <v>1806</v>
      </c>
      <c r="H2386" s="26">
        <v>1</v>
      </c>
      <c r="I2386" s="70" t="s">
        <v>8896</v>
      </c>
      <c r="J2386" s="26" t="s">
        <v>8897</v>
      </c>
      <c r="K2386" s="26" t="s">
        <v>6291</v>
      </c>
      <c r="L2386" s="26" t="s">
        <v>9788</v>
      </c>
      <c r="M2386" s="76"/>
      <c r="N2386" s="76"/>
      <c r="O2386" s="76"/>
      <c r="P2386" s="76"/>
      <c r="Q2386" s="76"/>
      <c r="R2386" s="76"/>
      <c r="Z2386" s="70"/>
      <c r="AA2386" s="70"/>
      <c r="AB2386" s="70"/>
      <c r="AC2386" s="70"/>
    </row>
    <row r="2387" spans="1:31" s="26" customFormat="1" x14ac:dyDescent="0.3">
      <c r="A2387" s="25" t="s">
        <v>8898</v>
      </c>
      <c r="B2387" s="25"/>
      <c r="C2387" s="26" t="s">
        <v>3005</v>
      </c>
      <c r="D2387" s="70"/>
      <c r="G2387" s="70" t="s">
        <v>1806</v>
      </c>
      <c r="H2387" s="26">
        <v>1</v>
      </c>
      <c r="I2387" s="70" t="s">
        <v>5577</v>
      </c>
      <c r="J2387" s="26" t="s">
        <v>8899</v>
      </c>
      <c r="K2387" s="26" t="s">
        <v>8900</v>
      </c>
      <c r="L2387" s="26" t="s">
        <v>11107</v>
      </c>
      <c r="M2387" s="76"/>
      <c r="N2387" s="76"/>
      <c r="O2387" s="76"/>
      <c r="P2387" s="76"/>
      <c r="Q2387" s="76"/>
      <c r="R2387" s="76"/>
      <c r="Z2387" s="70"/>
      <c r="AA2387" s="70"/>
      <c r="AB2387" s="70"/>
      <c r="AC2387" s="70"/>
    </row>
    <row r="2388" spans="1:31" s="26" customFormat="1" x14ac:dyDescent="0.3">
      <c r="A2388" s="25" t="s">
        <v>8901</v>
      </c>
      <c r="B2388" s="25"/>
      <c r="C2388" s="26" t="s">
        <v>3005</v>
      </c>
      <c r="D2388" s="70"/>
      <c r="G2388" s="70" t="s">
        <v>1806</v>
      </c>
      <c r="H2388" s="26">
        <v>1</v>
      </c>
      <c r="I2388" s="70" t="s">
        <v>5898</v>
      </c>
      <c r="J2388" s="26" t="s">
        <v>5523</v>
      </c>
      <c r="K2388" s="26" t="s">
        <v>8902</v>
      </c>
      <c r="L2388" s="26" t="s">
        <v>11108</v>
      </c>
      <c r="M2388" s="76"/>
      <c r="N2388" s="76"/>
      <c r="O2388" s="76"/>
      <c r="P2388" s="76"/>
      <c r="Q2388" s="76"/>
      <c r="R2388" s="76"/>
      <c r="T2388" s="26" t="s">
        <v>2200</v>
      </c>
      <c r="Z2388" s="70"/>
      <c r="AA2388" s="70"/>
      <c r="AB2388" s="70"/>
      <c r="AC2388" s="70"/>
      <c r="AE2388" s="26" t="s">
        <v>8903</v>
      </c>
    </row>
    <row r="2389" spans="1:31" s="26" customFormat="1" x14ac:dyDescent="0.3">
      <c r="A2389" s="25" t="s">
        <v>8904</v>
      </c>
      <c r="B2389" s="25"/>
      <c r="C2389" s="26" t="s">
        <v>3005</v>
      </c>
      <c r="D2389" s="70"/>
      <c r="G2389" s="70" t="s">
        <v>1806</v>
      </c>
      <c r="H2389" s="26">
        <v>1</v>
      </c>
      <c r="I2389" s="70" t="s">
        <v>4243</v>
      </c>
      <c r="J2389" s="26" t="s">
        <v>5227</v>
      </c>
      <c r="K2389" s="26" t="s">
        <v>8277</v>
      </c>
      <c r="L2389" s="26" t="s">
        <v>11109</v>
      </c>
      <c r="M2389" s="76"/>
      <c r="N2389" s="76"/>
      <c r="O2389" s="76"/>
      <c r="P2389" s="76"/>
      <c r="Q2389" s="76"/>
      <c r="R2389" s="76"/>
      <c r="Z2389" s="70"/>
      <c r="AA2389" s="70"/>
      <c r="AB2389" s="70"/>
      <c r="AC2389" s="70"/>
    </row>
    <row r="2390" spans="1:31" s="26" customFormat="1" x14ac:dyDescent="0.3">
      <c r="A2390" s="25" t="s">
        <v>8905</v>
      </c>
      <c r="B2390" s="25"/>
      <c r="C2390" s="26" t="s">
        <v>3005</v>
      </c>
      <c r="D2390" s="70"/>
      <c r="G2390" s="70" t="s">
        <v>1806</v>
      </c>
      <c r="H2390" s="26">
        <v>1</v>
      </c>
      <c r="I2390" s="70" t="s">
        <v>8906</v>
      </c>
      <c r="J2390" s="26" t="s">
        <v>6913</v>
      </c>
      <c r="K2390" s="26" t="s">
        <v>8907</v>
      </c>
      <c r="L2390" s="26" t="s">
        <v>11110</v>
      </c>
      <c r="M2390" s="76"/>
      <c r="N2390" s="76"/>
      <c r="O2390" s="76"/>
      <c r="P2390" s="76"/>
      <c r="Q2390" s="76"/>
      <c r="R2390" s="76"/>
      <c r="Z2390" s="70"/>
      <c r="AA2390" s="70"/>
      <c r="AB2390" s="70"/>
      <c r="AC2390" s="70"/>
    </row>
    <row r="2391" spans="1:31" s="26" customFormat="1" x14ac:dyDescent="0.3">
      <c r="A2391" s="25" t="s">
        <v>8908</v>
      </c>
      <c r="B2391" s="25"/>
      <c r="C2391" s="26" t="s">
        <v>3005</v>
      </c>
      <c r="D2391" s="70"/>
      <c r="G2391" s="70" t="s">
        <v>1806</v>
      </c>
      <c r="H2391" s="26">
        <v>1</v>
      </c>
      <c r="I2391" s="70" t="s">
        <v>8909</v>
      </c>
      <c r="J2391" s="26" t="s">
        <v>6312</v>
      </c>
      <c r="K2391" s="26" t="s">
        <v>8910</v>
      </c>
      <c r="L2391" s="26" t="s">
        <v>11111</v>
      </c>
      <c r="M2391" s="76"/>
      <c r="N2391" s="76"/>
      <c r="O2391" s="76"/>
      <c r="P2391" s="76"/>
      <c r="Q2391" s="76"/>
      <c r="R2391" s="76"/>
      <c r="Z2391" s="70"/>
      <c r="AA2391" s="70"/>
      <c r="AB2391" s="70"/>
      <c r="AC2391" s="70"/>
    </row>
    <row r="2392" spans="1:31" s="26" customFormat="1" x14ac:dyDescent="0.3">
      <c r="A2392" s="25" t="s">
        <v>8911</v>
      </c>
      <c r="B2392" s="25"/>
      <c r="C2392" s="26" t="s">
        <v>3005</v>
      </c>
      <c r="D2392" s="70"/>
      <c r="G2392" s="70" t="s">
        <v>1806</v>
      </c>
      <c r="H2392" s="26">
        <v>1</v>
      </c>
      <c r="I2392" s="70" t="s">
        <v>8912</v>
      </c>
      <c r="J2392" s="26" t="s">
        <v>8913</v>
      </c>
      <c r="K2392" s="26" t="s">
        <v>8914</v>
      </c>
      <c r="L2392" s="26" t="s">
        <v>11112</v>
      </c>
      <c r="M2392" s="76"/>
      <c r="N2392" s="76"/>
      <c r="O2392" s="76"/>
      <c r="P2392" s="76"/>
      <c r="Q2392" s="76"/>
      <c r="R2392" s="76"/>
      <c r="Z2392" s="70"/>
      <c r="AA2392" s="70"/>
      <c r="AB2392" s="70"/>
      <c r="AC2392" s="70"/>
    </row>
    <row r="2393" spans="1:31" s="26" customFormat="1" x14ac:dyDescent="0.3">
      <c r="A2393" s="25" t="s">
        <v>8915</v>
      </c>
      <c r="B2393" s="25"/>
      <c r="C2393" s="26" t="s">
        <v>3005</v>
      </c>
      <c r="D2393" s="70"/>
      <c r="G2393" s="70" t="s">
        <v>1806</v>
      </c>
      <c r="H2393" s="26">
        <v>1</v>
      </c>
      <c r="I2393" s="70" t="s">
        <v>6499</v>
      </c>
      <c r="J2393" s="26" t="s">
        <v>6909</v>
      </c>
      <c r="K2393" s="26" t="s">
        <v>8916</v>
      </c>
      <c r="L2393" s="26" t="s">
        <v>11094</v>
      </c>
      <c r="M2393" s="76"/>
      <c r="N2393" s="76"/>
      <c r="O2393" s="76"/>
      <c r="P2393" s="76"/>
      <c r="Q2393" s="76"/>
      <c r="R2393" s="76"/>
      <c r="Z2393" s="70"/>
      <c r="AA2393" s="70"/>
      <c r="AB2393" s="70"/>
      <c r="AC2393" s="70"/>
    </row>
    <row r="2394" spans="1:31" s="24" customFormat="1" x14ac:dyDescent="0.3">
      <c r="A2394" s="23">
        <v>625</v>
      </c>
      <c r="B2394" s="23">
        <v>620</v>
      </c>
      <c r="C2394" s="24" t="s">
        <v>2165</v>
      </c>
      <c r="D2394" s="69" t="s">
        <v>1724</v>
      </c>
      <c r="E2394" s="24" t="s">
        <v>1723</v>
      </c>
      <c r="F2394" s="24" t="s">
        <v>1807</v>
      </c>
      <c r="G2394" s="69" t="s">
        <v>1808</v>
      </c>
      <c r="I2394" s="69"/>
      <c r="J2394" s="24" t="s">
        <v>8917</v>
      </c>
      <c r="K2394" s="24" t="s">
        <v>68</v>
      </c>
      <c r="L2394" s="24" t="s">
        <v>9920</v>
      </c>
      <c r="M2394" s="75" t="s">
        <v>65</v>
      </c>
      <c r="N2394" s="75" t="s">
        <v>2017</v>
      </c>
      <c r="O2394" s="75" t="s">
        <v>58</v>
      </c>
      <c r="P2394" s="75" t="s">
        <v>58</v>
      </c>
      <c r="Q2394" s="75"/>
      <c r="R2394" s="75"/>
      <c r="Z2394" s="69"/>
      <c r="AA2394" s="69"/>
      <c r="AB2394" s="69"/>
      <c r="AC2394" s="69"/>
      <c r="AD2394" s="24" t="s">
        <v>123</v>
      </c>
    </row>
    <row r="2395" spans="1:31" s="24" customFormat="1" x14ac:dyDescent="0.3">
      <c r="A2395" s="23">
        <v>626</v>
      </c>
      <c r="B2395" s="23">
        <v>621</v>
      </c>
      <c r="C2395" s="24" t="s">
        <v>2165</v>
      </c>
      <c r="D2395" s="69" t="s">
        <v>1724</v>
      </c>
      <c r="E2395" s="24" t="s">
        <v>1723</v>
      </c>
      <c r="F2395" s="24" t="s">
        <v>1809</v>
      </c>
      <c r="G2395" s="69" t="s">
        <v>1810</v>
      </c>
      <c r="H2395" s="24">
        <v>3</v>
      </c>
      <c r="I2395" s="69"/>
      <c r="J2395" s="24" t="s">
        <v>5519</v>
      </c>
      <c r="K2395" s="24" t="s">
        <v>1811</v>
      </c>
      <c r="M2395" s="75" t="s">
        <v>15</v>
      </c>
      <c r="N2395" s="75"/>
      <c r="O2395" s="75"/>
      <c r="P2395" s="75"/>
      <c r="Q2395" s="75"/>
      <c r="R2395" s="75"/>
      <c r="Z2395" s="69"/>
      <c r="AA2395" s="69"/>
      <c r="AB2395" s="69"/>
      <c r="AC2395" s="69"/>
    </row>
    <row r="2396" spans="1:31" s="26" customFormat="1" x14ac:dyDescent="0.3">
      <c r="A2396" s="25" t="s">
        <v>8918</v>
      </c>
      <c r="B2396" s="25"/>
      <c r="C2396" s="26" t="s">
        <v>3005</v>
      </c>
      <c r="D2396" s="70"/>
      <c r="G2396" s="70" t="s">
        <v>1810</v>
      </c>
      <c r="H2396" s="26">
        <v>-1</v>
      </c>
      <c r="I2396" s="70" t="s">
        <v>8919</v>
      </c>
      <c r="J2396" s="26" t="s">
        <v>8920</v>
      </c>
      <c r="K2396" s="26" t="s">
        <v>8921</v>
      </c>
      <c r="L2396" s="26" t="s">
        <v>11113</v>
      </c>
      <c r="M2396" s="76"/>
      <c r="N2396" s="76"/>
      <c r="O2396" s="76"/>
      <c r="P2396" s="76"/>
      <c r="Q2396" s="76"/>
      <c r="R2396" s="76"/>
      <c r="Z2396" s="70"/>
      <c r="AA2396" s="70"/>
      <c r="AB2396" s="70"/>
      <c r="AC2396" s="70"/>
    </row>
    <row r="2397" spans="1:31" s="26" customFormat="1" x14ac:dyDescent="0.3">
      <c r="A2397" s="25" t="s">
        <v>8922</v>
      </c>
      <c r="B2397" s="25"/>
      <c r="C2397" s="26" t="s">
        <v>3005</v>
      </c>
      <c r="D2397" s="70"/>
      <c r="G2397" s="70" t="s">
        <v>1810</v>
      </c>
      <c r="H2397" s="26">
        <v>-1</v>
      </c>
      <c r="I2397" s="70" t="s">
        <v>8923</v>
      </c>
      <c r="J2397" s="26" t="s">
        <v>6834</v>
      </c>
      <c r="K2397" s="26" t="s">
        <v>8924</v>
      </c>
      <c r="L2397" s="26" t="s">
        <v>11114</v>
      </c>
      <c r="M2397" s="76"/>
      <c r="N2397" s="76"/>
      <c r="O2397" s="76"/>
      <c r="P2397" s="76"/>
      <c r="Q2397" s="76"/>
      <c r="R2397" s="76"/>
      <c r="Z2397" s="70"/>
      <c r="AA2397" s="70"/>
      <c r="AB2397" s="70"/>
      <c r="AC2397" s="70"/>
    </row>
    <row r="2398" spans="1:31" s="26" customFormat="1" x14ac:dyDescent="0.3">
      <c r="A2398" s="25" t="s">
        <v>8925</v>
      </c>
      <c r="B2398" s="25"/>
      <c r="C2398" s="26" t="s">
        <v>3005</v>
      </c>
      <c r="D2398" s="70"/>
      <c r="G2398" s="70" t="s">
        <v>1810</v>
      </c>
      <c r="H2398" s="26">
        <v>-1</v>
      </c>
      <c r="I2398" s="70" t="s">
        <v>8926</v>
      </c>
      <c r="J2398" s="26" t="s">
        <v>8927</v>
      </c>
      <c r="K2398" s="26" t="s">
        <v>8928</v>
      </c>
      <c r="L2398" s="26" t="s">
        <v>11115</v>
      </c>
      <c r="M2398" s="76"/>
      <c r="N2398" s="76"/>
      <c r="O2398" s="76"/>
      <c r="P2398" s="76"/>
      <c r="Q2398" s="76"/>
      <c r="R2398" s="76"/>
      <c r="Z2398" s="70"/>
      <c r="AA2398" s="70"/>
      <c r="AB2398" s="70"/>
      <c r="AC2398" s="70"/>
    </row>
    <row r="2399" spans="1:31" s="26" customFormat="1" x14ac:dyDescent="0.3">
      <c r="A2399" s="25" t="s">
        <v>8929</v>
      </c>
      <c r="B2399" s="25"/>
      <c r="C2399" s="26" t="s">
        <v>3005</v>
      </c>
      <c r="D2399" s="70"/>
      <c r="G2399" s="70" t="s">
        <v>1810</v>
      </c>
      <c r="H2399" s="26">
        <v>3</v>
      </c>
      <c r="I2399" s="70" t="s">
        <v>8930</v>
      </c>
      <c r="J2399" s="26" t="s">
        <v>5519</v>
      </c>
      <c r="K2399" s="26" t="s">
        <v>8931</v>
      </c>
      <c r="L2399" s="26" t="s">
        <v>11116</v>
      </c>
      <c r="M2399" s="76"/>
      <c r="N2399" s="76"/>
      <c r="O2399" s="76"/>
      <c r="P2399" s="76"/>
      <c r="Q2399" s="76"/>
      <c r="R2399" s="76"/>
      <c r="Z2399" s="70"/>
      <c r="AA2399" s="70"/>
      <c r="AB2399" s="70"/>
      <c r="AC2399" s="70"/>
    </row>
    <row r="2400" spans="1:31" s="26" customFormat="1" x14ac:dyDescent="0.3">
      <c r="A2400" s="25" t="s">
        <v>8932</v>
      </c>
      <c r="B2400" s="25"/>
      <c r="C2400" s="26" t="s">
        <v>3005</v>
      </c>
      <c r="D2400" s="70"/>
      <c r="G2400" s="70" t="s">
        <v>1810</v>
      </c>
      <c r="H2400" s="26">
        <v>2</v>
      </c>
      <c r="I2400" s="70" t="s">
        <v>7247</v>
      </c>
      <c r="J2400" s="26" t="s">
        <v>6834</v>
      </c>
      <c r="K2400" s="26" t="s">
        <v>3908</v>
      </c>
      <c r="L2400" s="26" t="s">
        <v>11117</v>
      </c>
      <c r="M2400" s="76"/>
      <c r="N2400" s="76"/>
      <c r="O2400" s="76"/>
      <c r="P2400" s="76"/>
      <c r="Q2400" s="76"/>
      <c r="R2400" s="76"/>
      <c r="Z2400" s="70"/>
      <c r="AA2400" s="70"/>
      <c r="AB2400" s="70"/>
      <c r="AC2400" s="70"/>
    </row>
    <row r="2401" spans="1:31" s="26" customFormat="1" x14ac:dyDescent="0.3">
      <c r="A2401" s="25" t="s">
        <v>8933</v>
      </c>
      <c r="B2401" s="25"/>
      <c r="C2401" s="26" t="s">
        <v>3005</v>
      </c>
      <c r="D2401" s="70"/>
      <c r="G2401" s="70" t="s">
        <v>1810</v>
      </c>
      <c r="H2401" s="26">
        <v>2</v>
      </c>
      <c r="I2401" s="70" t="s">
        <v>3694</v>
      </c>
      <c r="J2401" s="26" t="s">
        <v>7800</v>
      </c>
      <c r="K2401" s="26" t="s">
        <v>6815</v>
      </c>
      <c r="L2401" s="26" t="s">
        <v>11118</v>
      </c>
      <c r="M2401" s="76"/>
      <c r="N2401" s="76"/>
      <c r="O2401" s="76"/>
      <c r="P2401" s="76"/>
      <c r="Q2401" s="76"/>
      <c r="R2401" s="76"/>
      <c r="Z2401" s="70"/>
      <c r="AA2401" s="70"/>
      <c r="AB2401" s="70"/>
      <c r="AC2401" s="70"/>
    </row>
    <row r="2402" spans="1:31" s="26" customFormat="1" x14ac:dyDescent="0.3">
      <c r="A2402" s="25" t="s">
        <v>8934</v>
      </c>
      <c r="B2402" s="25"/>
      <c r="C2402" s="26" t="s">
        <v>3005</v>
      </c>
      <c r="D2402" s="70"/>
      <c r="G2402" s="70" t="s">
        <v>1810</v>
      </c>
      <c r="H2402" s="26">
        <v>-1</v>
      </c>
      <c r="I2402" s="70" t="s">
        <v>8935</v>
      </c>
      <c r="J2402" s="26" t="s">
        <v>8936</v>
      </c>
      <c r="K2402" s="26" t="s">
        <v>8937</v>
      </c>
      <c r="L2402" s="26" t="s">
        <v>11119</v>
      </c>
      <c r="M2402" s="76"/>
      <c r="N2402" s="76"/>
      <c r="O2402" s="76"/>
      <c r="P2402" s="76"/>
      <c r="Q2402" s="76"/>
      <c r="R2402" s="76"/>
      <c r="Z2402" s="70"/>
      <c r="AA2402" s="70"/>
      <c r="AB2402" s="70"/>
      <c r="AC2402" s="70"/>
    </row>
    <row r="2403" spans="1:31" s="26" customFormat="1" x14ac:dyDescent="0.3">
      <c r="A2403" s="25" t="s">
        <v>8938</v>
      </c>
      <c r="B2403" s="25"/>
      <c r="C2403" s="26" t="s">
        <v>3005</v>
      </c>
      <c r="D2403" s="70"/>
      <c r="G2403" s="70" t="s">
        <v>1810</v>
      </c>
      <c r="H2403" s="26">
        <v>-1</v>
      </c>
      <c r="I2403" s="70" t="s">
        <v>4149</v>
      </c>
      <c r="J2403" s="26" t="s">
        <v>6834</v>
      </c>
      <c r="K2403" s="26" t="s">
        <v>5760</v>
      </c>
      <c r="L2403" s="26" t="s">
        <v>11120</v>
      </c>
      <c r="M2403" s="76"/>
      <c r="N2403" s="76"/>
      <c r="O2403" s="76"/>
      <c r="P2403" s="76"/>
      <c r="Q2403" s="76"/>
      <c r="R2403" s="76"/>
      <c r="Z2403" s="70"/>
      <c r="AA2403" s="70"/>
      <c r="AB2403" s="70"/>
      <c r="AC2403" s="70"/>
    </row>
    <row r="2404" spans="1:31" s="24" customFormat="1" x14ac:dyDescent="0.3">
      <c r="A2404" s="23">
        <v>627</v>
      </c>
      <c r="B2404" s="23">
        <v>622</v>
      </c>
      <c r="C2404" s="24" t="s">
        <v>2165</v>
      </c>
      <c r="D2404" s="69" t="s">
        <v>1724</v>
      </c>
      <c r="E2404" s="24" t="s">
        <v>1723</v>
      </c>
      <c r="F2404" s="24" t="s">
        <v>1812</v>
      </c>
      <c r="G2404" s="69" t="s">
        <v>1813</v>
      </c>
      <c r="I2404" s="69"/>
      <c r="J2404" s="24" t="s">
        <v>4136</v>
      </c>
      <c r="K2404" s="24" t="s">
        <v>360</v>
      </c>
      <c r="M2404" s="75" t="s">
        <v>19</v>
      </c>
      <c r="N2404" s="75"/>
      <c r="O2404" s="75"/>
      <c r="P2404" s="75"/>
      <c r="Q2404" s="75"/>
      <c r="R2404" s="75" t="s">
        <v>2166</v>
      </c>
      <c r="U2404" s="24" t="s">
        <v>2951</v>
      </c>
      <c r="Z2404" s="69"/>
      <c r="AA2404" s="69"/>
      <c r="AB2404" s="69"/>
      <c r="AC2404" s="69"/>
    </row>
    <row r="2405" spans="1:31" s="26" customFormat="1" x14ac:dyDescent="0.3">
      <c r="A2405" s="25" t="s">
        <v>8939</v>
      </c>
      <c r="B2405" s="25"/>
      <c r="C2405" s="26" t="s">
        <v>3005</v>
      </c>
      <c r="D2405" s="70"/>
      <c r="G2405" s="70" t="s">
        <v>1813</v>
      </c>
      <c r="H2405" s="26">
        <v>-1</v>
      </c>
      <c r="I2405" s="70" t="s">
        <v>8940</v>
      </c>
      <c r="J2405" s="26" t="s">
        <v>5502</v>
      </c>
      <c r="K2405" s="26" t="s">
        <v>8941</v>
      </c>
      <c r="L2405" s="26" t="s">
        <v>11121</v>
      </c>
      <c r="M2405" s="76"/>
      <c r="N2405" s="76"/>
      <c r="O2405" s="76"/>
      <c r="P2405" s="76"/>
      <c r="Q2405" s="76"/>
      <c r="R2405" s="76"/>
      <c r="U2405" s="26" t="s">
        <v>7808</v>
      </c>
      <c r="Z2405" s="70"/>
      <c r="AA2405" s="70"/>
      <c r="AB2405" s="70"/>
      <c r="AC2405" s="70"/>
    </row>
    <row r="2406" spans="1:31" s="26" customFormat="1" x14ac:dyDescent="0.3">
      <c r="A2406" s="25" t="s">
        <v>8942</v>
      </c>
      <c r="B2406" s="25"/>
      <c r="C2406" s="26" t="s">
        <v>3005</v>
      </c>
      <c r="D2406" s="70"/>
      <c r="G2406" s="70" t="s">
        <v>1813</v>
      </c>
      <c r="H2406" s="26">
        <v>-1</v>
      </c>
      <c r="I2406" s="70" t="s">
        <v>8943</v>
      </c>
      <c r="J2406" s="26" t="s">
        <v>4136</v>
      </c>
      <c r="K2406" s="26" t="s">
        <v>8944</v>
      </c>
      <c r="L2406" s="26" t="s">
        <v>11122</v>
      </c>
      <c r="M2406" s="76"/>
      <c r="N2406" s="76"/>
      <c r="O2406" s="76"/>
      <c r="P2406" s="76"/>
      <c r="Q2406" s="76"/>
      <c r="R2406" s="76"/>
      <c r="U2406" s="26" t="s">
        <v>8945</v>
      </c>
      <c r="Z2406" s="70"/>
      <c r="AA2406" s="70"/>
      <c r="AB2406" s="70"/>
      <c r="AC2406" s="70"/>
    </row>
    <row r="2407" spans="1:31" s="24" customFormat="1" x14ac:dyDescent="0.3">
      <c r="A2407" s="23">
        <v>628</v>
      </c>
      <c r="B2407" s="23">
        <v>623</v>
      </c>
      <c r="C2407" s="24" t="s">
        <v>2165</v>
      </c>
      <c r="D2407" s="69" t="s">
        <v>1724</v>
      </c>
      <c r="E2407" s="24" t="s">
        <v>1723</v>
      </c>
      <c r="F2407" s="24" t="s">
        <v>1814</v>
      </c>
      <c r="G2407" s="69" t="s">
        <v>1815</v>
      </c>
      <c r="I2407" s="69"/>
      <c r="J2407" s="24" t="s">
        <v>5523</v>
      </c>
      <c r="K2407" s="24" t="s">
        <v>68</v>
      </c>
      <c r="L2407" s="24" t="s">
        <v>9921</v>
      </c>
      <c r="M2407" s="75" t="s">
        <v>65</v>
      </c>
      <c r="N2407" s="75" t="s">
        <v>2015</v>
      </c>
      <c r="O2407" s="75" t="s">
        <v>66</v>
      </c>
      <c r="P2407" s="75" t="s">
        <v>66</v>
      </c>
      <c r="Q2407" s="75" t="s">
        <v>66</v>
      </c>
      <c r="R2407" s="75"/>
      <c r="V2407" s="24" t="s">
        <v>2952</v>
      </c>
      <c r="W2407" s="24" t="s">
        <v>2953</v>
      </c>
      <c r="Y2407" s="24" t="s">
        <v>2954</v>
      </c>
      <c r="Z2407" s="69"/>
      <c r="AA2407" s="69" t="s">
        <v>2955</v>
      </c>
      <c r="AB2407" s="69"/>
      <c r="AC2407" s="69"/>
    </row>
    <row r="2408" spans="1:31" s="24" customFormat="1" x14ac:dyDescent="0.3">
      <c r="A2408" s="23">
        <v>629</v>
      </c>
      <c r="B2408" s="23">
        <v>624</v>
      </c>
      <c r="C2408" s="24" t="s">
        <v>2165</v>
      </c>
      <c r="D2408" s="69" t="s">
        <v>1724</v>
      </c>
      <c r="E2408" s="24" t="s">
        <v>1723</v>
      </c>
      <c r="F2408" s="24" t="s">
        <v>1816</v>
      </c>
      <c r="G2408" s="69" t="s">
        <v>1817</v>
      </c>
      <c r="H2408" s="24">
        <v>1</v>
      </c>
      <c r="I2408" s="69"/>
      <c r="J2408" s="24" t="s">
        <v>3016</v>
      </c>
      <c r="K2408" s="24" t="s">
        <v>1818</v>
      </c>
      <c r="M2408" s="75" t="s">
        <v>236</v>
      </c>
      <c r="N2408" s="75"/>
      <c r="O2408" s="75"/>
      <c r="P2408" s="75"/>
      <c r="Q2408" s="75"/>
      <c r="R2408" s="75"/>
      <c r="V2408" s="24" t="s">
        <v>2956</v>
      </c>
      <c r="W2408" s="24" t="s">
        <v>2956</v>
      </c>
      <c r="Y2408" s="24" t="s">
        <v>2957</v>
      </c>
      <c r="Z2408" s="69"/>
      <c r="AA2408" s="69"/>
      <c r="AB2408" s="69"/>
      <c r="AC2408" s="69"/>
    </row>
    <row r="2409" spans="1:31" s="26" customFormat="1" x14ac:dyDescent="0.3">
      <c r="A2409" s="25" t="s">
        <v>8946</v>
      </c>
      <c r="B2409" s="25"/>
      <c r="C2409" s="26" t="s">
        <v>3005</v>
      </c>
      <c r="D2409" s="70"/>
      <c r="G2409" s="70" t="s">
        <v>1817</v>
      </c>
      <c r="H2409" s="26">
        <v>-1</v>
      </c>
      <c r="I2409" s="70" t="s">
        <v>8947</v>
      </c>
      <c r="J2409" s="26" t="s">
        <v>3016</v>
      </c>
      <c r="K2409" s="26" t="s">
        <v>8948</v>
      </c>
      <c r="L2409" s="26" t="s">
        <v>11123</v>
      </c>
      <c r="M2409" s="76"/>
      <c r="N2409" s="76"/>
      <c r="O2409" s="76"/>
      <c r="P2409" s="76"/>
      <c r="Q2409" s="76"/>
      <c r="R2409" s="76"/>
      <c r="U2409" s="26" t="s">
        <v>6407</v>
      </c>
      <c r="Z2409" s="70"/>
      <c r="AA2409" s="70"/>
      <c r="AB2409" s="70"/>
      <c r="AC2409" s="70"/>
    </row>
    <row r="2410" spans="1:31" s="26" customFormat="1" x14ac:dyDescent="0.3">
      <c r="A2410" s="25" t="s">
        <v>8949</v>
      </c>
      <c r="B2410" s="25"/>
      <c r="C2410" s="26" t="s">
        <v>3005</v>
      </c>
      <c r="D2410" s="70"/>
      <c r="G2410" s="70" t="s">
        <v>1817</v>
      </c>
      <c r="H2410" s="26">
        <v>-1</v>
      </c>
      <c r="I2410" s="70" t="s">
        <v>6191</v>
      </c>
      <c r="J2410" s="26" t="s">
        <v>6882</v>
      </c>
      <c r="K2410" s="26" t="s">
        <v>8950</v>
      </c>
      <c r="L2410" s="26" t="s">
        <v>11124</v>
      </c>
      <c r="M2410" s="76"/>
      <c r="N2410" s="76"/>
      <c r="O2410" s="76"/>
      <c r="P2410" s="76"/>
      <c r="Q2410" s="76"/>
      <c r="R2410" s="76"/>
      <c r="U2410" s="26" t="s">
        <v>8951</v>
      </c>
      <c r="Z2410" s="70"/>
      <c r="AA2410" s="70"/>
      <c r="AB2410" s="70"/>
      <c r="AC2410" s="70"/>
    </row>
    <row r="2411" spans="1:31" s="26" customFormat="1" x14ac:dyDescent="0.3">
      <c r="A2411" s="25" t="s">
        <v>8952</v>
      </c>
      <c r="B2411" s="25"/>
      <c r="C2411" s="26" t="s">
        <v>3005</v>
      </c>
      <c r="D2411" s="70"/>
      <c r="G2411" s="70" t="s">
        <v>1817</v>
      </c>
      <c r="H2411" s="26">
        <v>-1</v>
      </c>
      <c r="I2411" s="70" t="s">
        <v>8953</v>
      </c>
      <c r="J2411" s="26" t="s">
        <v>4267</v>
      </c>
      <c r="K2411" s="26" t="s">
        <v>8954</v>
      </c>
      <c r="M2411" s="76"/>
      <c r="N2411" s="76"/>
      <c r="O2411" s="76"/>
      <c r="P2411" s="76"/>
      <c r="Q2411" s="76"/>
      <c r="R2411" s="76"/>
      <c r="U2411" s="26" t="s">
        <v>5497</v>
      </c>
      <c r="Z2411" s="70"/>
      <c r="AA2411" s="70"/>
      <c r="AB2411" s="70"/>
      <c r="AC2411" s="70"/>
    </row>
    <row r="2412" spans="1:31" s="26" customFormat="1" x14ac:dyDescent="0.3">
      <c r="A2412" s="25" t="s">
        <v>8955</v>
      </c>
      <c r="B2412" s="25"/>
      <c r="C2412" s="26" t="s">
        <v>3005</v>
      </c>
      <c r="D2412" s="70"/>
      <c r="G2412" s="70" t="s">
        <v>1817</v>
      </c>
      <c r="H2412" s="26">
        <v>2</v>
      </c>
      <c r="I2412" s="70" t="s">
        <v>3267</v>
      </c>
      <c r="J2412" s="26" t="s">
        <v>5660</v>
      </c>
      <c r="K2412" s="26" t="s">
        <v>8956</v>
      </c>
      <c r="M2412" s="76"/>
      <c r="N2412" s="76"/>
      <c r="O2412" s="76"/>
      <c r="P2412" s="76"/>
      <c r="Q2412" s="76"/>
      <c r="R2412" s="76"/>
      <c r="T2412" s="26" t="s">
        <v>2254</v>
      </c>
      <c r="U2412" s="26" t="s">
        <v>8957</v>
      </c>
      <c r="Z2412" s="70"/>
      <c r="AA2412" s="70"/>
      <c r="AB2412" s="70"/>
      <c r="AC2412" s="70"/>
      <c r="AE2412" s="26" t="s">
        <v>8958</v>
      </c>
    </row>
    <row r="2413" spans="1:31" s="26" customFormat="1" x14ac:dyDescent="0.3">
      <c r="A2413" s="25" t="s">
        <v>8959</v>
      </c>
      <c r="B2413" s="25"/>
      <c r="C2413" s="26" t="s">
        <v>3005</v>
      </c>
      <c r="D2413" s="70"/>
      <c r="G2413" s="70" t="s">
        <v>1817</v>
      </c>
      <c r="H2413" s="26">
        <v>-1</v>
      </c>
      <c r="I2413" s="70" t="s">
        <v>8960</v>
      </c>
      <c r="J2413" s="26" t="s">
        <v>8961</v>
      </c>
      <c r="K2413" s="26" t="s">
        <v>8962</v>
      </c>
      <c r="M2413" s="76"/>
      <c r="N2413" s="76"/>
      <c r="O2413" s="76"/>
      <c r="P2413" s="76"/>
      <c r="Q2413" s="76"/>
      <c r="R2413" s="76"/>
      <c r="Z2413" s="70"/>
      <c r="AA2413" s="70"/>
      <c r="AB2413" s="70"/>
      <c r="AC2413" s="70"/>
    </row>
    <row r="2414" spans="1:31" s="24" customFormat="1" x14ac:dyDescent="0.3">
      <c r="A2414" s="23">
        <v>630</v>
      </c>
      <c r="B2414" s="23">
        <v>625</v>
      </c>
      <c r="C2414" s="24" t="s">
        <v>2165</v>
      </c>
      <c r="D2414" s="69" t="s">
        <v>1724</v>
      </c>
      <c r="E2414" s="24" t="s">
        <v>1723</v>
      </c>
      <c r="F2414" s="24" t="s">
        <v>1819</v>
      </c>
      <c r="G2414" s="69" t="s">
        <v>1820</v>
      </c>
      <c r="I2414" s="69"/>
      <c r="J2414" s="24" t="s">
        <v>8963</v>
      </c>
      <c r="K2414" s="24" t="s">
        <v>1821</v>
      </c>
      <c r="M2414" s="75" t="s">
        <v>19</v>
      </c>
      <c r="N2414" s="75"/>
      <c r="O2414" s="75" t="s">
        <v>732</v>
      </c>
      <c r="P2414" s="75"/>
      <c r="Q2414" s="75"/>
      <c r="R2414" s="75" t="s">
        <v>2166</v>
      </c>
      <c r="T2414" s="24" t="s">
        <v>2850</v>
      </c>
      <c r="U2414" s="24" t="s">
        <v>2195</v>
      </c>
      <c r="V2414" s="24" t="s">
        <v>2171</v>
      </c>
      <c r="W2414" s="24" t="s">
        <v>2958</v>
      </c>
      <c r="Z2414" s="69" t="s">
        <v>2959</v>
      </c>
      <c r="AA2414" s="69"/>
      <c r="AB2414" s="69"/>
      <c r="AC2414" s="69"/>
      <c r="AD2414" s="24" t="s">
        <v>1822</v>
      </c>
      <c r="AE2414" s="24" t="s">
        <v>2960</v>
      </c>
    </row>
    <row r="2415" spans="1:31" s="24" customFormat="1" x14ac:dyDescent="0.3">
      <c r="A2415" s="23">
        <v>631</v>
      </c>
      <c r="B2415" s="23">
        <v>626</v>
      </c>
      <c r="C2415" s="24" t="s">
        <v>2165</v>
      </c>
      <c r="D2415" s="69" t="s">
        <v>1724</v>
      </c>
      <c r="E2415" s="24" t="s">
        <v>1723</v>
      </c>
      <c r="F2415" s="24" t="s">
        <v>1823</v>
      </c>
      <c r="G2415" s="69" t="s">
        <v>1824</v>
      </c>
      <c r="H2415" s="24">
        <v>3</v>
      </c>
      <c r="I2415" s="69"/>
      <c r="J2415" s="24" t="s">
        <v>3174</v>
      </c>
      <c r="K2415" s="24" t="s">
        <v>1825</v>
      </c>
      <c r="M2415" s="75" t="s">
        <v>15</v>
      </c>
      <c r="N2415" s="75"/>
      <c r="O2415" s="75"/>
      <c r="P2415" s="75"/>
      <c r="Q2415" s="75"/>
      <c r="R2415" s="75"/>
      <c r="V2415" s="24" t="s">
        <v>2961</v>
      </c>
      <c r="W2415" s="24" t="s">
        <v>2961</v>
      </c>
      <c r="Y2415" s="24" t="s">
        <v>2961</v>
      </c>
      <c r="Z2415" s="69"/>
      <c r="AA2415" s="69"/>
      <c r="AB2415" s="69"/>
      <c r="AC2415" s="69"/>
    </row>
    <row r="2416" spans="1:31" s="26" customFormat="1" x14ac:dyDescent="0.3">
      <c r="A2416" s="25" t="s">
        <v>8964</v>
      </c>
      <c r="B2416" s="25"/>
      <c r="C2416" s="26" t="s">
        <v>3005</v>
      </c>
      <c r="D2416" s="70"/>
      <c r="G2416" s="70" t="s">
        <v>1824</v>
      </c>
      <c r="H2416" s="26">
        <v>-1</v>
      </c>
      <c r="I2416" s="70" t="s">
        <v>8965</v>
      </c>
      <c r="J2416" s="26" t="s">
        <v>5017</v>
      </c>
      <c r="K2416" s="26" t="s">
        <v>8966</v>
      </c>
      <c r="L2416" s="26" t="s">
        <v>11125</v>
      </c>
      <c r="M2416" s="76"/>
      <c r="N2416" s="76"/>
      <c r="O2416" s="76"/>
      <c r="P2416" s="76"/>
      <c r="Q2416" s="76"/>
      <c r="R2416" s="76"/>
      <c r="U2416" s="26" t="s">
        <v>4763</v>
      </c>
      <c r="Z2416" s="70"/>
      <c r="AA2416" s="70"/>
      <c r="AB2416" s="70"/>
      <c r="AC2416" s="70"/>
    </row>
    <row r="2417" spans="1:29" s="26" customFormat="1" x14ac:dyDescent="0.3">
      <c r="A2417" s="25" t="s">
        <v>8967</v>
      </c>
      <c r="B2417" s="25"/>
      <c r="C2417" s="26" t="s">
        <v>3005</v>
      </c>
      <c r="D2417" s="70"/>
      <c r="G2417" s="70" t="s">
        <v>1824</v>
      </c>
      <c r="H2417" s="26">
        <v>-1</v>
      </c>
      <c r="I2417" s="70" t="s">
        <v>8968</v>
      </c>
      <c r="J2417" s="26" t="s">
        <v>3954</v>
      </c>
      <c r="K2417" s="26" t="s">
        <v>8969</v>
      </c>
      <c r="L2417" s="26" t="s">
        <v>11126</v>
      </c>
      <c r="M2417" s="76"/>
      <c r="N2417" s="76"/>
      <c r="O2417" s="76"/>
      <c r="P2417" s="76"/>
      <c r="Q2417" s="76"/>
      <c r="R2417" s="76"/>
      <c r="Z2417" s="70"/>
      <c r="AA2417" s="70"/>
      <c r="AB2417" s="70"/>
      <c r="AC2417" s="70"/>
    </row>
    <row r="2418" spans="1:29" s="26" customFormat="1" x14ac:dyDescent="0.3">
      <c r="A2418" s="25" t="s">
        <v>8970</v>
      </c>
      <c r="B2418" s="25"/>
      <c r="C2418" s="26" t="s">
        <v>3005</v>
      </c>
      <c r="D2418" s="70"/>
      <c r="G2418" s="70" t="s">
        <v>1824</v>
      </c>
      <c r="H2418" s="26">
        <v>-1</v>
      </c>
      <c r="I2418" s="70" t="s">
        <v>3738</v>
      </c>
      <c r="J2418" s="26" t="s">
        <v>6710</v>
      </c>
      <c r="K2418" s="26" t="s">
        <v>8971</v>
      </c>
      <c r="L2418" s="26" t="s">
        <v>11127</v>
      </c>
      <c r="M2418" s="76"/>
      <c r="N2418" s="76"/>
      <c r="O2418" s="76"/>
      <c r="P2418" s="76"/>
      <c r="Q2418" s="76"/>
      <c r="R2418" s="76"/>
      <c r="Z2418" s="70"/>
      <c r="AA2418" s="70"/>
      <c r="AB2418" s="70"/>
      <c r="AC2418" s="70"/>
    </row>
    <row r="2419" spans="1:29" s="26" customFormat="1" x14ac:dyDescent="0.3">
      <c r="A2419" s="25" t="s">
        <v>8972</v>
      </c>
      <c r="B2419" s="25"/>
      <c r="C2419" s="26" t="s">
        <v>3005</v>
      </c>
      <c r="D2419" s="70"/>
      <c r="G2419" s="70" t="s">
        <v>1824</v>
      </c>
      <c r="H2419" s="26">
        <v>-1</v>
      </c>
      <c r="I2419" s="70" t="s">
        <v>8973</v>
      </c>
      <c r="J2419" s="26" t="s">
        <v>8974</v>
      </c>
      <c r="K2419" s="26" t="s">
        <v>3840</v>
      </c>
      <c r="L2419" s="26" t="s">
        <v>11128</v>
      </c>
      <c r="M2419" s="76"/>
      <c r="N2419" s="76"/>
      <c r="O2419" s="76"/>
      <c r="P2419" s="76"/>
      <c r="Q2419" s="76"/>
      <c r="R2419" s="76"/>
      <c r="Z2419" s="70"/>
      <c r="AA2419" s="70"/>
      <c r="AB2419" s="70"/>
      <c r="AC2419" s="70"/>
    </row>
    <row r="2420" spans="1:29" s="26" customFormat="1" x14ac:dyDescent="0.3">
      <c r="A2420" s="25" t="s">
        <v>8975</v>
      </c>
      <c r="B2420" s="25"/>
      <c r="C2420" s="26" t="s">
        <v>3005</v>
      </c>
      <c r="D2420" s="70"/>
      <c r="G2420" s="70" t="s">
        <v>1824</v>
      </c>
      <c r="H2420" s="26">
        <v>-1</v>
      </c>
      <c r="I2420" s="70" t="s">
        <v>8976</v>
      </c>
      <c r="J2420" s="26" t="s">
        <v>8977</v>
      </c>
      <c r="K2420" s="26" t="s">
        <v>3736</v>
      </c>
      <c r="L2420" s="26" t="s">
        <v>3736</v>
      </c>
      <c r="M2420" s="76"/>
      <c r="N2420" s="76"/>
      <c r="O2420" s="76"/>
      <c r="P2420" s="76"/>
      <c r="Q2420" s="76"/>
      <c r="R2420" s="76"/>
      <c r="Z2420" s="70"/>
      <c r="AA2420" s="70"/>
      <c r="AB2420" s="70"/>
      <c r="AC2420" s="70"/>
    </row>
    <row r="2421" spans="1:29" s="26" customFormat="1" x14ac:dyDescent="0.3">
      <c r="A2421" s="25" t="s">
        <v>8978</v>
      </c>
      <c r="B2421" s="25"/>
      <c r="C2421" s="26" t="s">
        <v>3005</v>
      </c>
      <c r="D2421" s="70"/>
      <c r="G2421" s="70" t="s">
        <v>1824</v>
      </c>
      <c r="H2421" s="26">
        <v>2</v>
      </c>
      <c r="I2421" s="70" t="s">
        <v>8979</v>
      </c>
      <c r="J2421" s="26" t="s">
        <v>3174</v>
      </c>
      <c r="K2421" s="26" t="s">
        <v>5976</v>
      </c>
      <c r="L2421" s="26" t="s">
        <v>11129</v>
      </c>
      <c r="M2421" s="76"/>
      <c r="N2421" s="76"/>
      <c r="O2421" s="76"/>
      <c r="P2421" s="76"/>
      <c r="Q2421" s="76"/>
      <c r="R2421" s="76"/>
      <c r="Z2421" s="70"/>
      <c r="AA2421" s="70"/>
      <c r="AB2421" s="70"/>
      <c r="AC2421" s="70"/>
    </row>
    <row r="2422" spans="1:29" s="26" customFormat="1" x14ac:dyDescent="0.3">
      <c r="A2422" s="25" t="s">
        <v>8980</v>
      </c>
      <c r="B2422" s="25"/>
      <c r="C2422" s="26" t="s">
        <v>3005</v>
      </c>
      <c r="D2422" s="70"/>
      <c r="G2422" s="70" t="s">
        <v>1824</v>
      </c>
      <c r="H2422" s="26">
        <v>2</v>
      </c>
      <c r="I2422" s="70" t="s">
        <v>8981</v>
      </c>
      <c r="J2422" s="26" t="s">
        <v>6632</v>
      </c>
      <c r="K2422" s="26" t="s">
        <v>6210</v>
      </c>
      <c r="L2422" s="26" t="s">
        <v>11130</v>
      </c>
      <c r="M2422" s="76"/>
      <c r="N2422" s="76"/>
      <c r="O2422" s="76"/>
      <c r="P2422" s="76"/>
      <c r="Q2422" s="76"/>
      <c r="R2422" s="76"/>
      <c r="Z2422" s="70"/>
      <c r="AA2422" s="70"/>
      <c r="AB2422" s="70"/>
      <c r="AC2422" s="70"/>
    </row>
    <row r="2423" spans="1:29" s="26" customFormat="1" x14ac:dyDescent="0.3">
      <c r="A2423" s="25" t="s">
        <v>8982</v>
      </c>
      <c r="B2423" s="25"/>
      <c r="C2423" s="26" t="s">
        <v>3005</v>
      </c>
      <c r="D2423" s="70"/>
      <c r="G2423" s="70" t="s">
        <v>1824</v>
      </c>
      <c r="H2423" s="26">
        <v>2</v>
      </c>
      <c r="I2423" s="70" t="s">
        <v>8983</v>
      </c>
      <c r="J2423" s="26" t="s">
        <v>5478</v>
      </c>
      <c r="K2423" s="26" t="s">
        <v>8196</v>
      </c>
      <c r="L2423" s="26" t="s">
        <v>11131</v>
      </c>
      <c r="M2423" s="76"/>
      <c r="N2423" s="76"/>
      <c r="O2423" s="76"/>
      <c r="P2423" s="76"/>
      <c r="Q2423" s="76"/>
      <c r="R2423" s="76"/>
      <c r="Z2423" s="70"/>
      <c r="AA2423" s="70"/>
      <c r="AB2423" s="70"/>
      <c r="AC2423" s="70"/>
    </row>
    <row r="2424" spans="1:29" s="26" customFormat="1" x14ac:dyDescent="0.3">
      <c r="A2424" s="25" t="s">
        <v>8984</v>
      </c>
      <c r="B2424" s="25"/>
      <c r="C2424" s="26" t="s">
        <v>3005</v>
      </c>
      <c r="D2424" s="70"/>
      <c r="G2424" s="70" t="s">
        <v>1824</v>
      </c>
      <c r="H2424" s="26">
        <v>-1</v>
      </c>
      <c r="I2424" s="70" t="s">
        <v>8985</v>
      </c>
      <c r="J2424" s="26" t="s">
        <v>4187</v>
      </c>
      <c r="K2424" s="26" t="s">
        <v>8986</v>
      </c>
      <c r="L2424" s="26" t="s">
        <v>11132</v>
      </c>
      <c r="M2424" s="76"/>
      <c r="N2424" s="76"/>
      <c r="O2424" s="76"/>
      <c r="P2424" s="76"/>
      <c r="Q2424" s="76"/>
      <c r="R2424" s="76"/>
      <c r="Z2424" s="70"/>
      <c r="AA2424" s="70"/>
      <c r="AB2424" s="70"/>
      <c r="AC2424" s="70"/>
    </row>
    <row r="2425" spans="1:29" s="26" customFormat="1" x14ac:dyDescent="0.3">
      <c r="A2425" s="25" t="s">
        <v>8987</v>
      </c>
      <c r="B2425" s="25"/>
      <c r="C2425" s="26" t="s">
        <v>3005</v>
      </c>
      <c r="D2425" s="70"/>
      <c r="G2425" s="70" t="s">
        <v>1824</v>
      </c>
      <c r="H2425" s="26">
        <v>-1</v>
      </c>
      <c r="I2425" s="70" t="s">
        <v>8988</v>
      </c>
      <c r="J2425" s="26" t="s">
        <v>3219</v>
      </c>
      <c r="K2425" s="26" t="s">
        <v>5760</v>
      </c>
      <c r="L2425" s="26" t="s">
        <v>11133</v>
      </c>
      <c r="M2425" s="76"/>
      <c r="N2425" s="76"/>
      <c r="O2425" s="76"/>
      <c r="P2425" s="76"/>
      <c r="Q2425" s="76"/>
      <c r="R2425" s="76"/>
      <c r="Z2425" s="70"/>
      <c r="AA2425" s="70"/>
      <c r="AB2425" s="70"/>
      <c r="AC2425" s="70"/>
    </row>
    <row r="2426" spans="1:29" s="26" customFormat="1" x14ac:dyDescent="0.3">
      <c r="A2426" s="25" t="s">
        <v>8989</v>
      </c>
      <c r="B2426" s="25"/>
      <c r="C2426" s="26" t="s">
        <v>3005</v>
      </c>
      <c r="D2426" s="70"/>
      <c r="G2426" s="70" t="s">
        <v>1824</v>
      </c>
      <c r="H2426" s="26">
        <v>-1</v>
      </c>
      <c r="I2426" s="70" t="s">
        <v>8990</v>
      </c>
      <c r="J2426" s="26" t="s">
        <v>8991</v>
      </c>
      <c r="K2426" s="26" t="s">
        <v>8992</v>
      </c>
      <c r="L2426" s="26" t="s">
        <v>11134</v>
      </c>
      <c r="M2426" s="76"/>
      <c r="N2426" s="76"/>
      <c r="O2426" s="76"/>
      <c r="P2426" s="76"/>
      <c r="Q2426" s="76"/>
      <c r="R2426" s="76"/>
      <c r="Z2426" s="70"/>
      <c r="AA2426" s="70"/>
      <c r="AB2426" s="70"/>
      <c r="AC2426" s="70"/>
    </row>
    <row r="2427" spans="1:29" s="26" customFormat="1" x14ac:dyDescent="0.3">
      <c r="A2427" s="25" t="s">
        <v>8993</v>
      </c>
      <c r="B2427" s="25"/>
      <c r="C2427" s="26" t="s">
        <v>3005</v>
      </c>
      <c r="D2427" s="70"/>
      <c r="G2427" s="70" t="s">
        <v>1824</v>
      </c>
      <c r="H2427" s="26">
        <v>-1</v>
      </c>
      <c r="I2427" s="70" t="s">
        <v>5724</v>
      </c>
      <c r="J2427" s="26" t="s">
        <v>8994</v>
      </c>
      <c r="K2427" s="26" t="s">
        <v>8995</v>
      </c>
      <c r="L2427" s="26" t="s">
        <v>11135</v>
      </c>
      <c r="M2427" s="76"/>
      <c r="N2427" s="76"/>
      <c r="O2427" s="76"/>
      <c r="P2427" s="76"/>
      <c r="Q2427" s="76"/>
      <c r="R2427" s="76"/>
      <c r="Z2427" s="70"/>
      <c r="AA2427" s="70"/>
      <c r="AB2427" s="70"/>
      <c r="AC2427" s="70"/>
    </row>
    <row r="2428" spans="1:29" s="26" customFormat="1" x14ac:dyDescent="0.3">
      <c r="A2428" s="25" t="s">
        <v>8996</v>
      </c>
      <c r="B2428" s="25"/>
      <c r="C2428" s="26" t="s">
        <v>3005</v>
      </c>
      <c r="D2428" s="70"/>
      <c r="G2428" s="70" t="s">
        <v>1824</v>
      </c>
      <c r="H2428" s="26">
        <v>-1</v>
      </c>
      <c r="I2428" s="70" t="s">
        <v>8997</v>
      </c>
      <c r="J2428" s="26" t="s">
        <v>5759</v>
      </c>
      <c r="K2428" s="26" t="s">
        <v>8998</v>
      </c>
      <c r="L2428" s="26" t="s">
        <v>11136</v>
      </c>
      <c r="M2428" s="76"/>
      <c r="N2428" s="76"/>
      <c r="O2428" s="76"/>
      <c r="P2428" s="76"/>
      <c r="Q2428" s="76"/>
      <c r="R2428" s="76"/>
      <c r="Z2428" s="70"/>
      <c r="AA2428" s="70"/>
      <c r="AB2428" s="70"/>
      <c r="AC2428" s="70"/>
    </row>
    <row r="2429" spans="1:29" s="26" customFormat="1" x14ac:dyDescent="0.3">
      <c r="A2429" s="25" t="s">
        <v>8999</v>
      </c>
      <c r="B2429" s="25"/>
      <c r="C2429" s="26" t="s">
        <v>3005</v>
      </c>
      <c r="D2429" s="70"/>
      <c r="G2429" s="70" t="s">
        <v>1824</v>
      </c>
      <c r="H2429" s="26">
        <v>-1</v>
      </c>
      <c r="I2429" s="70" t="s">
        <v>9000</v>
      </c>
      <c r="J2429" s="26" t="s">
        <v>9001</v>
      </c>
      <c r="K2429" s="26" t="s">
        <v>9002</v>
      </c>
      <c r="L2429" s="26" t="s">
        <v>11137</v>
      </c>
      <c r="M2429" s="76"/>
      <c r="N2429" s="76"/>
      <c r="O2429" s="76"/>
      <c r="P2429" s="76"/>
      <c r="Q2429" s="76"/>
      <c r="R2429" s="76"/>
      <c r="Z2429" s="70"/>
      <c r="AA2429" s="70"/>
      <c r="AB2429" s="70"/>
      <c r="AC2429" s="70"/>
    </row>
    <row r="2430" spans="1:29" s="26" customFormat="1" x14ac:dyDescent="0.3">
      <c r="A2430" s="25" t="s">
        <v>9003</v>
      </c>
      <c r="B2430" s="25"/>
      <c r="C2430" s="26" t="s">
        <v>3005</v>
      </c>
      <c r="D2430" s="70"/>
      <c r="G2430" s="70" t="s">
        <v>1824</v>
      </c>
      <c r="H2430" s="26">
        <v>-1</v>
      </c>
      <c r="I2430" s="70" t="s">
        <v>9004</v>
      </c>
      <c r="J2430" s="26" t="s">
        <v>4201</v>
      </c>
      <c r="K2430" s="26" t="s">
        <v>9005</v>
      </c>
      <c r="L2430" s="26" t="s">
        <v>11138</v>
      </c>
      <c r="M2430" s="76"/>
      <c r="N2430" s="76"/>
      <c r="O2430" s="76"/>
      <c r="P2430" s="76"/>
      <c r="Q2430" s="76"/>
      <c r="R2430" s="76"/>
      <c r="Z2430" s="70"/>
      <c r="AA2430" s="70"/>
      <c r="AB2430" s="70"/>
      <c r="AC2430" s="70"/>
    </row>
    <row r="2431" spans="1:29" s="26" customFormat="1" x14ac:dyDescent="0.3">
      <c r="A2431" s="25" t="s">
        <v>9006</v>
      </c>
      <c r="B2431" s="25"/>
      <c r="C2431" s="26" t="s">
        <v>3005</v>
      </c>
      <c r="D2431" s="70"/>
      <c r="G2431" s="70" t="s">
        <v>1824</v>
      </c>
      <c r="H2431" s="26">
        <v>-1</v>
      </c>
      <c r="I2431" s="70" t="s">
        <v>9007</v>
      </c>
      <c r="J2431" s="26" t="s">
        <v>9008</v>
      </c>
      <c r="K2431" s="26" t="s">
        <v>6962</v>
      </c>
      <c r="L2431" s="26" t="s">
        <v>11139</v>
      </c>
      <c r="M2431" s="76"/>
      <c r="N2431" s="76"/>
      <c r="O2431" s="76"/>
      <c r="P2431" s="76"/>
      <c r="Q2431" s="76"/>
      <c r="R2431" s="76"/>
      <c r="Z2431" s="70"/>
      <c r="AA2431" s="70"/>
      <c r="AB2431" s="70"/>
      <c r="AC2431" s="70"/>
    </row>
    <row r="2432" spans="1:29" s="24" customFormat="1" x14ac:dyDescent="0.3">
      <c r="A2432" s="23">
        <v>632</v>
      </c>
      <c r="B2432" s="23">
        <v>627</v>
      </c>
      <c r="C2432" s="24" t="s">
        <v>2165</v>
      </c>
      <c r="D2432" s="69" t="s">
        <v>1724</v>
      </c>
      <c r="E2432" s="24" t="s">
        <v>1723</v>
      </c>
      <c r="F2432" s="24" t="s">
        <v>1826</v>
      </c>
      <c r="G2432" s="69" t="s">
        <v>1827</v>
      </c>
      <c r="I2432" s="69"/>
      <c r="J2432" s="24" t="s">
        <v>3016</v>
      </c>
      <c r="K2432" s="24" t="s">
        <v>1828</v>
      </c>
      <c r="M2432" s="75" t="s">
        <v>19</v>
      </c>
      <c r="N2432" s="75"/>
      <c r="O2432" s="75"/>
      <c r="P2432" s="75"/>
      <c r="Q2432" s="75"/>
      <c r="R2432" s="75" t="s">
        <v>2166</v>
      </c>
      <c r="U2432" s="24" t="s">
        <v>2206</v>
      </c>
      <c r="Z2432" s="69"/>
      <c r="AA2432" s="69"/>
      <c r="AB2432" s="69"/>
      <c r="AC2432" s="69"/>
    </row>
    <row r="2433" spans="1:30" s="26" customFormat="1" x14ac:dyDescent="0.3">
      <c r="A2433" s="25" t="s">
        <v>9009</v>
      </c>
      <c r="B2433" s="25"/>
      <c r="C2433" s="26" t="s">
        <v>3005</v>
      </c>
      <c r="D2433" s="70"/>
      <c r="G2433" s="70" t="s">
        <v>1827</v>
      </c>
      <c r="H2433" s="26">
        <v>-1</v>
      </c>
      <c r="I2433" s="70" t="s">
        <v>3221</v>
      </c>
      <c r="J2433" s="26" t="s">
        <v>3092</v>
      </c>
      <c r="K2433" s="26" t="s">
        <v>9010</v>
      </c>
      <c r="M2433" s="76"/>
      <c r="N2433" s="76"/>
      <c r="O2433" s="76"/>
      <c r="P2433" s="76"/>
      <c r="Q2433" s="76"/>
      <c r="R2433" s="76"/>
      <c r="U2433" s="26" t="s">
        <v>4436</v>
      </c>
      <c r="Z2433" s="70"/>
      <c r="AA2433" s="70"/>
      <c r="AB2433" s="70"/>
      <c r="AC2433" s="70"/>
    </row>
    <row r="2434" spans="1:30" s="26" customFormat="1" x14ac:dyDescent="0.3">
      <c r="A2434" s="25" t="s">
        <v>9011</v>
      </c>
      <c r="B2434" s="25"/>
      <c r="C2434" s="26" t="s">
        <v>3005</v>
      </c>
      <c r="D2434" s="70"/>
      <c r="G2434" s="70" t="s">
        <v>1827</v>
      </c>
      <c r="H2434" s="26">
        <v>-1</v>
      </c>
      <c r="I2434" s="70" t="s">
        <v>9012</v>
      </c>
      <c r="J2434" s="26" t="s">
        <v>3016</v>
      </c>
      <c r="K2434" s="26" t="s">
        <v>9013</v>
      </c>
      <c r="L2434" s="26" t="s">
        <v>11140</v>
      </c>
      <c r="M2434" s="76"/>
      <c r="N2434" s="76"/>
      <c r="O2434" s="76"/>
      <c r="P2434" s="76"/>
      <c r="Q2434" s="76"/>
      <c r="R2434" s="76"/>
      <c r="U2434" s="26" t="s">
        <v>9014</v>
      </c>
      <c r="Z2434" s="70"/>
      <c r="AA2434" s="70"/>
      <c r="AB2434" s="70"/>
      <c r="AC2434" s="70"/>
    </row>
    <row r="2435" spans="1:30" s="26" customFormat="1" x14ac:dyDescent="0.3">
      <c r="A2435" s="25" t="s">
        <v>9015</v>
      </c>
      <c r="B2435" s="25"/>
      <c r="C2435" s="26" t="s">
        <v>3005</v>
      </c>
      <c r="D2435" s="70"/>
      <c r="G2435" s="70" t="s">
        <v>1827</v>
      </c>
      <c r="H2435" s="26">
        <v>-1</v>
      </c>
      <c r="I2435" s="70" t="s">
        <v>9016</v>
      </c>
      <c r="J2435" s="26" t="s">
        <v>3410</v>
      </c>
      <c r="K2435" s="26" t="s">
        <v>9017</v>
      </c>
      <c r="L2435" s="26" t="s">
        <v>11141</v>
      </c>
      <c r="M2435" s="76"/>
      <c r="N2435" s="76"/>
      <c r="O2435" s="76"/>
      <c r="P2435" s="76"/>
      <c r="Q2435" s="76"/>
      <c r="R2435" s="76"/>
      <c r="U2435" s="26" t="s">
        <v>9018</v>
      </c>
      <c r="Z2435" s="70"/>
      <c r="AA2435" s="70"/>
      <c r="AB2435" s="70"/>
      <c r="AC2435" s="70"/>
    </row>
    <row r="2436" spans="1:30" s="26" customFormat="1" x14ac:dyDescent="0.3">
      <c r="A2436" s="25" t="s">
        <v>9019</v>
      </c>
      <c r="B2436" s="25"/>
      <c r="C2436" s="26" t="s">
        <v>3005</v>
      </c>
      <c r="D2436" s="70"/>
      <c r="G2436" s="70" t="s">
        <v>1827</v>
      </c>
      <c r="H2436" s="26">
        <v>-1</v>
      </c>
      <c r="I2436" s="70" t="s">
        <v>4392</v>
      </c>
      <c r="J2436" s="26" t="s">
        <v>9020</v>
      </c>
      <c r="K2436" s="26" t="s">
        <v>3650</v>
      </c>
      <c r="M2436" s="76"/>
      <c r="N2436" s="76"/>
      <c r="O2436" s="76"/>
      <c r="P2436" s="76"/>
      <c r="Q2436" s="76"/>
      <c r="R2436" s="76"/>
      <c r="U2436" s="26" t="s">
        <v>4436</v>
      </c>
      <c r="Z2436" s="70"/>
      <c r="AA2436" s="70"/>
      <c r="AB2436" s="70"/>
      <c r="AC2436" s="70"/>
    </row>
    <row r="2437" spans="1:30" s="24" customFormat="1" x14ac:dyDescent="0.3">
      <c r="A2437" s="23">
        <v>633</v>
      </c>
      <c r="B2437" s="23">
        <v>628</v>
      </c>
      <c r="C2437" s="24" t="s">
        <v>2165</v>
      </c>
      <c r="D2437" s="69" t="s">
        <v>1830</v>
      </c>
      <c r="E2437" s="24" t="s">
        <v>1829</v>
      </c>
      <c r="F2437" s="24" t="s">
        <v>1831</v>
      </c>
      <c r="G2437" s="69" t="s">
        <v>1832</v>
      </c>
      <c r="I2437" s="69"/>
      <c r="J2437" s="24" t="s">
        <v>6301</v>
      </c>
      <c r="K2437" s="24" t="s">
        <v>68</v>
      </c>
      <c r="L2437" s="24" t="s">
        <v>9922</v>
      </c>
      <c r="M2437" s="75" t="s">
        <v>65</v>
      </c>
      <c r="N2437" s="75" t="s">
        <v>2015</v>
      </c>
      <c r="O2437" s="75" t="s">
        <v>66</v>
      </c>
      <c r="P2437" s="75" t="s">
        <v>66</v>
      </c>
      <c r="Q2437" s="75" t="s">
        <v>85</v>
      </c>
      <c r="R2437" s="75"/>
      <c r="Z2437" s="69"/>
      <c r="AA2437" s="69"/>
      <c r="AB2437" s="69"/>
      <c r="AC2437" s="69"/>
    </row>
    <row r="2438" spans="1:30" s="24" customFormat="1" x14ac:dyDescent="0.3">
      <c r="A2438" s="23">
        <v>634</v>
      </c>
      <c r="B2438" s="23">
        <v>629</v>
      </c>
      <c r="C2438" s="24" t="s">
        <v>2165</v>
      </c>
      <c r="D2438" s="69" t="s">
        <v>1830</v>
      </c>
      <c r="E2438" s="24" t="s">
        <v>1829</v>
      </c>
      <c r="F2438" s="24" t="s">
        <v>1833</v>
      </c>
      <c r="G2438" s="69" t="s">
        <v>1834</v>
      </c>
      <c r="I2438" s="69"/>
      <c r="J2438" s="24" t="s">
        <v>6599</v>
      </c>
      <c r="K2438" s="24" t="s">
        <v>68</v>
      </c>
      <c r="L2438" s="24" t="s">
        <v>9923</v>
      </c>
      <c r="M2438" s="75" t="s">
        <v>65</v>
      </c>
      <c r="N2438" s="75" t="s">
        <v>2030</v>
      </c>
      <c r="O2438" s="75"/>
      <c r="P2438" s="75"/>
      <c r="Q2438" s="75"/>
      <c r="R2438" s="75"/>
      <c r="Z2438" s="69"/>
      <c r="AA2438" s="69"/>
      <c r="AB2438" s="69"/>
      <c r="AC2438" s="69"/>
    </row>
    <row r="2439" spans="1:30" s="24" customFormat="1" x14ac:dyDescent="0.3">
      <c r="A2439" s="23">
        <v>635</v>
      </c>
      <c r="B2439" s="23">
        <v>630</v>
      </c>
      <c r="C2439" s="24" t="s">
        <v>2165</v>
      </c>
      <c r="D2439" s="69" t="s">
        <v>1836</v>
      </c>
      <c r="E2439" s="24" t="s">
        <v>1835</v>
      </c>
      <c r="F2439" s="24" t="s">
        <v>1837</v>
      </c>
      <c r="G2439" s="69" t="s">
        <v>1838</v>
      </c>
      <c r="H2439" s="24">
        <v>3</v>
      </c>
      <c r="I2439" s="69"/>
      <c r="J2439" s="24" t="s">
        <v>5181</v>
      </c>
      <c r="K2439" s="24" t="s">
        <v>68</v>
      </c>
      <c r="M2439" s="75" t="s">
        <v>65</v>
      </c>
      <c r="N2439" s="75" t="s">
        <v>2015</v>
      </c>
      <c r="O2439" s="75"/>
      <c r="P2439" s="75"/>
      <c r="Q2439" s="75"/>
      <c r="R2439" s="75"/>
      <c r="Z2439" s="69"/>
      <c r="AA2439" s="69"/>
      <c r="AB2439" s="69"/>
      <c r="AC2439" s="69"/>
    </row>
    <row r="2440" spans="1:30" s="26" customFormat="1" x14ac:dyDescent="0.3">
      <c r="A2440" s="25" t="s">
        <v>9021</v>
      </c>
      <c r="B2440" s="25"/>
      <c r="C2440" s="26" t="s">
        <v>3005</v>
      </c>
      <c r="D2440" s="70"/>
      <c r="G2440" s="70" t="s">
        <v>1838</v>
      </c>
      <c r="H2440" s="26">
        <v>1</v>
      </c>
      <c r="I2440" s="70" t="s">
        <v>9022</v>
      </c>
      <c r="J2440" s="26" t="s">
        <v>9023</v>
      </c>
      <c r="K2440" s="26" t="s">
        <v>5976</v>
      </c>
      <c r="L2440" s="26" t="s">
        <v>11142</v>
      </c>
      <c r="M2440" s="76"/>
      <c r="N2440" s="76"/>
      <c r="O2440" s="76"/>
      <c r="P2440" s="76"/>
      <c r="Q2440" s="76"/>
      <c r="R2440" s="76"/>
      <c r="Z2440" s="70"/>
      <c r="AA2440" s="70"/>
      <c r="AB2440" s="70"/>
      <c r="AC2440" s="70"/>
    </row>
    <row r="2441" spans="1:30" s="26" customFormat="1" x14ac:dyDescent="0.3">
      <c r="A2441" s="25" t="s">
        <v>9024</v>
      </c>
      <c r="B2441" s="25"/>
      <c r="C2441" s="26" t="s">
        <v>3005</v>
      </c>
      <c r="D2441" s="70"/>
      <c r="G2441" s="70" t="s">
        <v>1838</v>
      </c>
      <c r="H2441" s="26">
        <v>1</v>
      </c>
      <c r="I2441" s="70" t="s">
        <v>9025</v>
      </c>
      <c r="J2441" s="26" t="s">
        <v>5181</v>
      </c>
      <c r="K2441" s="26" t="s">
        <v>5290</v>
      </c>
      <c r="L2441" s="26" t="s">
        <v>9808</v>
      </c>
      <c r="M2441" s="76"/>
      <c r="N2441" s="76"/>
      <c r="O2441" s="76"/>
      <c r="P2441" s="76"/>
      <c r="Q2441" s="76"/>
      <c r="R2441" s="76"/>
      <c r="Z2441" s="70"/>
      <c r="AA2441" s="70"/>
      <c r="AB2441" s="70"/>
      <c r="AC2441" s="70"/>
    </row>
    <row r="2442" spans="1:30" s="26" customFormat="1" x14ac:dyDescent="0.3">
      <c r="A2442" s="25" t="s">
        <v>9026</v>
      </c>
      <c r="B2442" s="25"/>
      <c r="C2442" s="26" t="s">
        <v>3005</v>
      </c>
      <c r="D2442" s="70"/>
      <c r="G2442" s="70" t="s">
        <v>1838</v>
      </c>
      <c r="H2442" s="26">
        <v>1</v>
      </c>
      <c r="I2442" s="70" t="s">
        <v>6162</v>
      </c>
      <c r="J2442" s="26" t="s">
        <v>5942</v>
      </c>
      <c r="K2442" s="26" t="s">
        <v>6319</v>
      </c>
      <c r="L2442" s="26" t="s">
        <v>11143</v>
      </c>
      <c r="M2442" s="76"/>
      <c r="N2442" s="76"/>
      <c r="O2442" s="76"/>
      <c r="P2442" s="76"/>
      <c r="Q2442" s="76"/>
      <c r="R2442" s="76"/>
      <c r="Z2442" s="70"/>
      <c r="AA2442" s="70"/>
      <c r="AB2442" s="70"/>
      <c r="AC2442" s="70"/>
    </row>
    <row r="2443" spans="1:30" s="24" customFormat="1" x14ac:dyDescent="0.3">
      <c r="A2443" s="23">
        <v>636</v>
      </c>
      <c r="B2443" s="23">
        <v>631</v>
      </c>
      <c r="C2443" s="24" t="s">
        <v>2165</v>
      </c>
      <c r="D2443" s="69" t="s">
        <v>1836</v>
      </c>
      <c r="E2443" s="24" t="s">
        <v>1835</v>
      </c>
      <c r="F2443" s="24" t="s">
        <v>1839</v>
      </c>
      <c r="G2443" s="69" t="s">
        <v>1840</v>
      </c>
      <c r="H2443" s="24">
        <v>2</v>
      </c>
      <c r="I2443" s="69"/>
      <c r="J2443" s="24" t="s">
        <v>4309</v>
      </c>
      <c r="K2443" s="24" t="s">
        <v>68</v>
      </c>
      <c r="M2443" s="75" t="s">
        <v>65</v>
      </c>
      <c r="N2443" s="75" t="s">
        <v>2030</v>
      </c>
      <c r="O2443" s="75"/>
      <c r="P2443" s="75"/>
      <c r="Q2443" s="75"/>
      <c r="R2443" s="75"/>
      <c r="Z2443" s="69"/>
      <c r="AA2443" s="69"/>
      <c r="AB2443" s="69"/>
      <c r="AC2443" s="69"/>
    </row>
    <row r="2444" spans="1:30" s="26" customFormat="1" x14ac:dyDescent="0.3">
      <c r="A2444" s="25" t="s">
        <v>9027</v>
      </c>
      <c r="B2444" s="25"/>
      <c r="C2444" s="26" t="s">
        <v>3005</v>
      </c>
      <c r="D2444" s="70"/>
      <c r="G2444" s="70" t="s">
        <v>1840</v>
      </c>
      <c r="H2444" s="26">
        <v>1</v>
      </c>
      <c r="I2444" s="70" t="s">
        <v>6886</v>
      </c>
      <c r="J2444" s="26" t="s">
        <v>4309</v>
      </c>
      <c r="K2444" s="26" t="s">
        <v>9028</v>
      </c>
      <c r="L2444" s="26" t="s">
        <v>9882</v>
      </c>
      <c r="M2444" s="76"/>
      <c r="N2444" s="76"/>
      <c r="O2444" s="76"/>
      <c r="P2444" s="76"/>
      <c r="Q2444" s="76"/>
      <c r="R2444" s="76"/>
      <c r="Z2444" s="70"/>
      <c r="AA2444" s="70"/>
      <c r="AB2444" s="70"/>
      <c r="AC2444" s="70"/>
    </row>
    <row r="2445" spans="1:30" s="26" customFormat="1" x14ac:dyDescent="0.3">
      <c r="A2445" s="25" t="s">
        <v>9029</v>
      </c>
      <c r="B2445" s="25"/>
      <c r="C2445" s="26" t="s">
        <v>3005</v>
      </c>
      <c r="D2445" s="70"/>
      <c r="G2445" s="70" t="s">
        <v>1840</v>
      </c>
      <c r="H2445" s="26">
        <v>1</v>
      </c>
      <c r="I2445" s="70" t="s">
        <v>9030</v>
      </c>
      <c r="J2445" s="26" t="s">
        <v>3272</v>
      </c>
      <c r="K2445" s="26" t="s">
        <v>9031</v>
      </c>
      <c r="L2445" s="26" t="s">
        <v>11144</v>
      </c>
      <c r="M2445" s="76"/>
      <c r="N2445" s="76"/>
      <c r="O2445" s="76"/>
      <c r="P2445" s="76"/>
      <c r="Q2445" s="76"/>
      <c r="R2445" s="76"/>
      <c r="Z2445" s="70"/>
      <c r="AA2445" s="70"/>
      <c r="AB2445" s="70"/>
      <c r="AC2445" s="70"/>
    </row>
    <row r="2446" spans="1:30" s="24" customFormat="1" x14ac:dyDescent="0.3">
      <c r="A2446" s="23">
        <v>637</v>
      </c>
      <c r="B2446" s="23">
        <v>632</v>
      </c>
      <c r="C2446" s="24" t="s">
        <v>2165</v>
      </c>
      <c r="D2446" s="69" t="s">
        <v>1836</v>
      </c>
      <c r="E2446" s="24" t="s">
        <v>1835</v>
      </c>
      <c r="F2446" s="24" t="s">
        <v>1841</v>
      </c>
      <c r="G2446" s="69" t="s">
        <v>1842</v>
      </c>
      <c r="H2446" s="24">
        <v>3</v>
      </c>
      <c r="I2446" s="69"/>
      <c r="J2446" s="24" t="s">
        <v>5080</v>
      </c>
      <c r="K2446" s="24" t="s">
        <v>68</v>
      </c>
      <c r="M2446" s="75" t="s">
        <v>65</v>
      </c>
      <c r="N2446" s="75" t="s">
        <v>2015</v>
      </c>
      <c r="O2446" s="75"/>
      <c r="P2446" s="75"/>
      <c r="Q2446" s="75"/>
      <c r="R2446" s="75"/>
      <c r="W2446" s="24" t="s">
        <v>2962</v>
      </c>
      <c r="Y2446" s="24" t="s">
        <v>2962</v>
      </c>
      <c r="Z2446" s="69" t="s">
        <v>2963</v>
      </c>
      <c r="AA2446" s="69"/>
      <c r="AB2446" s="69" t="s">
        <v>2963</v>
      </c>
      <c r="AC2446" s="69"/>
      <c r="AD2446" s="24" t="s">
        <v>123</v>
      </c>
    </row>
    <row r="2447" spans="1:30" s="26" customFormat="1" x14ac:dyDescent="0.3">
      <c r="A2447" s="25" t="s">
        <v>9032</v>
      </c>
      <c r="B2447" s="25"/>
      <c r="C2447" s="26" t="s">
        <v>3005</v>
      </c>
      <c r="D2447" s="70"/>
      <c r="G2447" s="70" t="s">
        <v>1842</v>
      </c>
      <c r="H2447" s="26">
        <v>1</v>
      </c>
      <c r="I2447" s="70" t="s">
        <v>9033</v>
      </c>
      <c r="J2447" s="26" t="s">
        <v>5058</v>
      </c>
      <c r="K2447" s="26" t="s">
        <v>5976</v>
      </c>
      <c r="L2447" s="26" t="s">
        <v>11145</v>
      </c>
      <c r="M2447" s="76"/>
      <c r="N2447" s="76"/>
      <c r="O2447" s="76"/>
      <c r="P2447" s="76"/>
      <c r="Q2447" s="76"/>
      <c r="R2447" s="76"/>
      <c r="Z2447" s="70"/>
      <c r="AA2447" s="70"/>
      <c r="AB2447" s="70"/>
      <c r="AC2447" s="70"/>
    </row>
    <row r="2448" spans="1:30" s="26" customFormat="1" x14ac:dyDescent="0.3">
      <c r="A2448" s="25" t="s">
        <v>9034</v>
      </c>
      <c r="B2448" s="25"/>
      <c r="C2448" s="26" t="s">
        <v>3005</v>
      </c>
      <c r="D2448" s="70"/>
      <c r="G2448" s="70" t="s">
        <v>1842</v>
      </c>
      <c r="H2448" s="26">
        <v>1</v>
      </c>
      <c r="I2448" s="70" t="s">
        <v>9035</v>
      </c>
      <c r="J2448" s="26" t="s">
        <v>5080</v>
      </c>
      <c r="K2448" s="26" t="s">
        <v>5290</v>
      </c>
      <c r="L2448" s="26" t="s">
        <v>11146</v>
      </c>
      <c r="M2448" s="76"/>
      <c r="N2448" s="76"/>
      <c r="O2448" s="76"/>
      <c r="P2448" s="76"/>
      <c r="Q2448" s="76"/>
      <c r="R2448" s="76"/>
      <c r="Z2448" s="70"/>
      <c r="AA2448" s="70"/>
      <c r="AB2448" s="70"/>
      <c r="AC2448" s="70"/>
    </row>
    <row r="2449" spans="1:29" s="26" customFormat="1" x14ac:dyDescent="0.3">
      <c r="A2449" s="25" t="s">
        <v>9036</v>
      </c>
      <c r="B2449" s="25"/>
      <c r="C2449" s="26" t="s">
        <v>3005</v>
      </c>
      <c r="D2449" s="70"/>
      <c r="G2449" s="70" t="s">
        <v>1842</v>
      </c>
      <c r="H2449" s="26">
        <v>1</v>
      </c>
      <c r="I2449" s="70" t="s">
        <v>9037</v>
      </c>
      <c r="J2449" s="26" t="s">
        <v>6890</v>
      </c>
      <c r="K2449" s="26" t="s">
        <v>6291</v>
      </c>
      <c r="L2449" s="26" t="s">
        <v>9935</v>
      </c>
      <c r="M2449" s="76"/>
      <c r="N2449" s="76"/>
      <c r="O2449" s="76"/>
      <c r="P2449" s="76"/>
      <c r="Q2449" s="76"/>
      <c r="R2449" s="76"/>
      <c r="Z2449" s="70"/>
      <c r="AA2449" s="70"/>
      <c r="AB2449" s="70"/>
      <c r="AC2449" s="70"/>
    </row>
    <row r="2450" spans="1:29" s="24" customFormat="1" x14ac:dyDescent="0.3">
      <c r="A2450" s="23">
        <v>638</v>
      </c>
      <c r="B2450" s="23">
        <v>633</v>
      </c>
      <c r="C2450" s="24" t="s">
        <v>2165</v>
      </c>
      <c r="D2450" s="69" t="s">
        <v>1836</v>
      </c>
      <c r="E2450" s="24" t="s">
        <v>1835</v>
      </c>
      <c r="F2450" s="24" t="s">
        <v>1843</v>
      </c>
      <c r="G2450" s="69" t="s">
        <v>1844</v>
      </c>
      <c r="I2450" s="69"/>
      <c r="J2450" s="24" t="s">
        <v>9038</v>
      </c>
      <c r="K2450" s="24" t="s">
        <v>68</v>
      </c>
      <c r="L2450" s="24" t="s">
        <v>9910</v>
      </c>
      <c r="M2450" s="75" t="s">
        <v>65</v>
      </c>
      <c r="N2450" s="75" t="s">
        <v>2025</v>
      </c>
      <c r="O2450" s="75"/>
      <c r="P2450" s="75"/>
      <c r="Q2450" s="75" t="s">
        <v>66</v>
      </c>
      <c r="R2450" s="75"/>
      <c r="Z2450" s="69"/>
      <c r="AA2450" s="69"/>
      <c r="AB2450" s="69"/>
      <c r="AC2450" s="69"/>
    </row>
    <row r="2451" spans="1:29" s="24" customFormat="1" x14ac:dyDescent="0.3">
      <c r="A2451" s="23">
        <v>639</v>
      </c>
      <c r="B2451" s="23">
        <v>634</v>
      </c>
      <c r="C2451" s="24" t="s">
        <v>2165</v>
      </c>
      <c r="D2451" s="69" t="s">
        <v>1836</v>
      </c>
      <c r="E2451" s="24" t="s">
        <v>1835</v>
      </c>
      <c r="F2451" s="24" t="s">
        <v>1845</v>
      </c>
      <c r="G2451" s="69" t="s">
        <v>1846</v>
      </c>
      <c r="H2451" s="24">
        <v>2</v>
      </c>
      <c r="I2451" s="69"/>
      <c r="J2451" s="24" t="s">
        <v>9039</v>
      </c>
      <c r="K2451" s="24" t="s">
        <v>998</v>
      </c>
      <c r="M2451" s="75" t="s">
        <v>65</v>
      </c>
      <c r="N2451" s="75" t="s">
        <v>2025</v>
      </c>
      <c r="O2451" s="75"/>
      <c r="P2451" s="75"/>
      <c r="Q2451" s="75"/>
      <c r="R2451" s="75"/>
      <c r="Z2451" s="69"/>
      <c r="AA2451" s="69"/>
      <c r="AB2451" s="69"/>
      <c r="AC2451" s="69"/>
    </row>
    <row r="2452" spans="1:29" s="26" customFormat="1" x14ac:dyDescent="0.3">
      <c r="A2452" s="25" t="s">
        <v>9040</v>
      </c>
      <c r="B2452" s="25"/>
      <c r="C2452" s="26" t="s">
        <v>3005</v>
      </c>
      <c r="D2452" s="70"/>
      <c r="G2452" s="70" t="s">
        <v>1846</v>
      </c>
      <c r="H2452" s="26">
        <v>1</v>
      </c>
      <c r="I2452" s="70" t="s">
        <v>9041</v>
      </c>
      <c r="J2452" s="26" t="s">
        <v>9039</v>
      </c>
      <c r="K2452" s="26" t="s">
        <v>9042</v>
      </c>
      <c r="L2452" s="26" t="s">
        <v>9936</v>
      </c>
      <c r="M2452" s="76"/>
      <c r="N2452" s="76"/>
      <c r="O2452" s="76"/>
      <c r="P2452" s="76"/>
      <c r="Q2452" s="76"/>
      <c r="R2452" s="76"/>
      <c r="Z2452" s="70"/>
      <c r="AA2452" s="70"/>
      <c r="AB2452" s="70"/>
      <c r="AC2452" s="70"/>
    </row>
    <row r="2453" spans="1:29" s="26" customFormat="1" x14ac:dyDescent="0.3">
      <c r="A2453" s="25" t="s">
        <v>9043</v>
      </c>
      <c r="B2453" s="25"/>
      <c r="C2453" s="26" t="s">
        <v>3005</v>
      </c>
      <c r="D2453" s="70"/>
      <c r="G2453" s="70" t="s">
        <v>1846</v>
      </c>
      <c r="H2453" s="26">
        <v>1</v>
      </c>
      <c r="I2453" s="70" t="s">
        <v>7858</v>
      </c>
      <c r="J2453" s="26" t="s">
        <v>5478</v>
      </c>
      <c r="K2453" s="26" t="s">
        <v>9044</v>
      </c>
      <c r="L2453" s="26" t="s">
        <v>11147</v>
      </c>
      <c r="M2453" s="76"/>
      <c r="N2453" s="76"/>
      <c r="O2453" s="76"/>
      <c r="P2453" s="76"/>
      <c r="Q2453" s="76"/>
      <c r="R2453" s="76"/>
      <c r="Z2453" s="70"/>
      <c r="AA2453" s="70"/>
      <c r="AB2453" s="70"/>
      <c r="AC2453" s="70"/>
    </row>
    <row r="2454" spans="1:29" s="24" customFormat="1" x14ac:dyDescent="0.3">
      <c r="A2454" s="23">
        <v>640</v>
      </c>
      <c r="B2454" s="23">
        <v>635</v>
      </c>
      <c r="C2454" s="24" t="s">
        <v>2165</v>
      </c>
      <c r="D2454" s="69" t="s">
        <v>1836</v>
      </c>
      <c r="E2454" s="24" t="s">
        <v>1835</v>
      </c>
      <c r="F2454" s="24" t="s">
        <v>1847</v>
      </c>
      <c r="G2454" s="69" t="s">
        <v>1848</v>
      </c>
      <c r="H2454" s="24">
        <v>3</v>
      </c>
      <c r="I2454" s="69"/>
      <c r="J2454" s="24" t="s">
        <v>9045</v>
      </c>
      <c r="K2454" s="24" t="s">
        <v>68</v>
      </c>
      <c r="M2454" s="75" t="s">
        <v>65</v>
      </c>
      <c r="N2454" s="75" t="s">
        <v>2015</v>
      </c>
      <c r="O2454" s="75" t="s">
        <v>58</v>
      </c>
      <c r="P2454" s="75" t="s">
        <v>58</v>
      </c>
      <c r="Q2454" s="75" t="s">
        <v>130</v>
      </c>
      <c r="R2454" s="75"/>
      <c r="Y2454" s="24" t="s">
        <v>2964</v>
      </c>
      <c r="Z2454" s="69"/>
      <c r="AA2454" s="69"/>
      <c r="AB2454" s="69"/>
      <c r="AC2454" s="69"/>
    </row>
    <row r="2455" spans="1:29" s="26" customFormat="1" x14ac:dyDescent="0.3">
      <c r="A2455" s="25" t="s">
        <v>9046</v>
      </c>
      <c r="B2455" s="25"/>
      <c r="C2455" s="26" t="s">
        <v>3005</v>
      </c>
      <c r="D2455" s="70"/>
      <c r="G2455" s="70" t="s">
        <v>1848</v>
      </c>
      <c r="H2455" s="26">
        <v>1</v>
      </c>
      <c r="I2455" s="70" t="s">
        <v>9047</v>
      </c>
      <c r="J2455" s="26" t="s">
        <v>9045</v>
      </c>
      <c r="K2455" s="26" t="s">
        <v>4237</v>
      </c>
      <c r="M2455" s="76"/>
      <c r="N2455" s="76"/>
      <c r="O2455" s="76"/>
      <c r="P2455" s="76"/>
      <c r="Q2455" s="76"/>
      <c r="R2455" s="76"/>
      <c r="Z2455" s="70"/>
      <c r="AA2455" s="70"/>
      <c r="AB2455" s="70"/>
      <c r="AC2455" s="70"/>
    </row>
    <row r="2456" spans="1:29" s="26" customFormat="1" x14ac:dyDescent="0.3">
      <c r="A2456" s="25" t="s">
        <v>9048</v>
      </c>
      <c r="B2456" s="25"/>
      <c r="C2456" s="26" t="s">
        <v>3005</v>
      </c>
      <c r="D2456" s="70"/>
      <c r="G2456" s="70" t="s">
        <v>1848</v>
      </c>
      <c r="H2456" s="26">
        <v>1</v>
      </c>
      <c r="I2456" s="70" t="s">
        <v>9049</v>
      </c>
      <c r="J2456" s="26" t="s">
        <v>6909</v>
      </c>
      <c r="K2456" s="26" t="s">
        <v>9050</v>
      </c>
      <c r="L2456" s="26" t="s">
        <v>11148</v>
      </c>
      <c r="M2456" s="76"/>
      <c r="N2456" s="76"/>
      <c r="O2456" s="76"/>
      <c r="P2456" s="76"/>
      <c r="Q2456" s="76"/>
      <c r="R2456" s="76"/>
      <c r="Z2456" s="70"/>
      <c r="AA2456" s="70"/>
      <c r="AB2456" s="70"/>
      <c r="AC2456" s="70"/>
    </row>
    <row r="2457" spans="1:29" s="26" customFormat="1" x14ac:dyDescent="0.3">
      <c r="A2457" s="25" t="s">
        <v>9051</v>
      </c>
      <c r="B2457" s="25"/>
      <c r="C2457" s="26" t="s">
        <v>3005</v>
      </c>
      <c r="D2457" s="70"/>
      <c r="G2457" s="70" t="s">
        <v>1848</v>
      </c>
      <c r="H2457" s="26">
        <v>1</v>
      </c>
      <c r="I2457" s="70" t="s">
        <v>9052</v>
      </c>
      <c r="J2457" s="26" t="s">
        <v>9053</v>
      </c>
      <c r="K2457" s="26" t="s">
        <v>9054</v>
      </c>
      <c r="L2457" s="26" t="s">
        <v>9910</v>
      </c>
      <c r="M2457" s="76"/>
      <c r="N2457" s="76"/>
      <c r="O2457" s="76"/>
      <c r="P2457" s="76"/>
      <c r="Q2457" s="76"/>
      <c r="R2457" s="76"/>
      <c r="Y2457" s="26" t="s">
        <v>1847</v>
      </c>
      <c r="Z2457" s="70"/>
      <c r="AA2457" s="70"/>
      <c r="AB2457" s="70" t="s">
        <v>9055</v>
      </c>
      <c r="AC2457" s="70"/>
    </row>
    <row r="2458" spans="1:29" s="24" customFormat="1" x14ac:dyDescent="0.3">
      <c r="A2458" s="23">
        <v>641</v>
      </c>
      <c r="B2458" s="23">
        <v>636</v>
      </c>
      <c r="C2458" s="24" t="s">
        <v>2165</v>
      </c>
      <c r="D2458" s="69" t="s">
        <v>1836</v>
      </c>
      <c r="E2458" s="24" t="s">
        <v>1835</v>
      </c>
      <c r="F2458" s="24" t="s">
        <v>1849</v>
      </c>
      <c r="G2458" s="69" t="s">
        <v>1850</v>
      </c>
      <c r="H2458" s="24">
        <v>3</v>
      </c>
      <c r="I2458" s="69"/>
      <c r="J2458" s="24" t="s">
        <v>5080</v>
      </c>
      <c r="K2458" s="24" t="s">
        <v>68</v>
      </c>
      <c r="M2458" s="75" t="s">
        <v>65</v>
      </c>
      <c r="N2458" s="75" t="s">
        <v>2015</v>
      </c>
      <c r="O2458" s="75"/>
      <c r="P2458" s="75"/>
      <c r="Q2458" s="75"/>
      <c r="R2458" s="75"/>
      <c r="Y2458" s="24" t="s">
        <v>2965</v>
      </c>
      <c r="Z2458" s="69"/>
      <c r="AA2458" s="69"/>
      <c r="AB2458" s="69"/>
      <c r="AC2458" s="69"/>
    </row>
    <row r="2459" spans="1:29" s="26" customFormat="1" x14ac:dyDescent="0.3">
      <c r="A2459" s="25" t="s">
        <v>9056</v>
      </c>
      <c r="B2459" s="25"/>
      <c r="C2459" s="26" t="s">
        <v>3005</v>
      </c>
      <c r="D2459" s="70"/>
      <c r="G2459" s="70" t="s">
        <v>1850</v>
      </c>
      <c r="H2459" s="26">
        <v>1</v>
      </c>
      <c r="I2459" s="70" t="s">
        <v>9057</v>
      </c>
      <c r="J2459" s="26" t="s">
        <v>5785</v>
      </c>
      <c r="K2459" s="26" t="s">
        <v>5976</v>
      </c>
      <c r="L2459" s="26" t="s">
        <v>11149</v>
      </c>
      <c r="M2459" s="76"/>
      <c r="N2459" s="76"/>
      <c r="O2459" s="76"/>
      <c r="P2459" s="76"/>
      <c r="Q2459" s="76"/>
      <c r="R2459" s="76"/>
      <c r="Z2459" s="70"/>
      <c r="AA2459" s="70"/>
      <c r="AB2459" s="70"/>
      <c r="AC2459" s="70"/>
    </row>
    <row r="2460" spans="1:29" s="26" customFormat="1" x14ac:dyDescent="0.3">
      <c r="A2460" s="25" t="s">
        <v>9058</v>
      </c>
      <c r="B2460" s="25"/>
      <c r="C2460" s="26" t="s">
        <v>3005</v>
      </c>
      <c r="D2460" s="70"/>
      <c r="G2460" s="70" t="s">
        <v>1850</v>
      </c>
      <c r="H2460" s="26">
        <v>1</v>
      </c>
      <c r="I2460" s="70" t="s">
        <v>8968</v>
      </c>
      <c r="J2460" s="26" t="s">
        <v>5080</v>
      </c>
      <c r="K2460" s="26" t="s">
        <v>6333</v>
      </c>
      <c r="L2460" s="26" t="s">
        <v>11150</v>
      </c>
      <c r="M2460" s="76"/>
      <c r="N2460" s="76"/>
      <c r="O2460" s="76"/>
      <c r="P2460" s="76"/>
      <c r="Q2460" s="76"/>
      <c r="R2460" s="76"/>
      <c r="Z2460" s="70"/>
      <c r="AA2460" s="70"/>
      <c r="AB2460" s="70"/>
      <c r="AC2460" s="70"/>
    </row>
    <row r="2461" spans="1:29" s="26" customFormat="1" x14ac:dyDescent="0.3">
      <c r="A2461" s="25" t="s">
        <v>9059</v>
      </c>
      <c r="B2461" s="25"/>
      <c r="C2461" s="26" t="s">
        <v>3005</v>
      </c>
      <c r="D2461" s="70"/>
      <c r="G2461" s="70" t="s">
        <v>1850</v>
      </c>
      <c r="H2461" s="26">
        <v>1</v>
      </c>
      <c r="I2461" s="70" t="s">
        <v>9060</v>
      </c>
      <c r="J2461" s="26" t="s">
        <v>6294</v>
      </c>
      <c r="K2461" s="26" t="s">
        <v>6818</v>
      </c>
      <c r="L2461" s="26" t="s">
        <v>11151</v>
      </c>
      <c r="M2461" s="76"/>
      <c r="N2461" s="76"/>
      <c r="O2461" s="76"/>
      <c r="P2461" s="76"/>
      <c r="Q2461" s="76"/>
      <c r="R2461" s="76"/>
      <c r="Z2461" s="70"/>
      <c r="AA2461" s="70"/>
      <c r="AB2461" s="70"/>
      <c r="AC2461" s="70"/>
    </row>
    <row r="2462" spans="1:29" s="24" customFormat="1" x14ac:dyDescent="0.3">
      <c r="A2462" s="23">
        <v>642</v>
      </c>
      <c r="B2462" s="23">
        <v>638</v>
      </c>
      <c r="C2462" s="24" t="s">
        <v>2165</v>
      </c>
      <c r="D2462" s="69" t="s">
        <v>1836</v>
      </c>
      <c r="E2462" s="24" t="s">
        <v>1835</v>
      </c>
      <c r="F2462" s="24" t="s">
        <v>1851</v>
      </c>
      <c r="G2462" s="69" t="s">
        <v>1852</v>
      </c>
      <c r="I2462" s="69"/>
      <c r="J2462" s="24" t="s">
        <v>9061</v>
      </c>
      <c r="K2462" s="24" t="s">
        <v>68</v>
      </c>
      <c r="L2462" s="24" t="s">
        <v>9924</v>
      </c>
      <c r="M2462" s="75" t="s">
        <v>65</v>
      </c>
      <c r="N2462" s="75" t="s">
        <v>2015</v>
      </c>
      <c r="O2462" s="75"/>
      <c r="P2462" s="75"/>
      <c r="Q2462" s="75"/>
      <c r="R2462" s="75"/>
      <c r="Z2462" s="69"/>
      <c r="AA2462" s="69"/>
      <c r="AB2462" s="69"/>
      <c r="AC2462" s="69"/>
    </row>
    <row r="2463" spans="1:29" s="24" customFormat="1" x14ac:dyDescent="0.3">
      <c r="A2463" s="23">
        <v>643</v>
      </c>
      <c r="B2463" s="23">
        <v>637</v>
      </c>
      <c r="C2463" s="24" t="s">
        <v>2165</v>
      </c>
      <c r="D2463" s="69" t="s">
        <v>1836</v>
      </c>
      <c r="E2463" s="24" t="s">
        <v>1835</v>
      </c>
      <c r="F2463" s="24" t="s">
        <v>1853</v>
      </c>
      <c r="G2463" s="69" t="s">
        <v>1854</v>
      </c>
      <c r="I2463" s="69"/>
      <c r="J2463" s="24" t="s">
        <v>9062</v>
      </c>
      <c r="K2463" s="24" t="s">
        <v>68</v>
      </c>
      <c r="L2463" s="24" t="s">
        <v>9925</v>
      </c>
      <c r="M2463" s="75" t="s">
        <v>65</v>
      </c>
      <c r="N2463" s="75" t="s">
        <v>2022</v>
      </c>
      <c r="O2463" s="75" t="s">
        <v>66</v>
      </c>
      <c r="P2463" s="75" t="s">
        <v>66</v>
      </c>
      <c r="Q2463" s="75" t="s">
        <v>66</v>
      </c>
      <c r="R2463" s="75"/>
      <c r="V2463" s="24" t="s">
        <v>1851</v>
      </c>
      <c r="Z2463" s="69"/>
      <c r="AA2463" s="69"/>
      <c r="AB2463" s="69"/>
      <c r="AC2463" s="69"/>
    </row>
    <row r="2464" spans="1:29" s="24" customFormat="1" x14ac:dyDescent="0.3">
      <c r="A2464" s="23">
        <v>644</v>
      </c>
      <c r="B2464" s="23">
        <v>639</v>
      </c>
      <c r="C2464" s="24" t="s">
        <v>2165</v>
      </c>
      <c r="D2464" s="69" t="s">
        <v>1836</v>
      </c>
      <c r="E2464" s="24" t="s">
        <v>1835</v>
      </c>
      <c r="F2464" s="24" t="s">
        <v>1855</v>
      </c>
      <c r="G2464" s="69" t="s">
        <v>1856</v>
      </c>
      <c r="I2464" s="69"/>
      <c r="J2464" s="24" t="s">
        <v>9063</v>
      </c>
      <c r="K2464" s="24" t="s">
        <v>68</v>
      </c>
      <c r="L2464" s="24" t="s">
        <v>9926</v>
      </c>
      <c r="M2464" s="75" t="s">
        <v>65</v>
      </c>
      <c r="N2464" s="75" t="s">
        <v>2021</v>
      </c>
      <c r="O2464" s="75" t="s">
        <v>66</v>
      </c>
      <c r="P2464" s="75" t="s">
        <v>66</v>
      </c>
      <c r="Q2464" s="75" t="s">
        <v>66</v>
      </c>
      <c r="R2464" s="75"/>
      <c r="Z2464" s="69"/>
      <c r="AA2464" s="69"/>
      <c r="AB2464" s="69"/>
      <c r="AC2464" s="69"/>
    </row>
    <row r="2465" spans="1:31" s="24" customFormat="1" x14ac:dyDescent="0.3">
      <c r="A2465" s="23">
        <v>645</v>
      </c>
      <c r="B2465" s="23">
        <v>640</v>
      </c>
      <c r="C2465" s="24" t="s">
        <v>2165</v>
      </c>
      <c r="D2465" s="69" t="s">
        <v>1836</v>
      </c>
      <c r="E2465" s="24" t="s">
        <v>1835</v>
      </c>
      <c r="F2465" s="24" t="s">
        <v>1857</v>
      </c>
      <c r="G2465" s="69" t="s">
        <v>1858</v>
      </c>
      <c r="I2465" s="69"/>
      <c r="J2465" s="24" t="s">
        <v>6301</v>
      </c>
      <c r="K2465" s="24" t="s">
        <v>68</v>
      </c>
      <c r="L2465" s="24" t="s">
        <v>9927</v>
      </c>
      <c r="M2465" s="75" t="s">
        <v>65</v>
      </c>
      <c r="N2465" s="75" t="s">
        <v>2027</v>
      </c>
      <c r="O2465" s="75" t="s">
        <v>85</v>
      </c>
      <c r="P2465" s="75" t="s">
        <v>85</v>
      </c>
      <c r="Q2465" s="75" t="s">
        <v>85</v>
      </c>
      <c r="R2465" s="75" t="s">
        <v>2166</v>
      </c>
      <c r="Z2465" s="69"/>
      <c r="AA2465" s="69"/>
      <c r="AB2465" s="69"/>
      <c r="AC2465" s="69"/>
    </row>
    <row r="2466" spans="1:31" s="24" customFormat="1" x14ac:dyDescent="0.3">
      <c r="A2466" s="23">
        <v>646</v>
      </c>
      <c r="B2466" s="23">
        <v>641</v>
      </c>
      <c r="C2466" s="24" t="s">
        <v>2165</v>
      </c>
      <c r="D2466" s="69" t="s">
        <v>1836</v>
      </c>
      <c r="E2466" s="24" t="s">
        <v>1835</v>
      </c>
      <c r="F2466" s="24" t="s">
        <v>1859</v>
      </c>
      <c r="G2466" s="69" t="s">
        <v>1860</v>
      </c>
      <c r="H2466" s="24">
        <v>11</v>
      </c>
      <c r="I2466" s="69"/>
      <c r="J2466" s="24" t="s">
        <v>3158</v>
      </c>
      <c r="K2466" s="24" t="s">
        <v>1861</v>
      </c>
      <c r="M2466" s="75" t="s">
        <v>15</v>
      </c>
      <c r="N2466" s="75"/>
      <c r="O2466" s="75"/>
      <c r="P2466" s="75"/>
      <c r="Q2466" s="75"/>
      <c r="R2466" s="75"/>
      <c r="Z2466" s="69"/>
      <c r="AA2466" s="69"/>
      <c r="AB2466" s="69"/>
      <c r="AC2466" s="69"/>
    </row>
    <row r="2467" spans="1:31" s="26" customFormat="1" x14ac:dyDescent="0.3">
      <c r="A2467" s="25" t="s">
        <v>9064</v>
      </c>
      <c r="B2467" s="25"/>
      <c r="C2467" s="26" t="s">
        <v>3005</v>
      </c>
      <c r="D2467" s="70"/>
      <c r="G2467" s="70" t="s">
        <v>1860</v>
      </c>
      <c r="H2467" s="26">
        <v>-1</v>
      </c>
      <c r="I2467" s="70" t="s">
        <v>9065</v>
      </c>
      <c r="J2467" s="26" t="s">
        <v>9066</v>
      </c>
      <c r="K2467" s="26" t="s">
        <v>9067</v>
      </c>
      <c r="L2467" s="26" t="s">
        <v>11152</v>
      </c>
      <c r="M2467" s="76"/>
      <c r="N2467" s="76"/>
      <c r="O2467" s="76"/>
      <c r="P2467" s="76"/>
      <c r="Q2467" s="76"/>
      <c r="R2467" s="76"/>
      <c r="Z2467" s="70"/>
      <c r="AA2467" s="70"/>
      <c r="AB2467" s="70"/>
      <c r="AC2467" s="70"/>
    </row>
    <row r="2468" spans="1:31" s="26" customFormat="1" x14ac:dyDescent="0.3">
      <c r="A2468" s="25" t="s">
        <v>9068</v>
      </c>
      <c r="B2468" s="25"/>
      <c r="C2468" s="26" t="s">
        <v>3005</v>
      </c>
      <c r="D2468" s="70"/>
      <c r="G2468" s="70" t="s">
        <v>1860</v>
      </c>
      <c r="H2468" s="26">
        <v>-1</v>
      </c>
      <c r="I2468" s="70" t="s">
        <v>9069</v>
      </c>
      <c r="J2468" s="26" t="s">
        <v>3158</v>
      </c>
      <c r="K2468" s="26" t="s">
        <v>9070</v>
      </c>
      <c r="L2468" s="26" t="s">
        <v>11153</v>
      </c>
      <c r="M2468" s="76"/>
      <c r="N2468" s="76"/>
      <c r="O2468" s="76"/>
      <c r="P2468" s="76"/>
      <c r="Q2468" s="76"/>
      <c r="R2468" s="76"/>
      <c r="Z2468" s="70"/>
      <c r="AA2468" s="70"/>
      <c r="AB2468" s="70"/>
      <c r="AC2468" s="70"/>
    </row>
    <row r="2469" spans="1:31" s="26" customFormat="1" x14ac:dyDescent="0.3">
      <c r="A2469" s="25" t="s">
        <v>9071</v>
      </c>
      <c r="B2469" s="25"/>
      <c r="C2469" s="26" t="s">
        <v>3005</v>
      </c>
      <c r="D2469" s="70"/>
      <c r="G2469" s="70" t="s">
        <v>1860</v>
      </c>
      <c r="H2469" s="26">
        <v>-1</v>
      </c>
      <c r="I2469" s="70" t="s">
        <v>9072</v>
      </c>
      <c r="J2469" s="26" t="s">
        <v>3443</v>
      </c>
      <c r="K2469" s="26" t="s">
        <v>9073</v>
      </c>
      <c r="L2469" s="26" t="s">
        <v>10474</v>
      </c>
      <c r="M2469" s="76"/>
      <c r="N2469" s="76"/>
      <c r="O2469" s="76"/>
      <c r="P2469" s="76"/>
      <c r="Q2469" s="76"/>
      <c r="R2469" s="76"/>
      <c r="T2469" s="26" t="s">
        <v>2200</v>
      </c>
      <c r="Z2469" s="70"/>
      <c r="AA2469" s="70"/>
      <c r="AB2469" s="70"/>
      <c r="AC2469" s="70"/>
      <c r="AE2469" s="26" t="s">
        <v>9074</v>
      </c>
    </row>
    <row r="2470" spans="1:31" s="26" customFormat="1" x14ac:dyDescent="0.3">
      <c r="A2470" s="25" t="s">
        <v>9075</v>
      </c>
      <c r="B2470" s="25"/>
      <c r="C2470" s="26" t="s">
        <v>3005</v>
      </c>
      <c r="D2470" s="70"/>
      <c r="G2470" s="70" t="s">
        <v>1860</v>
      </c>
      <c r="H2470" s="26">
        <v>-1</v>
      </c>
      <c r="I2470" s="70" t="s">
        <v>9076</v>
      </c>
      <c r="J2470" s="26" t="s">
        <v>8453</v>
      </c>
      <c r="K2470" s="26" t="s">
        <v>9077</v>
      </c>
      <c r="L2470" s="26" t="s">
        <v>11154</v>
      </c>
      <c r="M2470" s="76"/>
      <c r="N2470" s="76"/>
      <c r="O2470" s="76"/>
      <c r="P2470" s="76"/>
      <c r="Q2470" s="76"/>
      <c r="R2470" s="76"/>
      <c r="Z2470" s="70"/>
      <c r="AA2470" s="70"/>
      <c r="AB2470" s="70"/>
      <c r="AC2470" s="70"/>
    </row>
    <row r="2471" spans="1:31" s="26" customFormat="1" x14ac:dyDescent="0.3">
      <c r="A2471" s="25" t="s">
        <v>9078</v>
      </c>
      <c r="B2471" s="25"/>
      <c r="C2471" s="26" t="s">
        <v>3005</v>
      </c>
      <c r="D2471" s="70"/>
      <c r="G2471" s="70" t="s">
        <v>1860</v>
      </c>
      <c r="H2471" s="26">
        <v>-1</v>
      </c>
      <c r="I2471" s="70" t="s">
        <v>9079</v>
      </c>
      <c r="J2471" s="26" t="s">
        <v>8453</v>
      </c>
      <c r="K2471" s="26" t="s">
        <v>9080</v>
      </c>
      <c r="L2471" s="26" t="s">
        <v>11155</v>
      </c>
      <c r="M2471" s="76"/>
      <c r="N2471" s="76"/>
      <c r="O2471" s="76"/>
      <c r="P2471" s="76"/>
      <c r="Q2471" s="76"/>
      <c r="R2471" s="76"/>
      <c r="Z2471" s="70"/>
      <c r="AA2471" s="70"/>
      <c r="AB2471" s="70"/>
      <c r="AC2471" s="70"/>
    </row>
    <row r="2472" spans="1:31" s="26" customFormat="1" x14ac:dyDescent="0.3">
      <c r="A2472" s="25" t="s">
        <v>9081</v>
      </c>
      <c r="B2472" s="25"/>
      <c r="C2472" s="26" t="s">
        <v>3005</v>
      </c>
      <c r="D2472" s="70"/>
      <c r="G2472" s="70" t="s">
        <v>1860</v>
      </c>
      <c r="H2472" s="26">
        <v>-1</v>
      </c>
      <c r="I2472" s="70" t="s">
        <v>9082</v>
      </c>
      <c r="J2472" s="26" t="s">
        <v>6155</v>
      </c>
      <c r="K2472" s="26" t="s">
        <v>9083</v>
      </c>
      <c r="L2472" s="26" t="s">
        <v>11156</v>
      </c>
      <c r="M2472" s="76"/>
      <c r="N2472" s="76"/>
      <c r="O2472" s="76"/>
      <c r="P2472" s="76"/>
      <c r="Q2472" s="76"/>
      <c r="R2472" s="76"/>
      <c r="Z2472" s="70"/>
      <c r="AA2472" s="70"/>
      <c r="AB2472" s="70"/>
      <c r="AC2472" s="70"/>
    </row>
    <row r="2473" spans="1:31" s="26" customFormat="1" x14ac:dyDescent="0.3">
      <c r="A2473" s="25" t="s">
        <v>9084</v>
      </c>
      <c r="B2473" s="25"/>
      <c r="C2473" s="26" t="s">
        <v>3005</v>
      </c>
      <c r="D2473" s="70"/>
      <c r="G2473" s="70" t="s">
        <v>1860</v>
      </c>
      <c r="H2473" s="26">
        <v>2</v>
      </c>
      <c r="I2473" s="70" t="s">
        <v>9085</v>
      </c>
      <c r="J2473" s="26" t="s">
        <v>5181</v>
      </c>
      <c r="K2473" s="26" t="s">
        <v>5976</v>
      </c>
      <c r="L2473" s="26" t="s">
        <v>11157</v>
      </c>
      <c r="M2473" s="76"/>
      <c r="N2473" s="76"/>
      <c r="O2473" s="76"/>
      <c r="P2473" s="76"/>
      <c r="Q2473" s="76"/>
      <c r="R2473" s="76"/>
      <c r="Z2473" s="70"/>
      <c r="AA2473" s="70"/>
      <c r="AB2473" s="70"/>
      <c r="AC2473" s="70"/>
    </row>
    <row r="2474" spans="1:31" s="26" customFormat="1" x14ac:dyDescent="0.3">
      <c r="A2474" s="25" t="s">
        <v>9086</v>
      </c>
      <c r="B2474" s="25"/>
      <c r="C2474" s="26" t="s">
        <v>3005</v>
      </c>
      <c r="D2474" s="70"/>
      <c r="G2474" s="70" t="s">
        <v>1860</v>
      </c>
      <c r="H2474" s="26">
        <v>3</v>
      </c>
      <c r="I2474" s="70" t="s">
        <v>9087</v>
      </c>
      <c r="J2474" s="26" t="s">
        <v>5274</v>
      </c>
      <c r="K2474" s="26" t="s">
        <v>9088</v>
      </c>
      <c r="L2474" s="26" t="s">
        <v>11158</v>
      </c>
      <c r="M2474" s="76"/>
      <c r="N2474" s="76"/>
      <c r="O2474" s="76"/>
      <c r="P2474" s="76"/>
      <c r="Q2474" s="76"/>
      <c r="R2474" s="76"/>
      <c r="Z2474" s="70"/>
      <c r="AA2474" s="70"/>
      <c r="AB2474" s="70"/>
      <c r="AC2474" s="70"/>
    </row>
    <row r="2475" spans="1:31" s="26" customFormat="1" x14ac:dyDescent="0.3">
      <c r="A2475" s="25" t="s">
        <v>9089</v>
      </c>
      <c r="B2475" s="25"/>
      <c r="C2475" s="26" t="s">
        <v>3005</v>
      </c>
      <c r="D2475" s="70"/>
      <c r="G2475" s="70" t="s">
        <v>1860</v>
      </c>
      <c r="H2475" s="26">
        <v>3</v>
      </c>
      <c r="I2475" s="70" t="s">
        <v>9090</v>
      </c>
      <c r="J2475" s="26" t="s">
        <v>9091</v>
      </c>
      <c r="K2475" s="26" t="s">
        <v>9092</v>
      </c>
      <c r="L2475" s="26" t="s">
        <v>11159</v>
      </c>
      <c r="M2475" s="76"/>
      <c r="N2475" s="76"/>
      <c r="O2475" s="76"/>
      <c r="P2475" s="76"/>
      <c r="Q2475" s="76"/>
      <c r="R2475" s="76"/>
      <c r="Z2475" s="70"/>
      <c r="AA2475" s="70"/>
      <c r="AB2475" s="70"/>
      <c r="AC2475" s="70"/>
    </row>
    <row r="2476" spans="1:31" s="26" customFormat="1" x14ac:dyDescent="0.3">
      <c r="A2476" s="25" t="s">
        <v>9093</v>
      </c>
      <c r="B2476" s="25"/>
      <c r="C2476" s="26" t="s">
        <v>3005</v>
      </c>
      <c r="D2476" s="70"/>
      <c r="G2476" s="70" t="s">
        <v>1860</v>
      </c>
      <c r="H2476" s="26">
        <v>3</v>
      </c>
      <c r="I2476" s="70" t="s">
        <v>9094</v>
      </c>
      <c r="J2476" s="26" t="s">
        <v>5274</v>
      </c>
      <c r="K2476" s="26" t="s">
        <v>9095</v>
      </c>
      <c r="L2476" s="26" t="s">
        <v>11160</v>
      </c>
      <c r="M2476" s="76"/>
      <c r="N2476" s="76"/>
      <c r="O2476" s="76"/>
      <c r="P2476" s="76"/>
      <c r="Q2476" s="76"/>
      <c r="R2476" s="76"/>
      <c r="Z2476" s="70"/>
      <c r="AA2476" s="70"/>
      <c r="AB2476" s="70"/>
      <c r="AC2476" s="70"/>
    </row>
    <row r="2477" spans="1:31" s="26" customFormat="1" x14ac:dyDescent="0.3">
      <c r="A2477" s="25" t="s">
        <v>9096</v>
      </c>
      <c r="B2477" s="25"/>
      <c r="C2477" s="26" t="s">
        <v>3005</v>
      </c>
      <c r="D2477" s="70"/>
      <c r="G2477" s="70" t="s">
        <v>1860</v>
      </c>
      <c r="H2477" s="26">
        <v>2</v>
      </c>
      <c r="I2477" s="70" t="s">
        <v>9097</v>
      </c>
      <c r="J2477" s="26" t="s">
        <v>9062</v>
      </c>
      <c r="K2477" s="26" t="s">
        <v>6818</v>
      </c>
      <c r="L2477" s="26" t="s">
        <v>11161</v>
      </c>
      <c r="M2477" s="76"/>
      <c r="N2477" s="76"/>
      <c r="O2477" s="76"/>
      <c r="P2477" s="76"/>
      <c r="Q2477" s="76"/>
      <c r="R2477" s="76"/>
      <c r="Z2477" s="70"/>
      <c r="AA2477" s="70"/>
      <c r="AB2477" s="70"/>
      <c r="AC2477" s="70"/>
    </row>
    <row r="2478" spans="1:31" s="26" customFormat="1" x14ac:dyDescent="0.3">
      <c r="A2478" s="25" t="s">
        <v>9098</v>
      </c>
      <c r="B2478" s="25"/>
      <c r="C2478" s="26" t="s">
        <v>3005</v>
      </c>
      <c r="D2478" s="70"/>
      <c r="G2478" s="70" t="s">
        <v>1860</v>
      </c>
      <c r="H2478" s="26">
        <v>3</v>
      </c>
      <c r="I2478" s="70" t="s">
        <v>9099</v>
      </c>
      <c r="J2478" s="26" t="s">
        <v>5942</v>
      </c>
      <c r="K2478" s="26" t="s">
        <v>9100</v>
      </c>
      <c r="L2478" s="26" t="s">
        <v>11162</v>
      </c>
      <c r="M2478" s="76"/>
      <c r="N2478" s="76"/>
      <c r="O2478" s="76"/>
      <c r="P2478" s="76"/>
      <c r="Q2478" s="76"/>
      <c r="R2478" s="76"/>
      <c r="Z2478" s="70"/>
      <c r="AA2478" s="70"/>
      <c r="AB2478" s="70"/>
      <c r="AC2478" s="70"/>
    </row>
    <row r="2479" spans="1:31" s="26" customFormat="1" x14ac:dyDescent="0.3">
      <c r="A2479" s="25" t="s">
        <v>9101</v>
      </c>
      <c r="B2479" s="25"/>
      <c r="C2479" s="26" t="s">
        <v>3005</v>
      </c>
      <c r="D2479" s="70"/>
      <c r="G2479" s="70" t="s">
        <v>1860</v>
      </c>
      <c r="H2479" s="26">
        <v>3</v>
      </c>
      <c r="I2479" s="70" t="s">
        <v>9102</v>
      </c>
      <c r="J2479" s="26" t="s">
        <v>5274</v>
      </c>
      <c r="K2479" s="26" t="s">
        <v>6313</v>
      </c>
      <c r="L2479" s="26" t="s">
        <v>11163</v>
      </c>
      <c r="M2479" s="76"/>
      <c r="N2479" s="76"/>
      <c r="O2479" s="76"/>
      <c r="P2479" s="76"/>
      <c r="Q2479" s="76"/>
      <c r="R2479" s="76"/>
      <c r="Z2479" s="70"/>
      <c r="AA2479" s="70"/>
      <c r="AB2479" s="70"/>
      <c r="AC2479" s="70"/>
    </row>
    <row r="2480" spans="1:31" s="26" customFormat="1" x14ac:dyDescent="0.3">
      <c r="A2480" s="25" t="s">
        <v>9103</v>
      </c>
      <c r="B2480" s="25"/>
      <c r="C2480" s="26" t="s">
        <v>3005</v>
      </c>
      <c r="D2480" s="70"/>
      <c r="G2480" s="70" t="s">
        <v>1860</v>
      </c>
      <c r="H2480" s="26">
        <v>2</v>
      </c>
      <c r="I2480" s="70" t="s">
        <v>9104</v>
      </c>
      <c r="J2480" s="26" t="s">
        <v>3137</v>
      </c>
      <c r="K2480" s="26" t="s">
        <v>8196</v>
      </c>
      <c r="L2480" s="26" t="s">
        <v>11164</v>
      </c>
      <c r="M2480" s="76"/>
      <c r="N2480" s="76"/>
      <c r="O2480" s="76"/>
      <c r="P2480" s="76"/>
      <c r="Q2480" s="76"/>
      <c r="R2480" s="76"/>
      <c r="Z2480" s="70"/>
      <c r="AA2480" s="70"/>
      <c r="AB2480" s="70"/>
      <c r="AC2480" s="70"/>
    </row>
    <row r="2481" spans="1:29" s="26" customFormat="1" x14ac:dyDescent="0.3">
      <c r="A2481" s="25" t="s">
        <v>9105</v>
      </c>
      <c r="B2481" s="25"/>
      <c r="C2481" s="26" t="s">
        <v>3005</v>
      </c>
      <c r="D2481" s="70"/>
      <c r="G2481" s="70" t="s">
        <v>1860</v>
      </c>
      <c r="H2481" s="26">
        <v>4</v>
      </c>
      <c r="I2481" s="70" t="s">
        <v>9106</v>
      </c>
      <c r="J2481" s="26" t="s">
        <v>7233</v>
      </c>
      <c r="K2481" s="26" t="s">
        <v>9107</v>
      </c>
      <c r="L2481" s="26" t="s">
        <v>10743</v>
      </c>
      <c r="M2481" s="76"/>
      <c r="N2481" s="76"/>
      <c r="O2481" s="76"/>
      <c r="P2481" s="76"/>
      <c r="Q2481" s="76"/>
      <c r="R2481" s="76"/>
      <c r="Z2481" s="70"/>
      <c r="AA2481" s="70"/>
      <c r="AB2481" s="70"/>
      <c r="AC2481" s="70"/>
    </row>
    <row r="2482" spans="1:29" s="26" customFormat="1" x14ac:dyDescent="0.3">
      <c r="A2482" s="25" t="s">
        <v>9108</v>
      </c>
      <c r="B2482" s="25"/>
      <c r="C2482" s="26" t="s">
        <v>3005</v>
      </c>
      <c r="D2482" s="70"/>
      <c r="G2482" s="70" t="s">
        <v>1860</v>
      </c>
      <c r="H2482" s="26">
        <v>3</v>
      </c>
      <c r="I2482" s="70" t="s">
        <v>9109</v>
      </c>
      <c r="J2482" s="26" t="s">
        <v>5274</v>
      </c>
      <c r="K2482" s="26" t="s">
        <v>9110</v>
      </c>
      <c r="L2482" s="26" t="s">
        <v>11165</v>
      </c>
      <c r="M2482" s="76"/>
      <c r="N2482" s="76"/>
      <c r="O2482" s="76"/>
      <c r="P2482" s="76"/>
      <c r="Q2482" s="76"/>
      <c r="R2482" s="76"/>
      <c r="Z2482" s="70"/>
      <c r="AA2482" s="70"/>
      <c r="AB2482" s="70"/>
      <c r="AC2482" s="70"/>
    </row>
    <row r="2483" spans="1:29" s="26" customFormat="1" x14ac:dyDescent="0.3">
      <c r="A2483" s="25" t="s">
        <v>9111</v>
      </c>
      <c r="B2483" s="25"/>
      <c r="C2483" s="26" t="s">
        <v>3005</v>
      </c>
      <c r="D2483" s="70"/>
      <c r="G2483" s="70" t="s">
        <v>1860</v>
      </c>
      <c r="H2483" s="26">
        <v>3</v>
      </c>
      <c r="I2483" s="70" t="s">
        <v>9112</v>
      </c>
      <c r="J2483" s="26" t="s">
        <v>6505</v>
      </c>
      <c r="K2483" s="26" t="s">
        <v>7329</v>
      </c>
      <c r="L2483" s="26" t="s">
        <v>11166</v>
      </c>
      <c r="M2483" s="76"/>
      <c r="N2483" s="76"/>
      <c r="O2483" s="76"/>
      <c r="P2483" s="76"/>
      <c r="Q2483" s="76"/>
      <c r="R2483" s="76"/>
      <c r="Z2483" s="70"/>
      <c r="AA2483" s="70"/>
      <c r="AB2483" s="70"/>
      <c r="AC2483" s="70"/>
    </row>
    <row r="2484" spans="1:29" s="24" customFormat="1" x14ac:dyDescent="0.3">
      <c r="A2484" s="23">
        <v>647</v>
      </c>
      <c r="B2484" s="23">
        <v>642</v>
      </c>
      <c r="C2484" s="24" t="s">
        <v>2165</v>
      </c>
      <c r="D2484" s="69" t="s">
        <v>1836</v>
      </c>
      <c r="E2484" s="24" t="s">
        <v>1835</v>
      </c>
      <c r="F2484" s="24" t="s">
        <v>1862</v>
      </c>
      <c r="G2484" s="69" t="s">
        <v>1863</v>
      </c>
      <c r="H2484" s="24">
        <v>5</v>
      </c>
      <c r="I2484" s="69"/>
      <c r="J2484" s="24" t="s">
        <v>9062</v>
      </c>
      <c r="K2484" s="24" t="s">
        <v>68</v>
      </c>
      <c r="M2484" s="75" t="s">
        <v>65</v>
      </c>
      <c r="N2484" s="75" t="s">
        <v>2015</v>
      </c>
      <c r="O2484" s="75"/>
      <c r="P2484" s="75"/>
      <c r="Q2484" s="75"/>
      <c r="R2484" s="75"/>
      <c r="W2484" s="24" t="s">
        <v>2966</v>
      </c>
      <c r="Z2484" s="69"/>
      <c r="AA2484" s="69"/>
      <c r="AB2484" s="69"/>
      <c r="AC2484" s="69"/>
    </row>
    <row r="2485" spans="1:29" s="26" customFormat="1" x14ac:dyDescent="0.3">
      <c r="A2485" s="25" t="s">
        <v>9113</v>
      </c>
      <c r="B2485" s="25"/>
      <c r="C2485" s="26" t="s">
        <v>3005</v>
      </c>
      <c r="D2485" s="70"/>
      <c r="G2485" s="70" t="s">
        <v>1863</v>
      </c>
      <c r="H2485" s="26">
        <v>1</v>
      </c>
      <c r="I2485" s="70" t="s">
        <v>9114</v>
      </c>
      <c r="J2485" s="26" t="s">
        <v>7466</v>
      </c>
      <c r="K2485" s="26" t="s">
        <v>5896</v>
      </c>
      <c r="L2485" s="26" t="s">
        <v>11167</v>
      </c>
      <c r="M2485" s="76"/>
      <c r="N2485" s="76"/>
      <c r="O2485" s="76"/>
      <c r="P2485" s="76"/>
      <c r="Q2485" s="76"/>
      <c r="R2485" s="76"/>
      <c r="Z2485" s="70"/>
      <c r="AA2485" s="70"/>
      <c r="AB2485" s="70"/>
      <c r="AC2485" s="70"/>
    </row>
    <row r="2486" spans="1:29" s="26" customFormat="1" x14ac:dyDescent="0.3">
      <c r="A2486" s="25" t="s">
        <v>9115</v>
      </c>
      <c r="B2486" s="25"/>
      <c r="C2486" s="26" t="s">
        <v>3005</v>
      </c>
      <c r="D2486" s="70"/>
      <c r="G2486" s="70" t="s">
        <v>1863</v>
      </c>
      <c r="H2486" s="26">
        <v>1</v>
      </c>
      <c r="I2486" s="70" t="s">
        <v>9116</v>
      </c>
      <c r="J2486" s="26" t="s">
        <v>6963</v>
      </c>
      <c r="K2486" s="26" t="s">
        <v>9117</v>
      </c>
      <c r="L2486" s="26" t="s">
        <v>11168</v>
      </c>
      <c r="M2486" s="76"/>
      <c r="N2486" s="76"/>
      <c r="O2486" s="76"/>
      <c r="P2486" s="76"/>
      <c r="Q2486" s="76"/>
      <c r="R2486" s="76"/>
      <c r="Z2486" s="70"/>
      <c r="AA2486" s="70"/>
      <c r="AB2486" s="70"/>
      <c r="AC2486" s="70"/>
    </row>
    <row r="2487" spans="1:29" s="26" customFormat="1" x14ac:dyDescent="0.3">
      <c r="A2487" s="25" t="s">
        <v>9118</v>
      </c>
      <c r="B2487" s="25"/>
      <c r="C2487" s="26" t="s">
        <v>3005</v>
      </c>
      <c r="D2487" s="70"/>
      <c r="G2487" s="70" t="s">
        <v>1863</v>
      </c>
      <c r="H2487" s="26">
        <v>1</v>
      </c>
      <c r="I2487" s="70" t="s">
        <v>9119</v>
      </c>
      <c r="J2487" s="26" t="s">
        <v>9120</v>
      </c>
      <c r="K2487" s="26" t="s">
        <v>6333</v>
      </c>
      <c r="L2487" s="26" t="s">
        <v>11169</v>
      </c>
      <c r="M2487" s="76"/>
      <c r="N2487" s="76"/>
      <c r="O2487" s="76"/>
      <c r="P2487" s="76"/>
      <c r="Q2487" s="76"/>
      <c r="R2487" s="76"/>
      <c r="Z2487" s="70"/>
      <c r="AA2487" s="70"/>
      <c r="AB2487" s="70"/>
      <c r="AC2487" s="70"/>
    </row>
    <row r="2488" spans="1:29" s="26" customFormat="1" x14ac:dyDescent="0.3">
      <c r="A2488" s="25" t="s">
        <v>9121</v>
      </c>
      <c r="B2488" s="25"/>
      <c r="C2488" s="26" t="s">
        <v>3005</v>
      </c>
      <c r="D2488" s="70"/>
      <c r="G2488" s="70" t="s">
        <v>1863</v>
      </c>
      <c r="H2488" s="26">
        <v>1</v>
      </c>
      <c r="I2488" s="70" t="s">
        <v>6853</v>
      </c>
      <c r="J2488" s="26" t="s">
        <v>5181</v>
      </c>
      <c r="K2488" s="26" t="s">
        <v>9122</v>
      </c>
      <c r="L2488" s="26" t="s">
        <v>11170</v>
      </c>
      <c r="M2488" s="76"/>
      <c r="N2488" s="76"/>
      <c r="O2488" s="76"/>
      <c r="P2488" s="76"/>
      <c r="Q2488" s="76"/>
      <c r="R2488" s="76"/>
      <c r="Z2488" s="70"/>
      <c r="AA2488" s="70"/>
      <c r="AB2488" s="70"/>
      <c r="AC2488" s="70"/>
    </row>
    <row r="2489" spans="1:29" s="26" customFormat="1" x14ac:dyDescent="0.3">
      <c r="A2489" s="25" t="s">
        <v>9123</v>
      </c>
      <c r="B2489" s="25"/>
      <c r="C2489" s="26" t="s">
        <v>3005</v>
      </c>
      <c r="D2489" s="70"/>
      <c r="G2489" s="70" t="s">
        <v>1863</v>
      </c>
      <c r="H2489" s="26">
        <v>1</v>
      </c>
      <c r="I2489" s="70" t="s">
        <v>9124</v>
      </c>
      <c r="J2489" s="26" t="s">
        <v>9062</v>
      </c>
      <c r="K2489" s="26" t="s">
        <v>6043</v>
      </c>
      <c r="L2489" s="26" t="s">
        <v>11171</v>
      </c>
      <c r="M2489" s="76"/>
      <c r="N2489" s="76"/>
      <c r="O2489" s="76"/>
      <c r="P2489" s="76"/>
      <c r="Q2489" s="76"/>
      <c r="R2489" s="76"/>
      <c r="Z2489" s="70"/>
      <c r="AA2489" s="70"/>
      <c r="AB2489" s="70"/>
      <c r="AC2489" s="70"/>
    </row>
    <row r="2490" spans="1:29" s="24" customFormat="1" x14ac:dyDescent="0.3">
      <c r="A2490" s="23">
        <v>648</v>
      </c>
      <c r="B2490" s="23">
        <v>643</v>
      </c>
      <c r="C2490" s="24" t="s">
        <v>2165</v>
      </c>
      <c r="D2490" s="69" t="s">
        <v>1836</v>
      </c>
      <c r="E2490" s="24" t="s">
        <v>1835</v>
      </c>
      <c r="F2490" s="24" t="s">
        <v>1864</v>
      </c>
      <c r="G2490" s="69" t="s">
        <v>1865</v>
      </c>
      <c r="H2490" s="24">
        <v>5</v>
      </c>
      <c r="I2490" s="69"/>
      <c r="J2490" s="24" t="s">
        <v>9125</v>
      </c>
      <c r="K2490" s="24" t="s">
        <v>68</v>
      </c>
      <c r="M2490" s="75" t="s">
        <v>65</v>
      </c>
      <c r="N2490" s="75" t="s">
        <v>2015</v>
      </c>
      <c r="O2490" s="75"/>
      <c r="P2490" s="75"/>
      <c r="Q2490" s="75"/>
      <c r="R2490" s="75"/>
      <c r="Z2490" s="69"/>
      <c r="AA2490" s="69"/>
      <c r="AB2490" s="69"/>
      <c r="AC2490" s="69"/>
    </row>
    <row r="2491" spans="1:29" s="26" customFormat="1" x14ac:dyDescent="0.3">
      <c r="A2491" s="25" t="s">
        <v>9126</v>
      </c>
      <c r="B2491" s="25"/>
      <c r="C2491" s="26" t="s">
        <v>3005</v>
      </c>
      <c r="D2491" s="70"/>
      <c r="G2491" s="70" t="s">
        <v>1865</v>
      </c>
      <c r="H2491" s="26">
        <v>1</v>
      </c>
      <c r="I2491" s="70" t="s">
        <v>9127</v>
      </c>
      <c r="J2491" s="26" t="s">
        <v>9128</v>
      </c>
      <c r="K2491" s="26" t="s">
        <v>6815</v>
      </c>
      <c r="L2491" s="26" t="s">
        <v>11172</v>
      </c>
      <c r="M2491" s="76"/>
      <c r="N2491" s="76"/>
      <c r="O2491" s="76"/>
      <c r="P2491" s="76"/>
      <c r="Q2491" s="76"/>
      <c r="R2491" s="76"/>
      <c r="Z2491" s="70"/>
      <c r="AA2491" s="70"/>
      <c r="AB2491" s="70"/>
      <c r="AC2491" s="70"/>
    </row>
    <row r="2492" spans="1:29" s="26" customFormat="1" x14ac:dyDescent="0.3">
      <c r="A2492" s="25" t="s">
        <v>9129</v>
      </c>
      <c r="B2492" s="25"/>
      <c r="C2492" s="26" t="s">
        <v>3005</v>
      </c>
      <c r="D2492" s="70"/>
      <c r="G2492" s="70" t="s">
        <v>1865</v>
      </c>
      <c r="H2492" s="26">
        <v>1</v>
      </c>
      <c r="I2492" s="70" t="s">
        <v>9130</v>
      </c>
      <c r="J2492" s="26" t="s">
        <v>8083</v>
      </c>
      <c r="K2492" s="26" t="s">
        <v>9131</v>
      </c>
      <c r="L2492" s="26" t="s">
        <v>11173</v>
      </c>
      <c r="M2492" s="76"/>
      <c r="N2492" s="76"/>
      <c r="O2492" s="76"/>
      <c r="P2492" s="76"/>
      <c r="Q2492" s="76"/>
      <c r="R2492" s="76"/>
      <c r="Z2492" s="70"/>
      <c r="AA2492" s="70"/>
      <c r="AB2492" s="70"/>
      <c r="AC2492" s="70"/>
    </row>
    <row r="2493" spans="1:29" s="26" customFormat="1" x14ac:dyDescent="0.3">
      <c r="A2493" s="25" t="s">
        <v>9132</v>
      </c>
      <c r="B2493" s="25"/>
      <c r="C2493" s="26" t="s">
        <v>3005</v>
      </c>
      <c r="D2493" s="70"/>
      <c r="G2493" s="70" t="s">
        <v>1865</v>
      </c>
      <c r="H2493" s="26">
        <v>1</v>
      </c>
      <c r="I2493" s="70" t="s">
        <v>9133</v>
      </c>
      <c r="J2493" s="26" t="s">
        <v>5058</v>
      </c>
      <c r="K2493" s="26" t="s">
        <v>7322</v>
      </c>
      <c r="L2493" s="26" t="s">
        <v>11174</v>
      </c>
      <c r="M2493" s="76"/>
      <c r="N2493" s="76"/>
      <c r="O2493" s="76"/>
      <c r="P2493" s="76"/>
      <c r="Q2493" s="76"/>
      <c r="R2493" s="76"/>
      <c r="Z2493" s="70"/>
      <c r="AA2493" s="70"/>
      <c r="AB2493" s="70"/>
      <c r="AC2493" s="70"/>
    </row>
    <row r="2494" spans="1:29" s="26" customFormat="1" x14ac:dyDescent="0.3">
      <c r="A2494" s="25" t="s">
        <v>9134</v>
      </c>
      <c r="B2494" s="25"/>
      <c r="C2494" s="26" t="s">
        <v>3005</v>
      </c>
      <c r="D2494" s="70"/>
      <c r="G2494" s="70" t="s">
        <v>1865</v>
      </c>
      <c r="H2494" s="26">
        <v>1</v>
      </c>
      <c r="I2494" s="70" t="s">
        <v>9135</v>
      </c>
      <c r="J2494" s="26" t="s">
        <v>9125</v>
      </c>
      <c r="K2494" s="26" t="s">
        <v>3908</v>
      </c>
      <c r="L2494" s="26" t="s">
        <v>11175</v>
      </c>
      <c r="M2494" s="76"/>
      <c r="N2494" s="76"/>
      <c r="O2494" s="76"/>
      <c r="P2494" s="76"/>
      <c r="Q2494" s="76"/>
      <c r="R2494" s="76"/>
      <c r="Z2494" s="70"/>
      <c r="AA2494" s="70"/>
      <c r="AB2494" s="70"/>
      <c r="AC2494" s="70"/>
    </row>
    <row r="2495" spans="1:29" s="26" customFormat="1" x14ac:dyDescent="0.3">
      <c r="A2495" s="25" t="s">
        <v>9136</v>
      </c>
      <c r="B2495" s="25"/>
      <c r="C2495" s="26" t="s">
        <v>3005</v>
      </c>
      <c r="D2495" s="70"/>
      <c r="G2495" s="70" t="s">
        <v>1865</v>
      </c>
      <c r="H2495" s="26">
        <v>1</v>
      </c>
      <c r="I2495" s="70" t="s">
        <v>9137</v>
      </c>
      <c r="J2495" s="26" t="s">
        <v>4248</v>
      </c>
      <c r="K2495" s="26" t="s">
        <v>5290</v>
      </c>
      <c r="L2495" s="26" t="s">
        <v>10907</v>
      </c>
      <c r="M2495" s="76"/>
      <c r="N2495" s="76"/>
      <c r="O2495" s="76"/>
      <c r="P2495" s="76"/>
      <c r="Q2495" s="76"/>
      <c r="R2495" s="76"/>
      <c r="Z2495" s="70"/>
      <c r="AA2495" s="70"/>
      <c r="AB2495" s="70"/>
      <c r="AC2495" s="70"/>
    </row>
    <row r="2496" spans="1:29" s="24" customFormat="1" x14ac:dyDescent="0.3">
      <c r="A2496" s="23">
        <v>649</v>
      </c>
      <c r="B2496" s="23">
        <v>644</v>
      </c>
      <c r="C2496" s="24" t="s">
        <v>2165</v>
      </c>
      <c r="D2496" s="69" t="s">
        <v>1836</v>
      </c>
      <c r="E2496" s="24" t="s">
        <v>1835</v>
      </c>
      <c r="F2496" s="24" t="s">
        <v>1866</v>
      </c>
      <c r="G2496" s="69" t="s">
        <v>1867</v>
      </c>
      <c r="H2496" s="24">
        <v>3</v>
      </c>
      <c r="I2496" s="69"/>
      <c r="J2496" s="24" t="s">
        <v>3161</v>
      </c>
      <c r="K2496" s="24" t="s">
        <v>1868</v>
      </c>
      <c r="M2496" s="75" t="s">
        <v>15</v>
      </c>
      <c r="N2496" s="75"/>
      <c r="O2496" s="75"/>
      <c r="P2496" s="75"/>
      <c r="Q2496" s="75"/>
      <c r="R2496" s="75"/>
      <c r="Y2496" s="24" t="s">
        <v>2967</v>
      </c>
      <c r="Z2496" s="69"/>
      <c r="AA2496" s="69"/>
      <c r="AB2496" s="69" t="s">
        <v>2968</v>
      </c>
      <c r="AC2496" s="69"/>
    </row>
    <row r="2497" spans="1:31" s="26" customFormat="1" x14ac:dyDescent="0.3">
      <c r="A2497" s="25" t="s">
        <v>9138</v>
      </c>
      <c r="B2497" s="25"/>
      <c r="C2497" s="26" t="s">
        <v>3005</v>
      </c>
      <c r="D2497" s="70"/>
      <c r="G2497" s="70" t="s">
        <v>1867</v>
      </c>
      <c r="H2497" s="26">
        <v>-1</v>
      </c>
      <c r="I2497" s="70" t="s">
        <v>9139</v>
      </c>
      <c r="J2497" s="26" t="s">
        <v>3161</v>
      </c>
      <c r="K2497" s="26" t="s">
        <v>9140</v>
      </c>
      <c r="L2497" s="26" t="s">
        <v>11176</v>
      </c>
      <c r="M2497" s="76"/>
      <c r="N2497" s="76"/>
      <c r="O2497" s="76"/>
      <c r="P2497" s="76"/>
      <c r="Q2497" s="76"/>
      <c r="R2497" s="76"/>
      <c r="Z2497" s="70"/>
      <c r="AA2497" s="70"/>
      <c r="AB2497" s="70"/>
      <c r="AC2497" s="70"/>
    </row>
    <row r="2498" spans="1:31" s="26" customFormat="1" x14ac:dyDescent="0.3">
      <c r="A2498" s="25" t="s">
        <v>9141</v>
      </c>
      <c r="B2498" s="25"/>
      <c r="C2498" s="26" t="s">
        <v>3005</v>
      </c>
      <c r="D2498" s="70"/>
      <c r="G2498" s="70" t="s">
        <v>1867</v>
      </c>
      <c r="H2498" s="26">
        <v>-1</v>
      </c>
      <c r="I2498" s="70" t="s">
        <v>9142</v>
      </c>
      <c r="J2498" s="26" t="s">
        <v>9143</v>
      </c>
      <c r="K2498" s="26" t="s">
        <v>9144</v>
      </c>
      <c r="M2498" s="76"/>
      <c r="N2498" s="76"/>
      <c r="O2498" s="76"/>
      <c r="P2498" s="76"/>
      <c r="Q2498" s="76"/>
      <c r="R2498" s="76"/>
      <c r="Z2498" s="70"/>
      <c r="AA2498" s="70"/>
      <c r="AB2498" s="70"/>
      <c r="AC2498" s="70"/>
    </row>
    <row r="2499" spans="1:31" s="26" customFormat="1" x14ac:dyDescent="0.3">
      <c r="A2499" s="25" t="s">
        <v>9145</v>
      </c>
      <c r="B2499" s="25"/>
      <c r="C2499" s="26" t="s">
        <v>3005</v>
      </c>
      <c r="D2499" s="70"/>
      <c r="G2499" s="70" t="s">
        <v>1867</v>
      </c>
      <c r="H2499" s="26">
        <v>-1</v>
      </c>
      <c r="I2499" s="70" t="s">
        <v>9146</v>
      </c>
      <c r="J2499" s="26" t="s">
        <v>9147</v>
      </c>
      <c r="K2499" s="26" t="s">
        <v>8321</v>
      </c>
      <c r="L2499" s="26" t="s">
        <v>11177</v>
      </c>
      <c r="M2499" s="76"/>
      <c r="N2499" s="76"/>
      <c r="O2499" s="76"/>
      <c r="P2499" s="76"/>
      <c r="Q2499" s="76"/>
      <c r="R2499" s="76"/>
      <c r="Z2499" s="70"/>
      <c r="AA2499" s="70"/>
      <c r="AB2499" s="70"/>
      <c r="AC2499" s="70"/>
    </row>
    <row r="2500" spans="1:31" s="26" customFormat="1" x14ac:dyDescent="0.3">
      <c r="A2500" s="25" t="s">
        <v>9148</v>
      </c>
      <c r="B2500" s="25"/>
      <c r="C2500" s="26" t="s">
        <v>3005</v>
      </c>
      <c r="D2500" s="70"/>
      <c r="G2500" s="70" t="s">
        <v>1867</v>
      </c>
      <c r="H2500" s="26">
        <v>-1</v>
      </c>
      <c r="I2500" s="70" t="s">
        <v>9149</v>
      </c>
      <c r="J2500" s="26" t="s">
        <v>8527</v>
      </c>
      <c r="K2500" s="26" t="s">
        <v>3846</v>
      </c>
      <c r="M2500" s="76"/>
      <c r="N2500" s="76"/>
      <c r="O2500" s="76"/>
      <c r="P2500" s="76"/>
      <c r="Q2500" s="76"/>
      <c r="R2500" s="76"/>
      <c r="Z2500" s="70"/>
      <c r="AA2500" s="70"/>
      <c r="AB2500" s="70"/>
      <c r="AC2500" s="70"/>
    </row>
    <row r="2501" spans="1:31" s="26" customFormat="1" x14ac:dyDescent="0.3">
      <c r="A2501" s="25" t="s">
        <v>9150</v>
      </c>
      <c r="B2501" s="25"/>
      <c r="C2501" s="26" t="s">
        <v>3005</v>
      </c>
      <c r="D2501" s="70"/>
      <c r="G2501" s="70" t="s">
        <v>1867</v>
      </c>
      <c r="H2501" s="26">
        <v>-1</v>
      </c>
      <c r="I2501" s="70" t="s">
        <v>9151</v>
      </c>
      <c r="J2501" s="26" t="s">
        <v>9152</v>
      </c>
      <c r="K2501" s="26" t="s">
        <v>3757</v>
      </c>
      <c r="L2501" s="26" t="s">
        <v>11178</v>
      </c>
      <c r="M2501" s="76"/>
      <c r="N2501" s="76"/>
      <c r="O2501" s="76"/>
      <c r="P2501" s="76"/>
      <c r="Q2501" s="76"/>
      <c r="R2501" s="76"/>
      <c r="Z2501" s="70"/>
      <c r="AA2501" s="70"/>
      <c r="AB2501" s="70"/>
      <c r="AC2501" s="70"/>
    </row>
    <row r="2502" spans="1:31" s="26" customFormat="1" x14ac:dyDescent="0.3">
      <c r="A2502" s="25" t="s">
        <v>9153</v>
      </c>
      <c r="B2502" s="25"/>
      <c r="C2502" s="26" t="s">
        <v>3005</v>
      </c>
      <c r="D2502" s="70"/>
      <c r="G2502" s="70" t="s">
        <v>1867</v>
      </c>
      <c r="H2502" s="26">
        <v>3</v>
      </c>
      <c r="I2502" s="70" t="s">
        <v>9154</v>
      </c>
      <c r="J2502" s="26" t="s">
        <v>6963</v>
      </c>
      <c r="K2502" s="26" t="s">
        <v>4237</v>
      </c>
      <c r="L2502" s="26" t="s">
        <v>11179</v>
      </c>
      <c r="M2502" s="76"/>
      <c r="N2502" s="76"/>
      <c r="O2502" s="76"/>
      <c r="P2502" s="76"/>
      <c r="Q2502" s="76"/>
      <c r="R2502" s="76"/>
      <c r="Y2502" s="26" t="s">
        <v>2967</v>
      </c>
      <c r="Z2502" s="70"/>
      <c r="AA2502" s="70"/>
      <c r="AB2502" s="70" t="s">
        <v>2968</v>
      </c>
      <c r="AC2502" s="70"/>
    </row>
    <row r="2503" spans="1:31" s="26" customFormat="1" x14ac:dyDescent="0.3">
      <c r="A2503" s="25" t="s">
        <v>9155</v>
      </c>
      <c r="B2503" s="25"/>
      <c r="C2503" s="26" t="s">
        <v>3005</v>
      </c>
      <c r="D2503" s="70"/>
      <c r="G2503" s="70" t="s">
        <v>1867</v>
      </c>
      <c r="H2503" s="26">
        <v>3</v>
      </c>
      <c r="I2503" s="70" t="s">
        <v>9156</v>
      </c>
      <c r="J2503" s="26" t="s">
        <v>9039</v>
      </c>
      <c r="K2503" s="26" t="s">
        <v>8491</v>
      </c>
      <c r="L2503" s="26" t="s">
        <v>11180</v>
      </c>
      <c r="M2503" s="76"/>
      <c r="N2503" s="76"/>
      <c r="O2503" s="76"/>
      <c r="P2503" s="76"/>
      <c r="Q2503" s="76"/>
      <c r="R2503" s="76"/>
      <c r="Z2503" s="70"/>
      <c r="AA2503" s="70"/>
      <c r="AB2503" s="70"/>
      <c r="AC2503" s="70"/>
    </row>
    <row r="2504" spans="1:31" s="26" customFormat="1" x14ac:dyDescent="0.3">
      <c r="A2504" s="25" t="s">
        <v>9157</v>
      </c>
      <c r="B2504" s="25"/>
      <c r="C2504" s="26" t="s">
        <v>3005</v>
      </c>
      <c r="D2504" s="70"/>
      <c r="G2504" s="70" t="s">
        <v>1867</v>
      </c>
      <c r="H2504" s="26">
        <v>2</v>
      </c>
      <c r="I2504" s="70" t="s">
        <v>7153</v>
      </c>
      <c r="J2504" s="26" t="s">
        <v>9039</v>
      </c>
      <c r="K2504" s="26" t="s">
        <v>5290</v>
      </c>
      <c r="L2504" s="26" t="s">
        <v>11181</v>
      </c>
      <c r="M2504" s="76"/>
      <c r="N2504" s="76"/>
      <c r="O2504" s="76"/>
      <c r="P2504" s="76"/>
      <c r="Q2504" s="76"/>
      <c r="R2504" s="76"/>
      <c r="Z2504" s="70"/>
      <c r="AA2504" s="70"/>
      <c r="AB2504" s="70"/>
      <c r="AC2504" s="70"/>
    </row>
    <row r="2505" spans="1:31" s="24" customFormat="1" x14ac:dyDescent="0.3">
      <c r="A2505" s="23">
        <v>650</v>
      </c>
      <c r="B2505" s="23">
        <v>645</v>
      </c>
      <c r="C2505" s="24" t="s">
        <v>2165</v>
      </c>
      <c r="D2505" s="69" t="s">
        <v>1870</v>
      </c>
      <c r="E2505" s="24" t="s">
        <v>1869</v>
      </c>
      <c r="F2505" s="24" t="s">
        <v>1871</v>
      </c>
      <c r="G2505" s="69" t="s">
        <v>1872</v>
      </c>
      <c r="H2505" s="24">
        <v>6</v>
      </c>
      <c r="I2505" s="69"/>
      <c r="J2505" s="24" t="s">
        <v>3158</v>
      </c>
      <c r="K2505" s="24" t="s">
        <v>1873</v>
      </c>
      <c r="M2505" s="75" t="s">
        <v>15</v>
      </c>
      <c r="N2505" s="75"/>
      <c r="O2505" s="75"/>
      <c r="P2505" s="75"/>
      <c r="Q2505" s="75"/>
      <c r="R2505" s="75"/>
      <c r="V2505" s="24" t="s">
        <v>2969</v>
      </c>
      <c r="W2505" s="24" t="s">
        <v>2969</v>
      </c>
      <c r="Z2505" s="69"/>
      <c r="AA2505" s="69"/>
      <c r="AB2505" s="69"/>
      <c r="AC2505" s="69"/>
    </row>
    <row r="2506" spans="1:31" s="26" customFormat="1" x14ac:dyDescent="0.3">
      <c r="A2506" s="25" t="s">
        <v>9158</v>
      </c>
      <c r="B2506" s="25"/>
      <c r="C2506" s="26" t="s">
        <v>3005</v>
      </c>
      <c r="D2506" s="70"/>
      <c r="G2506" s="70" t="s">
        <v>1872</v>
      </c>
      <c r="H2506" s="26">
        <v>-1</v>
      </c>
      <c r="I2506" s="70" t="s">
        <v>9159</v>
      </c>
      <c r="J2506" s="26" t="s">
        <v>3158</v>
      </c>
      <c r="K2506" s="26" t="s">
        <v>9160</v>
      </c>
      <c r="L2506" s="26" t="s">
        <v>11182</v>
      </c>
      <c r="M2506" s="76"/>
      <c r="N2506" s="76"/>
      <c r="O2506" s="76"/>
      <c r="P2506" s="76"/>
      <c r="Q2506" s="76"/>
      <c r="R2506" s="76"/>
      <c r="T2506" s="26" t="s">
        <v>2200</v>
      </c>
      <c r="Z2506" s="70"/>
      <c r="AA2506" s="70"/>
      <c r="AB2506" s="70"/>
      <c r="AC2506" s="70"/>
      <c r="AE2506" s="26" t="s">
        <v>9161</v>
      </c>
    </row>
    <row r="2507" spans="1:31" s="26" customFormat="1" x14ac:dyDescent="0.3">
      <c r="A2507" s="25" t="s">
        <v>9162</v>
      </c>
      <c r="B2507" s="25"/>
      <c r="C2507" s="26" t="s">
        <v>3005</v>
      </c>
      <c r="D2507" s="70"/>
      <c r="G2507" s="70" t="s">
        <v>1872</v>
      </c>
      <c r="H2507" s="26">
        <v>-1</v>
      </c>
      <c r="I2507" s="70" t="s">
        <v>8189</v>
      </c>
      <c r="J2507" s="26" t="s">
        <v>9163</v>
      </c>
      <c r="K2507" s="26" t="s">
        <v>3765</v>
      </c>
      <c r="M2507" s="76"/>
      <c r="N2507" s="76"/>
      <c r="O2507" s="76"/>
      <c r="P2507" s="76"/>
      <c r="Q2507" s="76"/>
      <c r="R2507" s="76"/>
      <c r="Z2507" s="70"/>
      <c r="AA2507" s="70"/>
      <c r="AB2507" s="70"/>
      <c r="AC2507" s="70"/>
    </row>
    <row r="2508" spans="1:31" s="26" customFormat="1" x14ac:dyDescent="0.3">
      <c r="A2508" s="25" t="s">
        <v>9164</v>
      </c>
      <c r="B2508" s="25"/>
      <c r="C2508" s="26" t="s">
        <v>3005</v>
      </c>
      <c r="D2508" s="70"/>
      <c r="G2508" s="70" t="s">
        <v>1872</v>
      </c>
      <c r="H2508" s="26">
        <v>-1</v>
      </c>
      <c r="I2508" s="70" t="s">
        <v>9165</v>
      </c>
      <c r="J2508" s="26" t="s">
        <v>7229</v>
      </c>
      <c r="K2508" s="26" t="s">
        <v>7462</v>
      </c>
      <c r="L2508" s="26" t="s">
        <v>11183</v>
      </c>
      <c r="M2508" s="76"/>
      <c r="N2508" s="76"/>
      <c r="O2508" s="76"/>
      <c r="P2508" s="76"/>
      <c r="Q2508" s="76"/>
      <c r="R2508" s="76"/>
      <c r="Z2508" s="70"/>
      <c r="AA2508" s="70"/>
      <c r="AB2508" s="70"/>
      <c r="AC2508" s="70"/>
    </row>
    <row r="2509" spans="1:31" s="26" customFormat="1" x14ac:dyDescent="0.3">
      <c r="A2509" s="25" t="s">
        <v>9166</v>
      </c>
      <c r="B2509" s="25"/>
      <c r="C2509" s="26" t="s">
        <v>3005</v>
      </c>
      <c r="D2509" s="70"/>
      <c r="G2509" s="70" t="s">
        <v>1872</v>
      </c>
      <c r="H2509" s="26">
        <v>2</v>
      </c>
      <c r="I2509" s="70" t="s">
        <v>9167</v>
      </c>
      <c r="J2509" s="26" t="s">
        <v>9163</v>
      </c>
      <c r="K2509" s="26" t="s">
        <v>6815</v>
      </c>
      <c r="L2509" s="26" t="s">
        <v>11184</v>
      </c>
      <c r="M2509" s="76"/>
      <c r="N2509" s="76"/>
      <c r="O2509" s="76"/>
      <c r="P2509" s="76"/>
      <c r="Q2509" s="76"/>
      <c r="R2509" s="76"/>
      <c r="Z2509" s="70"/>
      <c r="AA2509" s="70"/>
      <c r="AB2509" s="70"/>
      <c r="AC2509" s="70"/>
    </row>
    <row r="2510" spans="1:31" s="26" customFormat="1" x14ac:dyDescent="0.3">
      <c r="A2510" s="25" t="s">
        <v>9168</v>
      </c>
      <c r="B2510" s="25"/>
      <c r="C2510" s="26" t="s">
        <v>3005</v>
      </c>
      <c r="D2510" s="70"/>
      <c r="G2510" s="70" t="s">
        <v>1872</v>
      </c>
      <c r="H2510" s="26">
        <v>4</v>
      </c>
      <c r="I2510" s="70" t="s">
        <v>9169</v>
      </c>
      <c r="J2510" s="26" t="s">
        <v>9170</v>
      </c>
      <c r="K2510" s="26" t="s">
        <v>9171</v>
      </c>
      <c r="L2510" s="26" t="s">
        <v>11185</v>
      </c>
      <c r="M2510" s="76"/>
      <c r="N2510" s="76"/>
      <c r="O2510" s="76"/>
      <c r="P2510" s="76"/>
      <c r="Q2510" s="76"/>
      <c r="R2510" s="76"/>
      <c r="Z2510" s="70"/>
      <c r="AA2510" s="70"/>
      <c r="AB2510" s="70"/>
      <c r="AC2510" s="70"/>
    </row>
    <row r="2511" spans="1:31" s="26" customFormat="1" x14ac:dyDescent="0.3">
      <c r="A2511" s="25" t="s">
        <v>9172</v>
      </c>
      <c r="B2511" s="25"/>
      <c r="C2511" s="26" t="s">
        <v>3005</v>
      </c>
      <c r="D2511" s="70"/>
      <c r="G2511" s="70" t="s">
        <v>1872</v>
      </c>
      <c r="H2511" s="26">
        <v>3</v>
      </c>
      <c r="I2511" s="70" t="s">
        <v>9173</v>
      </c>
      <c r="J2511" s="26" t="s">
        <v>7140</v>
      </c>
      <c r="K2511" s="26" t="s">
        <v>6043</v>
      </c>
      <c r="L2511" s="26" t="s">
        <v>11186</v>
      </c>
      <c r="M2511" s="76"/>
      <c r="N2511" s="76"/>
      <c r="O2511" s="76"/>
      <c r="P2511" s="76"/>
      <c r="Q2511" s="76"/>
      <c r="R2511" s="76"/>
      <c r="Z2511" s="70"/>
      <c r="AA2511" s="70"/>
      <c r="AB2511" s="70"/>
      <c r="AC2511" s="70"/>
    </row>
    <row r="2512" spans="1:31" s="26" customFormat="1" x14ac:dyDescent="0.3">
      <c r="A2512" s="25" t="s">
        <v>9174</v>
      </c>
      <c r="B2512" s="25"/>
      <c r="C2512" s="26" t="s">
        <v>3005</v>
      </c>
      <c r="D2512" s="70"/>
      <c r="G2512" s="70" t="s">
        <v>1872</v>
      </c>
      <c r="H2512" s="26">
        <v>3</v>
      </c>
      <c r="I2512" s="70" t="s">
        <v>9175</v>
      </c>
      <c r="J2512" s="26" t="s">
        <v>6294</v>
      </c>
      <c r="K2512" s="26" t="s">
        <v>9176</v>
      </c>
      <c r="L2512" s="26" t="s">
        <v>11187</v>
      </c>
      <c r="M2512" s="76"/>
      <c r="N2512" s="76"/>
      <c r="O2512" s="76"/>
      <c r="P2512" s="76"/>
      <c r="Q2512" s="76"/>
      <c r="R2512" s="76"/>
      <c r="Z2512" s="70"/>
      <c r="AA2512" s="70"/>
      <c r="AB2512" s="70"/>
      <c r="AC2512" s="70"/>
    </row>
    <row r="2513" spans="1:31" s="26" customFormat="1" x14ac:dyDescent="0.3">
      <c r="A2513" s="25" t="s">
        <v>9177</v>
      </c>
      <c r="B2513" s="25"/>
      <c r="C2513" s="26" t="s">
        <v>3005</v>
      </c>
      <c r="D2513" s="70"/>
      <c r="G2513" s="70" t="s">
        <v>1872</v>
      </c>
      <c r="H2513" s="26">
        <v>2</v>
      </c>
      <c r="I2513" s="70" t="s">
        <v>9178</v>
      </c>
      <c r="J2513" s="26" t="s">
        <v>5475</v>
      </c>
      <c r="K2513" s="26" t="s">
        <v>6210</v>
      </c>
      <c r="L2513" s="26" t="s">
        <v>11188</v>
      </c>
      <c r="M2513" s="76"/>
      <c r="N2513" s="76"/>
      <c r="O2513" s="76"/>
      <c r="P2513" s="76"/>
      <c r="Q2513" s="76"/>
      <c r="R2513" s="76"/>
      <c r="Z2513" s="70"/>
      <c r="AA2513" s="70"/>
      <c r="AB2513" s="70"/>
      <c r="AC2513" s="70"/>
    </row>
    <row r="2514" spans="1:31" s="26" customFormat="1" x14ac:dyDescent="0.3">
      <c r="A2514" s="25" t="s">
        <v>9179</v>
      </c>
      <c r="B2514" s="25"/>
      <c r="C2514" s="26" t="s">
        <v>3005</v>
      </c>
      <c r="D2514" s="70"/>
      <c r="G2514" s="70" t="s">
        <v>1872</v>
      </c>
      <c r="H2514" s="26">
        <v>4</v>
      </c>
      <c r="I2514" s="70" t="s">
        <v>5352</v>
      </c>
      <c r="J2514" s="26" t="s">
        <v>4248</v>
      </c>
      <c r="K2514" s="26" t="s">
        <v>9180</v>
      </c>
      <c r="L2514" s="26" t="s">
        <v>10952</v>
      </c>
      <c r="M2514" s="76"/>
      <c r="N2514" s="76"/>
      <c r="O2514" s="76"/>
      <c r="P2514" s="76"/>
      <c r="Q2514" s="76"/>
      <c r="R2514" s="76"/>
      <c r="Z2514" s="70"/>
      <c r="AA2514" s="70"/>
      <c r="AB2514" s="70"/>
      <c r="AC2514" s="70"/>
    </row>
    <row r="2515" spans="1:31" s="26" customFormat="1" x14ac:dyDescent="0.3">
      <c r="A2515" s="25" t="s">
        <v>9181</v>
      </c>
      <c r="B2515" s="25"/>
      <c r="C2515" s="26" t="s">
        <v>3005</v>
      </c>
      <c r="D2515" s="70"/>
      <c r="G2515" s="70" t="s">
        <v>1872</v>
      </c>
      <c r="H2515" s="26">
        <v>-1</v>
      </c>
      <c r="I2515" s="70" t="s">
        <v>9182</v>
      </c>
      <c r="J2515" s="26" t="s">
        <v>9170</v>
      </c>
      <c r="K2515" s="26" t="s">
        <v>9183</v>
      </c>
      <c r="L2515" s="26" t="s">
        <v>11189</v>
      </c>
      <c r="M2515" s="76"/>
      <c r="N2515" s="76"/>
      <c r="O2515" s="76"/>
      <c r="P2515" s="76"/>
      <c r="Q2515" s="76"/>
      <c r="R2515" s="76"/>
      <c r="Z2515" s="70"/>
      <c r="AA2515" s="70"/>
      <c r="AB2515" s="70"/>
      <c r="AC2515" s="70"/>
    </row>
    <row r="2516" spans="1:31" s="26" customFormat="1" x14ac:dyDescent="0.3">
      <c r="A2516" s="25" t="s">
        <v>9184</v>
      </c>
      <c r="B2516" s="25"/>
      <c r="C2516" s="26" t="s">
        <v>3005</v>
      </c>
      <c r="D2516" s="70"/>
      <c r="G2516" s="70" t="s">
        <v>1872</v>
      </c>
      <c r="H2516" s="26">
        <v>-1</v>
      </c>
      <c r="I2516" s="70" t="s">
        <v>3723</v>
      </c>
      <c r="J2516" s="26" t="s">
        <v>9185</v>
      </c>
      <c r="K2516" s="26" t="s">
        <v>6551</v>
      </c>
      <c r="L2516" s="26" t="s">
        <v>11190</v>
      </c>
      <c r="M2516" s="76"/>
      <c r="N2516" s="76"/>
      <c r="O2516" s="76"/>
      <c r="P2516" s="76"/>
      <c r="Q2516" s="76"/>
      <c r="R2516" s="76"/>
      <c r="T2516" s="26" t="s">
        <v>2200</v>
      </c>
      <c r="Z2516" s="70"/>
      <c r="AA2516" s="70"/>
      <c r="AB2516" s="70"/>
      <c r="AC2516" s="70"/>
      <c r="AE2516" s="26" t="s">
        <v>9186</v>
      </c>
    </row>
    <row r="2517" spans="1:31" s="26" customFormat="1" x14ac:dyDescent="0.3">
      <c r="A2517" s="25" t="s">
        <v>9187</v>
      </c>
      <c r="B2517" s="25"/>
      <c r="C2517" s="26" t="s">
        <v>3005</v>
      </c>
      <c r="D2517" s="70"/>
      <c r="G2517" s="70" t="s">
        <v>1872</v>
      </c>
      <c r="H2517" s="26">
        <v>-1</v>
      </c>
      <c r="I2517" s="70" t="s">
        <v>9188</v>
      </c>
      <c r="J2517" s="26" t="s">
        <v>9189</v>
      </c>
      <c r="K2517" s="26" t="s">
        <v>7025</v>
      </c>
      <c r="L2517" s="26" t="s">
        <v>11191</v>
      </c>
      <c r="M2517" s="76"/>
      <c r="N2517" s="76"/>
      <c r="O2517" s="76"/>
      <c r="P2517" s="76"/>
      <c r="Q2517" s="76"/>
      <c r="R2517" s="76"/>
      <c r="Z2517" s="70"/>
      <c r="AA2517" s="70"/>
      <c r="AB2517" s="70"/>
      <c r="AC2517" s="70"/>
    </row>
    <row r="2518" spans="1:31" s="26" customFormat="1" x14ac:dyDescent="0.3">
      <c r="A2518" s="25" t="s">
        <v>9190</v>
      </c>
      <c r="B2518" s="25"/>
      <c r="C2518" s="26" t="s">
        <v>3005</v>
      </c>
      <c r="D2518" s="70"/>
      <c r="G2518" s="70" t="s">
        <v>1872</v>
      </c>
      <c r="H2518" s="26">
        <v>-1</v>
      </c>
      <c r="I2518" s="70" t="s">
        <v>9191</v>
      </c>
      <c r="J2518" s="26" t="s">
        <v>9192</v>
      </c>
      <c r="K2518" s="26" t="s">
        <v>9193</v>
      </c>
      <c r="L2518" s="26" t="s">
        <v>11192</v>
      </c>
      <c r="M2518" s="76"/>
      <c r="N2518" s="76"/>
      <c r="O2518" s="76"/>
      <c r="P2518" s="76"/>
      <c r="Q2518" s="76"/>
      <c r="R2518" s="76"/>
      <c r="Z2518" s="70"/>
      <c r="AA2518" s="70"/>
      <c r="AB2518" s="70"/>
      <c r="AC2518" s="70"/>
    </row>
    <row r="2519" spans="1:31" s="26" customFormat="1" x14ac:dyDescent="0.3">
      <c r="A2519" s="25" t="s">
        <v>9194</v>
      </c>
      <c r="B2519" s="25"/>
      <c r="C2519" s="26" t="s">
        <v>3005</v>
      </c>
      <c r="D2519" s="70"/>
      <c r="G2519" s="70" t="s">
        <v>1872</v>
      </c>
      <c r="H2519" s="26">
        <v>-1</v>
      </c>
      <c r="I2519" s="70" t="s">
        <v>9195</v>
      </c>
      <c r="J2519" s="26" t="s">
        <v>8991</v>
      </c>
      <c r="K2519" s="26" t="s">
        <v>9196</v>
      </c>
      <c r="L2519" s="26" t="s">
        <v>11134</v>
      </c>
      <c r="M2519" s="76"/>
      <c r="N2519" s="76"/>
      <c r="O2519" s="76"/>
      <c r="P2519" s="76"/>
      <c r="Q2519" s="76"/>
      <c r="R2519" s="76"/>
      <c r="Z2519" s="70"/>
      <c r="AA2519" s="70"/>
      <c r="AB2519" s="70"/>
      <c r="AC2519" s="70"/>
    </row>
    <row r="2520" spans="1:31" s="24" customFormat="1" x14ac:dyDescent="0.3">
      <c r="A2520" s="23">
        <v>651</v>
      </c>
      <c r="B2520" s="23">
        <v>646</v>
      </c>
      <c r="C2520" s="24" t="s">
        <v>2165</v>
      </c>
      <c r="D2520" s="69" t="s">
        <v>1870</v>
      </c>
      <c r="E2520" s="24" t="s">
        <v>1869</v>
      </c>
      <c r="F2520" s="24" t="s">
        <v>1874</v>
      </c>
      <c r="G2520" s="69" t="s">
        <v>1875</v>
      </c>
      <c r="H2520" s="24">
        <v>2</v>
      </c>
      <c r="I2520" s="69"/>
      <c r="J2520" s="24" t="s">
        <v>3137</v>
      </c>
      <c r="K2520" s="24" t="s">
        <v>1876</v>
      </c>
      <c r="M2520" s="75" t="s">
        <v>65</v>
      </c>
      <c r="N2520" s="75" t="s">
        <v>2015</v>
      </c>
      <c r="O2520" s="75"/>
      <c r="P2520" s="75"/>
      <c r="Q2520" s="75" t="s">
        <v>130</v>
      </c>
      <c r="R2520" s="75"/>
      <c r="T2520" s="24" t="s">
        <v>2179</v>
      </c>
      <c r="V2520" s="24" t="s">
        <v>2969</v>
      </c>
      <c r="W2520" s="24" t="s">
        <v>2969</v>
      </c>
      <c r="Z2520" s="69"/>
      <c r="AA2520" s="69"/>
      <c r="AB2520" s="69"/>
      <c r="AC2520" s="69"/>
      <c r="AE2520" s="24" t="s">
        <v>2970</v>
      </c>
    </row>
    <row r="2521" spans="1:31" s="26" customFormat="1" x14ac:dyDescent="0.3">
      <c r="A2521" s="25" t="s">
        <v>9197</v>
      </c>
      <c r="B2521" s="25"/>
      <c r="C2521" s="26" t="s">
        <v>3005</v>
      </c>
      <c r="D2521" s="70"/>
      <c r="G2521" s="70" t="s">
        <v>1875</v>
      </c>
      <c r="H2521" s="26">
        <v>1</v>
      </c>
      <c r="I2521" s="70" t="s">
        <v>9198</v>
      </c>
      <c r="J2521" s="26" t="s">
        <v>5478</v>
      </c>
      <c r="K2521" s="26" t="s">
        <v>5976</v>
      </c>
      <c r="M2521" s="76"/>
      <c r="N2521" s="76"/>
      <c r="O2521" s="76"/>
      <c r="P2521" s="76"/>
      <c r="Q2521" s="76"/>
      <c r="R2521" s="76"/>
      <c r="Z2521" s="70"/>
      <c r="AA2521" s="70"/>
      <c r="AB2521" s="70"/>
      <c r="AC2521" s="70"/>
    </row>
    <row r="2522" spans="1:31" s="26" customFormat="1" x14ac:dyDescent="0.3">
      <c r="A2522" s="25" t="s">
        <v>9199</v>
      </c>
      <c r="B2522" s="25"/>
      <c r="C2522" s="26" t="s">
        <v>3005</v>
      </c>
      <c r="D2522" s="70"/>
      <c r="G2522" s="70" t="s">
        <v>1875</v>
      </c>
      <c r="H2522" s="26">
        <v>1</v>
      </c>
      <c r="I2522" s="70" t="s">
        <v>9200</v>
      </c>
      <c r="J2522" s="26" t="s">
        <v>3137</v>
      </c>
      <c r="K2522" s="26" t="s">
        <v>9201</v>
      </c>
      <c r="M2522" s="76"/>
      <c r="N2522" s="76"/>
      <c r="O2522" s="76"/>
      <c r="P2522" s="76"/>
      <c r="Q2522" s="76"/>
      <c r="R2522" s="76"/>
      <c r="Z2522" s="70"/>
      <c r="AA2522" s="70"/>
      <c r="AB2522" s="70"/>
      <c r="AC2522" s="70"/>
    </row>
    <row r="2523" spans="1:31" s="24" customFormat="1" x14ac:dyDescent="0.3">
      <c r="A2523" s="23">
        <v>652</v>
      </c>
      <c r="B2523" s="23">
        <v>647</v>
      </c>
      <c r="C2523" s="24" t="s">
        <v>2165</v>
      </c>
      <c r="D2523" s="69" t="s">
        <v>1870</v>
      </c>
      <c r="E2523" s="24" t="s">
        <v>1869</v>
      </c>
      <c r="F2523" s="24" t="s">
        <v>1877</v>
      </c>
      <c r="G2523" s="69" t="s">
        <v>1878</v>
      </c>
      <c r="H2523" s="24">
        <v>4</v>
      </c>
      <c r="I2523" s="69"/>
      <c r="J2523" s="24" t="s">
        <v>3174</v>
      </c>
      <c r="K2523" s="24" t="s">
        <v>68</v>
      </c>
      <c r="M2523" s="75" t="s">
        <v>65</v>
      </c>
      <c r="N2523" s="75" t="s">
        <v>2015</v>
      </c>
      <c r="O2523" s="75"/>
      <c r="P2523" s="75"/>
      <c r="Q2523" s="75"/>
      <c r="R2523" s="75"/>
      <c r="Z2523" s="69"/>
      <c r="AA2523" s="69"/>
      <c r="AB2523" s="69"/>
      <c r="AC2523" s="69" t="s">
        <v>11432</v>
      </c>
    </row>
    <row r="2524" spans="1:31" s="26" customFormat="1" x14ac:dyDescent="0.3">
      <c r="A2524" s="25" t="s">
        <v>9202</v>
      </c>
      <c r="B2524" s="25"/>
      <c r="C2524" s="26" t="s">
        <v>3005</v>
      </c>
      <c r="D2524" s="70"/>
      <c r="G2524" s="70" t="s">
        <v>1878</v>
      </c>
      <c r="H2524" s="26">
        <v>1</v>
      </c>
      <c r="I2524" s="70" t="s">
        <v>9203</v>
      </c>
      <c r="J2524" s="26" t="s">
        <v>9204</v>
      </c>
      <c r="K2524" s="26" t="s">
        <v>9205</v>
      </c>
      <c r="L2524" s="26" t="s">
        <v>11193</v>
      </c>
      <c r="M2524" s="76"/>
      <c r="N2524" s="76"/>
      <c r="O2524" s="76"/>
      <c r="P2524" s="76"/>
      <c r="Q2524" s="76"/>
      <c r="R2524" s="76"/>
      <c r="Z2524" s="70"/>
      <c r="AA2524" s="70"/>
      <c r="AB2524" s="70"/>
      <c r="AC2524" s="70"/>
    </row>
    <row r="2525" spans="1:31" s="26" customFormat="1" x14ac:dyDescent="0.3">
      <c r="A2525" s="25" t="s">
        <v>9206</v>
      </c>
      <c r="B2525" s="25"/>
      <c r="C2525" s="26" t="s">
        <v>3005</v>
      </c>
      <c r="D2525" s="70"/>
      <c r="G2525" s="70" t="s">
        <v>1878</v>
      </c>
      <c r="H2525" s="26">
        <v>1</v>
      </c>
      <c r="I2525" s="70" t="s">
        <v>9207</v>
      </c>
      <c r="J2525" s="26" t="s">
        <v>3174</v>
      </c>
      <c r="K2525" s="26" t="s">
        <v>9208</v>
      </c>
      <c r="L2525" s="26" t="s">
        <v>11194</v>
      </c>
      <c r="M2525" s="76"/>
      <c r="N2525" s="76"/>
      <c r="O2525" s="76"/>
      <c r="P2525" s="76"/>
      <c r="Q2525" s="76"/>
      <c r="R2525" s="76"/>
      <c r="Z2525" s="70"/>
      <c r="AA2525" s="70"/>
      <c r="AB2525" s="70"/>
      <c r="AC2525" s="70"/>
    </row>
    <row r="2526" spans="1:31" s="26" customFormat="1" x14ac:dyDescent="0.3">
      <c r="A2526" s="25" t="s">
        <v>9209</v>
      </c>
      <c r="B2526" s="25"/>
      <c r="C2526" s="26" t="s">
        <v>3005</v>
      </c>
      <c r="D2526" s="70"/>
      <c r="G2526" s="70" t="s">
        <v>1878</v>
      </c>
      <c r="H2526" s="26">
        <v>1</v>
      </c>
      <c r="I2526" s="70" t="s">
        <v>7810</v>
      </c>
      <c r="J2526" s="26" t="s">
        <v>7947</v>
      </c>
      <c r="K2526" s="26" t="s">
        <v>9210</v>
      </c>
      <c r="L2526" s="26" t="s">
        <v>11195</v>
      </c>
      <c r="M2526" s="76"/>
      <c r="N2526" s="76"/>
      <c r="O2526" s="76"/>
      <c r="P2526" s="76"/>
      <c r="Q2526" s="76"/>
      <c r="R2526" s="76"/>
      <c r="Z2526" s="70"/>
      <c r="AA2526" s="70"/>
      <c r="AB2526" s="70"/>
      <c r="AC2526" s="70"/>
    </row>
    <row r="2527" spans="1:31" s="26" customFormat="1" x14ac:dyDescent="0.3">
      <c r="A2527" s="25" t="s">
        <v>9211</v>
      </c>
      <c r="B2527" s="25"/>
      <c r="C2527" s="26" t="s">
        <v>3005</v>
      </c>
      <c r="D2527" s="70"/>
      <c r="G2527" s="70" t="s">
        <v>1878</v>
      </c>
      <c r="H2527" s="26">
        <v>1</v>
      </c>
      <c r="I2527" s="70" t="s">
        <v>9212</v>
      </c>
      <c r="J2527" s="26" t="s">
        <v>5091</v>
      </c>
      <c r="K2527" s="26" t="s">
        <v>9213</v>
      </c>
      <c r="M2527" s="76"/>
      <c r="N2527" s="76"/>
      <c r="O2527" s="76"/>
      <c r="P2527" s="76"/>
      <c r="Q2527" s="76"/>
      <c r="R2527" s="76"/>
      <c r="Y2527" s="26" t="s">
        <v>9214</v>
      </c>
      <c r="Z2527" s="70"/>
      <c r="AA2527" s="70"/>
      <c r="AB2527" s="70" t="s">
        <v>9215</v>
      </c>
      <c r="AC2527" s="70"/>
    </row>
    <row r="2528" spans="1:31" s="24" customFormat="1" x14ac:dyDescent="0.3">
      <c r="A2528" s="23">
        <v>653</v>
      </c>
      <c r="B2528" s="23">
        <v>648</v>
      </c>
      <c r="C2528" s="24" t="s">
        <v>2165</v>
      </c>
      <c r="D2528" s="69" t="s">
        <v>1870</v>
      </c>
      <c r="E2528" s="24" t="s">
        <v>1869</v>
      </c>
      <c r="F2528" s="24" t="s">
        <v>1879</v>
      </c>
      <c r="G2528" s="69" t="s">
        <v>1880</v>
      </c>
      <c r="I2528" s="69"/>
      <c r="J2528" s="24" t="s">
        <v>9216</v>
      </c>
      <c r="K2528" s="24" t="s">
        <v>1881</v>
      </c>
      <c r="L2528" s="24" t="s">
        <v>9928</v>
      </c>
      <c r="M2528" s="75" t="s">
        <v>15</v>
      </c>
      <c r="N2528" s="75"/>
      <c r="O2528" s="75"/>
      <c r="P2528" s="75"/>
      <c r="Q2528" s="75"/>
      <c r="R2528" s="75"/>
      <c r="Z2528" s="69"/>
      <c r="AA2528" s="69"/>
      <c r="AB2528" s="69"/>
      <c r="AC2528" s="69" t="s">
        <v>11433</v>
      </c>
    </row>
    <row r="2529" spans="1:29" s="24" customFormat="1" x14ac:dyDescent="0.3">
      <c r="A2529" s="23">
        <v>654</v>
      </c>
      <c r="B2529" s="23">
        <v>649</v>
      </c>
      <c r="C2529" s="24" t="s">
        <v>2165</v>
      </c>
      <c r="D2529" s="69" t="s">
        <v>1870</v>
      </c>
      <c r="E2529" s="24" t="s">
        <v>1869</v>
      </c>
      <c r="F2529" s="24" t="s">
        <v>1882</v>
      </c>
      <c r="G2529" s="69" t="s">
        <v>1883</v>
      </c>
      <c r="H2529" s="24">
        <v>4</v>
      </c>
      <c r="I2529" s="69"/>
      <c r="J2529" s="24" t="s">
        <v>3174</v>
      </c>
      <c r="K2529" s="24" t="s">
        <v>1884</v>
      </c>
      <c r="M2529" s="75" t="s">
        <v>15</v>
      </c>
      <c r="N2529" s="75"/>
      <c r="O2529" s="75"/>
      <c r="P2529" s="75"/>
      <c r="Q2529" s="75"/>
      <c r="R2529" s="75"/>
      <c r="Z2529" s="69"/>
      <c r="AA2529" s="69"/>
      <c r="AB2529" s="69"/>
      <c r="AC2529" s="69" t="s">
        <v>11434</v>
      </c>
    </row>
    <row r="2530" spans="1:29" s="26" customFormat="1" x14ac:dyDescent="0.3">
      <c r="A2530" s="25" t="s">
        <v>9217</v>
      </c>
      <c r="B2530" s="25"/>
      <c r="C2530" s="26" t="s">
        <v>3005</v>
      </c>
      <c r="D2530" s="70"/>
      <c r="G2530" s="70" t="s">
        <v>1883</v>
      </c>
      <c r="H2530" s="26">
        <v>-1</v>
      </c>
      <c r="I2530" s="70" t="s">
        <v>9218</v>
      </c>
      <c r="J2530" s="26" t="s">
        <v>5283</v>
      </c>
      <c r="K2530" s="26" t="s">
        <v>3750</v>
      </c>
      <c r="L2530" s="26" t="s">
        <v>11196</v>
      </c>
      <c r="M2530" s="76"/>
      <c r="N2530" s="76"/>
      <c r="O2530" s="76"/>
      <c r="P2530" s="76"/>
      <c r="Q2530" s="76"/>
      <c r="R2530" s="76"/>
      <c r="Z2530" s="70"/>
      <c r="AA2530" s="70"/>
      <c r="AB2530" s="70"/>
      <c r="AC2530" s="70"/>
    </row>
    <row r="2531" spans="1:29" s="26" customFormat="1" x14ac:dyDescent="0.3">
      <c r="A2531" s="25" t="s">
        <v>9219</v>
      </c>
      <c r="B2531" s="25"/>
      <c r="C2531" s="26" t="s">
        <v>3005</v>
      </c>
      <c r="D2531" s="70"/>
      <c r="G2531" s="70" t="s">
        <v>1883</v>
      </c>
      <c r="H2531" s="26">
        <v>-1</v>
      </c>
      <c r="I2531" s="70" t="s">
        <v>9220</v>
      </c>
      <c r="J2531" s="26" t="s">
        <v>9170</v>
      </c>
      <c r="K2531" s="26" t="s">
        <v>9221</v>
      </c>
      <c r="L2531" s="26" t="s">
        <v>11197</v>
      </c>
      <c r="M2531" s="76"/>
      <c r="N2531" s="76"/>
      <c r="O2531" s="76"/>
      <c r="P2531" s="76"/>
      <c r="Q2531" s="76"/>
      <c r="R2531" s="76"/>
      <c r="Z2531" s="70"/>
      <c r="AA2531" s="70"/>
      <c r="AB2531" s="70"/>
      <c r="AC2531" s="70"/>
    </row>
    <row r="2532" spans="1:29" s="26" customFormat="1" x14ac:dyDescent="0.3">
      <c r="A2532" s="25" t="s">
        <v>9222</v>
      </c>
      <c r="B2532" s="25"/>
      <c r="C2532" s="26" t="s">
        <v>3005</v>
      </c>
      <c r="D2532" s="70"/>
      <c r="G2532" s="70" t="s">
        <v>1883</v>
      </c>
      <c r="H2532" s="26">
        <v>-1</v>
      </c>
      <c r="I2532" s="70" t="s">
        <v>9223</v>
      </c>
      <c r="J2532" s="26" t="s">
        <v>6287</v>
      </c>
      <c r="K2532" s="26" t="s">
        <v>8375</v>
      </c>
      <c r="L2532" s="26" t="s">
        <v>11198</v>
      </c>
      <c r="M2532" s="76"/>
      <c r="N2532" s="76"/>
      <c r="O2532" s="76"/>
      <c r="P2532" s="76"/>
      <c r="Q2532" s="76"/>
      <c r="R2532" s="76"/>
      <c r="Z2532" s="70"/>
      <c r="AA2532" s="70"/>
      <c r="AB2532" s="70"/>
      <c r="AC2532" s="70"/>
    </row>
    <row r="2533" spans="1:29" s="26" customFormat="1" x14ac:dyDescent="0.3">
      <c r="A2533" s="25" t="s">
        <v>9224</v>
      </c>
      <c r="B2533" s="25"/>
      <c r="C2533" s="26" t="s">
        <v>3005</v>
      </c>
      <c r="D2533" s="70"/>
      <c r="G2533" s="70" t="s">
        <v>1883</v>
      </c>
      <c r="H2533" s="26">
        <v>-1</v>
      </c>
      <c r="I2533" s="70" t="s">
        <v>3417</v>
      </c>
      <c r="J2533" s="26" t="s">
        <v>9225</v>
      </c>
      <c r="K2533" s="26" t="s">
        <v>9226</v>
      </c>
      <c r="M2533" s="76"/>
      <c r="N2533" s="76"/>
      <c r="O2533" s="76"/>
      <c r="P2533" s="76"/>
      <c r="Q2533" s="76"/>
      <c r="R2533" s="76"/>
      <c r="Z2533" s="70"/>
      <c r="AA2533" s="70"/>
      <c r="AB2533" s="70"/>
      <c r="AC2533" s="70"/>
    </row>
    <row r="2534" spans="1:29" s="26" customFormat="1" x14ac:dyDescent="0.3">
      <c r="A2534" s="25" t="s">
        <v>9227</v>
      </c>
      <c r="B2534" s="25"/>
      <c r="C2534" s="26" t="s">
        <v>3005</v>
      </c>
      <c r="D2534" s="70"/>
      <c r="G2534" s="70" t="s">
        <v>1883</v>
      </c>
      <c r="H2534" s="26">
        <v>-1</v>
      </c>
      <c r="I2534" s="70" t="s">
        <v>9228</v>
      </c>
      <c r="J2534" s="26" t="s">
        <v>7912</v>
      </c>
      <c r="K2534" s="26" t="s">
        <v>9229</v>
      </c>
      <c r="L2534" s="26" t="s">
        <v>11199</v>
      </c>
      <c r="M2534" s="76"/>
      <c r="N2534" s="76"/>
      <c r="O2534" s="76"/>
      <c r="P2534" s="76"/>
      <c r="Q2534" s="76"/>
      <c r="R2534" s="76"/>
      <c r="Z2534" s="70"/>
      <c r="AA2534" s="70"/>
      <c r="AB2534" s="70"/>
      <c r="AC2534" s="70"/>
    </row>
    <row r="2535" spans="1:29" s="26" customFormat="1" x14ac:dyDescent="0.3">
      <c r="A2535" s="25" t="s">
        <v>9230</v>
      </c>
      <c r="B2535" s="25"/>
      <c r="C2535" s="26" t="s">
        <v>3005</v>
      </c>
      <c r="D2535" s="70"/>
      <c r="G2535" s="70" t="s">
        <v>1883</v>
      </c>
      <c r="H2535" s="26">
        <v>-1</v>
      </c>
      <c r="I2535" s="70" t="s">
        <v>9231</v>
      </c>
      <c r="J2535" s="26" t="s">
        <v>9232</v>
      </c>
      <c r="K2535" s="26" t="s">
        <v>9233</v>
      </c>
      <c r="L2535" s="26" t="s">
        <v>11200</v>
      </c>
      <c r="M2535" s="76"/>
      <c r="N2535" s="76"/>
      <c r="O2535" s="76"/>
      <c r="P2535" s="76"/>
      <c r="Q2535" s="76"/>
      <c r="R2535" s="76"/>
      <c r="Z2535" s="70"/>
      <c r="AA2535" s="70"/>
      <c r="AB2535" s="70"/>
      <c r="AC2535" s="70"/>
    </row>
    <row r="2536" spans="1:29" s="26" customFormat="1" x14ac:dyDescent="0.3">
      <c r="A2536" s="25" t="s">
        <v>9234</v>
      </c>
      <c r="B2536" s="25"/>
      <c r="C2536" s="26" t="s">
        <v>3005</v>
      </c>
      <c r="D2536" s="70"/>
      <c r="G2536" s="70" t="s">
        <v>1883</v>
      </c>
      <c r="H2536" s="26">
        <v>-1</v>
      </c>
      <c r="I2536" s="70" t="s">
        <v>9235</v>
      </c>
      <c r="J2536" s="26" t="s">
        <v>3443</v>
      </c>
      <c r="K2536" s="26" t="s">
        <v>6075</v>
      </c>
      <c r="L2536" s="26" t="s">
        <v>10318</v>
      </c>
      <c r="M2536" s="76"/>
      <c r="N2536" s="76"/>
      <c r="O2536" s="76"/>
      <c r="P2536" s="76"/>
      <c r="Q2536" s="76"/>
      <c r="R2536" s="76"/>
      <c r="Z2536" s="70"/>
      <c r="AA2536" s="70"/>
      <c r="AB2536" s="70"/>
      <c r="AC2536" s="70"/>
    </row>
    <row r="2537" spans="1:29" s="26" customFormat="1" x14ac:dyDescent="0.3">
      <c r="A2537" s="25" t="s">
        <v>9236</v>
      </c>
      <c r="B2537" s="25"/>
      <c r="C2537" s="26" t="s">
        <v>3005</v>
      </c>
      <c r="D2537" s="70"/>
      <c r="G2537" s="70" t="s">
        <v>1883</v>
      </c>
      <c r="H2537" s="26">
        <v>2</v>
      </c>
      <c r="I2537" s="70" t="s">
        <v>9237</v>
      </c>
      <c r="J2537" s="26" t="s">
        <v>6301</v>
      </c>
      <c r="K2537" s="26" t="s">
        <v>6815</v>
      </c>
      <c r="M2537" s="76"/>
      <c r="N2537" s="76"/>
      <c r="O2537" s="76"/>
      <c r="P2537" s="76"/>
      <c r="Q2537" s="76"/>
      <c r="R2537" s="76"/>
      <c r="Z2537" s="70"/>
      <c r="AA2537" s="70"/>
      <c r="AB2537" s="70"/>
      <c r="AC2537" s="70"/>
    </row>
    <row r="2538" spans="1:29" s="26" customFormat="1" x14ac:dyDescent="0.3">
      <c r="A2538" s="25" t="s">
        <v>9238</v>
      </c>
      <c r="B2538" s="25"/>
      <c r="C2538" s="26" t="s">
        <v>3005</v>
      </c>
      <c r="D2538" s="70"/>
      <c r="G2538" s="70" t="s">
        <v>1883</v>
      </c>
      <c r="H2538" s="26">
        <v>3</v>
      </c>
      <c r="I2538" s="70" t="s">
        <v>4110</v>
      </c>
      <c r="J2538" s="26" t="s">
        <v>6963</v>
      </c>
      <c r="K2538" s="26" t="s">
        <v>5262</v>
      </c>
      <c r="L2538" s="26" t="s">
        <v>11179</v>
      </c>
      <c r="M2538" s="76"/>
      <c r="N2538" s="76"/>
      <c r="O2538" s="76"/>
      <c r="P2538" s="76"/>
      <c r="Q2538" s="76"/>
      <c r="R2538" s="76"/>
      <c r="Z2538" s="70"/>
      <c r="AA2538" s="70"/>
      <c r="AB2538" s="70"/>
      <c r="AC2538" s="70"/>
    </row>
    <row r="2539" spans="1:29" s="26" customFormat="1" x14ac:dyDescent="0.3">
      <c r="A2539" s="25" t="s">
        <v>9239</v>
      </c>
      <c r="B2539" s="25"/>
      <c r="C2539" s="26" t="s">
        <v>3005</v>
      </c>
      <c r="D2539" s="70"/>
      <c r="G2539" s="70" t="s">
        <v>1883</v>
      </c>
      <c r="H2539" s="26">
        <v>2</v>
      </c>
      <c r="I2539" s="70" t="s">
        <v>9240</v>
      </c>
      <c r="J2539" s="26" t="s">
        <v>3174</v>
      </c>
      <c r="K2539" s="26" t="s">
        <v>9241</v>
      </c>
      <c r="L2539" s="26" t="s">
        <v>11201</v>
      </c>
      <c r="M2539" s="76"/>
      <c r="N2539" s="76"/>
      <c r="O2539" s="76"/>
      <c r="P2539" s="76"/>
      <c r="Q2539" s="76"/>
      <c r="R2539" s="76"/>
      <c r="Z2539" s="70"/>
      <c r="AA2539" s="70"/>
      <c r="AB2539" s="70"/>
      <c r="AC2539" s="70"/>
    </row>
    <row r="2540" spans="1:29" s="26" customFormat="1" x14ac:dyDescent="0.3">
      <c r="A2540" s="25" t="s">
        <v>9242</v>
      </c>
      <c r="B2540" s="25"/>
      <c r="C2540" s="26" t="s">
        <v>3005</v>
      </c>
      <c r="D2540" s="70"/>
      <c r="G2540" s="70" t="s">
        <v>1883</v>
      </c>
      <c r="H2540" s="26">
        <v>3</v>
      </c>
      <c r="I2540" s="70" t="s">
        <v>8171</v>
      </c>
      <c r="J2540" s="26" t="s">
        <v>6916</v>
      </c>
      <c r="K2540" s="26" t="s">
        <v>6043</v>
      </c>
      <c r="L2540" s="26" t="s">
        <v>11202</v>
      </c>
      <c r="M2540" s="76"/>
      <c r="N2540" s="76"/>
      <c r="O2540" s="76"/>
      <c r="P2540" s="76"/>
      <c r="Q2540" s="76"/>
      <c r="R2540" s="76"/>
      <c r="Z2540" s="70"/>
      <c r="AA2540" s="70"/>
      <c r="AB2540" s="70"/>
      <c r="AC2540" s="70"/>
    </row>
    <row r="2541" spans="1:29" s="26" customFormat="1" x14ac:dyDescent="0.3">
      <c r="A2541" s="25" t="s">
        <v>9243</v>
      </c>
      <c r="B2541" s="25"/>
      <c r="C2541" s="26" t="s">
        <v>3005</v>
      </c>
      <c r="D2541" s="70"/>
      <c r="G2541" s="70" t="s">
        <v>1883</v>
      </c>
      <c r="H2541" s="26">
        <v>-1</v>
      </c>
      <c r="I2541" s="70" t="s">
        <v>6886</v>
      </c>
      <c r="J2541" s="26" t="s">
        <v>9244</v>
      </c>
      <c r="K2541" s="26" t="s">
        <v>9245</v>
      </c>
      <c r="L2541" s="26" t="s">
        <v>11203</v>
      </c>
      <c r="M2541" s="76"/>
      <c r="N2541" s="76"/>
      <c r="O2541" s="76"/>
      <c r="P2541" s="76"/>
      <c r="Q2541" s="76"/>
      <c r="R2541" s="76"/>
      <c r="Z2541" s="70"/>
      <c r="AA2541" s="70"/>
      <c r="AB2541" s="70"/>
      <c r="AC2541" s="70"/>
    </row>
    <row r="2542" spans="1:29" s="26" customFormat="1" x14ac:dyDescent="0.3">
      <c r="A2542" s="25" t="s">
        <v>9246</v>
      </c>
      <c r="B2542" s="25"/>
      <c r="C2542" s="26" t="s">
        <v>3005</v>
      </c>
      <c r="D2542" s="70"/>
      <c r="G2542" s="70" t="s">
        <v>1883</v>
      </c>
      <c r="H2542" s="26">
        <v>-1</v>
      </c>
      <c r="I2542" s="70" t="s">
        <v>9247</v>
      </c>
      <c r="J2542" s="26" t="s">
        <v>6565</v>
      </c>
      <c r="K2542" s="26" t="s">
        <v>9248</v>
      </c>
      <c r="L2542" s="26" t="s">
        <v>11204</v>
      </c>
      <c r="M2542" s="76"/>
      <c r="N2542" s="76"/>
      <c r="O2542" s="76"/>
      <c r="P2542" s="76"/>
      <c r="Q2542" s="76"/>
      <c r="R2542" s="76"/>
      <c r="Z2542" s="70"/>
      <c r="AA2542" s="70"/>
      <c r="AB2542" s="70"/>
      <c r="AC2542" s="70"/>
    </row>
    <row r="2543" spans="1:29" s="26" customFormat="1" x14ac:dyDescent="0.3">
      <c r="A2543" s="25" t="s">
        <v>9249</v>
      </c>
      <c r="B2543" s="25"/>
      <c r="C2543" s="26" t="s">
        <v>3005</v>
      </c>
      <c r="D2543" s="70"/>
      <c r="G2543" s="70" t="s">
        <v>1883</v>
      </c>
      <c r="H2543" s="26">
        <v>-1</v>
      </c>
      <c r="I2543" s="70" t="s">
        <v>9250</v>
      </c>
      <c r="J2543" s="26" t="s">
        <v>9251</v>
      </c>
      <c r="K2543" s="26" t="s">
        <v>9252</v>
      </c>
      <c r="L2543" s="26" t="s">
        <v>11205</v>
      </c>
      <c r="M2543" s="76"/>
      <c r="N2543" s="76"/>
      <c r="O2543" s="76"/>
      <c r="P2543" s="76"/>
      <c r="Q2543" s="76"/>
      <c r="R2543" s="76"/>
      <c r="Z2543" s="70"/>
      <c r="AA2543" s="70"/>
      <c r="AB2543" s="70"/>
      <c r="AC2543" s="70"/>
    </row>
    <row r="2544" spans="1:29" s="26" customFormat="1" x14ac:dyDescent="0.3">
      <c r="A2544" s="25" t="s">
        <v>9253</v>
      </c>
      <c r="B2544" s="25"/>
      <c r="C2544" s="26" t="s">
        <v>3005</v>
      </c>
      <c r="D2544" s="70"/>
      <c r="G2544" s="70" t="s">
        <v>1883</v>
      </c>
      <c r="H2544" s="26">
        <v>-1</v>
      </c>
      <c r="I2544" s="70" t="s">
        <v>9254</v>
      </c>
      <c r="J2544" s="26" t="s">
        <v>9255</v>
      </c>
      <c r="K2544" s="26" t="s">
        <v>9256</v>
      </c>
      <c r="M2544" s="76"/>
      <c r="N2544" s="76"/>
      <c r="O2544" s="76"/>
      <c r="P2544" s="76"/>
      <c r="Q2544" s="76"/>
      <c r="R2544" s="76"/>
      <c r="Z2544" s="70"/>
      <c r="AA2544" s="70"/>
      <c r="AB2544" s="70"/>
      <c r="AC2544" s="70"/>
    </row>
    <row r="2545" spans="1:31" s="26" customFormat="1" x14ac:dyDescent="0.3">
      <c r="A2545" s="25" t="s">
        <v>9257</v>
      </c>
      <c r="B2545" s="25"/>
      <c r="C2545" s="26" t="s">
        <v>3005</v>
      </c>
      <c r="D2545" s="70"/>
      <c r="G2545" s="70" t="s">
        <v>1883</v>
      </c>
      <c r="H2545" s="26">
        <v>-1</v>
      </c>
      <c r="I2545" s="70" t="s">
        <v>9258</v>
      </c>
      <c r="J2545" s="26" t="s">
        <v>5446</v>
      </c>
      <c r="K2545" s="26" t="s">
        <v>9259</v>
      </c>
      <c r="L2545" s="26" t="s">
        <v>11206</v>
      </c>
      <c r="M2545" s="76"/>
      <c r="N2545" s="76"/>
      <c r="O2545" s="76"/>
      <c r="P2545" s="76"/>
      <c r="Q2545" s="76"/>
      <c r="R2545" s="76"/>
      <c r="Z2545" s="70"/>
      <c r="AA2545" s="70"/>
      <c r="AB2545" s="70"/>
      <c r="AC2545" s="70"/>
    </row>
    <row r="2546" spans="1:31" s="26" customFormat="1" x14ac:dyDescent="0.3">
      <c r="A2546" s="25" t="s">
        <v>9260</v>
      </c>
      <c r="B2546" s="25"/>
      <c r="C2546" s="26" t="s">
        <v>3005</v>
      </c>
      <c r="D2546" s="70"/>
      <c r="G2546" s="70" t="s">
        <v>1883</v>
      </c>
      <c r="H2546" s="26">
        <v>-1</v>
      </c>
      <c r="I2546" s="70" t="s">
        <v>9261</v>
      </c>
      <c r="J2546" s="26" t="s">
        <v>3907</v>
      </c>
      <c r="K2546" s="26" t="s">
        <v>9262</v>
      </c>
      <c r="L2546" s="26" t="s">
        <v>11207</v>
      </c>
      <c r="M2546" s="76"/>
      <c r="N2546" s="76"/>
      <c r="O2546" s="76"/>
      <c r="P2546" s="76"/>
      <c r="Q2546" s="76"/>
      <c r="R2546" s="76"/>
      <c r="Z2546" s="70"/>
      <c r="AA2546" s="70"/>
      <c r="AB2546" s="70"/>
      <c r="AC2546" s="70"/>
    </row>
    <row r="2547" spans="1:31" s="26" customFormat="1" x14ac:dyDescent="0.3">
      <c r="A2547" s="25" t="s">
        <v>9263</v>
      </c>
      <c r="B2547" s="25"/>
      <c r="C2547" s="26" t="s">
        <v>3005</v>
      </c>
      <c r="D2547" s="70"/>
      <c r="G2547" s="70" t="s">
        <v>1883</v>
      </c>
      <c r="H2547" s="26">
        <v>-1</v>
      </c>
      <c r="I2547" s="70" t="s">
        <v>9264</v>
      </c>
      <c r="J2547" s="26" t="s">
        <v>9232</v>
      </c>
      <c r="K2547" s="26" t="s">
        <v>9265</v>
      </c>
      <c r="L2547" s="26" t="s">
        <v>11208</v>
      </c>
      <c r="M2547" s="76"/>
      <c r="N2547" s="76"/>
      <c r="O2547" s="76"/>
      <c r="P2547" s="76"/>
      <c r="Q2547" s="76"/>
      <c r="R2547" s="76"/>
      <c r="Z2547" s="70"/>
      <c r="AA2547" s="70"/>
      <c r="AB2547" s="70"/>
      <c r="AC2547" s="70"/>
    </row>
    <row r="2548" spans="1:31" s="26" customFormat="1" x14ac:dyDescent="0.3">
      <c r="A2548" s="25" t="s">
        <v>9266</v>
      </c>
      <c r="B2548" s="25"/>
      <c r="C2548" s="26" t="s">
        <v>3005</v>
      </c>
      <c r="D2548" s="70"/>
      <c r="G2548" s="70" t="s">
        <v>1883</v>
      </c>
      <c r="H2548" s="26">
        <v>-1</v>
      </c>
      <c r="I2548" s="70" t="s">
        <v>9267</v>
      </c>
      <c r="J2548" s="26" t="s">
        <v>5280</v>
      </c>
      <c r="K2548" s="26" t="s">
        <v>9268</v>
      </c>
      <c r="L2548" s="26" t="s">
        <v>11209</v>
      </c>
      <c r="M2548" s="76"/>
      <c r="N2548" s="76"/>
      <c r="O2548" s="76"/>
      <c r="P2548" s="76"/>
      <c r="Q2548" s="76"/>
      <c r="R2548" s="76"/>
      <c r="Z2548" s="70"/>
      <c r="AA2548" s="70"/>
      <c r="AB2548" s="70"/>
      <c r="AC2548" s="70"/>
    </row>
    <row r="2549" spans="1:31" s="26" customFormat="1" x14ac:dyDescent="0.3">
      <c r="A2549" s="25" t="s">
        <v>9269</v>
      </c>
      <c r="B2549" s="25"/>
      <c r="C2549" s="26" t="s">
        <v>3005</v>
      </c>
      <c r="D2549" s="70"/>
      <c r="G2549" s="70" t="s">
        <v>1883</v>
      </c>
      <c r="H2549" s="26">
        <v>-1</v>
      </c>
      <c r="I2549" s="70" t="s">
        <v>3463</v>
      </c>
      <c r="J2549" s="26" t="s">
        <v>4201</v>
      </c>
      <c r="K2549" s="26" t="s">
        <v>3465</v>
      </c>
      <c r="L2549" s="26" t="s">
        <v>11210</v>
      </c>
      <c r="M2549" s="76"/>
      <c r="N2549" s="76"/>
      <c r="O2549" s="76"/>
      <c r="P2549" s="76"/>
      <c r="Q2549" s="76"/>
      <c r="R2549" s="76"/>
      <c r="Z2549" s="70"/>
      <c r="AA2549" s="70"/>
      <c r="AB2549" s="70"/>
      <c r="AC2549" s="70"/>
    </row>
    <row r="2550" spans="1:31" s="26" customFormat="1" x14ac:dyDescent="0.3">
      <c r="A2550" s="25" t="s">
        <v>9270</v>
      </c>
      <c r="B2550" s="25"/>
      <c r="C2550" s="26" t="s">
        <v>3005</v>
      </c>
      <c r="D2550" s="70"/>
      <c r="G2550" s="70" t="s">
        <v>1883</v>
      </c>
      <c r="H2550" s="26">
        <v>-1</v>
      </c>
      <c r="I2550" s="70" t="s">
        <v>9271</v>
      </c>
      <c r="J2550" s="26" t="s">
        <v>9272</v>
      </c>
      <c r="K2550" s="26" t="s">
        <v>3401</v>
      </c>
      <c r="L2550" s="26" t="s">
        <v>11211</v>
      </c>
      <c r="M2550" s="76"/>
      <c r="N2550" s="76"/>
      <c r="O2550" s="76"/>
      <c r="P2550" s="76"/>
      <c r="Q2550" s="76"/>
      <c r="R2550" s="76"/>
      <c r="Z2550" s="70"/>
      <c r="AA2550" s="70"/>
      <c r="AB2550" s="70"/>
      <c r="AC2550" s="70"/>
    </row>
    <row r="2551" spans="1:31" s="24" customFormat="1" x14ac:dyDescent="0.3">
      <c r="A2551" s="23">
        <v>655</v>
      </c>
      <c r="B2551" s="23">
        <v>650</v>
      </c>
      <c r="C2551" s="24" t="s">
        <v>2165</v>
      </c>
      <c r="D2551" s="69" t="s">
        <v>1870</v>
      </c>
      <c r="E2551" s="24" t="s">
        <v>1869</v>
      </c>
      <c r="F2551" s="24" t="s">
        <v>1885</v>
      </c>
      <c r="G2551" s="69" t="s">
        <v>1886</v>
      </c>
      <c r="H2551" s="24">
        <v>2</v>
      </c>
      <c r="I2551" s="69"/>
      <c r="J2551" s="24" t="s">
        <v>9273</v>
      </c>
      <c r="K2551" s="24" t="s">
        <v>68</v>
      </c>
      <c r="M2551" s="75" t="s">
        <v>65</v>
      </c>
      <c r="N2551" s="75" t="s">
        <v>2025</v>
      </c>
      <c r="O2551" s="75" t="s">
        <v>58</v>
      </c>
      <c r="P2551" s="75" t="s">
        <v>58</v>
      </c>
      <c r="Q2551" s="75" t="s">
        <v>130</v>
      </c>
      <c r="R2551" s="75"/>
      <c r="W2551" s="24" t="s">
        <v>2971</v>
      </c>
      <c r="Z2551" s="69"/>
      <c r="AA2551" s="69"/>
      <c r="AB2551" s="69"/>
      <c r="AC2551" s="69" t="s">
        <v>11435</v>
      </c>
    </row>
    <row r="2552" spans="1:31" s="26" customFormat="1" x14ac:dyDescent="0.3">
      <c r="A2552" s="25" t="s">
        <v>9274</v>
      </c>
      <c r="B2552" s="25"/>
      <c r="C2552" s="26" t="s">
        <v>3005</v>
      </c>
      <c r="D2552" s="70"/>
      <c r="G2552" s="70" t="s">
        <v>1886</v>
      </c>
      <c r="H2552" s="26">
        <v>1</v>
      </c>
      <c r="I2552" s="70" t="s">
        <v>7858</v>
      </c>
      <c r="J2552" s="26" t="s">
        <v>5478</v>
      </c>
      <c r="K2552" s="26" t="s">
        <v>7859</v>
      </c>
      <c r="L2552" s="26" t="s">
        <v>11212</v>
      </c>
      <c r="M2552" s="76"/>
      <c r="N2552" s="76"/>
      <c r="O2552" s="76"/>
      <c r="P2552" s="76"/>
      <c r="Q2552" s="76"/>
      <c r="R2552" s="76"/>
      <c r="Z2552" s="70"/>
      <c r="AA2552" s="70"/>
      <c r="AB2552" s="70"/>
      <c r="AC2552" s="70"/>
    </row>
    <row r="2553" spans="1:31" s="26" customFormat="1" x14ac:dyDescent="0.3">
      <c r="A2553" s="25" t="s">
        <v>9275</v>
      </c>
      <c r="B2553" s="25"/>
      <c r="C2553" s="26" t="s">
        <v>3005</v>
      </c>
      <c r="D2553" s="70"/>
      <c r="G2553" s="70" t="s">
        <v>1886</v>
      </c>
      <c r="H2553" s="26">
        <v>1</v>
      </c>
      <c r="I2553" s="70" t="s">
        <v>9276</v>
      </c>
      <c r="J2553" s="26" t="s">
        <v>9273</v>
      </c>
      <c r="K2553" s="26" t="s">
        <v>9277</v>
      </c>
      <c r="L2553" s="26" t="s">
        <v>11213</v>
      </c>
      <c r="M2553" s="76"/>
      <c r="N2553" s="76"/>
      <c r="O2553" s="76"/>
      <c r="P2553" s="76"/>
      <c r="Q2553" s="76"/>
      <c r="R2553" s="76"/>
      <c r="Z2553" s="70"/>
      <c r="AA2553" s="70"/>
      <c r="AB2553" s="70"/>
      <c r="AC2553" s="70"/>
    </row>
    <row r="2554" spans="1:31" s="24" customFormat="1" x14ac:dyDescent="0.3">
      <c r="A2554" s="23">
        <v>656</v>
      </c>
      <c r="B2554" s="23">
        <v>651</v>
      </c>
      <c r="C2554" s="24" t="s">
        <v>2165</v>
      </c>
      <c r="D2554" s="69" t="s">
        <v>1870</v>
      </c>
      <c r="E2554" s="24" t="s">
        <v>1869</v>
      </c>
      <c r="F2554" s="24" t="s">
        <v>1887</v>
      </c>
      <c r="G2554" s="69" t="s">
        <v>1888</v>
      </c>
      <c r="H2554" s="24">
        <v>3</v>
      </c>
      <c r="I2554" s="69"/>
      <c r="J2554" s="24" t="s">
        <v>4248</v>
      </c>
      <c r="K2554" s="24" t="s">
        <v>68</v>
      </c>
      <c r="M2554" s="75" t="s">
        <v>65</v>
      </c>
      <c r="N2554" s="75" t="s">
        <v>2025</v>
      </c>
      <c r="O2554" s="75" t="s">
        <v>58</v>
      </c>
      <c r="P2554" s="75" t="s">
        <v>58</v>
      </c>
      <c r="Q2554" s="75" t="s">
        <v>130</v>
      </c>
      <c r="R2554" s="75"/>
      <c r="Z2554" s="69"/>
      <c r="AA2554" s="69"/>
      <c r="AB2554" s="69"/>
      <c r="AC2554" s="69"/>
    </row>
    <row r="2555" spans="1:31" s="26" customFormat="1" x14ac:dyDescent="0.3">
      <c r="A2555" s="25" t="s">
        <v>9278</v>
      </c>
      <c r="B2555" s="25"/>
      <c r="C2555" s="26" t="s">
        <v>3005</v>
      </c>
      <c r="D2555" s="70"/>
      <c r="G2555" s="70" t="s">
        <v>1888</v>
      </c>
      <c r="H2555" s="26">
        <v>1</v>
      </c>
      <c r="I2555" s="70" t="s">
        <v>6499</v>
      </c>
      <c r="J2555" s="26" t="s">
        <v>6909</v>
      </c>
      <c r="K2555" s="26" t="s">
        <v>6501</v>
      </c>
      <c r="L2555" s="26" t="s">
        <v>11214</v>
      </c>
      <c r="M2555" s="76"/>
      <c r="N2555" s="76"/>
      <c r="O2555" s="76"/>
      <c r="P2555" s="76"/>
      <c r="Q2555" s="76"/>
      <c r="R2555" s="76"/>
      <c r="Z2555" s="70"/>
      <c r="AA2555" s="70"/>
      <c r="AB2555" s="70"/>
      <c r="AC2555" s="70"/>
    </row>
    <row r="2556" spans="1:31" s="26" customFormat="1" x14ac:dyDescent="0.3">
      <c r="A2556" s="25" t="s">
        <v>9279</v>
      </c>
      <c r="B2556" s="25"/>
      <c r="C2556" s="26" t="s">
        <v>3005</v>
      </c>
      <c r="D2556" s="70"/>
      <c r="G2556" s="70" t="s">
        <v>1888</v>
      </c>
      <c r="H2556" s="26">
        <v>1</v>
      </c>
      <c r="I2556" s="70" t="s">
        <v>9280</v>
      </c>
      <c r="J2556" s="26" t="s">
        <v>4248</v>
      </c>
      <c r="K2556" s="26" t="s">
        <v>9281</v>
      </c>
      <c r="L2556" s="26" t="s">
        <v>9929</v>
      </c>
      <c r="M2556" s="76"/>
      <c r="N2556" s="76"/>
      <c r="O2556" s="76"/>
      <c r="P2556" s="76"/>
      <c r="Q2556" s="76"/>
      <c r="R2556" s="76"/>
      <c r="Z2556" s="70"/>
      <c r="AA2556" s="70"/>
      <c r="AB2556" s="70"/>
      <c r="AC2556" s="70"/>
    </row>
    <row r="2557" spans="1:31" s="26" customFormat="1" x14ac:dyDescent="0.3">
      <c r="A2557" s="25" t="s">
        <v>9282</v>
      </c>
      <c r="B2557" s="25"/>
      <c r="C2557" s="26" t="s">
        <v>3005</v>
      </c>
      <c r="D2557" s="70"/>
      <c r="G2557" s="70" t="s">
        <v>1888</v>
      </c>
      <c r="H2557" s="26">
        <v>1</v>
      </c>
      <c r="I2557" s="70" t="s">
        <v>9283</v>
      </c>
      <c r="J2557" s="26" t="s">
        <v>9284</v>
      </c>
      <c r="K2557" s="26" t="s">
        <v>7862</v>
      </c>
      <c r="M2557" s="76"/>
      <c r="N2557" s="76"/>
      <c r="O2557" s="76"/>
      <c r="P2557" s="76"/>
      <c r="Q2557" s="76"/>
      <c r="R2557" s="76"/>
      <c r="T2557" s="26" t="s">
        <v>2254</v>
      </c>
      <c r="Z2557" s="70"/>
      <c r="AA2557" s="70"/>
      <c r="AB2557" s="70"/>
      <c r="AC2557" s="70"/>
      <c r="AE2557" s="26" t="s">
        <v>9285</v>
      </c>
    </row>
    <row r="2558" spans="1:31" s="24" customFormat="1" x14ac:dyDescent="0.3">
      <c r="A2558" s="23">
        <v>657</v>
      </c>
      <c r="B2558" s="23">
        <v>652</v>
      </c>
      <c r="C2558" s="24" t="s">
        <v>2165</v>
      </c>
      <c r="D2558" s="69" t="s">
        <v>1870</v>
      </c>
      <c r="E2558" s="24" t="s">
        <v>1869</v>
      </c>
      <c r="F2558" s="24" t="s">
        <v>1889</v>
      </c>
      <c r="G2558" s="69" t="s">
        <v>1890</v>
      </c>
      <c r="I2558" s="69"/>
      <c r="J2558" s="24" t="s">
        <v>9284</v>
      </c>
      <c r="K2558" s="24" t="s">
        <v>68</v>
      </c>
      <c r="L2558" s="24" t="s">
        <v>9929</v>
      </c>
      <c r="M2558" s="75" t="s">
        <v>65</v>
      </c>
      <c r="N2558" s="75" t="s">
        <v>2025</v>
      </c>
      <c r="O2558" s="75" t="s">
        <v>58</v>
      </c>
      <c r="P2558" s="75" t="s">
        <v>58</v>
      </c>
      <c r="Q2558" s="75" t="s">
        <v>66</v>
      </c>
      <c r="R2558" s="75"/>
      <c r="Z2558" s="69"/>
      <c r="AA2558" s="69"/>
      <c r="AB2558" s="69"/>
      <c r="AC2558" s="69"/>
    </row>
    <row r="2559" spans="1:31" s="24" customFormat="1" x14ac:dyDescent="0.3">
      <c r="A2559" s="23">
        <v>658</v>
      </c>
      <c r="B2559" s="23">
        <v>653</v>
      </c>
      <c r="C2559" s="24" t="s">
        <v>2165</v>
      </c>
      <c r="D2559" s="69" t="s">
        <v>1870</v>
      </c>
      <c r="E2559" s="24" t="s">
        <v>1869</v>
      </c>
      <c r="F2559" s="24" t="s">
        <v>1891</v>
      </c>
      <c r="G2559" s="69" t="s">
        <v>1892</v>
      </c>
      <c r="I2559" s="69"/>
      <c r="J2559" s="24" t="s">
        <v>9286</v>
      </c>
      <c r="K2559" s="24" t="s">
        <v>1893</v>
      </c>
      <c r="M2559" s="75" t="s">
        <v>65</v>
      </c>
      <c r="N2559" s="75" t="s">
        <v>2019</v>
      </c>
      <c r="O2559" s="75"/>
      <c r="P2559" s="75"/>
      <c r="Q2559" s="75"/>
      <c r="R2559" s="75"/>
      <c r="T2559" s="24" t="s">
        <v>2200</v>
      </c>
      <c r="Z2559" s="69"/>
      <c r="AA2559" s="69"/>
      <c r="AB2559" s="69"/>
      <c r="AC2559" s="69"/>
      <c r="AE2559" s="24" t="s">
        <v>2972</v>
      </c>
    </row>
    <row r="2560" spans="1:31" s="24" customFormat="1" x14ac:dyDescent="0.3">
      <c r="A2560" s="23">
        <v>659</v>
      </c>
      <c r="B2560" s="23">
        <v>654</v>
      </c>
      <c r="C2560" s="24" t="s">
        <v>2165</v>
      </c>
      <c r="D2560" s="69" t="s">
        <v>1870</v>
      </c>
      <c r="E2560" s="24" t="s">
        <v>1869</v>
      </c>
      <c r="F2560" s="24" t="s">
        <v>1894</v>
      </c>
      <c r="G2560" s="69" t="s">
        <v>1895</v>
      </c>
      <c r="H2560" s="24">
        <v>2</v>
      </c>
      <c r="I2560" s="69"/>
      <c r="J2560" s="24" t="s">
        <v>5303</v>
      </c>
      <c r="K2560" s="24" t="s">
        <v>1896</v>
      </c>
      <c r="M2560" s="75" t="s">
        <v>65</v>
      </c>
      <c r="N2560" s="75" t="s">
        <v>2022</v>
      </c>
      <c r="O2560" s="75"/>
      <c r="P2560" s="75"/>
      <c r="Q2560" s="75" t="s">
        <v>130</v>
      </c>
      <c r="R2560" s="75"/>
      <c r="T2560" s="24" t="s">
        <v>2179</v>
      </c>
      <c r="V2560" s="24" t="s">
        <v>1891</v>
      </c>
      <c r="Z2560" s="69"/>
      <c r="AA2560" s="69"/>
      <c r="AB2560" s="69"/>
      <c r="AC2560" s="69"/>
      <c r="AE2560" s="24" t="s">
        <v>2973</v>
      </c>
    </row>
    <row r="2561" spans="1:31" s="26" customFormat="1" x14ac:dyDescent="0.3">
      <c r="A2561" s="25" t="s">
        <v>9287</v>
      </c>
      <c r="B2561" s="25"/>
      <c r="C2561" s="26" t="s">
        <v>3005</v>
      </c>
      <c r="D2561" s="70"/>
      <c r="G2561" s="70" t="s">
        <v>1895</v>
      </c>
      <c r="H2561" s="26">
        <v>1</v>
      </c>
      <c r="I2561" s="70" t="s">
        <v>9288</v>
      </c>
      <c r="J2561" s="26" t="s">
        <v>5303</v>
      </c>
      <c r="K2561" s="26" t="s">
        <v>9289</v>
      </c>
      <c r="L2561" s="26" t="s">
        <v>11215</v>
      </c>
      <c r="M2561" s="76"/>
      <c r="N2561" s="76"/>
      <c r="O2561" s="76"/>
      <c r="P2561" s="76"/>
      <c r="Q2561" s="76"/>
      <c r="R2561" s="76"/>
      <c r="Z2561" s="70"/>
      <c r="AA2561" s="70"/>
      <c r="AB2561" s="70"/>
      <c r="AC2561" s="70"/>
    </row>
    <row r="2562" spans="1:31" s="26" customFormat="1" x14ac:dyDescent="0.3">
      <c r="A2562" s="25" t="s">
        <v>9290</v>
      </c>
      <c r="B2562" s="25"/>
      <c r="C2562" s="26" t="s">
        <v>3005</v>
      </c>
      <c r="D2562" s="70"/>
      <c r="G2562" s="70" t="s">
        <v>1895</v>
      </c>
      <c r="H2562" s="26">
        <v>1</v>
      </c>
      <c r="I2562" s="70" t="s">
        <v>9291</v>
      </c>
      <c r="J2562" s="26" t="s">
        <v>9292</v>
      </c>
      <c r="K2562" s="26" t="s">
        <v>9293</v>
      </c>
      <c r="L2562" s="26" t="s">
        <v>11216</v>
      </c>
      <c r="M2562" s="76"/>
      <c r="N2562" s="76"/>
      <c r="O2562" s="76"/>
      <c r="P2562" s="76"/>
      <c r="Q2562" s="76"/>
      <c r="R2562" s="76"/>
      <c r="Z2562" s="70"/>
      <c r="AA2562" s="70"/>
      <c r="AB2562" s="70"/>
      <c r="AC2562" s="70"/>
    </row>
    <row r="2563" spans="1:31" s="24" customFormat="1" x14ac:dyDescent="0.3">
      <c r="A2563" s="23">
        <v>660</v>
      </c>
      <c r="B2563" s="23">
        <v>655</v>
      </c>
      <c r="C2563" s="24" t="s">
        <v>2165</v>
      </c>
      <c r="D2563" s="69" t="s">
        <v>1870</v>
      </c>
      <c r="E2563" s="24" t="s">
        <v>1869</v>
      </c>
      <c r="F2563" s="24" t="s">
        <v>1897</v>
      </c>
      <c r="G2563" s="69" t="s">
        <v>1898</v>
      </c>
      <c r="I2563" s="69"/>
      <c r="J2563" s="24" t="s">
        <v>9062</v>
      </c>
      <c r="K2563" s="24" t="s">
        <v>1059</v>
      </c>
      <c r="L2563" s="24" t="s">
        <v>9930</v>
      </c>
      <c r="M2563" s="75" t="s">
        <v>65</v>
      </c>
      <c r="N2563" s="75" t="s">
        <v>2020</v>
      </c>
      <c r="O2563" s="75"/>
      <c r="P2563" s="75"/>
      <c r="Q2563" s="75"/>
      <c r="R2563" s="75"/>
      <c r="Z2563" s="69"/>
      <c r="AA2563" s="69"/>
      <c r="AB2563" s="69"/>
      <c r="AC2563" s="69"/>
    </row>
    <row r="2564" spans="1:31" s="24" customFormat="1" x14ac:dyDescent="0.3">
      <c r="A2564" s="23">
        <v>661</v>
      </c>
      <c r="B2564" s="23">
        <v>656</v>
      </c>
      <c r="C2564" s="24" t="s">
        <v>2165</v>
      </c>
      <c r="D2564" s="69" t="s">
        <v>1870</v>
      </c>
      <c r="E2564" s="24" t="s">
        <v>1869</v>
      </c>
      <c r="F2564" s="24" t="s">
        <v>1899</v>
      </c>
      <c r="G2564" s="69" t="s">
        <v>1900</v>
      </c>
      <c r="I2564" s="69"/>
      <c r="J2564" s="24" t="s">
        <v>5523</v>
      </c>
      <c r="K2564" s="24" t="s">
        <v>895</v>
      </c>
      <c r="L2564" s="24" t="s">
        <v>9931</v>
      </c>
      <c r="M2564" s="75" t="s">
        <v>65</v>
      </c>
      <c r="N2564" s="75" t="s">
        <v>2017</v>
      </c>
      <c r="O2564" s="75" t="s">
        <v>732</v>
      </c>
      <c r="P2564" s="75"/>
      <c r="Q2564" s="75"/>
      <c r="R2564" s="75"/>
      <c r="T2564" s="24" t="s">
        <v>2179</v>
      </c>
      <c r="V2564" s="24" t="s">
        <v>1897</v>
      </c>
      <c r="W2564" s="24" t="s">
        <v>2974</v>
      </c>
      <c r="Z2564" s="69"/>
      <c r="AA2564" s="69"/>
      <c r="AB2564" s="69"/>
      <c r="AC2564" s="69"/>
      <c r="AE2564" s="24" t="s">
        <v>2975</v>
      </c>
    </row>
    <row r="2565" spans="1:31" s="24" customFormat="1" x14ac:dyDescent="0.3">
      <c r="A2565" s="23">
        <v>662</v>
      </c>
      <c r="B2565" s="23">
        <v>657</v>
      </c>
      <c r="C2565" s="24" t="s">
        <v>2165</v>
      </c>
      <c r="D2565" s="69" t="s">
        <v>1870</v>
      </c>
      <c r="E2565" s="24" t="s">
        <v>1869</v>
      </c>
      <c r="F2565" s="24" t="s">
        <v>1901</v>
      </c>
      <c r="G2565" s="69" t="s">
        <v>1902</v>
      </c>
      <c r="I2565" s="69"/>
      <c r="J2565" s="24" t="s">
        <v>6305</v>
      </c>
      <c r="K2565" s="24" t="s">
        <v>1903</v>
      </c>
      <c r="L2565" s="24" t="s">
        <v>9932</v>
      </c>
      <c r="M2565" s="75" t="s">
        <v>65</v>
      </c>
      <c r="N2565" s="75" t="s">
        <v>2036</v>
      </c>
      <c r="O2565" s="75" t="s">
        <v>732</v>
      </c>
      <c r="P2565" s="75"/>
      <c r="Q2565" s="75" t="s">
        <v>130</v>
      </c>
      <c r="R2565" s="75"/>
      <c r="T2565" s="24" t="s">
        <v>2179</v>
      </c>
      <c r="V2565" s="24" t="s">
        <v>1897</v>
      </c>
      <c r="Z2565" s="69"/>
      <c r="AA2565" s="69"/>
      <c r="AB2565" s="69"/>
      <c r="AC2565" s="69"/>
      <c r="AE2565" s="24" t="s">
        <v>2976</v>
      </c>
    </row>
    <row r="2566" spans="1:31" s="24" customFormat="1" x14ac:dyDescent="0.3">
      <c r="A2566" s="23">
        <v>663</v>
      </c>
      <c r="B2566" s="23">
        <v>658</v>
      </c>
      <c r="C2566" s="24" t="s">
        <v>2165</v>
      </c>
      <c r="D2566" s="69" t="s">
        <v>1870</v>
      </c>
      <c r="E2566" s="24" t="s">
        <v>1869</v>
      </c>
      <c r="F2566" s="24" t="s">
        <v>1904</v>
      </c>
      <c r="G2566" s="69" t="s">
        <v>1905</v>
      </c>
      <c r="I2566" s="69"/>
      <c r="J2566" s="24" t="s">
        <v>9062</v>
      </c>
      <c r="K2566" s="24" t="s">
        <v>68</v>
      </c>
      <c r="L2566" s="24" t="s">
        <v>9933</v>
      </c>
      <c r="M2566" s="75" t="s">
        <v>65</v>
      </c>
      <c r="N2566" s="75" t="s">
        <v>2030</v>
      </c>
      <c r="O2566" s="75"/>
      <c r="P2566" s="75"/>
      <c r="Q2566" s="75"/>
      <c r="R2566" s="75"/>
      <c r="Z2566" s="69"/>
      <c r="AA2566" s="69"/>
      <c r="AB2566" s="69"/>
      <c r="AC2566" s="69"/>
    </row>
    <row r="2567" spans="1:31" s="24" customFormat="1" x14ac:dyDescent="0.3">
      <c r="A2567" s="23">
        <v>664</v>
      </c>
      <c r="B2567" s="23">
        <v>659</v>
      </c>
      <c r="C2567" s="24" t="s">
        <v>2165</v>
      </c>
      <c r="D2567" s="69" t="s">
        <v>1870</v>
      </c>
      <c r="E2567" s="24" t="s">
        <v>1869</v>
      </c>
      <c r="F2567" s="24" t="s">
        <v>1906</v>
      </c>
      <c r="G2567" s="69" t="s">
        <v>1907</v>
      </c>
      <c r="H2567" s="24">
        <v>6</v>
      </c>
      <c r="I2567" s="69"/>
      <c r="J2567" s="24" t="s">
        <v>5181</v>
      </c>
      <c r="K2567" s="24" t="s">
        <v>68</v>
      </c>
      <c r="M2567" s="75" t="s">
        <v>65</v>
      </c>
      <c r="N2567" s="75" t="s">
        <v>2015</v>
      </c>
      <c r="O2567" s="75"/>
      <c r="P2567" s="75"/>
      <c r="Q2567" s="75"/>
      <c r="R2567" s="75"/>
      <c r="V2567" s="24" t="s">
        <v>1904</v>
      </c>
      <c r="Z2567" s="69"/>
      <c r="AA2567" s="69"/>
      <c r="AB2567" s="69"/>
      <c r="AC2567" s="69"/>
    </row>
    <row r="2568" spans="1:31" s="26" customFormat="1" x14ac:dyDescent="0.3">
      <c r="A2568" s="25" t="s">
        <v>9294</v>
      </c>
      <c r="B2568" s="25"/>
      <c r="C2568" s="26" t="s">
        <v>3005</v>
      </c>
      <c r="D2568" s="70"/>
      <c r="G2568" s="70" t="s">
        <v>1907</v>
      </c>
      <c r="H2568" s="26">
        <v>1</v>
      </c>
      <c r="I2568" s="70" t="s">
        <v>9295</v>
      </c>
      <c r="J2568" s="26" t="s">
        <v>6963</v>
      </c>
      <c r="K2568" s="26" t="s">
        <v>6295</v>
      </c>
      <c r="L2568" s="26" t="s">
        <v>9884</v>
      </c>
      <c r="M2568" s="76"/>
      <c r="N2568" s="76"/>
      <c r="O2568" s="76"/>
      <c r="P2568" s="76"/>
      <c r="Q2568" s="76"/>
      <c r="R2568" s="76"/>
      <c r="Z2568" s="70"/>
      <c r="AA2568" s="70"/>
      <c r="AB2568" s="70"/>
      <c r="AC2568" s="70"/>
    </row>
    <row r="2569" spans="1:31" s="26" customFormat="1" x14ac:dyDescent="0.3">
      <c r="A2569" s="25" t="s">
        <v>9296</v>
      </c>
      <c r="B2569" s="25"/>
      <c r="C2569" s="26" t="s">
        <v>3005</v>
      </c>
      <c r="D2569" s="70"/>
      <c r="G2569" s="70" t="s">
        <v>1907</v>
      </c>
      <c r="H2569" s="26">
        <v>1</v>
      </c>
      <c r="I2569" s="70" t="s">
        <v>8208</v>
      </c>
      <c r="J2569" s="26" t="s">
        <v>5274</v>
      </c>
      <c r="K2569" s="26" t="s">
        <v>9297</v>
      </c>
      <c r="L2569" s="26" t="s">
        <v>11217</v>
      </c>
      <c r="M2569" s="76"/>
      <c r="N2569" s="76"/>
      <c r="O2569" s="76"/>
      <c r="P2569" s="76"/>
      <c r="Q2569" s="76"/>
      <c r="R2569" s="76"/>
      <c r="Z2569" s="70"/>
      <c r="AA2569" s="70"/>
      <c r="AB2569" s="70"/>
      <c r="AC2569" s="70"/>
    </row>
    <row r="2570" spans="1:31" s="26" customFormat="1" x14ac:dyDescent="0.3">
      <c r="A2570" s="25" t="s">
        <v>9298</v>
      </c>
      <c r="B2570" s="25"/>
      <c r="C2570" s="26" t="s">
        <v>3005</v>
      </c>
      <c r="D2570" s="70"/>
      <c r="G2570" s="70" t="s">
        <v>1907</v>
      </c>
      <c r="H2570" s="26">
        <v>1</v>
      </c>
      <c r="I2570" s="70" t="s">
        <v>9299</v>
      </c>
      <c r="J2570" s="26" t="s">
        <v>5559</v>
      </c>
      <c r="K2570" s="26" t="s">
        <v>9300</v>
      </c>
      <c r="L2570" s="26" t="s">
        <v>11218</v>
      </c>
      <c r="M2570" s="76"/>
      <c r="N2570" s="76"/>
      <c r="O2570" s="76"/>
      <c r="P2570" s="76"/>
      <c r="Q2570" s="76"/>
      <c r="R2570" s="76"/>
      <c r="Z2570" s="70"/>
      <c r="AA2570" s="70"/>
      <c r="AB2570" s="70"/>
      <c r="AC2570" s="70"/>
    </row>
    <row r="2571" spans="1:31" s="26" customFormat="1" x14ac:dyDescent="0.3">
      <c r="A2571" s="25" t="s">
        <v>9301</v>
      </c>
      <c r="B2571" s="25"/>
      <c r="C2571" s="26" t="s">
        <v>3005</v>
      </c>
      <c r="D2571" s="70"/>
      <c r="G2571" s="70" t="s">
        <v>1907</v>
      </c>
      <c r="H2571" s="26">
        <v>1</v>
      </c>
      <c r="I2571" s="70" t="s">
        <v>9302</v>
      </c>
      <c r="J2571" s="26" t="s">
        <v>5181</v>
      </c>
      <c r="K2571" s="26" t="s">
        <v>8196</v>
      </c>
      <c r="L2571" s="26" t="s">
        <v>11219</v>
      </c>
      <c r="M2571" s="76"/>
      <c r="N2571" s="76"/>
      <c r="O2571" s="76"/>
      <c r="P2571" s="76"/>
      <c r="Q2571" s="76"/>
      <c r="R2571" s="76"/>
      <c r="Z2571" s="70"/>
      <c r="AA2571" s="70"/>
      <c r="AB2571" s="70"/>
      <c r="AC2571" s="70"/>
    </row>
    <row r="2572" spans="1:31" s="26" customFormat="1" x14ac:dyDescent="0.3">
      <c r="A2572" s="25" t="s">
        <v>9303</v>
      </c>
      <c r="B2572" s="25"/>
      <c r="C2572" s="26" t="s">
        <v>3005</v>
      </c>
      <c r="D2572" s="70"/>
      <c r="G2572" s="70" t="s">
        <v>1907</v>
      </c>
      <c r="H2572" s="26">
        <v>1</v>
      </c>
      <c r="I2572" s="70" t="s">
        <v>9304</v>
      </c>
      <c r="J2572" s="26" t="s">
        <v>5274</v>
      </c>
      <c r="K2572" s="26" t="s">
        <v>6818</v>
      </c>
      <c r="L2572" s="26" t="s">
        <v>11220</v>
      </c>
      <c r="M2572" s="76"/>
      <c r="N2572" s="76"/>
      <c r="O2572" s="76"/>
      <c r="P2572" s="76"/>
      <c r="Q2572" s="76"/>
      <c r="R2572" s="76"/>
      <c r="Z2572" s="70"/>
      <c r="AA2572" s="70"/>
      <c r="AB2572" s="70"/>
      <c r="AC2572" s="70"/>
    </row>
    <row r="2573" spans="1:31" s="26" customFormat="1" x14ac:dyDescent="0.3">
      <c r="A2573" s="25" t="s">
        <v>9305</v>
      </c>
      <c r="B2573" s="25"/>
      <c r="C2573" s="26" t="s">
        <v>3005</v>
      </c>
      <c r="D2573" s="70"/>
      <c r="G2573" s="70" t="s">
        <v>1907</v>
      </c>
      <c r="H2573" s="26">
        <v>1</v>
      </c>
      <c r="I2573" s="70" t="s">
        <v>9306</v>
      </c>
      <c r="J2573" s="26" t="s">
        <v>5274</v>
      </c>
      <c r="K2573" s="26" t="s">
        <v>6043</v>
      </c>
      <c r="L2573" s="26" t="s">
        <v>11221</v>
      </c>
      <c r="M2573" s="76"/>
      <c r="N2573" s="76"/>
      <c r="O2573" s="76"/>
      <c r="P2573" s="76"/>
      <c r="Q2573" s="76"/>
      <c r="R2573" s="76"/>
      <c r="Z2573" s="70"/>
      <c r="AA2573" s="70"/>
      <c r="AB2573" s="70"/>
      <c r="AC2573" s="70"/>
    </row>
    <row r="2574" spans="1:31" s="24" customFormat="1" x14ac:dyDescent="0.3">
      <c r="A2574" s="23">
        <v>665</v>
      </c>
      <c r="B2574" s="23">
        <v>660</v>
      </c>
      <c r="C2574" s="24" t="s">
        <v>2165</v>
      </c>
      <c r="D2574" s="69" t="s">
        <v>1870</v>
      </c>
      <c r="E2574" s="24" t="s">
        <v>1869</v>
      </c>
      <c r="F2574" s="24" t="s">
        <v>1908</v>
      </c>
      <c r="G2574" s="69" t="s">
        <v>1909</v>
      </c>
      <c r="I2574" s="69"/>
      <c r="J2574" s="24" t="s">
        <v>9062</v>
      </c>
      <c r="K2574" s="24" t="s">
        <v>1128</v>
      </c>
      <c r="L2574" s="24" t="s">
        <v>9934</v>
      </c>
      <c r="M2574" s="75" t="s">
        <v>65</v>
      </c>
      <c r="N2574" s="75" t="s">
        <v>2015</v>
      </c>
      <c r="O2574" s="75"/>
      <c r="P2574" s="75"/>
      <c r="Q2574" s="75"/>
      <c r="R2574" s="75"/>
      <c r="T2574" s="24" t="s">
        <v>2179</v>
      </c>
      <c r="V2574" s="24" t="s">
        <v>2977</v>
      </c>
      <c r="Z2574" s="69"/>
      <c r="AA2574" s="69"/>
      <c r="AB2574" s="69"/>
      <c r="AC2574" s="69"/>
      <c r="AE2574" s="24" t="s">
        <v>2978</v>
      </c>
    </row>
    <row r="2575" spans="1:31" s="24" customFormat="1" x14ac:dyDescent="0.3">
      <c r="A2575" s="23">
        <v>666</v>
      </c>
      <c r="B2575" s="23">
        <v>661</v>
      </c>
      <c r="C2575" s="24" t="s">
        <v>2165</v>
      </c>
      <c r="D2575" s="69" t="s">
        <v>1870</v>
      </c>
      <c r="E2575" s="24" t="s">
        <v>1869</v>
      </c>
      <c r="F2575" s="24" t="s">
        <v>1910</v>
      </c>
      <c r="G2575" s="69" t="s">
        <v>1911</v>
      </c>
      <c r="H2575" s="24">
        <v>2</v>
      </c>
      <c r="I2575" s="69"/>
      <c r="J2575" s="24" t="s">
        <v>3137</v>
      </c>
      <c r="K2575" s="24" t="s">
        <v>68</v>
      </c>
      <c r="M2575" s="75" t="s">
        <v>65</v>
      </c>
      <c r="N2575" s="75" t="s">
        <v>2020</v>
      </c>
      <c r="O2575" s="75"/>
      <c r="P2575" s="75"/>
      <c r="Q2575" s="75"/>
      <c r="R2575" s="75"/>
      <c r="T2575" s="24" t="s">
        <v>2179</v>
      </c>
      <c r="V2575" s="24" t="s">
        <v>2979</v>
      </c>
      <c r="Z2575" s="69"/>
      <c r="AA2575" s="69"/>
      <c r="AB2575" s="69"/>
      <c r="AC2575" s="69"/>
      <c r="AE2575" s="24" t="s">
        <v>2980</v>
      </c>
    </row>
    <row r="2576" spans="1:31" s="26" customFormat="1" x14ac:dyDescent="0.3">
      <c r="A2576" s="25" t="s">
        <v>9307</v>
      </c>
      <c r="B2576" s="25"/>
      <c r="C2576" s="26" t="s">
        <v>3005</v>
      </c>
      <c r="D2576" s="70"/>
      <c r="G2576" s="70" t="s">
        <v>1911</v>
      </c>
      <c r="H2576" s="26">
        <v>1</v>
      </c>
      <c r="I2576" s="70" t="s">
        <v>9308</v>
      </c>
      <c r="J2576" s="26" t="s">
        <v>3137</v>
      </c>
      <c r="K2576" s="26" t="s">
        <v>9309</v>
      </c>
      <c r="L2576" s="26" t="s">
        <v>11222</v>
      </c>
      <c r="M2576" s="76"/>
      <c r="N2576" s="76"/>
      <c r="O2576" s="76"/>
      <c r="P2576" s="76"/>
      <c r="Q2576" s="76"/>
      <c r="R2576" s="76"/>
      <c r="Z2576" s="70"/>
      <c r="AA2576" s="70"/>
      <c r="AB2576" s="70"/>
      <c r="AC2576" s="70"/>
    </row>
    <row r="2577" spans="1:31" s="26" customFormat="1" x14ac:dyDescent="0.3">
      <c r="A2577" s="25" t="s">
        <v>9310</v>
      </c>
      <c r="B2577" s="25"/>
      <c r="C2577" s="26" t="s">
        <v>3005</v>
      </c>
      <c r="D2577" s="70"/>
      <c r="G2577" s="70" t="s">
        <v>1911</v>
      </c>
      <c r="H2577" s="26">
        <v>1</v>
      </c>
      <c r="I2577" s="70" t="s">
        <v>8981</v>
      </c>
      <c r="J2577" s="26" t="s">
        <v>5478</v>
      </c>
      <c r="K2577" s="26" t="s">
        <v>9311</v>
      </c>
      <c r="L2577" s="26" t="s">
        <v>11223</v>
      </c>
      <c r="M2577" s="76"/>
      <c r="N2577" s="76"/>
      <c r="O2577" s="76"/>
      <c r="P2577" s="76"/>
      <c r="Q2577" s="76"/>
      <c r="R2577" s="76"/>
      <c r="Z2577" s="70"/>
      <c r="AA2577" s="70"/>
      <c r="AB2577" s="70"/>
      <c r="AC2577" s="70"/>
    </row>
    <row r="2578" spans="1:31" s="24" customFormat="1" x14ac:dyDescent="0.3">
      <c r="A2578" s="23">
        <v>667</v>
      </c>
      <c r="B2578" s="23">
        <v>662</v>
      </c>
      <c r="C2578" s="24" t="s">
        <v>2165</v>
      </c>
      <c r="D2578" s="69" t="s">
        <v>1870</v>
      </c>
      <c r="E2578" s="24" t="s">
        <v>1869</v>
      </c>
      <c r="F2578" s="24" t="s">
        <v>1912</v>
      </c>
      <c r="G2578" s="69" t="s">
        <v>1913</v>
      </c>
      <c r="I2578" s="69"/>
      <c r="J2578" s="24" t="s">
        <v>9062</v>
      </c>
      <c r="K2578" s="24" t="s">
        <v>1914</v>
      </c>
      <c r="L2578" s="24" t="s">
        <v>9935</v>
      </c>
      <c r="M2578" s="75" t="s">
        <v>65</v>
      </c>
      <c r="N2578" s="75" t="s">
        <v>2016</v>
      </c>
      <c r="O2578" s="75"/>
      <c r="P2578" s="75"/>
      <c r="Q2578" s="75"/>
      <c r="R2578" s="75"/>
      <c r="T2578" s="24" t="s">
        <v>2179</v>
      </c>
      <c r="V2578" s="24" t="s">
        <v>2979</v>
      </c>
      <c r="Y2578" s="24" t="s">
        <v>2981</v>
      </c>
      <c r="Z2578" s="69"/>
      <c r="AA2578" s="69"/>
      <c r="AB2578" s="69"/>
      <c r="AC2578" s="69"/>
      <c r="AE2578" s="24" t="s">
        <v>2982</v>
      </c>
    </row>
    <row r="2579" spans="1:31" s="24" customFormat="1" x14ac:dyDescent="0.3">
      <c r="A2579" s="23">
        <v>668</v>
      </c>
      <c r="B2579" s="23">
        <v>663</v>
      </c>
      <c r="C2579" s="24" t="s">
        <v>2165</v>
      </c>
      <c r="D2579" s="69" t="s">
        <v>1870</v>
      </c>
      <c r="E2579" s="24" t="s">
        <v>1869</v>
      </c>
      <c r="F2579" s="24" t="s">
        <v>1915</v>
      </c>
      <c r="G2579" s="69" t="s">
        <v>1916</v>
      </c>
      <c r="H2579" s="24">
        <v>4</v>
      </c>
      <c r="I2579" s="69"/>
      <c r="J2579" s="24" t="s">
        <v>6168</v>
      </c>
      <c r="K2579" s="24" t="s">
        <v>68</v>
      </c>
      <c r="M2579" s="75" t="s">
        <v>65</v>
      </c>
      <c r="N2579" s="75" t="s">
        <v>2015</v>
      </c>
      <c r="O2579" s="75"/>
      <c r="P2579" s="75"/>
      <c r="Q2579" s="75"/>
      <c r="R2579" s="75"/>
      <c r="Z2579" s="69"/>
      <c r="AA2579" s="69"/>
      <c r="AB2579" s="69"/>
      <c r="AC2579" s="69"/>
    </row>
    <row r="2580" spans="1:31" s="26" customFormat="1" x14ac:dyDescent="0.3">
      <c r="A2580" s="25" t="s">
        <v>9312</v>
      </c>
      <c r="B2580" s="25"/>
      <c r="C2580" s="26" t="s">
        <v>3005</v>
      </c>
      <c r="D2580" s="70"/>
      <c r="G2580" s="70" t="s">
        <v>1916</v>
      </c>
      <c r="H2580" s="26">
        <v>1</v>
      </c>
      <c r="I2580" s="70" t="s">
        <v>7825</v>
      </c>
      <c r="J2580" s="26" t="s">
        <v>9313</v>
      </c>
      <c r="K2580" s="26" t="s">
        <v>4237</v>
      </c>
      <c r="L2580" s="26" t="s">
        <v>11224</v>
      </c>
      <c r="M2580" s="76"/>
      <c r="N2580" s="76"/>
      <c r="O2580" s="76"/>
      <c r="P2580" s="76"/>
      <c r="Q2580" s="76"/>
      <c r="R2580" s="76"/>
      <c r="Z2580" s="70"/>
      <c r="AA2580" s="70"/>
      <c r="AB2580" s="70"/>
      <c r="AC2580" s="70"/>
    </row>
    <row r="2581" spans="1:31" s="26" customFormat="1" x14ac:dyDescent="0.3">
      <c r="A2581" s="25" t="s">
        <v>9314</v>
      </c>
      <c r="B2581" s="25"/>
      <c r="C2581" s="26" t="s">
        <v>3005</v>
      </c>
      <c r="D2581" s="70"/>
      <c r="G2581" s="70" t="s">
        <v>1916</v>
      </c>
      <c r="H2581" s="26">
        <v>1</v>
      </c>
      <c r="I2581" s="70" t="s">
        <v>5319</v>
      </c>
      <c r="J2581" s="26" t="s">
        <v>5303</v>
      </c>
      <c r="K2581" s="26" t="s">
        <v>9315</v>
      </c>
      <c r="L2581" s="26" t="s">
        <v>11005</v>
      </c>
      <c r="M2581" s="76"/>
      <c r="N2581" s="76"/>
      <c r="O2581" s="76"/>
      <c r="P2581" s="76"/>
      <c r="Q2581" s="76"/>
      <c r="R2581" s="76"/>
      <c r="Z2581" s="70"/>
      <c r="AA2581" s="70"/>
      <c r="AB2581" s="70"/>
      <c r="AC2581" s="70"/>
    </row>
    <row r="2582" spans="1:31" s="26" customFormat="1" x14ac:dyDescent="0.3">
      <c r="A2582" s="25" t="s">
        <v>9316</v>
      </c>
      <c r="B2582" s="25"/>
      <c r="C2582" s="26" t="s">
        <v>3005</v>
      </c>
      <c r="D2582" s="70"/>
      <c r="G2582" s="70" t="s">
        <v>1916</v>
      </c>
      <c r="H2582" s="26">
        <v>1</v>
      </c>
      <c r="I2582" s="70" t="s">
        <v>9317</v>
      </c>
      <c r="J2582" s="26" t="s">
        <v>6168</v>
      </c>
      <c r="K2582" s="26" t="s">
        <v>9318</v>
      </c>
      <c r="L2582" s="26" t="s">
        <v>11225</v>
      </c>
      <c r="M2582" s="76"/>
      <c r="N2582" s="76"/>
      <c r="O2582" s="76"/>
      <c r="P2582" s="76"/>
      <c r="Q2582" s="76"/>
      <c r="R2582" s="76"/>
      <c r="Z2582" s="70"/>
      <c r="AA2582" s="70"/>
      <c r="AB2582" s="70"/>
      <c r="AC2582" s="70"/>
    </row>
    <row r="2583" spans="1:31" s="26" customFormat="1" x14ac:dyDescent="0.3">
      <c r="A2583" s="25" t="s">
        <v>9319</v>
      </c>
      <c r="B2583" s="25"/>
      <c r="C2583" s="26" t="s">
        <v>3005</v>
      </c>
      <c r="D2583" s="70"/>
      <c r="G2583" s="70" t="s">
        <v>1916</v>
      </c>
      <c r="H2583" s="26">
        <v>1</v>
      </c>
      <c r="I2583" s="70" t="s">
        <v>6499</v>
      </c>
      <c r="J2583" s="26" t="s">
        <v>6909</v>
      </c>
      <c r="K2583" s="26" t="s">
        <v>9320</v>
      </c>
      <c r="L2583" s="26" t="s">
        <v>11226</v>
      </c>
      <c r="M2583" s="76"/>
      <c r="N2583" s="76"/>
      <c r="O2583" s="76"/>
      <c r="P2583" s="76"/>
      <c r="Q2583" s="76"/>
      <c r="R2583" s="76"/>
      <c r="Z2583" s="70"/>
      <c r="AA2583" s="70"/>
      <c r="AB2583" s="70"/>
      <c r="AC2583" s="70"/>
    </row>
    <row r="2584" spans="1:31" s="24" customFormat="1" x14ac:dyDescent="0.3">
      <c r="A2584" s="23">
        <v>669</v>
      </c>
      <c r="B2584" s="23">
        <v>664</v>
      </c>
      <c r="C2584" s="24" t="s">
        <v>2165</v>
      </c>
      <c r="D2584" s="69" t="s">
        <v>1918</v>
      </c>
      <c r="E2584" s="24" t="s">
        <v>1917</v>
      </c>
      <c r="F2584" s="24" t="s">
        <v>1919</v>
      </c>
      <c r="G2584" s="69" t="s">
        <v>1920</v>
      </c>
      <c r="I2584" s="69"/>
      <c r="J2584" s="24" t="s">
        <v>6565</v>
      </c>
      <c r="K2584" s="24" t="s">
        <v>68</v>
      </c>
      <c r="L2584" s="24" t="s">
        <v>9936</v>
      </c>
      <c r="M2584" s="75" t="s">
        <v>65</v>
      </c>
      <c r="N2584" s="75" t="s">
        <v>2025</v>
      </c>
      <c r="O2584" s="75"/>
      <c r="P2584" s="75"/>
      <c r="Q2584" s="75"/>
      <c r="R2584" s="75"/>
      <c r="T2584" s="24" t="s">
        <v>2219</v>
      </c>
      <c r="Z2584" s="69"/>
      <c r="AA2584" s="69"/>
      <c r="AB2584" s="69"/>
      <c r="AC2584" s="69"/>
      <c r="AE2584" s="24" t="s">
        <v>2983</v>
      </c>
    </row>
    <row r="2585" spans="1:31" s="24" customFormat="1" x14ac:dyDescent="0.3">
      <c r="A2585" s="23">
        <v>670</v>
      </c>
      <c r="B2585" s="23">
        <v>665</v>
      </c>
      <c r="C2585" s="24" t="s">
        <v>2165</v>
      </c>
      <c r="D2585" s="69" t="s">
        <v>1918</v>
      </c>
      <c r="E2585" s="24" t="s">
        <v>1917</v>
      </c>
      <c r="F2585" s="24" t="s">
        <v>1921</v>
      </c>
      <c r="G2585" s="69" t="s">
        <v>1922</v>
      </c>
      <c r="H2585" s="24">
        <v>2</v>
      </c>
      <c r="I2585" s="69"/>
      <c r="J2585" s="24" t="s">
        <v>3016</v>
      </c>
      <c r="K2585" s="24" t="s">
        <v>488</v>
      </c>
      <c r="M2585" s="75" t="s">
        <v>107</v>
      </c>
      <c r="N2585" s="75"/>
      <c r="O2585" s="75"/>
      <c r="P2585" s="75"/>
      <c r="Q2585" s="75"/>
      <c r="R2585" s="75"/>
      <c r="Z2585" s="69"/>
      <c r="AA2585" s="69"/>
      <c r="AB2585" s="69"/>
      <c r="AC2585" s="69"/>
    </row>
    <row r="2586" spans="1:31" s="26" customFormat="1" x14ac:dyDescent="0.3">
      <c r="A2586" s="25" t="s">
        <v>9321</v>
      </c>
      <c r="B2586" s="25"/>
      <c r="C2586" s="26" t="s">
        <v>3005</v>
      </c>
      <c r="D2586" s="70"/>
      <c r="G2586" s="70" t="s">
        <v>1922</v>
      </c>
      <c r="H2586" s="26">
        <v>-1</v>
      </c>
      <c r="I2586" s="70" t="s">
        <v>6321</v>
      </c>
      <c r="J2586" s="26" t="s">
        <v>3016</v>
      </c>
      <c r="K2586" s="26" t="s">
        <v>9322</v>
      </c>
      <c r="L2586" s="26" t="s">
        <v>11227</v>
      </c>
      <c r="M2586" s="76"/>
      <c r="N2586" s="76"/>
      <c r="O2586" s="76"/>
      <c r="P2586" s="76"/>
      <c r="Q2586" s="76"/>
      <c r="R2586" s="76"/>
      <c r="Z2586" s="70"/>
      <c r="AA2586" s="70"/>
      <c r="AB2586" s="70"/>
      <c r="AC2586" s="70"/>
    </row>
    <row r="2587" spans="1:31" s="26" customFormat="1" x14ac:dyDescent="0.3">
      <c r="A2587" s="25" t="s">
        <v>9323</v>
      </c>
      <c r="B2587" s="25"/>
      <c r="C2587" s="26" t="s">
        <v>3005</v>
      </c>
      <c r="D2587" s="70"/>
      <c r="G2587" s="70" t="s">
        <v>1922</v>
      </c>
      <c r="H2587" s="26">
        <v>-1</v>
      </c>
      <c r="I2587" s="70" t="s">
        <v>9324</v>
      </c>
      <c r="J2587" s="26" t="s">
        <v>9325</v>
      </c>
      <c r="K2587" s="26" t="s">
        <v>8772</v>
      </c>
      <c r="L2587" s="26" t="s">
        <v>11228</v>
      </c>
      <c r="M2587" s="76"/>
      <c r="N2587" s="76"/>
      <c r="O2587" s="76"/>
      <c r="P2587" s="76"/>
      <c r="Q2587" s="76"/>
      <c r="R2587" s="76"/>
      <c r="Z2587" s="70"/>
      <c r="AA2587" s="70"/>
      <c r="AB2587" s="70"/>
      <c r="AC2587" s="70"/>
    </row>
    <row r="2588" spans="1:31" s="26" customFormat="1" x14ac:dyDescent="0.3">
      <c r="A2588" s="25" t="s">
        <v>9326</v>
      </c>
      <c r="B2588" s="25"/>
      <c r="C2588" s="26" t="s">
        <v>3005</v>
      </c>
      <c r="D2588" s="70"/>
      <c r="G2588" s="70" t="s">
        <v>1922</v>
      </c>
      <c r="H2588" s="26">
        <v>-1</v>
      </c>
      <c r="I2588" s="70" t="s">
        <v>9327</v>
      </c>
      <c r="J2588" s="26" t="s">
        <v>9328</v>
      </c>
      <c r="K2588" s="26" t="s">
        <v>9329</v>
      </c>
      <c r="L2588" s="26" t="s">
        <v>11229</v>
      </c>
      <c r="M2588" s="76"/>
      <c r="N2588" s="76"/>
      <c r="O2588" s="76"/>
      <c r="P2588" s="76"/>
      <c r="Q2588" s="76"/>
      <c r="R2588" s="76"/>
      <c r="Z2588" s="70"/>
      <c r="AA2588" s="70"/>
      <c r="AB2588" s="70"/>
      <c r="AC2588" s="70"/>
    </row>
    <row r="2589" spans="1:31" s="26" customFormat="1" x14ac:dyDescent="0.3">
      <c r="A2589" s="25" t="s">
        <v>9330</v>
      </c>
      <c r="B2589" s="25"/>
      <c r="C2589" s="26" t="s">
        <v>3005</v>
      </c>
      <c r="D2589" s="70"/>
      <c r="G2589" s="70" t="s">
        <v>1922</v>
      </c>
      <c r="H2589" s="26">
        <v>-1</v>
      </c>
      <c r="I2589" s="70" t="s">
        <v>9331</v>
      </c>
      <c r="J2589" s="26" t="s">
        <v>7743</v>
      </c>
      <c r="K2589" s="26" t="s">
        <v>7807</v>
      </c>
      <c r="L2589" s="26" t="s">
        <v>11230</v>
      </c>
      <c r="M2589" s="76"/>
      <c r="N2589" s="76"/>
      <c r="O2589" s="76"/>
      <c r="P2589" s="76"/>
      <c r="Q2589" s="76"/>
      <c r="R2589" s="76"/>
      <c r="Z2589" s="70"/>
      <c r="AA2589" s="70"/>
      <c r="AB2589" s="70"/>
      <c r="AC2589" s="70"/>
    </row>
    <row r="2590" spans="1:31" s="26" customFormat="1" x14ac:dyDescent="0.3">
      <c r="A2590" s="25" t="s">
        <v>9332</v>
      </c>
      <c r="B2590" s="25"/>
      <c r="C2590" s="26" t="s">
        <v>3005</v>
      </c>
      <c r="D2590" s="70"/>
      <c r="G2590" s="70" t="s">
        <v>1922</v>
      </c>
      <c r="H2590" s="26">
        <v>-1</v>
      </c>
      <c r="I2590" s="70" t="s">
        <v>9333</v>
      </c>
      <c r="J2590" s="26" t="s">
        <v>9334</v>
      </c>
      <c r="K2590" s="26" t="s">
        <v>9335</v>
      </c>
      <c r="L2590" s="26" t="s">
        <v>11231</v>
      </c>
      <c r="M2590" s="76"/>
      <c r="N2590" s="76"/>
      <c r="O2590" s="76"/>
      <c r="P2590" s="76"/>
      <c r="Q2590" s="76"/>
      <c r="R2590" s="76"/>
      <c r="Z2590" s="70"/>
      <c r="AA2590" s="70"/>
      <c r="AB2590" s="70"/>
      <c r="AC2590" s="70"/>
    </row>
    <row r="2591" spans="1:31" s="26" customFormat="1" x14ac:dyDescent="0.3">
      <c r="A2591" s="25" t="s">
        <v>9336</v>
      </c>
      <c r="B2591" s="25"/>
      <c r="C2591" s="26" t="s">
        <v>3005</v>
      </c>
      <c r="D2591" s="70"/>
      <c r="G2591" s="70" t="s">
        <v>1922</v>
      </c>
      <c r="H2591" s="26">
        <v>-1</v>
      </c>
      <c r="I2591" s="70" t="s">
        <v>9337</v>
      </c>
      <c r="J2591" s="26" t="s">
        <v>9338</v>
      </c>
      <c r="K2591" s="26" t="s">
        <v>9339</v>
      </c>
      <c r="M2591" s="76"/>
      <c r="N2591" s="76"/>
      <c r="O2591" s="76"/>
      <c r="P2591" s="76"/>
      <c r="Q2591" s="76"/>
      <c r="R2591" s="76"/>
      <c r="Z2591" s="70"/>
      <c r="AA2591" s="70"/>
      <c r="AB2591" s="70"/>
      <c r="AC2591" s="70"/>
    </row>
    <row r="2592" spans="1:31" s="26" customFormat="1" x14ac:dyDescent="0.3">
      <c r="A2592" s="25" t="s">
        <v>9340</v>
      </c>
      <c r="B2592" s="25"/>
      <c r="C2592" s="26" t="s">
        <v>3005</v>
      </c>
      <c r="D2592" s="70"/>
      <c r="G2592" s="70" t="s">
        <v>1922</v>
      </c>
      <c r="H2592" s="26">
        <v>2</v>
      </c>
      <c r="I2592" s="70" t="s">
        <v>9341</v>
      </c>
      <c r="J2592" s="26" t="s">
        <v>3127</v>
      </c>
      <c r="K2592" s="26" t="s">
        <v>9342</v>
      </c>
      <c r="L2592" s="26" t="s">
        <v>11232</v>
      </c>
      <c r="M2592" s="76"/>
      <c r="N2592" s="76"/>
      <c r="O2592" s="76"/>
      <c r="P2592" s="76"/>
      <c r="Q2592" s="76"/>
      <c r="R2592" s="76"/>
      <c r="Z2592" s="70"/>
      <c r="AA2592" s="70"/>
      <c r="AB2592" s="70"/>
      <c r="AC2592" s="70"/>
    </row>
    <row r="2593" spans="1:31" s="26" customFormat="1" x14ac:dyDescent="0.3">
      <c r="A2593" s="25" t="s">
        <v>9343</v>
      </c>
      <c r="B2593" s="25"/>
      <c r="C2593" s="26" t="s">
        <v>3005</v>
      </c>
      <c r="D2593" s="70"/>
      <c r="G2593" s="70" t="s">
        <v>1922</v>
      </c>
      <c r="H2593" s="26">
        <v>-1</v>
      </c>
      <c r="I2593" s="70" t="s">
        <v>9344</v>
      </c>
      <c r="J2593" s="26" t="s">
        <v>9345</v>
      </c>
      <c r="K2593" s="26" t="s">
        <v>9346</v>
      </c>
      <c r="M2593" s="76"/>
      <c r="N2593" s="76"/>
      <c r="O2593" s="76"/>
      <c r="P2593" s="76"/>
      <c r="Q2593" s="76"/>
      <c r="R2593" s="76"/>
      <c r="Z2593" s="70"/>
      <c r="AA2593" s="70"/>
      <c r="AB2593" s="70"/>
      <c r="AC2593" s="70"/>
    </row>
    <row r="2594" spans="1:31" s="26" customFormat="1" x14ac:dyDescent="0.3">
      <c r="A2594" s="25" t="s">
        <v>9347</v>
      </c>
      <c r="B2594" s="25"/>
      <c r="C2594" s="26" t="s">
        <v>3005</v>
      </c>
      <c r="D2594" s="70"/>
      <c r="G2594" s="70" t="s">
        <v>1922</v>
      </c>
      <c r="H2594" s="26">
        <v>2</v>
      </c>
      <c r="I2594" s="70" t="s">
        <v>5955</v>
      </c>
      <c r="J2594" s="26" t="s">
        <v>9348</v>
      </c>
      <c r="K2594" s="26" t="s">
        <v>9349</v>
      </c>
      <c r="L2594" s="26" t="s">
        <v>11233</v>
      </c>
      <c r="M2594" s="76"/>
      <c r="N2594" s="76"/>
      <c r="O2594" s="76"/>
      <c r="P2594" s="76"/>
      <c r="Q2594" s="76"/>
      <c r="R2594" s="76"/>
      <c r="T2594" s="26" t="s">
        <v>2200</v>
      </c>
      <c r="Z2594" s="70"/>
      <c r="AA2594" s="70"/>
      <c r="AB2594" s="70"/>
      <c r="AC2594" s="70"/>
      <c r="AE2594" s="26" t="s">
        <v>9350</v>
      </c>
    </row>
    <row r="2595" spans="1:31" s="24" customFormat="1" x14ac:dyDescent="0.3">
      <c r="A2595" s="23">
        <v>671</v>
      </c>
      <c r="B2595" s="23">
        <v>666</v>
      </c>
      <c r="C2595" s="24" t="s">
        <v>2165</v>
      </c>
      <c r="D2595" s="69" t="s">
        <v>1924</v>
      </c>
      <c r="E2595" s="24" t="s">
        <v>1923</v>
      </c>
      <c r="F2595" s="24" t="s">
        <v>1925</v>
      </c>
      <c r="G2595" s="69" t="s">
        <v>1926</v>
      </c>
      <c r="H2595" s="24">
        <v>1</v>
      </c>
      <c r="I2595" s="69"/>
      <c r="J2595" s="24" t="s">
        <v>9351</v>
      </c>
      <c r="K2595" s="24" t="s">
        <v>1927</v>
      </c>
      <c r="M2595" s="75" t="s">
        <v>15</v>
      </c>
      <c r="N2595" s="75"/>
      <c r="O2595" s="75"/>
      <c r="P2595" s="75"/>
      <c r="Q2595" s="75"/>
      <c r="R2595" s="75"/>
      <c r="Z2595" s="69"/>
      <c r="AA2595" s="69"/>
      <c r="AB2595" s="69"/>
      <c r="AC2595" s="69"/>
    </row>
    <row r="2596" spans="1:31" s="26" customFormat="1" x14ac:dyDescent="0.3">
      <c r="A2596" s="25" t="s">
        <v>9352</v>
      </c>
      <c r="B2596" s="25"/>
      <c r="C2596" s="26" t="s">
        <v>3005</v>
      </c>
      <c r="D2596" s="70"/>
      <c r="G2596" s="70" t="s">
        <v>1926</v>
      </c>
      <c r="H2596" s="26">
        <v>2</v>
      </c>
      <c r="I2596" s="70" t="s">
        <v>9353</v>
      </c>
      <c r="J2596" s="26" t="s">
        <v>5523</v>
      </c>
      <c r="K2596" s="26" t="s">
        <v>5976</v>
      </c>
      <c r="L2596" s="26" t="s">
        <v>11234</v>
      </c>
      <c r="M2596" s="76"/>
      <c r="N2596" s="76"/>
      <c r="O2596" s="76"/>
      <c r="P2596" s="76"/>
      <c r="Q2596" s="76"/>
      <c r="R2596" s="76"/>
      <c r="Z2596" s="70"/>
      <c r="AA2596" s="70"/>
      <c r="AB2596" s="70"/>
      <c r="AC2596" s="70"/>
    </row>
    <row r="2597" spans="1:31" s="26" customFormat="1" x14ac:dyDescent="0.3">
      <c r="A2597" s="25" t="s">
        <v>9354</v>
      </c>
      <c r="B2597" s="25"/>
      <c r="C2597" s="26" t="s">
        <v>3005</v>
      </c>
      <c r="D2597" s="70"/>
      <c r="G2597" s="70" t="s">
        <v>1926</v>
      </c>
      <c r="H2597" s="26">
        <v>-1</v>
      </c>
      <c r="I2597" s="70" t="s">
        <v>3717</v>
      </c>
      <c r="J2597" s="26" t="s">
        <v>9355</v>
      </c>
      <c r="K2597" s="26" t="s">
        <v>3765</v>
      </c>
      <c r="L2597" s="26" t="s">
        <v>11235</v>
      </c>
      <c r="M2597" s="76"/>
      <c r="N2597" s="76"/>
      <c r="O2597" s="76"/>
      <c r="P2597" s="76"/>
      <c r="Q2597" s="76"/>
      <c r="R2597" s="76"/>
      <c r="Z2597" s="70"/>
      <c r="AA2597" s="70"/>
      <c r="AB2597" s="70"/>
      <c r="AC2597" s="70"/>
    </row>
    <row r="2598" spans="1:31" s="26" customFormat="1" x14ac:dyDescent="0.3">
      <c r="A2598" s="25" t="s">
        <v>9356</v>
      </c>
      <c r="B2598" s="25"/>
      <c r="C2598" s="26" t="s">
        <v>3005</v>
      </c>
      <c r="D2598" s="70"/>
      <c r="G2598" s="70" t="s">
        <v>1926</v>
      </c>
      <c r="H2598" s="26">
        <v>-1</v>
      </c>
      <c r="I2598" s="70" t="s">
        <v>9357</v>
      </c>
      <c r="J2598" s="26" t="s">
        <v>9358</v>
      </c>
      <c r="K2598" s="26" t="s">
        <v>8321</v>
      </c>
      <c r="L2598" s="26" t="s">
        <v>11236</v>
      </c>
      <c r="M2598" s="76"/>
      <c r="N2598" s="76"/>
      <c r="O2598" s="76"/>
      <c r="P2598" s="76"/>
      <c r="Q2598" s="76"/>
      <c r="R2598" s="76"/>
      <c r="Z2598" s="70"/>
      <c r="AA2598" s="70"/>
      <c r="AB2598" s="70"/>
      <c r="AC2598" s="70"/>
    </row>
    <row r="2599" spans="1:31" s="26" customFormat="1" x14ac:dyDescent="0.3">
      <c r="A2599" s="25" t="s">
        <v>9359</v>
      </c>
      <c r="B2599" s="25"/>
      <c r="C2599" s="26" t="s">
        <v>3005</v>
      </c>
      <c r="D2599" s="70"/>
      <c r="G2599" s="70" t="s">
        <v>1926</v>
      </c>
      <c r="H2599" s="26">
        <v>-1</v>
      </c>
      <c r="I2599" s="70" t="s">
        <v>9360</v>
      </c>
      <c r="J2599" s="26" t="s">
        <v>9351</v>
      </c>
      <c r="K2599" s="26" t="s">
        <v>3215</v>
      </c>
      <c r="L2599" s="26" t="s">
        <v>11237</v>
      </c>
      <c r="M2599" s="76"/>
      <c r="N2599" s="76"/>
      <c r="O2599" s="76"/>
      <c r="P2599" s="76"/>
      <c r="Q2599" s="76"/>
      <c r="R2599" s="76"/>
      <c r="Z2599" s="70"/>
      <c r="AA2599" s="70"/>
      <c r="AB2599" s="70"/>
      <c r="AC2599" s="70"/>
    </row>
    <row r="2600" spans="1:31" s="26" customFormat="1" x14ac:dyDescent="0.3">
      <c r="A2600" s="25" t="s">
        <v>9361</v>
      </c>
      <c r="B2600" s="25"/>
      <c r="C2600" s="26" t="s">
        <v>3005</v>
      </c>
      <c r="D2600" s="70"/>
      <c r="G2600" s="70" t="s">
        <v>1926</v>
      </c>
      <c r="H2600" s="26">
        <v>-1</v>
      </c>
      <c r="I2600" s="70" t="s">
        <v>4694</v>
      </c>
      <c r="J2600" s="26" t="s">
        <v>9362</v>
      </c>
      <c r="K2600" s="26" t="s">
        <v>4306</v>
      </c>
      <c r="L2600" s="26" t="s">
        <v>11238</v>
      </c>
      <c r="M2600" s="76"/>
      <c r="N2600" s="76"/>
      <c r="O2600" s="76"/>
      <c r="P2600" s="76"/>
      <c r="Q2600" s="76"/>
      <c r="R2600" s="76"/>
      <c r="Z2600" s="70"/>
      <c r="AA2600" s="70"/>
      <c r="AB2600" s="70"/>
      <c r="AC2600" s="70"/>
    </row>
    <row r="2601" spans="1:31" s="26" customFormat="1" x14ac:dyDescent="0.3">
      <c r="A2601" s="25" t="s">
        <v>9363</v>
      </c>
      <c r="B2601" s="25"/>
      <c r="C2601" s="26" t="s">
        <v>3005</v>
      </c>
      <c r="D2601" s="70"/>
      <c r="G2601" s="70" t="s">
        <v>1926</v>
      </c>
      <c r="H2601" s="26">
        <v>-1</v>
      </c>
      <c r="I2601" s="70" t="s">
        <v>3546</v>
      </c>
      <c r="J2601" s="26" t="s">
        <v>8751</v>
      </c>
      <c r="K2601" s="26" t="s">
        <v>7376</v>
      </c>
      <c r="L2601" s="26" t="s">
        <v>11239</v>
      </c>
      <c r="M2601" s="76"/>
      <c r="N2601" s="76"/>
      <c r="O2601" s="76"/>
      <c r="P2601" s="76"/>
      <c r="Q2601" s="76"/>
      <c r="R2601" s="76"/>
      <c r="Z2601" s="70"/>
      <c r="AA2601" s="70"/>
      <c r="AB2601" s="70"/>
      <c r="AC2601" s="70"/>
    </row>
    <row r="2602" spans="1:31" s="24" customFormat="1" x14ac:dyDescent="0.3">
      <c r="A2602" s="23">
        <v>672</v>
      </c>
      <c r="B2602" s="23">
        <v>667</v>
      </c>
      <c r="C2602" s="24" t="s">
        <v>2165</v>
      </c>
      <c r="D2602" s="69" t="s">
        <v>1924</v>
      </c>
      <c r="E2602" s="24" t="s">
        <v>1923</v>
      </c>
      <c r="F2602" s="24" t="s">
        <v>1928</v>
      </c>
      <c r="G2602" s="69" t="s">
        <v>1929</v>
      </c>
      <c r="H2602" s="24">
        <v>1</v>
      </c>
      <c r="I2602" s="69"/>
      <c r="J2602" s="24" t="s">
        <v>4835</v>
      </c>
      <c r="K2602" s="24" t="s">
        <v>1930</v>
      </c>
      <c r="M2602" s="75" t="s">
        <v>10</v>
      </c>
      <c r="N2602" s="75"/>
      <c r="O2602" s="75"/>
      <c r="P2602" s="75"/>
      <c r="Q2602" s="75"/>
      <c r="R2602" s="75" t="s">
        <v>2166</v>
      </c>
      <c r="V2602" s="24" t="s">
        <v>2171</v>
      </c>
      <c r="Z2602" s="69"/>
      <c r="AA2602" s="69"/>
      <c r="AB2602" s="69"/>
      <c r="AC2602" s="69"/>
      <c r="AD2602" s="24" t="s">
        <v>11354</v>
      </c>
    </row>
    <row r="2603" spans="1:31" s="26" customFormat="1" x14ac:dyDescent="0.3">
      <c r="A2603" s="25" t="s">
        <v>9364</v>
      </c>
      <c r="B2603" s="25"/>
      <c r="C2603" s="26" t="s">
        <v>3005</v>
      </c>
      <c r="D2603" s="70"/>
      <c r="G2603" s="70" t="s">
        <v>1929</v>
      </c>
      <c r="H2603" s="26">
        <v>-1</v>
      </c>
      <c r="I2603" s="70" t="s">
        <v>9365</v>
      </c>
      <c r="J2603" s="26" t="s">
        <v>4835</v>
      </c>
      <c r="K2603" s="26" t="s">
        <v>9366</v>
      </c>
      <c r="L2603" s="26" t="s">
        <v>11240</v>
      </c>
      <c r="M2603" s="76"/>
      <c r="N2603" s="76"/>
      <c r="O2603" s="76"/>
      <c r="P2603" s="76"/>
      <c r="Q2603" s="76"/>
      <c r="R2603" s="76"/>
      <c r="Z2603" s="70"/>
      <c r="AA2603" s="70"/>
      <c r="AB2603" s="70"/>
      <c r="AC2603" s="70"/>
    </row>
    <row r="2604" spans="1:31" s="26" customFormat="1" x14ac:dyDescent="0.3">
      <c r="A2604" s="25" t="s">
        <v>9367</v>
      </c>
      <c r="B2604" s="25"/>
      <c r="C2604" s="26" t="s">
        <v>3005</v>
      </c>
      <c r="D2604" s="70"/>
      <c r="G2604" s="70" t="s">
        <v>1929</v>
      </c>
      <c r="H2604" s="26">
        <v>2</v>
      </c>
      <c r="I2604" s="70" t="s">
        <v>9368</v>
      </c>
      <c r="J2604" s="26" t="s">
        <v>9338</v>
      </c>
      <c r="K2604" s="26" t="s">
        <v>9369</v>
      </c>
      <c r="L2604" s="26" t="s">
        <v>2679</v>
      </c>
      <c r="M2604" s="76"/>
      <c r="N2604" s="76"/>
      <c r="O2604" s="76"/>
      <c r="P2604" s="76"/>
      <c r="Q2604" s="76"/>
      <c r="R2604" s="76"/>
      <c r="Z2604" s="70"/>
      <c r="AA2604" s="70"/>
      <c r="AB2604" s="70"/>
      <c r="AC2604" s="70"/>
    </row>
    <row r="2605" spans="1:31" s="24" customFormat="1" x14ac:dyDescent="0.3">
      <c r="A2605" s="23">
        <v>673</v>
      </c>
      <c r="B2605" s="23">
        <v>668</v>
      </c>
      <c r="C2605" s="24" t="s">
        <v>2165</v>
      </c>
      <c r="D2605" s="69" t="s">
        <v>1924</v>
      </c>
      <c r="E2605" s="24" t="s">
        <v>1923</v>
      </c>
      <c r="F2605" s="24" t="s">
        <v>1931</v>
      </c>
      <c r="G2605" s="69" t="s">
        <v>1932</v>
      </c>
      <c r="I2605" s="69"/>
      <c r="J2605" s="24" t="s">
        <v>9370</v>
      </c>
      <c r="K2605" s="24" t="s">
        <v>68</v>
      </c>
      <c r="L2605" s="24" t="s">
        <v>9906</v>
      </c>
      <c r="M2605" s="75" t="s">
        <v>65</v>
      </c>
      <c r="N2605" s="75" t="s">
        <v>2015</v>
      </c>
      <c r="O2605" s="75" t="s">
        <v>66</v>
      </c>
      <c r="P2605" s="75" t="s">
        <v>66</v>
      </c>
      <c r="Q2605" s="75" t="s">
        <v>66</v>
      </c>
      <c r="R2605" s="75"/>
      <c r="Z2605" s="69"/>
      <c r="AA2605" s="69"/>
      <c r="AB2605" s="69"/>
      <c r="AC2605" s="69"/>
    </row>
    <row r="2606" spans="1:31" s="24" customFormat="1" x14ac:dyDescent="0.3">
      <c r="A2606" s="23">
        <v>674</v>
      </c>
      <c r="B2606" s="23">
        <v>669</v>
      </c>
      <c r="C2606" s="24" t="s">
        <v>2165</v>
      </c>
      <c r="D2606" s="69" t="s">
        <v>1924</v>
      </c>
      <c r="E2606" s="24" t="s">
        <v>1923</v>
      </c>
      <c r="F2606" s="24" t="s">
        <v>1933</v>
      </c>
      <c r="G2606" s="69" t="s">
        <v>1934</v>
      </c>
      <c r="I2606" s="69"/>
      <c r="J2606" s="24" t="s">
        <v>6784</v>
      </c>
      <c r="K2606" s="24" t="s">
        <v>68</v>
      </c>
      <c r="L2606" s="24" t="s">
        <v>9937</v>
      </c>
      <c r="M2606" s="75" t="s">
        <v>65</v>
      </c>
      <c r="N2606" s="75" t="s">
        <v>2025</v>
      </c>
      <c r="O2606" s="75" t="s">
        <v>58</v>
      </c>
      <c r="P2606" s="75" t="s">
        <v>58</v>
      </c>
      <c r="Q2606" s="75" t="s">
        <v>130</v>
      </c>
      <c r="R2606" s="75"/>
      <c r="Z2606" s="69"/>
      <c r="AA2606" s="69"/>
      <c r="AB2606" s="69"/>
      <c r="AC2606" s="69"/>
    </row>
    <row r="2607" spans="1:31" s="24" customFormat="1" x14ac:dyDescent="0.3">
      <c r="A2607" s="23">
        <v>675</v>
      </c>
      <c r="B2607" s="23">
        <v>670</v>
      </c>
      <c r="C2607" s="24" t="s">
        <v>2165</v>
      </c>
      <c r="D2607" s="69" t="s">
        <v>1924</v>
      </c>
      <c r="E2607" s="24" t="s">
        <v>1923</v>
      </c>
      <c r="F2607" s="24" t="s">
        <v>1935</v>
      </c>
      <c r="G2607" s="69" t="s">
        <v>1936</v>
      </c>
      <c r="I2607" s="69"/>
      <c r="J2607" s="24" t="s">
        <v>5565</v>
      </c>
      <c r="K2607" s="24" t="s">
        <v>1937</v>
      </c>
      <c r="L2607" s="24" t="s">
        <v>9938</v>
      </c>
      <c r="M2607" s="75" t="s">
        <v>15</v>
      </c>
      <c r="N2607" s="75"/>
      <c r="O2607" s="75"/>
      <c r="P2607" s="75"/>
      <c r="Q2607" s="75"/>
      <c r="R2607" s="75" t="s">
        <v>2166</v>
      </c>
      <c r="Z2607" s="69"/>
      <c r="AA2607" s="69"/>
      <c r="AB2607" s="69"/>
      <c r="AC2607" s="69"/>
    </row>
    <row r="2608" spans="1:31" s="24" customFormat="1" x14ac:dyDescent="0.3">
      <c r="A2608" s="23">
        <v>676</v>
      </c>
      <c r="B2608" s="23">
        <v>671</v>
      </c>
      <c r="C2608" s="24" t="s">
        <v>2165</v>
      </c>
      <c r="D2608" s="69" t="s">
        <v>1924</v>
      </c>
      <c r="E2608" s="24" t="s">
        <v>1923</v>
      </c>
      <c r="F2608" s="24" t="s">
        <v>1938</v>
      </c>
      <c r="G2608" s="69" t="s">
        <v>1939</v>
      </c>
      <c r="H2608" s="24">
        <v>1</v>
      </c>
      <c r="I2608" s="69"/>
      <c r="J2608" s="24" t="s">
        <v>3016</v>
      </c>
      <c r="K2608" s="24" t="s">
        <v>1811</v>
      </c>
      <c r="M2608" s="75" t="s">
        <v>15</v>
      </c>
      <c r="N2608" s="75"/>
      <c r="O2608" s="75"/>
      <c r="P2608" s="75"/>
      <c r="Q2608" s="75"/>
      <c r="R2608" s="75"/>
      <c r="Z2608" s="69"/>
      <c r="AA2608" s="69"/>
      <c r="AB2608" s="69"/>
      <c r="AC2608" s="69"/>
    </row>
    <row r="2609" spans="1:31" s="26" customFormat="1" x14ac:dyDescent="0.3">
      <c r="A2609" s="25" t="s">
        <v>9371</v>
      </c>
      <c r="B2609" s="25"/>
      <c r="C2609" s="26" t="s">
        <v>3005</v>
      </c>
      <c r="D2609" s="70"/>
      <c r="G2609" s="70" t="s">
        <v>1939</v>
      </c>
      <c r="H2609" s="26">
        <v>-1</v>
      </c>
      <c r="I2609" s="70" t="s">
        <v>9372</v>
      </c>
      <c r="J2609" s="26" t="s">
        <v>3016</v>
      </c>
      <c r="K2609" s="26" t="s">
        <v>9373</v>
      </c>
      <c r="M2609" s="76"/>
      <c r="N2609" s="76"/>
      <c r="O2609" s="76"/>
      <c r="P2609" s="76"/>
      <c r="Q2609" s="76"/>
      <c r="R2609" s="76"/>
      <c r="Z2609" s="70"/>
      <c r="AA2609" s="70"/>
      <c r="AB2609" s="70"/>
      <c r="AC2609" s="70"/>
    </row>
    <row r="2610" spans="1:31" s="26" customFormat="1" x14ac:dyDescent="0.3">
      <c r="A2610" s="25" t="s">
        <v>9374</v>
      </c>
      <c r="B2610" s="25"/>
      <c r="C2610" s="26" t="s">
        <v>3005</v>
      </c>
      <c r="D2610" s="70"/>
      <c r="G2610" s="70" t="s">
        <v>1939</v>
      </c>
      <c r="H2610" s="26">
        <v>-1</v>
      </c>
      <c r="I2610" s="70" t="s">
        <v>9375</v>
      </c>
      <c r="J2610" s="26" t="s">
        <v>9376</v>
      </c>
      <c r="K2610" s="26" t="s">
        <v>9377</v>
      </c>
      <c r="L2610" s="26" t="s">
        <v>11241</v>
      </c>
      <c r="M2610" s="76"/>
      <c r="N2610" s="76"/>
      <c r="O2610" s="76"/>
      <c r="P2610" s="76"/>
      <c r="Q2610" s="76"/>
      <c r="R2610" s="76"/>
      <c r="Z2610" s="70"/>
      <c r="AA2610" s="70"/>
      <c r="AB2610" s="70"/>
      <c r="AC2610" s="70"/>
    </row>
    <row r="2611" spans="1:31" s="26" customFormat="1" x14ac:dyDescent="0.3">
      <c r="A2611" s="25" t="s">
        <v>9378</v>
      </c>
      <c r="B2611" s="25"/>
      <c r="C2611" s="26" t="s">
        <v>3005</v>
      </c>
      <c r="D2611" s="70"/>
      <c r="G2611" s="70" t="s">
        <v>1939</v>
      </c>
      <c r="H2611" s="26">
        <v>-1</v>
      </c>
      <c r="I2611" s="70" t="s">
        <v>9379</v>
      </c>
      <c r="J2611" s="26" t="s">
        <v>7159</v>
      </c>
      <c r="K2611" s="26" t="s">
        <v>9380</v>
      </c>
      <c r="L2611" s="26" t="s">
        <v>11242</v>
      </c>
      <c r="M2611" s="76"/>
      <c r="N2611" s="76"/>
      <c r="O2611" s="76"/>
      <c r="P2611" s="76"/>
      <c r="Q2611" s="76"/>
      <c r="R2611" s="76"/>
      <c r="Z2611" s="70"/>
      <c r="AA2611" s="70"/>
      <c r="AB2611" s="70"/>
      <c r="AC2611" s="70"/>
    </row>
    <row r="2612" spans="1:31" s="26" customFormat="1" x14ac:dyDescent="0.3">
      <c r="A2612" s="25" t="s">
        <v>9381</v>
      </c>
      <c r="B2612" s="25"/>
      <c r="C2612" s="26" t="s">
        <v>3005</v>
      </c>
      <c r="D2612" s="70"/>
      <c r="G2612" s="70" t="s">
        <v>1939</v>
      </c>
      <c r="H2612" s="26">
        <v>-1</v>
      </c>
      <c r="I2612" s="70" t="s">
        <v>9382</v>
      </c>
      <c r="J2612" s="26" t="s">
        <v>7801</v>
      </c>
      <c r="K2612" s="26" t="s">
        <v>9383</v>
      </c>
      <c r="L2612" s="26" t="s">
        <v>11243</v>
      </c>
      <c r="M2612" s="76"/>
      <c r="N2612" s="76"/>
      <c r="O2612" s="76"/>
      <c r="P2612" s="76"/>
      <c r="Q2612" s="76"/>
      <c r="R2612" s="76"/>
      <c r="Z2612" s="70"/>
      <c r="AA2612" s="70"/>
      <c r="AB2612" s="70"/>
      <c r="AC2612" s="70"/>
    </row>
    <row r="2613" spans="1:31" s="26" customFormat="1" x14ac:dyDescent="0.3">
      <c r="A2613" s="25" t="s">
        <v>9384</v>
      </c>
      <c r="B2613" s="25"/>
      <c r="C2613" s="26" t="s">
        <v>3005</v>
      </c>
      <c r="D2613" s="70"/>
      <c r="G2613" s="70" t="s">
        <v>1939</v>
      </c>
      <c r="H2613" s="26">
        <v>2</v>
      </c>
      <c r="I2613" s="70" t="s">
        <v>9385</v>
      </c>
      <c r="J2613" s="26" t="s">
        <v>8428</v>
      </c>
      <c r="K2613" s="26" t="s">
        <v>9386</v>
      </c>
      <c r="L2613" s="26" t="s">
        <v>11244</v>
      </c>
      <c r="M2613" s="76"/>
      <c r="N2613" s="76"/>
      <c r="O2613" s="76"/>
      <c r="P2613" s="76"/>
      <c r="Q2613" s="76"/>
      <c r="R2613" s="76"/>
      <c r="Z2613" s="70"/>
      <c r="AA2613" s="70"/>
      <c r="AB2613" s="70"/>
      <c r="AC2613" s="70"/>
    </row>
    <row r="2614" spans="1:31" s="26" customFormat="1" x14ac:dyDescent="0.3">
      <c r="A2614" s="25" t="s">
        <v>9387</v>
      </c>
      <c r="B2614" s="25"/>
      <c r="C2614" s="26" t="s">
        <v>3005</v>
      </c>
      <c r="D2614" s="70"/>
      <c r="G2614" s="70" t="s">
        <v>1939</v>
      </c>
      <c r="H2614" s="26">
        <v>-1</v>
      </c>
      <c r="I2614" s="70" t="s">
        <v>9388</v>
      </c>
      <c r="J2614" s="26" t="s">
        <v>7778</v>
      </c>
      <c r="K2614" s="26" t="s">
        <v>9389</v>
      </c>
      <c r="L2614" s="26" t="s">
        <v>11245</v>
      </c>
      <c r="M2614" s="76"/>
      <c r="N2614" s="76"/>
      <c r="O2614" s="76"/>
      <c r="P2614" s="76"/>
      <c r="Q2614" s="76"/>
      <c r="R2614" s="76"/>
      <c r="Z2614" s="70"/>
      <c r="AA2614" s="70"/>
      <c r="AB2614" s="70"/>
      <c r="AC2614" s="70"/>
    </row>
    <row r="2615" spans="1:31" s="26" customFormat="1" x14ac:dyDescent="0.3">
      <c r="A2615" s="25" t="s">
        <v>9390</v>
      </c>
      <c r="B2615" s="25"/>
      <c r="C2615" s="26" t="s">
        <v>3005</v>
      </c>
      <c r="D2615" s="70"/>
      <c r="G2615" s="70" t="s">
        <v>1939</v>
      </c>
      <c r="H2615" s="26">
        <v>-1</v>
      </c>
      <c r="I2615" s="70" t="s">
        <v>9391</v>
      </c>
      <c r="J2615" s="26" t="s">
        <v>7567</v>
      </c>
      <c r="K2615" s="26" t="s">
        <v>9392</v>
      </c>
      <c r="L2615" s="26" t="s">
        <v>7785</v>
      </c>
      <c r="M2615" s="76"/>
      <c r="N2615" s="76"/>
      <c r="O2615" s="76"/>
      <c r="P2615" s="76"/>
      <c r="Q2615" s="76"/>
      <c r="R2615" s="76"/>
      <c r="T2615" s="26" t="s">
        <v>2200</v>
      </c>
      <c r="Z2615" s="70"/>
      <c r="AA2615" s="70"/>
      <c r="AB2615" s="70"/>
      <c r="AC2615" s="70"/>
      <c r="AE2615" s="26" t="s">
        <v>9393</v>
      </c>
    </row>
    <row r="2616" spans="1:31" s="26" customFormat="1" x14ac:dyDescent="0.3">
      <c r="A2616" s="25" t="s">
        <v>9394</v>
      </c>
      <c r="B2616" s="25"/>
      <c r="C2616" s="26" t="s">
        <v>3005</v>
      </c>
      <c r="D2616" s="70"/>
      <c r="G2616" s="70" t="s">
        <v>1939</v>
      </c>
      <c r="H2616" s="26">
        <v>-1</v>
      </c>
      <c r="I2616" s="70" t="s">
        <v>9395</v>
      </c>
      <c r="J2616" s="26" t="s">
        <v>5759</v>
      </c>
      <c r="K2616" s="26" t="s">
        <v>9396</v>
      </c>
      <c r="L2616" s="26" t="s">
        <v>10909</v>
      </c>
      <c r="M2616" s="76"/>
      <c r="N2616" s="76"/>
      <c r="O2616" s="76"/>
      <c r="P2616" s="76"/>
      <c r="Q2616" s="76"/>
      <c r="R2616" s="76"/>
      <c r="Z2616" s="70"/>
      <c r="AA2616" s="70"/>
      <c r="AB2616" s="70"/>
      <c r="AC2616" s="70"/>
    </row>
    <row r="2617" spans="1:31" s="26" customFormat="1" x14ac:dyDescent="0.3">
      <c r="A2617" s="25" t="s">
        <v>9397</v>
      </c>
      <c r="B2617" s="25"/>
      <c r="C2617" s="26" t="s">
        <v>3005</v>
      </c>
      <c r="D2617" s="70"/>
      <c r="G2617" s="70" t="s">
        <v>1939</v>
      </c>
      <c r="H2617" s="26">
        <v>-1</v>
      </c>
      <c r="I2617" s="70" t="s">
        <v>9398</v>
      </c>
      <c r="J2617" s="26" t="s">
        <v>8994</v>
      </c>
      <c r="K2617" s="26" t="s">
        <v>9399</v>
      </c>
      <c r="L2617" s="26" t="s">
        <v>11246</v>
      </c>
      <c r="M2617" s="76"/>
      <c r="N2617" s="76"/>
      <c r="O2617" s="76"/>
      <c r="P2617" s="76"/>
      <c r="Q2617" s="76"/>
      <c r="R2617" s="76"/>
      <c r="Z2617" s="70"/>
      <c r="AA2617" s="70"/>
      <c r="AB2617" s="70"/>
      <c r="AC2617" s="70"/>
    </row>
    <row r="2618" spans="1:31" s="26" customFormat="1" x14ac:dyDescent="0.3">
      <c r="A2618" s="25" t="s">
        <v>9400</v>
      </c>
      <c r="B2618" s="25"/>
      <c r="C2618" s="26" t="s">
        <v>3005</v>
      </c>
      <c r="D2618" s="70"/>
      <c r="G2618" s="70" t="s">
        <v>1939</v>
      </c>
      <c r="H2618" s="26">
        <v>-1</v>
      </c>
      <c r="I2618" s="70" t="s">
        <v>5589</v>
      </c>
      <c r="J2618" s="26" t="s">
        <v>9401</v>
      </c>
      <c r="K2618" s="26" t="s">
        <v>9402</v>
      </c>
      <c r="L2618" s="26" t="s">
        <v>10800</v>
      </c>
      <c r="M2618" s="76"/>
      <c r="N2618" s="76"/>
      <c r="O2618" s="76"/>
      <c r="P2618" s="76"/>
      <c r="Q2618" s="76"/>
      <c r="R2618" s="76"/>
      <c r="Z2618" s="70"/>
      <c r="AA2618" s="70"/>
      <c r="AB2618" s="70"/>
      <c r="AC2618" s="70"/>
    </row>
    <row r="2619" spans="1:31" s="26" customFormat="1" x14ac:dyDescent="0.3">
      <c r="A2619" s="25" t="s">
        <v>9403</v>
      </c>
      <c r="B2619" s="25"/>
      <c r="C2619" s="26" t="s">
        <v>3005</v>
      </c>
      <c r="D2619" s="70"/>
      <c r="G2619" s="70" t="s">
        <v>1939</v>
      </c>
      <c r="H2619" s="26">
        <v>-1</v>
      </c>
      <c r="I2619" s="70" t="s">
        <v>9404</v>
      </c>
      <c r="J2619" s="26" t="s">
        <v>9405</v>
      </c>
      <c r="K2619" s="26" t="s">
        <v>4306</v>
      </c>
      <c r="L2619" s="26" t="s">
        <v>4306</v>
      </c>
      <c r="M2619" s="76"/>
      <c r="N2619" s="76"/>
      <c r="O2619" s="76"/>
      <c r="P2619" s="76"/>
      <c r="Q2619" s="76"/>
      <c r="R2619" s="76"/>
      <c r="Z2619" s="70"/>
      <c r="AA2619" s="70"/>
      <c r="AB2619" s="70"/>
      <c r="AC2619" s="70"/>
    </row>
    <row r="2620" spans="1:31" s="24" customFormat="1" x14ac:dyDescent="0.3">
      <c r="A2620" s="23">
        <v>677</v>
      </c>
      <c r="B2620" s="23">
        <v>672</v>
      </c>
      <c r="C2620" s="24" t="s">
        <v>2165</v>
      </c>
      <c r="D2620" s="69" t="s">
        <v>1924</v>
      </c>
      <c r="E2620" s="24" t="s">
        <v>1923</v>
      </c>
      <c r="F2620" s="24" t="s">
        <v>1940</v>
      </c>
      <c r="G2620" s="69" t="s">
        <v>1941</v>
      </c>
      <c r="H2620" s="24">
        <v>3</v>
      </c>
      <c r="I2620" s="69"/>
      <c r="J2620" s="24" t="s">
        <v>8368</v>
      </c>
      <c r="K2620" s="24" t="s">
        <v>1266</v>
      </c>
      <c r="M2620" s="75" t="s">
        <v>15</v>
      </c>
      <c r="N2620" s="75"/>
      <c r="O2620" s="75"/>
      <c r="P2620" s="75"/>
      <c r="Q2620" s="75"/>
      <c r="R2620" s="75"/>
      <c r="Z2620" s="69"/>
      <c r="AA2620" s="69"/>
      <c r="AB2620" s="69"/>
      <c r="AC2620" s="69"/>
    </row>
    <row r="2621" spans="1:31" s="26" customFormat="1" x14ac:dyDescent="0.3">
      <c r="A2621" s="25" t="s">
        <v>9406</v>
      </c>
      <c r="B2621" s="25"/>
      <c r="C2621" s="26" t="s">
        <v>3005</v>
      </c>
      <c r="D2621" s="70"/>
      <c r="G2621" s="70" t="s">
        <v>1941</v>
      </c>
      <c r="H2621" s="26">
        <v>-1</v>
      </c>
      <c r="I2621" s="70" t="s">
        <v>9407</v>
      </c>
      <c r="J2621" s="26" t="s">
        <v>8368</v>
      </c>
      <c r="K2621" s="26" t="s">
        <v>9408</v>
      </c>
      <c r="L2621" s="26" t="s">
        <v>11247</v>
      </c>
      <c r="M2621" s="76"/>
      <c r="N2621" s="76"/>
      <c r="O2621" s="76"/>
      <c r="P2621" s="76"/>
      <c r="Q2621" s="76"/>
      <c r="R2621" s="76"/>
      <c r="Z2621" s="70"/>
      <c r="AA2621" s="70"/>
      <c r="AB2621" s="70"/>
      <c r="AC2621" s="70"/>
    </row>
    <row r="2622" spans="1:31" s="26" customFormat="1" x14ac:dyDescent="0.3">
      <c r="A2622" s="25" t="s">
        <v>9409</v>
      </c>
      <c r="B2622" s="25"/>
      <c r="C2622" s="26" t="s">
        <v>3005</v>
      </c>
      <c r="D2622" s="70"/>
      <c r="G2622" s="70" t="s">
        <v>1941</v>
      </c>
      <c r="H2622" s="26">
        <v>3</v>
      </c>
      <c r="I2622" s="70" t="s">
        <v>8349</v>
      </c>
      <c r="J2622" s="26" t="s">
        <v>5619</v>
      </c>
      <c r="K2622" s="26" t="s">
        <v>9410</v>
      </c>
      <c r="L2622" s="26" t="s">
        <v>11248</v>
      </c>
      <c r="M2622" s="76"/>
      <c r="N2622" s="76"/>
      <c r="O2622" s="76"/>
      <c r="P2622" s="76"/>
      <c r="Q2622" s="76"/>
      <c r="R2622" s="76"/>
      <c r="Z2622" s="70"/>
      <c r="AA2622" s="70"/>
      <c r="AB2622" s="70"/>
      <c r="AC2622" s="70"/>
    </row>
    <row r="2623" spans="1:31" s="26" customFormat="1" x14ac:dyDescent="0.3">
      <c r="A2623" s="25" t="s">
        <v>9411</v>
      </c>
      <c r="B2623" s="25"/>
      <c r="C2623" s="26" t="s">
        <v>3005</v>
      </c>
      <c r="D2623" s="70"/>
      <c r="G2623" s="70" t="s">
        <v>1941</v>
      </c>
      <c r="H2623" s="26">
        <v>-1</v>
      </c>
      <c r="I2623" s="70" t="s">
        <v>9412</v>
      </c>
      <c r="J2623" s="26" t="s">
        <v>7159</v>
      </c>
      <c r="K2623" s="26" t="s">
        <v>9413</v>
      </c>
      <c r="L2623" s="26" t="s">
        <v>11249</v>
      </c>
      <c r="M2623" s="76"/>
      <c r="N2623" s="76"/>
      <c r="O2623" s="76"/>
      <c r="P2623" s="76"/>
      <c r="Q2623" s="76"/>
      <c r="R2623" s="76"/>
      <c r="Z2623" s="70"/>
      <c r="AA2623" s="70"/>
      <c r="AB2623" s="70"/>
      <c r="AC2623" s="70"/>
    </row>
    <row r="2624" spans="1:31" s="26" customFormat="1" x14ac:dyDescent="0.3">
      <c r="A2624" s="25" t="s">
        <v>9414</v>
      </c>
      <c r="B2624" s="25"/>
      <c r="C2624" s="26" t="s">
        <v>3005</v>
      </c>
      <c r="D2624" s="70"/>
      <c r="G2624" s="70" t="s">
        <v>1941</v>
      </c>
      <c r="H2624" s="26">
        <v>-1</v>
      </c>
      <c r="I2624" s="70" t="s">
        <v>9415</v>
      </c>
      <c r="J2624" s="26" t="s">
        <v>9416</v>
      </c>
      <c r="K2624" s="26" t="s">
        <v>3768</v>
      </c>
      <c r="L2624" s="26" t="s">
        <v>10064</v>
      </c>
      <c r="M2624" s="76"/>
      <c r="N2624" s="76"/>
      <c r="O2624" s="76"/>
      <c r="P2624" s="76"/>
      <c r="Q2624" s="76"/>
      <c r="R2624" s="76"/>
      <c r="Z2624" s="70"/>
      <c r="AA2624" s="70"/>
      <c r="AB2624" s="70"/>
      <c r="AC2624" s="70"/>
    </row>
    <row r="2625" spans="1:31" s="26" customFormat="1" x14ac:dyDescent="0.3">
      <c r="A2625" s="25" t="s">
        <v>9417</v>
      </c>
      <c r="B2625" s="25"/>
      <c r="C2625" s="26" t="s">
        <v>3005</v>
      </c>
      <c r="D2625" s="70"/>
      <c r="G2625" s="70" t="s">
        <v>1941</v>
      </c>
      <c r="H2625" s="26">
        <v>2</v>
      </c>
      <c r="I2625" s="70" t="s">
        <v>5126</v>
      </c>
      <c r="J2625" s="26" t="s">
        <v>5091</v>
      </c>
      <c r="K2625" s="26" t="s">
        <v>5976</v>
      </c>
      <c r="L2625" s="26" t="s">
        <v>11250</v>
      </c>
      <c r="M2625" s="76"/>
      <c r="N2625" s="76"/>
      <c r="O2625" s="76"/>
      <c r="P2625" s="76"/>
      <c r="Q2625" s="76"/>
      <c r="R2625" s="76"/>
      <c r="Z2625" s="70"/>
      <c r="AA2625" s="70"/>
      <c r="AB2625" s="70"/>
      <c r="AC2625" s="70"/>
    </row>
    <row r="2626" spans="1:31" s="26" customFormat="1" x14ac:dyDescent="0.3">
      <c r="A2626" s="25" t="s">
        <v>9418</v>
      </c>
      <c r="B2626" s="25"/>
      <c r="C2626" s="26" t="s">
        <v>3005</v>
      </c>
      <c r="D2626" s="70"/>
      <c r="G2626" s="70" t="s">
        <v>1941</v>
      </c>
      <c r="H2626" s="26">
        <v>2</v>
      </c>
      <c r="I2626" s="70" t="s">
        <v>9419</v>
      </c>
      <c r="J2626" s="26" t="s">
        <v>7159</v>
      </c>
      <c r="K2626" s="26" t="s">
        <v>3912</v>
      </c>
      <c r="L2626" s="26" t="s">
        <v>9924</v>
      </c>
      <c r="M2626" s="76"/>
      <c r="N2626" s="76"/>
      <c r="O2626" s="76"/>
      <c r="P2626" s="76"/>
      <c r="Q2626" s="76"/>
      <c r="R2626" s="76"/>
      <c r="Z2626" s="70"/>
      <c r="AA2626" s="70"/>
      <c r="AB2626" s="70"/>
      <c r="AC2626" s="70"/>
    </row>
    <row r="2627" spans="1:31" s="24" customFormat="1" x14ac:dyDescent="0.3">
      <c r="A2627" s="23">
        <v>678</v>
      </c>
      <c r="B2627" s="23">
        <v>673</v>
      </c>
      <c r="C2627" s="24" t="s">
        <v>2165</v>
      </c>
      <c r="D2627" s="69" t="s">
        <v>1924</v>
      </c>
      <c r="E2627" s="24" t="s">
        <v>1923</v>
      </c>
      <c r="F2627" s="24" t="s">
        <v>1942</v>
      </c>
      <c r="G2627" s="69" t="s">
        <v>1943</v>
      </c>
      <c r="H2627" s="24">
        <v>2</v>
      </c>
      <c r="I2627" s="69"/>
      <c r="J2627" s="24" t="s">
        <v>9420</v>
      </c>
      <c r="K2627" s="24" t="s">
        <v>1944</v>
      </c>
      <c r="M2627" s="75" t="s">
        <v>15</v>
      </c>
      <c r="N2627" s="75"/>
      <c r="O2627" s="75"/>
      <c r="P2627" s="75"/>
      <c r="Q2627" s="75"/>
      <c r="R2627" s="75"/>
      <c r="T2627" s="24" t="s">
        <v>2179</v>
      </c>
      <c r="Z2627" s="69"/>
      <c r="AA2627" s="69"/>
      <c r="AB2627" s="69"/>
      <c r="AC2627" s="69"/>
      <c r="AE2627" s="24" t="s">
        <v>2984</v>
      </c>
    </row>
    <row r="2628" spans="1:31" s="26" customFormat="1" x14ac:dyDescent="0.3">
      <c r="A2628" s="25" t="s">
        <v>9421</v>
      </c>
      <c r="B2628" s="25"/>
      <c r="C2628" s="26" t="s">
        <v>3005</v>
      </c>
      <c r="D2628" s="70"/>
      <c r="G2628" s="70" t="s">
        <v>1943</v>
      </c>
      <c r="H2628" s="26">
        <v>-1</v>
      </c>
      <c r="I2628" s="70" t="s">
        <v>9422</v>
      </c>
      <c r="J2628" s="26" t="s">
        <v>3832</v>
      </c>
      <c r="K2628" s="26" t="s">
        <v>9423</v>
      </c>
      <c r="M2628" s="76"/>
      <c r="N2628" s="76"/>
      <c r="O2628" s="76"/>
      <c r="P2628" s="76"/>
      <c r="Q2628" s="76"/>
      <c r="R2628" s="76"/>
      <c r="Z2628" s="70"/>
      <c r="AA2628" s="70"/>
      <c r="AB2628" s="70"/>
      <c r="AC2628" s="70"/>
    </row>
    <row r="2629" spans="1:31" s="26" customFormat="1" x14ac:dyDescent="0.3">
      <c r="A2629" s="25" t="s">
        <v>9424</v>
      </c>
      <c r="B2629" s="25"/>
      <c r="C2629" s="26" t="s">
        <v>3005</v>
      </c>
      <c r="D2629" s="70"/>
      <c r="G2629" s="70" t="s">
        <v>1943</v>
      </c>
      <c r="H2629" s="26">
        <v>-1</v>
      </c>
      <c r="I2629" s="70" t="s">
        <v>3406</v>
      </c>
      <c r="J2629" s="26" t="s">
        <v>9420</v>
      </c>
      <c r="K2629" s="26" t="s">
        <v>9425</v>
      </c>
      <c r="L2629" s="26" t="s">
        <v>11251</v>
      </c>
      <c r="M2629" s="76"/>
      <c r="N2629" s="76"/>
      <c r="O2629" s="76"/>
      <c r="P2629" s="76"/>
      <c r="Q2629" s="76"/>
      <c r="R2629" s="76"/>
      <c r="Z2629" s="70"/>
      <c r="AA2629" s="70"/>
      <c r="AB2629" s="70"/>
      <c r="AC2629" s="70"/>
    </row>
    <row r="2630" spans="1:31" s="26" customFormat="1" x14ac:dyDescent="0.3">
      <c r="A2630" s="25" t="s">
        <v>9426</v>
      </c>
      <c r="B2630" s="25"/>
      <c r="C2630" s="26" t="s">
        <v>3005</v>
      </c>
      <c r="D2630" s="70"/>
      <c r="G2630" s="70" t="s">
        <v>1943</v>
      </c>
      <c r="H2630" s="26">
        <v>-1</v>
      </c>
      <c r="I2630" s="70" t="s">
        <v>6706</v>
      </c>
      <c r="J2630" s="26" t="s">
        <v>7159</v>
      </c>
      <c r="K2630" s="26" t="s">
        <v>9427</v>
      </c>
      <c r="L2630" s="26" t="s">
        <v>11252</v>
      </c>
      <c r="M2630" s="76"/>
      <c r="N2630" s="76"/>
      <c r="O2630" s="76"/>
      <c r="P2630" s="76"/>
      <c r="Q2630" s="76"/>
      <c r="R2630" s="76"/>
      <c r="Z2630" s="70"/>
      <c r="AA2630" s="70"/>
      <c r="AB2630" s="70"/>
      <c r="AC2630" s="70"/>
    </row>
    <row r="2631" spans="1:31" s="26" customFormat="1" x14ac:dyDescent="0.3">
      <c r="A2631" s="25" t="s">
        <v>9428</v>
      </c>
      <c r="B2631" s="25"/>
      <c r="C2631" s="26" t="s">
        <v>3005</v>
      </c>
      <c r="D2631" s="70"/>
      <c r="G2631" s="70" t="s">
        <v>1943</v>
      </c>
      <c r="H2631" s="26">
        <v>-1</v>
      </c>
      <c r="I2631" s="70" t="s">
        <v>3640</v>
      </c>
      <c r="J2631" s="26" t="s">
        <v>3735</v>
      </c>
      <c r="K2631" s="26" t="s">
        <v>8962</v>
      </c>
      <c r="L2631" s="26" t="s">
        <v>11253</v>
      </c>
      <c r="M2631" s="76"/>
      <c r="N2631" s="76"/>
      <c r="O2631" s="76"/>
      <c r="P2631" s="76"/>
      <c r="Q2631" s="76"/>
      <c r="R2631" s="76"/>
      <c r="Z2631" s="70"/>
      <c r="AA2631" s="70"/>
      <c r="AB2631" s="70"/>
      <c r="AC2631" s="70"/>
    </row>
    <row r="2632" spans="1:31" s="26" customFormat="1" x14ac:dyDescent="0.3">
      <c r="A2632" s="25" t="s">
        <v>9429</v>
      </c>
      <c r="B2632" s="25"/>
      <c r="C2632" s="26" t="s">
        <v>3005</v>
      </c>
      <c r="D2632" s="70"/>
      <c r="G2632" s="70" t="s">
        <v>1943</v>
      </c>
      <c r="H2632" s="26">
        <v>-1</v>
      </c>
      <c r="I2632" s="70" t="s">
        <v>9430</v>
      </c>
      <c r="J2632" s="26" t="s">
        <v>9431</v>
      </c>
      <c r="K2632" s="26" t="s">
        <v>9432</v>
      </c>
      <c r="L2632" s="26" t="s">
        <v>10871</v>
      </c>
      <c r="M2632" s="76"/>
      <c r="N2632" s="76"/>
      <c r="O2632" s="76"/>
      <c r="P2632" s="76"/>
      <c r="Q2632" s="76"/>
      <c r="R2632" s="76"/>
      <c r="Z2632" s="70"/>
      <c r="AA2632" s="70"/>
      <c r="AB2632" s="70"/>
      <c r="AC2632" s="70"/>
    </row>
    <row r="2633" spans="1:31" s="26" customFormat="1" x14ac:dyDescent="0.3">
      <c r="A2633" s="25" t="s">
        <v>9433</v>
      </c>
      <c r="B2633" s="25"/>
      <c r="C2633" s="26" t="s">
        <v>3005</v>
      </c>
      <c r="D2633" s="70"/>
      <c r="G2633" s="70" t="s">
        <v>1943</v>
      </c>
      <c r="H2633" s="26">
        <v>3</v>
      </c>
      <c r="I2633" s="70" t="s">
        <v>4006</v>
      </c>
      <c r="J2633" s="26" t="s">
        <v>9434</v>
      </c>
      <c r="K2633" s="26" t="s">
        <v>9435</v>
      </c>
      <c r="M2633" s="76"/>
      <c r="N2633" s="76"/>
      <c r="O2633" s="76"/>
      <c r="P2633" s="76"/>
      <c r="Q2633" s="76"/>
      <c r="R2633" s="76"/>
      <c r="Z2633" s="70"/>
      <c r="AA2633" s="70"/>
      <c r="AB2633" s="70"/>
      <c r="AC2633" s="70"/>
    </row>
    <row r="2634" spans="1:31" s="26" customFormat="1" x14ac:dyDescent="0.3">
      <c r="A2634" s="25" t="s">
        <v>9436</v>
      </c>
      <c r="B2634" s="25"/>
      <c r="C2634" s="26" t="s">
        <v>3005</v>
      </c>
      <c r="D2634" s="70"/>
      <c r="G2634" s="70" t="s">
        <v>1943</v>
      </c>
      <c r="H2634" s="26">
        <v>2</v>
      </c>
      <c r="I2634" s="70" t="s">
        <v>9437</v>
      </c>
      <c r="J2634" s="26" t="s">
        <v>9438</v>
      </c>
      <c r="K2634" s="26" t="s">
        <v>9439</v>
      </c>
      <c r="L2634" s="26" t="s">
        <v>11254</v>
      </c>
      <c r="M2634" s="76"/>
      <c r="N2634" s="76"/>
      <c r="O2634" s="76"/>
      <c r="P2634" s="76"/>
      <c r="Q2634" s="76"/>
      <c r="R2634" s="76"/>
      <c r="T2634" s="26" t="s">
        <v>2200</v>
      </c>
      <c r="Z2634" s="70"/>
      <c r="AA2634" s="70"/>
      <c r="AB2634" s="70"/>
      <c r="AC2634" s="70"/>
      <c r="AE2634" s="26" t="s">
        <v>9440</v>
      </c>
    </row>
    <row r="2635" spans="1:31" s="24" customFormat="1" x14ac:dyDescent="0.3">
      <c r="A2635" s="23">
        <v>679</v>
      </c>
      <c r="B2635" s="23">
        <v>674</v>
      </c>
      <c r="C2635" s="24" t="s">
        <v>2165</v>
      </c>
      <c r="D2635" s="69" t="s">
        <v>1924</v>
      </c>
      <c r="E2635" s="24" t="s">
        <v>1923</v>
      </c>
      <c r="F2635" s="24" t="s">
        <v>1945</v>
      </c>
      <c r="G2635" s="69" t="s">
        <v>1946</v>
      </c>
      <c r="I2635" s="69"/>
      <c r="J2635" s="24" t="s">
        <v>3016</v>
      </c>
      <c r="K2635" s="24" t="s">
        <v>1947</v>
      </c>
      <c r="L2635" s="24" t="s">
        <v>9939</v>
      </c>
      <c r="M2635" s="75" t="s">
        <v>107</v>
      </c>
      <c r="N2635" s="75"/>
      <c r="O2635" s="75" t="s">
        <v>66</v>
      </c>
      <c r="P2635" s="75" t="s">
        <v>67</v>
      </c>
      <c r="Q2635" s="75"/>
      <c r="R2635" s="75"/>
      <c r="Z2635" s="69"/>
      <c r="AA2635" s="69"/>
      <c r="AB2635" s="69"/>
      <c r="AC2635" s="69" t="s">
        <v>11436</v>
      </c>
      <c r="AD2635" s="24" t="s">
        <v>11355</v>
      </c>
    </row>
    <row r="2636" spans="1:31" s="24" customFormat="1" x14ac:dyDescent="0.3">
      <c r="A2636" s="23">
        <v>680</v>
      </c>
      <c r="B2636" s="23">
        <v>675</v>
      </c>
      <c r="C2636" s="24" t="s">
        <v>2165</v>
      </c>
      <c r="D2636" s="69" t="s">
        <v>1949</v>
      </c>
      <c r="E2636" s="24" t="s">
        <v>1948</v>
      </c>
      <c r="F2636" s="24" t="s">
        <v>1950</v>
      </c>
      <c r="G2636" s="69" t="s">
        <v>1951</v>
      </c>
      <c r="I2636" s="69"/>
      <c r="J2636" s="24" t="s">
        <v>3092</v>
      </c>
      <c r="K2636" s="24" t="s">
        <v>1952</v>
      </c>
      <c r="L2636" s="24" t="s">
        <v>9940</v>
      </c>
      <c r="M2636" s="75" t="s">
        <v>50</v>
      </c>
      <c r="N2636" s="75"/>
      <c r="O2636" s="75"/>
      <c r="P2636" s="75"/>
      <c r="Q2636" s="75"/>
      <c r="R2636" s="75"/>
      <c r="U2636" s="24" t="s">
        <v>2985</v>
      </c>
      <c r="Z2636" s="69"/>
      <c r="AA2636" s="69"/>
      <c r="AB2636" s="69"/>
      <c r="AC2636" s="69"/>
    </row>
    <row r="2637" spans="1:31" s="24" customFormat="1" x14ac:dyDescent="0.3">
      <c r="A2637" s="23">
        <v>681</v>
      </c>
      <c r="B2637" s="23">
        <v>676</v>
      </c>
      <c r="C2637" s="24" t="s">
        <v>2165</v>
      </c>
      <c r="D2637" s="69" t="s">
        <v>1949</v>
      </c>
      <c r="E2637" s="24" t="s">
        <v>1948</v>
      </c>
      <c r="F2637" s="24" t="s">
        <v>1953</v>
      </c>
      <c r="G2637" s="69" t="s">
        <v>1954</v>
      </c>
      <c r="I2637" s="69"/>
      <c r="J2637" s="24" t="s">
        <v>3298</v>
      </c>
      <c r="K2637" s="24" t="s">
        <v>1955</v>
      </c>
      <c r="M2637" s="75" t="s">
        <v>50</v>
      </c>
      <c r="N2637" s="75"/>
      <c r="O2637" s="75"/>
      <c r="P2637" s="75"/>
      <c r="Q2637" s="75"/>
      <c r="R2637" s="75" t="s">
        <v>2166</v>
      </c>
      <c r="T2637" s="24" t="s">
        <v>2330</v>
      </c>
      <c r="V2637" s="24" t="s">
        <v>2986</v>
      </c>
      <c r="Z2637" s="69"/>
      <c r="AA2637" s="69"/>
      <c r="AB2637" s="69"/>
      <c r="AC2637" s="69"/>
      <c r="AD2637" s="24" t="s">
        <v>11356</v>
      </c>
      <c r="AE2637" s="24" t="s">
        <v>2987</v>
      </c>
    </row>
    <row r="2638" spans="1:31" s="26" customFormat="1" x14ac:dyDescent="0.3">
      <c r="A2638" s="25" t="s">
        <v>9441</v>
      </c>
      <c r="B2638" s="25"/>
      <c r="C2638" s="26" t="s">
        <v>3005</v>
      </c>
      <c r="D2638" s="70"/>
      <c r="G2638" s="70" t="s">
        <v>1954</v>
      </c>
      <c r="H2638" s="26">
        <v>-1</v>
      </c>
      <c r="I2638" s="70" t="s">
        <v>9442</v>
      </c>
      <c r="J2638" s="26" t="s">
        <v>4349</v>
      </c>
      <c r="K2638" s="26" t="s">
        <v>4449</v>
      </c>
      <c r="L2638" s="26" t="s">
        <v>11255</v>
      </c>
      <c r="M2638" s="76"/>
      <c r="N2638" s="76"/>
      <c r="O2638" s="76"/>
      <c r="P2638" s="76"/>
      <c r="Q2638" s="76"/>
      <c r="R2638" s="76"/>
      <c r="T2638" s="26" t="s">
        <v>2200</v>
      </c>
      <c r="U2638" s="26" t="s">
        <v>9443</v>
      </c>
      <c r="Z2638" s="70"/>
      <c r="AA2638" s="70"/>
      <c r="AB2638" s="70"/>
      <c r="AC2638" s="70"/>
      <c r="AE2638" s="26" t="s">
        <v>9444</v>
      </c>
    </row>
    <row r="2639" spans="1:31" s="26" customFormat="1" x14ac:dyDescent="0.3">
      <c r="A2639" s="25" t="s">
        <v>9445</v>
      </c>
      <c r="B2639" s="25"/>
      <c r="C2639" s="26" t="s">
        <v>3005</v>
      </c>
      <c r="D2639" s="70"/>
      <c r="G2639" s="70" t="s">
        <v>1954</v>
      </c>
      <c r="H2639" s="26">
        <v>2</v>
      </c>
      <c r="I2639" s="70" t="s">
        <v>9446</v>
      </c>
      <c r="J2639" s="26" t="s">
        <v>3298</v>
      </c>
      <c r="K2639" s="26" t="s">
        <v>9447</v>
      </c>
      <c r="L2639" s="26" t="s">
        <v>11256</v>
      </c>
      <c r="M2639" s="76"/>
      <c r="N2639" s="76"/>
      <c r="O2639" s="76"/>
      <c r="P2639" s="76"/>
      <c r="Q2639" s="76"/>
      <c r="R2639" s="76"/>
      <c r="T2639" s="26" t="s">
        <v>2330</v>
      </c>
      <c r="U2639" s="26" t="s">
        <v>9448</v>
      </c>
      <c r="Z2639" s="70"/>
      <c r="AA2639" s="70"/>
      <c r="AB2639" s="70"/>
      <c r="AC2639" s="70"/>
      <c r="AE2639" s="26" t="s">
        <v>9449</v>
      </c>
    </row>
    <row r="2640" spans="1:31" s="26" customFormat="1" x14ac:dyDescent="0.3">
      <c r="A2640" s="25" t="s">
        <v>9450</v>
      </c>
      <c r="B2640" s="25"/>
      <c r="C2640" s="26" t="s">
        <v>3005</v>
      </c>
      <c r="D2640" s="70"/>
      <c r="G2640" s="70" t="s">
        <v>1954</v>
      </c>
      <c r="H2640" s="26">
        <v>-1</v>
      </c>
      <c r="I2640" s="70" t="s">
        <v>9451</v>
      </c>
      <c r="J2640" s="26" t="s">
        <v>9452</v>
      </c>
      <c r="K2640" s="26" t="s">
        <v>9453</v>
      </c>
      <c r="M2640" s="76"/>
      <c r="N2640" s="76"/>
      <c r="O2640" s="76"/>
      <c r="P2640" s="76"/>
      <c r="Q2640" s="76"/>
      <c r="R2640" s="76"/>
      <c r="U2640" s="26" t="s">
        <v>2195</v>
      </c>
      <c r="Z2640" s="70"/>
      <c r="AA2640" s="70"/>
      <c r="AB2640" s="70"/>
      <c r="AC2640" s="70"/>
    </row>
    <row r="2641" spans="1:31" s="26" customFormat="1" x14ac:dyDescent="0.3">
      <c r="A2641" s="25" t="s">
        <v>9454</v>
      </c>
      <c r="B2641" s="25"/>
      <c r="C2641" s="26" t="s">
        <v>3005</v>
      </c>
      <c r="D2641" s="70"/>
      <c r="G2641" s="70" t="s">
        <v>1954</v>
      </c>
      <c r="H2641" s="26">
        <v>-1</v>
      </c>
      <c r="I2641" s="70" t="s">
        <v>9455</v>
      </c>
      <c r="J2641" s="26" t="s">
        <v>7801</v>
      </c>
      <c r="K2641" s="26" t="s">
        <v>9456</v>
      </c>
      <c r="M2641" s="76"/>
      <c r="N2641" s="76"/>
      <c r="O2641" s="76"/>
      <c r="P2641" s="76"/>
      <c r="Q2641" s="76"/>
      <c r="R2641" s="76"/>
      <c r="U2641" s="26" t="s">
        <v>5497</v>
      </c>
      <c r="Z2641" s="70"/>
      <c r="AA2641" s="70"/>
      <c r="AB2641" s="70"/>
      <c r="AC2641" s="70"/>
    </row>
    <row r="2642" spans="1:31" s="24" customFormat="1" x14ac:dyDescent="0.3">
      <c r="A2642" s="23">
        <v>682</v>
      </c>
      <c r="B2642" s="23">
        <v>677</v>
      </c>
      <c r="C2642" s="24" t="s">
        <v>2165</v>
      </c>
      <c r="D2642" s="69" t="s">
        <v>1949</v>
      </c>
      <c r="E2642" s="24" t="s">
        <v>1948</v>
      </c>
      <c r="F2642" s="24" t="s">
        <v>1956</v>
      </c>
      <c r="G2642" s="69" t="s">
        <v>1957</v>
      </c>
      <c r="I2642" s="69"/>
      <c r="J2642" s="24" t="s">
        <v>4395</v>
      </c>
      <c r="K2642" s="24" t="s">
        <v>92</v>
      </c>
      <c r="M2642" s="75" t="s">
        <v>19</v>
      </c>
      <c r="N2642" s="75"/>
      <c r="O2642" s="75"/>
      <c r="P2642" s="75"/>
      <c r="Q2642" s="75"/>
      <c r="R2642" s="75" t="s">
        <v>2166</v>
      </c>
      <c r="T2642" s="24" t="s">
        <v>2330</v>
      </c>
      <c r="U2642" s="24" t="s">
        <v>2293</v>
      </c>
      <c r="V2642" s="24" t="s">
        <v>2171</v>
      </c>
      <c r="Z2642" s="69"/>
      <c r="AA2642" s="69"/>
      <c r="AB2642" s="69"/>
      <c r="AC2642" s="69"/>
      <c r="AD2642" s="24" t="s">
        <v>1958</v>
      </c>
      <c r="AE2642" s="24" t="s">
        <v>2987</v>
      </c>
    </row>
    <row r="2643" spans="1:31" s="26" customFormat="1" x14ac:dyDescent="0.3">
      <c r="A2643" s="25" t="s">
        <v>9457</v>
      </c>
      <c r="B2643" s="25"/>
      <c r="C2643" s="26" t="s">
        <v>3005</v>
      </c>
      <c r="D2643" s="70"/>
      <c r="G2643" s="70" t="s">
        <v>1957</v>
      </c>
      <c r="H2643" s="26">
        <v>-1</v>
      </c>
      <c r="I2643" s="70" t="s">
        <v>9458</v>
      </c>
      <c r="J2643" s="26" t="s">
        <v>4395</v>
      </c>
      <c r="K2643" s="26" t="s">
        <v>9459</v>
      </c>
      <c r="L2643" s="26" t="s">
        <v>11257</v>
      </c>
      <c r="M2643" s="76"/>
      <c r="N2643" s="76"/>
      <c r="O2643" s="76"/>
      <c r="P2643" s="76"/>
      <c r="Q2643" s="76"/>
      <c r="R2643" s="76"/>
      <c r="T2643" s="26" t="s">
        <v>2200</v>
      </c>
      <c r="U2643" s="26" t="s">
        <v>9460</v>
      </c>
      <c r="Z2643" s="70"/>
      <c r="AA2643" s="70"/>
      <c r="AB2643" s="70"/>
      <c r="AC2643" s="70"/>
      <c r="AE2643" s="26" t="s">
        <v>9461</v>
      </c>
    </row>
    <row r="2644" spans="1:31" s="26" customFormat="1" x14ac:dyDescent="0.3">
      <c r="A2644" s="25" t="s">
        <v>9462</v>
      </c>
      <c r="B2644" s="25"/>
      <c r="C2644" s="26" t="s">
        <v>3005</v>
      </c>
      <c r="D2644" s="70"/>
      <c r="G2644" s="70" t="s">
        <v>1957</v>
      </c>
      <c r="H2644" s="26">
        <v>-1</v>
      </c>
      <c r="I2644" s="70" t="s">
        <v>9463</v>
      </c>
      <c r="J2644" s="26" t="s">
        <v>3880</v>
      </c>
      <c r="K2644" s="26" t="s">
        <v>9464</v>
      </c>
      <c r="M2644" s="76"/>
      <c r="N2644" s="76"/>
      <c r="O2644" s="76"/>
      <c r="P2644" s="76"/>
      <c r="Q2644" s="76"/>
      <c r="R2644" s="76"/>
      <c r="U2644" s="26" t="s">
        <v>4736</v>
      </c>
      <c r="Z2644" s="70"/>
      <c r="AA2644" s="70"/>
      <c r="AB2644" s="70"/>
      <c r="AC2644" s="70"/>
    </row>
    <row r="2645" spans="1:31" s="24" customFormat="1" x14ac:dyDescent="0.3">
      <c r="A2645" s="23">
        <v>683</v>
      </c>
      <c r="B2645" s="23">
        <v>678</v>
      </c>
      <c r="C2645" s="24" t="s">
        <v>2165</v>
      </c>
      <c r="D2645" s="69" t="s">
        <v>1949</v>
      </c>
      <c r="E2645" s="24" t="s">
        <v>1948</v>
      </c>
      <c r="F2645" s="24" t="s">
        <v>1959</v>
      </c>
      <c r="G2645" s="69" t="s">
        <v>1960</v>
      </c>
      <c r="I2645" s="69"/>
      <c r="J2645" s="24" t="s">
        <v>6405</v>
      </c>
      <c r="K2645" s="24" t="s">
        <v>92</v>
      </c>
      <c r="M2645" s="75" t="s">
        <v>50</v>
      </c>
      <c r="N2645" s="75"/>
      <c r="O2645" s="75"/>
      <c r="P2645" s="75"/>
      <c r="Q2645" s="75"/>
      <c r="R2645" s="75"/>
      <c r="T2645" s="24" t="s">
        <v>2200</v>
      </c>
      <c r="U2645" s="24" t="s">
        <v>2369</v>
      </c>
      <c r="W2645" s="24" t="s">
        <v>2988</v>
      </c>
      <c r="Z2645" s="69"/>
      <c r="AA2645" s="69"/>
      <c r="AB2645" s="69"/>
      <c r="AC2645" s="69"/>
      <c r="AE2645" s="24" t="s">
        <v>2987</v>
      </c>
    </row>
    <row r="2646" spans="1:31" s="26" customFormat="1" x14ac:dyDescent="0.3">
      <c r="A2646" s="25" t="s">
        <v>9465</v>
      </c>
      <c r="B2646" s="25"/>
      <c r="C2646" s="26" t="s">
        <v>3005</v>
      </c>
      <c r="D2646" s="70"/>
      <c r="G2646" s="70" t="s">
        <v>1960</v>
      </c>
      <c r="H2646" s="26">
        <v>-1</v>
      </c>
      <c r="I2646" s="70" t="s">
        <v>9466</v>
      </c>
      <c r="J2646" s="26" t="s">
        <v>9467</v>
      </c>
      <c r="K2646" s="26" t="s">
        <v>8456</v>
      </c>
      <c r="L2646" s="26" t="s">
        <v>11258</v>
      </c>
      <c r="M2646" s="76"/>
      <c r="N2646" s="76"/>
      <c r="O2646" s="76"/>
      <c r="P2646" s="76"/>
      <c r="Q2646" s="76"/>
      <c r="R2646" s="76"/>
      <c r="Z2646" s="70"/>
      <c r="AA2646" s="70"/>
      <c r="AB2646" s="70"/>
      <c r="AC2646" s="70"/>
    </row>
    <row r="2647" spans="1:31" s="26" customFormat="1" x14ac:dyDescent="0.3">
      <c r="A2647" s="25" t="s">
        <v>9468</v>
      </c>
      <c r="B2647" s="25"/>
      <c r="C2647" s="26" t="s">
        <v>3005</v>
      </c>
      <c r="D2647" s="70"/>
      <c r="G2647" s="70" t="s">
        <v>1960</v>
      </c>
      <c r="H2647" s="26">
        <v>-1</v>
      </c>
      <c r="I2647" s="70" t="s">
        <v>9469</v>
      </c>
      <c r="J2647" s="26" t="s">
        <v>9470</v>
      </c>
      <c r="K2647" s="26" t="s">
        <v>9471</v>
      </c>
      <c r="L2647" s="26" t="s">
        <v>9471</v>
      </c>
      <c r="M2647" s="76"/>
      <c r="N2647" s="76"/>
      <c r="O2647" s="76"/>
      <c r="P2647" s="76"/>
      <c r="Q2647" s="76"/>
      <c r="R2647" s="76"/>
      <c r="Z2647" s="70"/>
      <c r="AA2647" s="70"/>
      <c r="AB2647" s="70"/>
      <c r="AC2647" s="70"/>
    </row>
    <row r="2648" spans="1:31" s="26" customFormat="1" x14ac:dyDescent="0.3">
      <c r="A2648" s="25" t="s">
        <v>9472</v>
      </c>
      <c r="B2648" s="25"/>
      <c r="C2648" s="26" t="s">
        <v>3005</v>
      </c>
      <c r="D2648" s="70"/>
      <c r="G2648" s="70" t="s">
        <v>1960</v>
      </c>
      <c r="H2648" s="26">
        <v>-1</v>
      </c>
      <c r="I2648" s="70" t="s">
        <v>3494</v>
      </c>
      <c r="J2648" s="26" t="s">
        <v>6405</v>
      </c>
      <c r="K2648" s="26" t="s">
        <v>9473</v>
      </c>
      <c r="L2648" s="26" t="s">
        <v>11259</v>
      </c>
      <c r="M2648" s="76"/>
      <c r="N2648" s="76"/>
      <c r="O2648" s="76"/>
      <c r="P2648" s="76"/>
      <c r="Q2648" s="76"/>
      <c r="R2648" s="76"/>
      <c r="T2648" s="26" t="s">
        <v>2200</v>
      </c>
      <c r="U2648" s="26" t="s">
        <v>9474</v>
      </c>
      <c r="Z2648" s="70"/>
      <c r="AA2648" s="70"/>
      <c r="AB2648" s="70"/>
      <c r="AC2648" s="70"/>
      <c r="AE2648" s="26" t="s">
        <v>9475</v>
      </c>
    </row>
    <row r="2649" spans="1:31" s="24" customFormat="1" x14ac:dyDescent="0.3">
      <c r="A2649" s="23">
        <v>684</v>
      </c>
      <c r="B2649" s="23">
        <v>679</v>
      </c>
      <c r="C2649" s="24" t="s">
        <v>2165</v>
      </c>
      <c r="D2649" s="69" t="s">
        <v>1949</v>
      </c>
      <c r="E2649" s="24" t="s">
        <v>1948</v>
      </c>
      <c r="F2649" s="24" t="s">
        <v>1961</v>
      </c>
      <c r="G2649" s="69" t="s">
        <v>1962</v>
      </c>
      <c r="I2649" s="69"/>
      <c r="J2649" s="24" t="s">
        <v>3110</v>
      </c>
      <c r="K2649" s="24" t="s">
        <v>1779</v>
      </c>
      <c r="M2649" s="75" t="s">
        <v>50</v>
      </c>
      <c r="N2649" s="75"/>
      <c r="O2649" s="75"/>
      <c r="P2649" s="75"/>
      <c r="Q2649" s="75"/>
      <c r="R2649" s="75"/>
      <c r="T2649" s="24" t="s">
        <v>2200</v>
      </c>
      <c r="U2649" s="24" t="s">
        <v>2369</v>
      </c>
      <c r="Z2649" s="69"/>
      <c r="AA2649" s="69"/>
      <c r="AB2649" s="69"/>
      <c r="AC2649" s="69"/>
      <c r="AD2649" s="24" t="s">
        <v>1963</v>
      </c>
      <c r="AE2649" s="24" t="s">
        <v>2987</v>
      </c>
    </row>
    <row r="2650" spans="1:31" s="26" customFormat="1" x14ac:dyDescent="0.3">
      <c r="A2650" s="25" t="s">
        <v>9476</v>
      </c>
      <c r="B2650" s="25"/>
      <c r="C2650" s="26" t="s">
        <v>3005</v>
      </c>
      <c r="D2650" s="70"/>
      <c r="G2650" s="70" t="s">
        <v>1962</v>
      </c>
      <c r="H2650" s="26">
        <v>-1</v>
      </c>
      <c r="I2650" s="70" t="s">
        <v>9477</v>
      </c>
      <c r="J2650" s="26" t="s">
        <v>4338</v>
      </c>
      <c r="K2650" s="26" t="s">
        <v>9478</v>
      </c>
      <c r="M2650" s="76"/>
      <c r="N2650" s="76"/>
      <c r="O2650" s="76"/>
      <c r="P2650" s="76"/>
      <c r="Q2650" s="76"/>
      <c r="R2650" s="76"/>
      <c r="U2650" s="26" t="s">
        <v>3650</v>
      </c>
      <c r="Z2650" s="70"/>
      <c r="AA2650" s="70"/>
      <c r="AB2650" s="70"/>
      <c r="AC2650" s="70"/>
    </row>
    <row r="2651" spans="1:31" s="26" customFormat="1" x14ac:dyDescent="0.3">
      <c r="A2651" s="25" t="s">
        <v>9479</v>
      </c>
      <c r="B2651" s="25"/>
      <c r="C2651" s="26" t="s">
        <v>3005</v>
      </c>
      <c r="D2651" s="70"/>
      <c r="G2651" s="70" t="s">
        <v>1962</v>
      </c>
      <c r="H2651" s="26">
        <v>-1</v>
      </c>
      <c r="I2651" s="70" t="s">
        <v>3526</v>
      </c>
      <c r="J2651" s="26" t="s">
        <v>3110</v>
      </c>
      <c r="K2651" s="26" t="s">
        <v>9480</v>
      </c>
      <c r="L2651" s="26" t="s">
        <v>11260</v>
      </c>
      <c r="M2651" s="76"/>
      <c r="N2651" s="76"/>
      <c r="O2651" s="76"/>
      <c r="P2651" s="76"/>
      <c r="Q2651" s="76"/>
      <c r="R2651" s="76"/>
      <c r="T2651" s="26" t="s">
        <v>2200</v>
      </c>
      <c r="U2651" s="26" t="s">
        <v>9481</v>
      </c>
      <c r="Z2651" s="70"/>
      <c r="AA2651" s="70"/>
      <c r="AB2651" s="70"/>
      <c r="AC2651" s="70"/>
      <c r="AE2651" s="26" t="s">
        <v>9482</v>
      </c>
    </row>
    <row r="2652" spans="1:31" s="26" customFormat="1" x14ac:dyDescent="0.3">
      <c r="A2652" s="25" t="s">
        <v>9483</v>
      </c>
      <c r="B2652" s="25"/>
      <c r="C2652" s="26" t="s">
        <v>3005</v>
      </c>
      <c r="D2652" s="70"/>
      <c r="G2652" s="70" t="s">
        <v>1962</v>
      </c>
      <c r="H2652" s="26">
        <v>-1</v>
      </c>
      <c r="I2652" s="70" t="s">
        <v>9484</v>
      </c>
      <c r="J2652" s="26" t="s">
        <v>9485</v>
      </c>
      <c r="K2652" s="26" t="s">
        <v>9486</v>
      </c>
      <c r="M2652" s="76"/>
      <c r="N2652" s="76"/>
      <c r="O2652" s="76"/>
      <c r="P2652" s="76"/>
      <c r="Q2652" s="76"/>
      <c r="R2652" s="76"/>
      <c r="Z2652" s="70"/>
      <c r="AA2652" s="70"/>
      <c r="AB2652" s="70"/>
      <c r="AC2652" s="70"/>
    </row>
    <row r="2653" spans="1:31" s="26" customFormat="1" x14ac:dyDescent="0.3">
      <c r="A2653" s="25" t="s">
        <v>9487</v>
      </c>
      <c r="B2653" s="25"/>
      <c r="C2653" s="26" t="s">
        <v>3005</v>
      </c>
      <c r="D2653" s="70"/>
      <c r="G2653" s="70" t="s">
        <v>1962</v>
      </c>
      <c r="H2653" s="26">
        <v>-1</v>
      </c>
      <c r="I2653" s="70" t="s">
        <v>3607</v>
      </c>
      <c r="J2653" s="26" t="s">
        <v>9488</v>
      </c>
      <c r="K2653" s="26" t="s">
        <v>9489</v>
      </c>
      <c r="M2653" s="76"/>
      <c r="N2653" s="76"/>
      <c r="O2653" s="76"/>
      <c r="P2653" s="76"/>
      <c r="Q2653" s="76"/>
      <c r="R2653" s="76"/>
      <c r="U2653" s="26" t="s">
        <v>9490</v>
      </c>
      <c r="Z2653" s="70"/>
      <c r="AA2653" s="70"/>
      <c r="AB2653" s="70"/>
      <c r="AC2653" s="70"/>
    </row>
    <row r="2654" spans="1:31" s="26" customFormat="1" x14ac:dyDescent="0.3">
      <c r="A2654" s="25" t="s">
        <v>9491</v>
      </c>
      <c r="B2654" s="25"/>
      <c r="C2654" s="26" t="s">
        <v>3005</v>
      </c>
      <c r="D2654" s="70"/>
      <c r="G2654" s="70" t="s">
        <v>1962</v>
      </c>
      <c r="H2654" s="26">
        <v>-1</v>
      </c>
      <c r="I2654" s="70" t="s">
        <v>9492</v>
      </c>
      <c r="J2654" s="26" t="s">
        <v>4335</v>
      </c>
      <c r="K2654" s="26" t="s">
        <v>9493</v>
      </c>
      <c r="M2654" s="76"/>
      <c r="N2654" s="76"/>
      <c r="O2654" s="76"/>
      <c r="P2654" s="76"/>
      <c r="Q2654" s="76"/>
      <c r="R2654" s="76"/>
      <c r="U2654" s="26" t="s">
        <v>9494</v>
      </c>
      <c r="Z2654" s="70"/>
      <c r="AA2654" s="70"/>
      <c r="AB2654" s="70"/>
      <c r="AC2654" s="70"/>
    </row>
    <row r="2655" spans="1:31" s="26" customFormat="1" x14ac:dyDescent="0.3">
      <c r="A2655" s="25" t="s">
        <v>9495</v>
      </c>
      <c r="B2655" s="25"/>
      <c r="C2655" s="26" t="s">
        <v>3005</v>
      </c>
      <c r="D2655" s="70"/>
      <c r="G2655" s="70" t="s">
        <v>1962</v>
      </c>
      <c r="H2655" s="26">
        <v>-1</v>
      </c>
      <c r="I2655" s="70" t="s">
        <v>8767</v>
      </c>
      <c r="J2655" s="26" t="s">
        <v>7893</v>
      </c>
      <c r="K2655" s="26" t="s">
        <v>9496</v>
      </c>
      <c r="M2655" s="76"/>
      <c r="N2655" s="76"/>
      <c r="O2655" s="76"/>
      <c r="P2655" s="76"/>
      <c r="Q2655" s="76"/>
      <c r="R2655" s="76"/>
      <c r="U2655" s="26" t="s">
        <v>4736</v>
      </c>
      <c r="Z2655" s="70"/>
      <c r="AA2655" s="70"/>
      <c r="AB2655" s="70"/>
      <c r="AC2655" s="70"/>
    </row>
    <row r="2656" spans="1:31" s="26" customFormat="1" x14ac:dyDescent="0.3">
      <c r="A2656" s="25" t="s">
        <v>9497</v>
      </c>
      <c r="B2656" s="25"/>
      <c r="C2656" s="26" t="s">
        <v>3005</v>
      </c>
      <c r="D2656" s="70"/>
      <c r="G2656" s="70" t="s">
        <v>1962</v>
      </c>
      <c r="H2656" s="26">
        <v>-1</v>
      </c>
      <c r="I2656" s="70" t="s">
        <v>9498</v>
      </c>
      <c r="J2656" s="26" t="s">
        <v>9499</v>
      </c>
      <c r="K2656" s="26" t="s">
        <v>9500</v>
      </c>
      <c r="M2656" s="76"/>
      <c r="N2656" s="76"/>
      <c r="O2656" s="76"/>
      <c r="P2656" s="76"/>
      <c r="Q2656" s="76"/>
      <c r="R2656" s="76"/>
      <c r="U2656" s="26" t="s">
        <v>8945</v>
      </c>
      <c r="Z2656" s="70"/>
      <c r="AA2656" s="70"/>
      <c r="AB2656" s="70"/>
      <c r="AC2656" s="70"/>
    </row>
    <row r="2657" spans="1:31" s="26" customFormat="1" x14ac:dyDescent="0.3">
      <c r="A2657" s="25" t="s">
        <v>9501</v>
      </c>
      <c r="B2657" s="25"/>
      <c r="C2657" s="26" t="s">
        <v>3005</v>
      </c>
      <c r="D2657" s="70"/>
      <c r="G2657" s="70" t="s">
        <v>1962</v>
      </c>
      <c r="H2657" s="26">
        <v>-1</v>
      </c>
      <c r="I2657" s="70" t="s">
        <v>9502</v>
      </c>
      <c r="J2657" s="26" t="s">
        <v>3615</v>
      </c>
      <c r="K2657" s="26" t="s">
        <v>9503</v>
      </c>
      <c r="M2657" s="76"/>
      <c r="N2657" s="76"/>
      <c r="O2657" s="76"/>
      <c r="P2657" s="76"/>
      <c r="Q2657" s="76"/>
      <c r="R2657" s="76"/>
      <c r="U2657" s="26" t="s">
        <v>9460</v>
      </c>
      <c r="Z2657" s="70"/>
      <c r="AA2657" s="70"/>
      <c r="AB2657" s="70"/>
      <c r="AC2657" s="70"/>
    </row>
    <row r="2658" spans="1:31" s="26" customFormat="1" x14ac:dyDescent="0.3">
      <c r="A2658" s="25" t="s">
        <v>9504</v>
      </c>
      <c r="B2658" s="25"/>
      <c r="C2658" s="26" t="s">
        <v>3005</v>
      </c>
      <c r="D2658" s="70"/>
      <c r="G2658" s="70" t="s">
        <v>1962</v>
      </c>
      <c r="H2658" s="26">
        <v>-1</v>
      </c>
      <c r="I2658" s="70" t="s">
        <v>9505</v>
      </c>
      <c r="J2658" s="26" t="s">
        <v>3880</v>
      </c>
      <c r="K2658" s="26" t="s">
        <v>9506</v>
      </c>
      <c r="M2658" s="76"/>
      <c r="N2658" s="76"/>
      <c r="O2658" s="76"/>
      <c r="P2658" s="76"/>
      <c r="Q2658" s="76"/>
      <c r="R2658" s="76"/>
      <c r="Z2658" s="70"/>
      <c r="AA2658" s="70"/>
      <c r="AB2658" s="70"/>
      <c r="AC2658" s="70"/>
    </row>
    <row r="2659" spans="1:31" s="24" customFormat="1" x14ac:dyDescent="0.3">
      <c r="A2659" s="23">
        <v>685</v>
      </c>
      <c r="B2659" s="23">
        <v>680</v>
      </c>
      <c r="C2659" s="24" t="s">
        <v>2165</v>
      </c>
      <c r="D2659" s="69" t="s">
        <v>1949</v>
      </c>
      <c r="E2659" s="24" t="s">
        <v>1948</v>
      </c>
      <c r="F2659" s="24" t="s">
        <v>1964</v>
      </c>
      <c r="G2659" s="69" t="s">
        <v>1965</v>
      </c>
      <c r="I2659" s="69"/>
      <c r="J2659" s="24" t="s">
        <v>4711</v>
      </c>
      <c r="K2659" s="24" t="s">
        <v>1966</v>
      </c>
      <c r="M2659" s="75" t="s">
        <v>19</v>
      </c>
      <c r="N2659" s="75"/>
      <c r="O2659" s="75"/>
      <c r="P2659" s="75"/>
      <c r="Q2659" s="75"/>
      <c r="R2659" s="75" t="s">
        <v>2166</v>
      </c>
      <c r="T2659" s="24" t="s">
        <v>2330</v>
      </c>
      <c r="U2659" s="24" t="s">
        <v>2195</v>
      </c>
      <c r="V2659" s="24" t="s">
        <v>2171</v>
      </c>
      <c r="Z2659" s="69"/>
      <c r="AA2659" s="69"/>
      <c r="AB2659" s="69"/>
      <c r="AC2659" s="69"/>
      <c r="AD2659" s="24" t="s">
        <v>1967</v>
      </c>
      <c r="AE2659" s="24" t="s">
        <v>2989</v>
      </c>
    </row>
    <row r="2660" spans="1:31" s="24" customFormat="1" x14ac:dyDescent="0.3">
      <c r="A2660" s="23">
        <v>686</v>
      </c>
      <c r="B2660" s="23">
        <v>681</v>
      </c>
      <c r="C2660" s="24" t="s">
        <v>2165</v>
      </c>
      <c r="D2660" s="69" t="s">
        <v>1949</v>
      </c>
      <c r="E2660" s="24" t="s">
        <v>1948</v>
      </c>
      <c r="F2660" s="24" t="s">
        <v>1968</v>
      </c>
      <c r="G2660" s="69" t="s">
        <v>1969</v>
      </c>
      <c r="H2660" s="24">
        <v>1</v>
      </c>
      <c r="I2660" s="69"/>
      <c r="J2660" s="24" t="s">
        <v>4711</v>
      </c>
      <c r="K2660" s="24" t="s">
        <v>1970</v>
      </c>
      <c r="M2660" s="75" t="s">
        <v>15</v>
      </c>
      <c r="N2660" s="75"/>
      <c r="O2660" s="75"/>
      <c r="P2660" s="75"/>
      <c r="Q2660" s="75"/>
      <c r="R2660" s="75"/>
      <c r="T2660" s="24" t="s">
        <v>2200</v>
      </c>
      <c r="V2660" s="24" t="s">
        <v>1964</v>
      </c>
      <c r="Z2660" s="69"/>
      <c r="AA2660" s="69"/>
      <c r="AB2660" s="69"/>
      <c r="AC2660" s="69"/>
      <c r="AE2660" s="24" t="s">
        <v>2987</v>
      </c>
    </row>
    <row r="2661" spans="1:31" s="26" customFormat="1" x14ac:dyDescent="0.3">
      <c r="A2661" s="25" t="s">
        <v>9507</v>
      </c>
      <c r="B2661" s="25"/>
      <c r="C2661" s="26" t="s">
        <v>3005</v>
      </c>
      <c r="D2661" s="70"/>
      <c r="G2661" s="70" t="s">
        <v>1969</v>
      </c>
      <c r="H2661" s="26">
        <v>-1</v>
      </c>
      <c r="I2661" s="70" t="s">
        <v>9508</v>
      </c>
      <c r="J2661" s="26" t="s">
        <v>4711</v>
      </c>
      <c r="K2661" s="26" t="s">
        <v>9509</v>
      </c>
      <c r="L2661" s="26" t="s">
        <v>11261</v>
      </c>
      <c r="M2661" s="76"/>
      <c r="N2661" s="76"/>
      <c r="O2661" s="76"/>
      <c r="P2661" s="76"/>
      <c r="Q2661" s="76"/>
      <c r="R2661" s="76"/>
      <c r="T2661" s="26" t="s">
        <v>2200</v>
      </c>
      <c r="Z2661" s="70"/>
      <c r="AA2661" s="70"/>
      <c r="AB2661" s="70"/>
      <c r="AC2661" s="70"/>
      <c r="AE2661" s="26" t="s">
        <v>9510</v>
      </c>
    </row>
    <row r="2662" spans="1:31" s="26" customFormat="1" x14ac:dyDescent="0.3">
      <c r="A2662" s="25" t="s">
        <v>9511</v>
      </c>
      <c r="B2662" s="25"/>
      <c r="C2662" s="26" t="s">
        <v>3005</v>
      </c>
      <c r="D2662" s="70"/>
      <c r="G2662" s="70" t="s">
        <v>1969</v>
      </c>
      <c r="H2662" s="26">
        <v>-1</v>
      </c>
      <c r="I2662" s="70" t="s">
        <v>3745</v>
      </c>
      <c r="J2662" s="26" t="s">
        <v>9512</v>
      </c>
      <c r="K2662" s="26" t="s">
        <v>9513</v>
      </c>
      <c r="L2662" s="26" t="s">
        <v>11262</v>
      </c>
      <c r="M2662" s="76"/>
      <c r="N2662" s="76"/>
      <c r="O2662" s="76"/>
      <c r="P2662" s="76"/>
      <c r="Q2662" s="76"/>
      <c r="R2662" s="76"/>
      <c r="Z2662" s="70"/>
      <c r="AA2662" s="70"/>
      <c r="AB2662" s="70"/>
      <c r="AC2662" s="70"/>
    </row>
    <row r="2663" spans="1:31" s="26" customFormat="1" x14ac:dyDescent="0.3">
      <c r="A2663" s="25" t="s">
        <v>9514</v>
      </c>
      <c r="B2663" s="25"/>
      <c r="C2663" s="26" t="s">
        <v>3005</v>
      </c>
      <c r="D2663" s="70"/>
      <c r="G2663" s="70" t="s">
        <v>1969</v>
      </c>
      <c r="H2663" s="26">
        <v>2</v>
      </c>
      <c r="I2663" s="70" t="s">
        <v>4196</v>
      </c>
      <c r="J2663" s="26" t="s">
        <v>5520</v>
      </c>
      <c r="K2663" s="26" t="s">
        <v>2015</v>
      </c>
      <c r="L2663" s="26" t="s">
        <v>11263</v>
      </c>
      <c r="M2663" s="76"/>
      <c r="N2663" s="76"/>
      <c r="O2663" s="76"/>
      <c r="P2663" s="76"/>
      <c r="Q2663" s="76"/>
      <c r="R2663" s="76"/>
      <c r="Z2663" s="70"/>
      <c r="AA2663" s="70"/>
      <c r="AB2663" s="70"/>
      <c r="AC2663" s="70"/>
    </row>
    <row r="2664" spans="1:31" s="26" customFormat="1" x14ac:dyDescent="0.3">
      <c r="A2664" s="25" t="s">
        <v>9515</v>
      </c>
      <c r="B2664" s="25"/>
      <c r="C2664" s="26" t="s">
        <v>3005</v>
      </c>
      <c r="D2664" s="70"/>
      <c r="G2664" s="70" t="s">
        <v>1969</v>
      </c>
      <c r="H2664" s="26">
        <v>-1</v>
      </c>
      <c r="I2664" s="70" t="s">
        <v>9516</v>
      </c>
      <c r="J2664" s="26" t="s">
        <v>5324</v>
      </c>
      <c r="K2664" s="26" t="s">
        <v>9517</v>
      </c>
      <c r="L2664" s="26" t="s">
        <v>11264</v>
      </c>
      <c r="M2664" s="76"/>
      <c r="N2664" s="76"/>
      <c r="O2664" s="76"/>
      <c r="P2664" s="76"/>
      <c r="Q2664" s="76"/>
      <c r="R2664" s="76"/>
      <c r="Z2664" s="70"/>
      <c r="AA2664" s="70"/>
      <c r="AB2664" s="70"/>
      <c r="AC2664" s="70"/>
    </row>
    <row r="2665" spans="1:31" s="26" customFormat="1" x14ac:dyDescent="0.3">
      <c r="A2665" s="25" t="s">
        <v>9518</v>
      </c>
      <c r="B2665" s="25"/>
      <c r="C2665" s="26" t="s">
        <v>3005</v>
      </c>
      <c r="D2665" s="70"/>
      <c r="G2665" s="70" t="s">
        <v>1969</v>
      </c>
      <c r="H2665" s="26">
        <v>-1</v>
      </c>
      <c r="I2665" s="70" t="s">
        <v>5327</v>
      </c>
      <c r="J2665" s="26" t="s">
        <v>6661</v>
      </c>
      <c r="K2665" s="26" t="s">
        <v>5760</v>
      </c>
      <c r="L2665" s="26" t="s">
        <v>11265</v>
      </c>
      <c r="M2665" s="76"/>
      <c r="N2665" s="76"/>
      <c r="O2665" s="76"/>
      <c r="P2665" s="76"/>
      <c r="Q2665" s="76"/>
      <c r="R2665" s="76"/>
      <c r="Z2665" s="70"/>
      <c r="AA2665" s="70"/>
      <c r="AB2665" s="70"/>
      <c r="AC2665" s="70"/>
    </row>
    <row r="2666" spans="1:31" s="24" customFormat="1" x14ac:dyDescent="0.3">
      <c r="A2666" s="23">
        <v>687</v>
      </c>
      <c r="B2666" s="23">
        <v>682</v>
      </c>
      <c r="C2666" s="24" t="s">
        <v>2165</v>
      </c>
      <c r="D2666" s="69" t="s">
        <v>1949</v>
      </c>
      <c r="E2666" s="24" t="s">
        <v>1948</v>
      </c>
      <c r="F2666" s="24" t="s">
        <v>1971</v>
      </c>
      <c r="G2666" s="69" t="s">
        <v>1972</v>
      </c>
      <c r="I2666" s="69"/>
      <c r="J2666" s="24" t="s">
        <v>9519</v>
      </c>
      <c r="K2666" s="24" t="s">
        <v>360</v>
      </c>
      <c r="M2666" s="75" t="s">
        <v>50</v>
      </c>
      <c r="N2666" s="75"/>
      <c r="O2666" s="75"/>
      <c r="P2666" s="75"/>
      <c r="Q2666" s="75"/>
      <c r="R2666" s="75"/>
      <c r="U2666" s="24" t="s">
        <v>2293</v>
      </c>
      <c r="V2666" s="24" t="s">
        <v>2990</v>
      </c>
      <c r="Z2666" s="69"/>
      <c r="AA2666" s="69"/>
      <c r="AB2666" s="69"/>
      <c r="AC2666" s="69"/>
    </row>
    <row r="2667" spans="1:31" s="26" customFormat="1" x14ac:dyDescent="0.3">
      <c r="A2667" s="25" t="s">
        <v>9520</v>
      </c>
      <c r="B2667" s="25"/>
      <c r="C2667" s="26" t="s">
        <v>3005</v>
      </c>
      <c r="D2667" s="70"/>
      <c r="G2667" s="70" t="s">
        <v>1972</v>
      </c>
      <c r="H2667" s="26">
        <v>-1</v>
      </c>
      <c r="I2667" s="70" t="s">
        <v>9521</v>
      </c>
      <c r="J2667" s="26" t="s">
        <v>9519</v>
      </c>
      <c r="K2667" s="26" t="s">
        <v>9522</v>
      </c>
      <c r="L2667" s="26" t="s">
        <v>11266</v>
      </c>
      <c r="M2667" s="76"/>
      <c r="N2667" s="76"/>
      <c r="O2667" s="76"/>
      <c r="P2667" s="76"/>
      <c r="Q2667" s="76"/>
      <c r="R2667" s="76"/>
      <c r="U2667" s="26" t="s">
        <v>2195</v>
      </c>
      <c r="Z2667" s="70"/>
      <c r="AA2667" s="70"/>
      <c r="AB2667" s="70"/>
      <c r="AC2667" s="70"/>
    </row>
    <row r="2668" spans="1:31" s="26" customFormat="1" x14ac:dyDescent="0.3">
      <c r="A2668" s="25" t="s">
        <v>9523</v>
      </c>
      <c r="B2668" s="25"/>
      <c r="C2668" s="26" t="s">
        <v>3005</v>
      </c>
      <c r="D2668" s="70"/>
      <c r="G2668" s="70" t="s">
        <v>1972</v>
      </c>
      <c r="H2668" s="26">
        <v>2</v>
      </c>
      <c r="I2668" s="70" t="s">
        <v>9379</v>
      </c>
      <c r="J2668" s="26" t="s">
        <v>9524</v>
      </c>
      <c r="K2668" s="26" t="s">
        <v>9525</v>
      </c>
      <c r="L2668" s="26" t="s">
        <v>11267</v>
      </c>
      <c r="M2668" s="76"/>
      <c r="N2668" s="76"/>
      <c r="O2668" s="76"/>
      <c r="P2668" s="76"/>
      <c r="Q2668" s="76"/>
      <c r="R2668" s="76"/>
      <c r="U2668" s="26" t="s">
        <v>2195</v>
      </c>
      <c r="Z2668" s="70"/>
      <c r="AA2668" s="70"/>
      <c r="AB2668" s="70"/>
      <c r="AC2668" s="70"/>
    </row>
    <row r="2669" spans="1:31" s="24" customFormat="1" x14ac:dyDescent="0.3">
      <c r="A2669" s="23">
        <v>688</v>
      </c>
      <c r="B2669" s="23">
        <v>683</v>
      </c>
      <c r="C2669" s="24" t="s">
        <v>2165</v>
      </c>
      <c r="D2669" s="69" t="s">
        <v>1949</v>
      </c>
      <c r="E2669" s="24" t="s">
        <v>1948</v>
      </c>
      <c r="F2669" s="24" t="s">
        <v>1973</v>
      </c>
      <c r="G2669" s="69" t="s">
        <v>1974</v>
      </c>
      <c r="I2669" s="69"/>
      <c r="J2669" s="24" t="s">
        <v>5156</v>
      </c>
      <c r="K2669" s="24" t="s">
        <v>1975</v>
      </c>
      <c r="M2669" s="75" t="s">
        <v>50</v>
      </c>
      <c r="N2669" s="75"/>
      <c r="O2669" s="75"/>
      <c r="P2669" s="75"/>
      <c r="Q2669" s="75"/>
      <c r="R2669" s="75"/>
      <c r="T2669" s="24" t="s">
        <v>2200</v>
      </c>
      <c r="U2669" s="24" t="s">
        <v>2991</v>
      </c>
      <c r="Z2669" s="69"/>
      <c r="AA2669" s="69"/>
      <c r="AB2669" s="69"/>
      <c r="AC2669" s="69"/>
      <c r="AE2669" s="24" t="s">
        <v>2987</v>
      </c>
    </row>
    <row r="2670" spans="1:31" s="26" customFormat="1" x14ac:dyDescent="0.3">
      <c r="A2670" s="25" t="s">
        <v>9526</v>
      </c>
      <c r="B2670" s="25"/>
      <c r="C2670" s="26" t="s">
        <v>3005</v>
      </c>
      <c r="D2670" s="70"/>
      <c r="G2670" s="70" t="s">
        <v>1974</v>
      </c>
      <c r="H2670" s="26">
        <v>2</v>
      </c>
      <c r="I2670" s="70" t="s">
        <v>9527</v>
      </c>
      <c r="J2670" s="26" t="s">
        <v>5156</v>
      </c>
      <c r="K2670" s="26" t="s">
        <v>9528</v>
      </c>
      <c r="L2670" s="26" t="s">
        <v>11268</v>
      </c>
      <c r="M2670" s="76"/>
      <c r="N2670" s="76"/>
      <c r="O2670" s="76"/>
      <c r="P2670" s="76"/>
      <c r="Q2670" s="76"/>
      <c r="R2670" s="76"/>
      <c r="T2670" s="26" t="s">
        <v>2200</v>
      </c>
      <c r="U2670" s="26" t="s">
        <v>9529</v>
      </c>
      <c r="Z2670" s="70"/>
      <c r="AA2670" s="70"/>
      <c r="AB2670" s="70"/>
      <c r="AC2670" s="70"/>
      <c r="AE2670" s="26" t="s">
        <v>9530</v>
      </c>
    </row>
    <row r="2671" spans="1:31" s="26" customFormat="1" x14ac:dyDescent="0.3">
      <c r="A2671" s="25" t="s">
        <v>9531</v>
      </c>
      <c r="B2671" s="25"/>
      <c r="C2671" s="26" t="s">
        <v>3005</v>
      </c>
      <c r="D2671" s="70"/>
      <c r="G2671" s="70" t="s">
        <v>1974</v>
      </c>
      <c r="H2671" s="26">
        <v>-1</v>
      </c>
      <c r="I2671" s="70" t="s">
        <v>4484</v>
      </c>
      <c r="J2671" s="26" t="s">
        <v>8821</v>
      </c>
      <c r="K2671" s="26" t="s">
        <v>9532</v>
      </c>
      <c r="M2671" s="76"/>
      <c r="N2671" s="76"/>
      <c r="O2671" s="76"/>
      <c r="P2671" s="76"/>
      <c r="Q2671" s="76"/>
      <c r="R2671" s="76"/>
      <c r="Z2671" s="70"/>
      <c r="AA2671" s="70"/>
      <c r="AB2671" s="70"/>
      <c r="AC2671" s="70"/>
    </row>
    <row r="2672" spans="1:31" s="24" customFormat="1" x14ac:dyDescent="0.3">
      <c r="A2672" s="23">
        <v>689</v>
      </c>
      <c r="B2672" s="23">
        <v>684</v>
      </c>
      <c r="C2672" s="24" t="s">
        <v>2165</v>
      </c>
      <c r="D2672" s="69" t="s">
        <v>1949</v>
      </c>
      <c r="E2672" s="24" t="s">
        <v>1948</v>
      </c>
      <c r="F2672" s="24" t="s">
        <v>1976</v>
      </c>
      <c r="G2672" s="69" t="s">
        <v>1977</v>
      </c>
      <c r="I2672" s="69"/>
      <c r="J2672" s="24" t="s">
        <v>3165</v>
      </c>
      <c r="K2672" s="24" t="s">
        <v>1978</v>
      </c>
      <c r="L2672" s="24" t="s">
        <v>9941</v>
      </c>
      <c r="M2672" s="75" t="s">
        <v>50</v>
      </c>
      <c r="N2672" s="75"/>
      <c r="O2672" s="75"/>
      <c r="P2672" s="75"/>
      <c r="Q2672" s="75"/>
      <c r="R2672" s="75"/>
      <c r="T2672" s="24" t="s">
        <v>2200</v>
      </c>
      <c r="U2672" s="24" t="s">
        <v>2369</v>
      </c>
      <c r="Z2672" s="69"/>
      <c r="AA2672" s="69"/>
      <c r="AB2672" s="69"/>
      <c r="AC2672" s="69"/>
      <c r="AE2672" s="24" t="s">
        <v>2989</v>
      </c>
    </row>
    <row r="2673" spans="1:31" s="24" customFormat="1" x14ac:dyDescent="0.3">
      <c r="A2673" s="23">
        <v>690</v>
      </c>
      <c r="B2673" s="23">
        <v>685</v>
      </c>
      <c r="C2673" s="24" t="s">
        <v>2165</v>
      </c>
      <c r="D2673" s="69" t="s">
        <v>1980</v>
      </c>
      <c r="E2673" s="24" t="s">
        <v>1979</v>
      </c>
      <c r="F2673" s="24" t="s">
        <v>1981</v>
      </c>
      <c r="G2673" s="69" t="s">
        <v>1982</v>
      </c>
      <c r="I2673" s="69"/>
      <c r="J2673" s="24" t="s">
        <v>3110</v>
      </c>
      <c r="K2673" s="24" t="s">
        <v>1983</v>
      </c>
      <c r="L2673" s="24" t="s">
        <v>9942</v>
      </c>
      <c r="M2673" s="75" t="s">
        <v>19</v>
      </c>
      <c r="N2673" s="75"/>
      <c r="O2673" s="75"/>
      <c r="P2673" s="75"/>
      <c r="Q2673" s="75"/>
      <c r="R2673" s="75" t="s">
        <v>2166</v>
      </c>
      <c r="Z2673" s="69"/>
      <c r="AA2673" s="69"/>
      <c r="AB2673" s="69"/>
      <c r="AC2673" s="69"/>
    </row>
    <row r="2674" spans="1:31" s="24" customFormat="1" x14ac:dyDescent="0.3">
      <c r="A2674" s="23">
        <v>691</v>
      </c>
      <c r="B2674" s="23">
        <v>686</v>
      </c>
      <c r="C2674" s="24" t="s">
        <v>2165</v>
      </c>
      <c r="D2674" s="69" t="s">
        <v>1980</v>
      </c>
      <c r="E2674" s="24" t="s">
        <v>1979</v>
      </c>
      <c r="F2674" s="24" t="s">
        <v>1984</v>
      </c>
      <c r="G2674" s="69" t="s">
        <v>1985</v>
      </c>
      <c r="I2674" s="69"/>
      <c r="J2674" s="24" t="s">
        <v>6565</v>
      </c>
      <c r="K2674" s="24" t="s">
        <v>1011</v>
      </c>
      <c r="M2674" s="75" t="s">
        <v>19</v>
      </c>
      <c r="N2674" s="75"/>
      <c r="O2674" s="75"/>
      <c r="P2674" s="75"/>
      <c r="Q2674" s="75"/>
      <c r="R2674" s="75" t="s">
        <v>2166</v>
      </c>
      <c r="T2674" s="24" t="s">
        <v>2174</v>
      </c>
      <c r="U2674" s="24" t="s">
        <v>2209</v>
      </c>
      <c r="V2674" s="24" t="s">
        <v>2171</v>
      </c>
      <c r="W2674" s="24" t="s">
        <v>2992</v>
      </c>
      <c r="Z2674" s="69"/>
      <c r="AA2674" s="69"/>
      <c r="AB2674" s="69"/>
      <c r="AC2674" s="69"/>
      <c r="AD2674" s="24" t="s">
        <v>1986</v>
      </c>
      <c r="AE2674" s="24" t="s">
        <v>2993</v>
      </c>
    </row>
    <row r="2675" spans="1:31" s="26" customFormat="1" x14ac:dyDescent="0.3">
      <c r="A2675" s="25" t="s">
        <v>9533</v>
      </c>
      <c r="B2675" s="25"/>
      <c r="C2675" s="26" t="s">
        <v>3005</v>
      </c>
      <c r="D2675" s="70"/>
      <c r="G2675" s="70" t="s">
        <v>1985</v>
      </c>
      <c r="H2675" s="26">
        <v>-1</v>
      </c>
      <c r="I2675" s="70" t="s">
        <v>9534</v>
      </c>
      <c r="J2675" s="26" t="s">
        <v>6565</v>
      </c>
      <c r="K2675" s="26" t="s">
        <v>5529</v>
      </c>
      <c r="L2675" s="26" t="s">
        <v>11269</v>
      </c>
      <c r="M2675" s="76"/>
      <c r="N2675" s="76"/>
      <c r="O2675" s="76"/>
      <c r="P2675" s="76"/>
      <c r="Q2675" s="76"/>
      <c r="R2675" s="76"/>
      <c r="U2675" s="26" t="s">
        <v>2209</v>
      </c>
      <c r="Z2675" s="70"/>
      <c r="AA2675" s="70"/>
      <c r="AB2675" s="70"/>
      <c r="AC2675" s="70"/>
    </row>
    <row r="2676" spans="1:31" s="26" customFormat="1" x14ac:dyDescent="0.3">
      <c r="A2676" s="25" t="s">
        <v>9535</v>
      </c>
      <c r="B2676" s="25"/>
      <c r="C2676" s="26" t="s">
        <v>3005</v>
      </c>
      <c r="D2676" s="70"/>
      <c r="G2676" s="70" t="s">
        <v>1985</v>
      </c>
      <c r="H2676" s="26">
        <v>-1</v>
      </c>
      <c r="I2676" s="70" t="s">
        <v>8516</v>
      </c>
      <c r="J2676" s="26" t="s">
        <v>9536</v>
      </c>
      <c r="K2676" s="26" t="s">
        <v>9537</v>
      </c>
      <c r="L2676" s="26" t="s">
        <v>11270</v>
      </c>
      <c r="M2676" s="76"/>
      <c r="N2676" s="76"/>
      <c r="O2676" s="76"/>
      <c r="P2676" s="76"/>
      <c r="Q2676" s="76"/>
      <c r="R2676" s="76"/>
      <c r="U2676" s="26" t="s">
        <v>5532</v>
      </c>
      <c r="Z2676" s="70"/>
      <c r="AA2676" s="70"/>
      <c r="AB2676" s="70"/>
      <c r="AC2676" s="70"/>
    </row>
    <row r="2677" spans="1:31" s="24" customFormat="1" x14ac:dyDescent="0.3">
      <c r="A2677" s="23">
        <v>692</v>
      </c>
      <c r="B2677" s="23">
        <v>687</v>
      </c>
      <c r="C2677" s="24" t="s">
        <v>2165</v>
      </c>
      <c r="D2677" s="69" t="s">
        <v>1980</v>
      </c>
      <c r="E2677" s="24" t="s">
        <v>1979</v>
      </c>
      <c r="F2677" s="24" t="s">
        <v>1987</v>
      </c>
      <c r="G2677" s="69" t="s">
        <v>1988</v>
      </c>
      <c r="H2677" s="24">
        <v>2</v>
      </c>
      <c r="I2677" s="69"/>
      <c r="J2677" s="24" t="s">
        <v>5691</v>
      </c>
      <c r="K2677" s="24" t="s">
        <v>68</v>
      </c>
      <c r="M2677" s="75" t="s">
        <v>65</v>
      </c>
      <c r="N2677" s="75" t="s">
        <v>2015</v>
      </c>
      <c r="O2677" s="75"/>
      <c r="P2677" s="75"/>
      <c r="Q2677" s="75"/>
      <c r="R2677" s="75"/>
      <c r="Z2677" s="69"/>
      <c r="AA2677" s="69"/>
      <c r="AB2677" s="69"/>
      <c r="AC2677" s="69"/>
    </row>
    <row r="2678" spans="1:31" s="26" customFormat="1" x14ac:dyDescent="0.3">
      <c r="A2678" s="25" t="s">
        <v>9538</v>
      </c>
      <c r="B2678" s="25"/>
      <c r="C2678" s="26" t="s">
        <v>3005</v>
      </c>
      <c r="D2678" s="70"/>
      <c r="G2678" s="70" t="s">
        <v>1988</v>
      </c>
      <c r="H2678" s="26">
        <v>1</v>
      </c>
      <c r="I2678" s="70" t="s">
        <v>7061</v>
      </c>
      <c r="J2678" s="26" t="s">
        <v>5691</v>
      </c>
      <c r="K2678" s="26" t="s">
        <v>4237</v>
      </c>
      <c r="L2678" s="26" t="s">
        <v>11271</v>
      </c>
      <c r="M2678" s="76"/>
      <c r="N2678" s="76"/>
      <c r="O2678" s="76"/>
      <c r="P2678" s="76"/>
      <c r="Q2678" s="76"/>
      <c r="R2678" s="76"/>
      <c r="Z2678" s="70"/>
      <c r="AA2678" s="70"/>
      <c r="AB2678" s="70"/>
      <c r="AC2678" s="70"/>
    </row>
    <row r="2679" spans="1:31" s="26" customFormat="1" x14ac:dyDescent="0.3">
      <c r="A2679" s="25" t="s">
        <v>9539</v>
      </c>
      <c r="B2679" s="25"/>
      <c r="C2679" s="26" t="s">
        <v>3005</v>
      </c>
      <c r="D2679" s="70"/>
      <c r="G2679" s="70" t="s">
        <v>1988</v>
      </c>
      <c r="H2679" s="26">
        <v>1</v>
      </c>
      <c r="I2679" s="70" t="s">
        <v>3706</v>
      </c>
      <c r="J2679" s="26" t="s">
        <v>6500</v>
      </c>
      <c r="K2679" s="26" t="s">
        <v>5764</v>
      </c>
      <c r="L2679" s="26" t="s">
        <v>11272</v>
      </c>
      <c r="M2679" s="76"/>
      <c r="N2679" s="76"/>
      <c r="O2679" s="76"/>
      <c r="P2679" s="76"/>
      <c r="Q2679" s="76"/>
      <c r="R2679" s="76"/>
      <c r="Z2679" s="70"/>
      <c r="AA2679" s="70"/>
      <c r="AB2679" s="70"/>
      <c r="AC2679" s="70"/>
    </row>
    <row r="2680" spans="1:31" s="24" customFormat="1" x14ac:dyDescent="0.3">
      <c r="A2680" s="23">
        <v>693</v>
      </c>
      <c r="B2680" s="23">
        <v>688</v>
      </c>
      <c r="C2680" s="24" t="s">
        <v>2165</v>
      </c>
      <c r="D2680" s="69" t="s">
        <v>1980</v>
      </c>
      <c r="E2680" s="24" t="s">
        <v>1979</v>
      </c>
      <c r="F2680" s="24" t="s">
        <v>1989</v>
      </c>
      <c r="G2680" s="69" t="s">
        <v>1990</v>
      </c>
      <c r="I2680" s="69"/>
      <c r="J2680" s="24" t="s">
        <v>4787</v>
      </c>
      <c r="K2680" s="24" t="s">
        <v>92</v>
      </c>
      <c r="M2680" s="75" t="s">
        <v>19</v>
      </c>
      <c r="N2680" s="75"/>
      <c r="O2680" s="75"/>
      <c r="P2680" s="75"/>
      <c r="Q2680" s="75"/>
      <c r="R2680" s="75" t="s">
        <v>2166</v>
      </c>
      <c r="V2680" s="24" t="s">
        <v>2171</v>
      </c>
      <c r="Z2680" s="69"/>
      <c r="AA2680" s="69"/>
      <c r="AB2680" s="69"/>
      <c r="AC2680" s="69"/>
      <c r="AD2680" s="24" t="s">
        <v>11357</v>
      </c>
    </row>
    <row r="2681" spans="1:31" s="26" customFormat="1" x14ac:dyDescent="0.3">
      <c r="A2681" s="25" t="s">
        <v>9540</v>
      </c>
      <c r="B2681" s="25"/>
      <c r="C2681" s="26" t="s">
        <v>3005</v>
      </c>
      <c r="D2681" s="70"/>
      <c r="G2681" s="70" t="s">
        <v>1990</v>
      </c>
      <c r="H2681" s="26">
        <v>-1</v>
      </c>
      <c r="I2681" s="70" t="s">
        <v>9541</v>
      </c>
      <c r="J2681" s="26" t="s">
        <v>4787</v>
      </c>
      <c r="K2681" s="26" t="s">
        <v>9542</v>
      </c>
      <c r="L2681" s="26" t="s">
        <v>11273</v>
      </c>
      <c r="M2681" s="76"/>
      <c r="N2681" s="76"/>
      <c r="O2681" s="76"/>
      <c r="P2681" s="76"/>
      <c r="Q2681" s="76"/>
      <c r="R2681" s="76"/>
      <c r="U2681" s="26" t="s">
        <v>9543</v>
      </c>
      <c r="Z2681" s="70"/>
      <c r="AA2681" s="70"/>
      <c r="AB2681" s="70"/>
      <c r="AC2681" s="70"/>
    </row>
    <row r="2682" spans="1:31" s="26" customFormat="1" x14ac:dyDescent="0.3">
      <c r="A2682" s="25" t="s">
        <v>9544</v>
      </c>
      <c r="B2682" s="25"/>
      <c r="C2682" s="26" t="s">
        <v>3005</v>
      </c>
      <c r="D2682" s="70"/>
      <c r="G2682" s="70" t="s">
        <v>1990</v>
      </c>
      <c r="H2682" s="26">
        <v>-1</v>
      </c>
      <c r="I2682" s="70" t="s">
        <v>9545</v>
      </c>
      <c r="J2682" s="26" t="s">
        <v>3127</v>
      </c>
      <c r="K2682" s="26" t="s">
        <v>9546</v>
      </c>
      <c r="L2682" s="26" t="s">
        <v>11274</v>
      </c>
      <c r="M2682" s="76"/>
      <c r="N2682" s="76"/>
      <c r="O2682" s="76"/>
      <c r="P2682" s="76"/>
      <c r="Q2682" s="76"/>
      <c r="R2682" s="76"/>
      <c r="U2682" s="26" t="s">
        <v>9547</v>
      </c>
      <c r="Z2682" s="70"/>
      <c r="AA2682" s="70"/>
      <c r="AB2682" s="70"/>
      <c r="AC2682" s="70"/>
    </row>
    <row r="2683" spans="1:31" s="26" customFormat="1" x14ac:dyDescent="0.3">
      <c r="A2683" s="25" t="s">
        <v>9548</v>
      </c>
      <c r="B2683" s="25"/>
      <c r="C2683" s="26" t="s">
        <v>3005</v>
      </c>
      <c r="D2683" s="70"/>
      <c r="G2683" s="70" t="s">
        <v>1990</v>
      </c>
      <c r="H2683" s="26">
        <v>-1</v>
      </c>
      <c r="I2683" s="70" t="s">
        <v>9549</v>
      </c>
      <c r="J2683" s="26" t="s">
        <v>9550</v>
      </c>
      <c r="K2683" s="26" t="s">
        <v>9551</v>
      </c>
      <c r="L2683" s="26" t="s">
        <v>11275</v>
      </c>
      <c r="M2683" s="76"/>
      <c r="N2683" s="76"/>
      <c r="O2683" s="76"/>
      <c r="P2683" s="76"/>
      <c r="Q2683" s="76"/>
      <c r="R2683" s="76"/>
      <c r="U2683" s="26" t="s">
        <v>8865</v>
      </c>
      <c r="Z2683" s="70"/>
      <c r="AA2683" s="70"/>
      <c r="AB2683" s="70"/>
      <c r="AC2683" s="70"/>
    </row>
    <row r="2684" spans="1:31" s="26" customFormat="1" x14ac:dyDescent="0.3">
      <c r="A2684" s="25" t="s">
        <v>9552</v>
      </c>
      <c r="B2684" s="25"/>
      <c r="C2684" s="26" t="s">
        <v>3005</v>
      </c>
      <c r="D2684" s="70"/>
      <c r="G2684" s="70" t="s">
        <v>1990</v>
      </c>
      <c r="H2684" s="26">
        <v>-1</v>
      </c>
      <c r="I2684" s="70" t="s">
        <v>9553</v>
      </c>
      <c r="J2684" s="26" t="s">
        <v>9554</v>
      </c>
      <c r="K2684" s="26" t="s">
        <v>9555</v>
      </c>
      <c r="L2684" s="26" t="s">
        <v>11276</v>
      </c>
      <c r="M2684" s="76"/>
      <c r="N2684" s="76"/>
      <c r="O2684" s="76"/>
      <c r="P2684" s="76"/>
      <c r="Q2684" s="76"/>
      <c r="R2684" s="76"/>
      <c r="U2684" s="26" t="s">
        <v>9556</v>
      </c>
      <c r="Z2684" s="70"/>
      <c r="AA2684" s="70"/>
      <c r="AB2684" s="70"/>
      <c r="AC2684" s="70"/>
    </row>
    <row r="2685" spans="1:31" s="26" customFormat="1" x14ac:dyDescent="0.3">
      <c r="A2685" s="25" t="s">
        <v>9557</v>
      </c>
      <c r="B2685" s="25"/>
      <c r="C2685" s="26" t="s">
        <v>3005</v>
      </c>
      <c r="D2685" s="70"/>
      <c r="G2685" s="70" t="s">
        <v>1990</v>
      </c>
      <c r="H2685" s="26">
        <v>-1</v>
      </c>
      <c r="I2685" s="70" t="s">
        <v>9558</v>
      </c>
      <c r="J2685" s="26" t="s">
        <v>3708</v>
      </c>
      <c r="K2685" s="26" t="s">
        <v>9559</v>
      </c>
      <c r="L2685" s="26" t="s">
        <v>11277</v>
      </c>
      <c r="M2685" s="76"/>
      <c r="N2685" s="76"/>
      <c r="O2685" s="76"/>
      <c r="P2685" s="76"/>
      <c r="Q2685" s="76"/>
      <c r="R2685" s="76"/>
      <c r="U2685" s="26" t="s">
        <v>2195</v>
      </c>
      <c r="Z2685" s="70"/>
      <c r="AA2685" s="70"/>
      <c r="AB2685" s="70"/>
      <c r="AC2685" s="70"/>
    </row>
    <row r="2686" spans="1:31" s="24" customFormat="1" x14ac:dyDescent="0.3">
      <c r="A2686" s="23">
        <v>694</v>
      </c>
      <c r="B2686" s="23">
        <v>689</v>
      </c>
      <c r="C2686" s="24" t="s">
        <v>2165</v>
      </c>
      <c r="D2686" s="69" t="s">
        <v>1980</v>
      </c>
      <c r="E2686" s="24" t="s">
        <v>1979</v>
      </c>
      <c r="F2686" s="24" t="s">
        <v>1991</v>
      </c>
      <c r="G2686" s="69" t="s">
        <v>1992</v>
      </c>
      <c r="H2686" s="24">
        <v>1</v>
      </c>
      <c r="I2686" s="69"/>
      <c r="J2686" s="24" t="s">
        <v>3110</v>
      </c>
      <c r="K2686" s="24" t="s">
        <v>1993</v>
      </c>
      <c r="M2686" s="75" t="s">
        <v>15</v>
      </c>
      <c r="N2686" s="75"/>
      <c r="O2686" s="75"/>
      <c r="P2686" s="75"/>
      <c r="Q2686" s="75"/>
      <c r="R2686" s="75"/>
      <c r="Z2686" s="69"/>
      <c r="AA2686" s="69"/>
      <c r="AB2686" s="69"/>
      <c r="AC2686" s="69"/>
    </row>
    <row r="2687" spans="1:31" s="26" customFormat="1" x14ac:dyDescent="0.3">
      <c r="A2687" s="25" t="s">
        <v>9560</v>
      </c>
      <c r="B2687" s="25"/>
      <c r="C2687" s="26" t="s">
        <v>3005</v>
      </c>
      <c r="D2687" s="70"/>
      <c r="G2687" s="70" t="s">
        <v>1992</v>
      </c>
      <c r="H2687" s="26">
        <v>-1</v>
      </c>
      <c r="I2687" s="70" t="s">
        <v>5136</v>
      </c>
      <c r="J2687" s="26" t="s">
        <v>3110</v>
      </c>
      <c r="K2687" s="26" t="s">
        <v>9561</v>
      </c>
      <c r="L2687" s="26" t="s">
        <v>11278</v>
      </c>
      <c r="M2687" s="76"/>
      <c r="N2687" s="76"/>
      <c r="O2687" s="76"/>
      <c r="P2687" s="76"/>
      <c r="Q2687" s="76"/>
      <c r="R2687" s="76"/>
      <c r="Z2687" s="70"/>
      <c r="AA2687" s="70"/>
      <c r="AB2687" s="70"/>
      <c r="AC2687" s="70"/>
    </row>
    <row r="2688" spans="1:31" s="26" customFormat="1" x14ac:dyDescent="0.3">
      <c r="A2688" s="25" t="s">
        <v>9562</v>
      </c>
      <c r="B2688" s="25"/>
      <c r="C2688" s="26" t="s">
        <v>3005</v>
      </c>
      <c r="D2688" s="70"/>
      <c r="G2688" s="70" t="s">
        <v>1992</v>
      </c>
      <c r="H2688" s="26">
        <v>-1</v>
      </c>
      <c r="I2688" s="70" t="s">
        <v>9563</v>
      </c>
      <c r="J2688" s="26" t="s">
        <v>9564</v>
      </c>
      <c r="K2688" s="26" t="s">
        <v>9565</v>
      </c>
      <c r="M2688" s="76"/>
      <c r="N2688" s="76"/>
      <c r="O2688" s="76"/>
      <c r="P2688" s="76"/>
      <c r="Q2688" s="76"/>
      <c r="R2688" s="76"/>
      <c r="Z2688" s="70"/>
      <c r="AA2688" s="70"/>
      <c r="AB2688" s="70"/>
      <c r="AC2688" s="70"/>
    </row>
    <row r="2689" spans="1:31" s="26" customFormat="1" x14ac:dyDescent="0.3">
      <c r="A2689" s="25" t="s">
        <v>9566</v>
      </c>
      <c r="B2689" s="25"/>
      <c r="C2689" s="26" t="s">
        <v>3005</v>
      </c>
      <c r="D2689" s="70"/>
      <c r="G2689" s="70" t="s">
        <v>1992</v>
      </c>
      <c r="H2689" s="26">
        <v>-1</v>
      </c>
      <c r="I2689" s="70" t="s">
        <v>9567</v>
      </c>
      <c r="J2689" s="26" t="s">
        <v>9568</v>
      </c>
      <c r="K2689" s="26" t="s">
        <v>9569</v>
      </c>
      <c r="M2689" s="76"/>
      <c r="N2689" s="76"/>
      <c r="O2689" s="76"/>
      <c r="P2689" s="76"/>
      <c r="Q2689" s="76"/>
      <c r="R2689" s="76"/>
      <c r="Z2689" s="70"/>
      <c r="AA2689" s="70"/>
      <c r="AB2689" s="70"/>
      <c r="AC2689" s="70"/>
    </row>
    <row r="2690" spans="1:31" s="26" customFormat="1" x14ac:dyDescent="0.3">
      <c r="A2690" s="25" t="s">
        <v>9570</v>
      </c>
      <c r="B2690" s="25"/>
      <c r="C2690" s="26" t="s">
        <v>3005</v>
      </c>
      <c r="D2690" s="70"/>
      <c r="G2690" s="70" t="s">
        <v>1992</v>
      </c>
      <c r="H2690" s="26">
        <v>-1</v>
      </c>
      <c r="I2690" s="70" t="s">
        <v>8796</v>
      </c>
      <c r="J2690" s="26" t="s">
        <v>9571</v>
      </c>
      <c r="K2690" s="26" t="s">
        <v>9572</v>
      </c>
      <c r="M2690" s="76"/>
      <c r="N2690" s="76"/>
      <c r="O2690" s="76"/>
      <c r="P2690" s="76"/>
      <c r="Q2690" s="76"/>
      <c r="R2690" s="76"/>
      <c r="Z2690" s="70"/>
      <c r="AA2690" s="70"/>
      <c r="AB2690" s="70"/>
      <c r="AC2690" s="70"/>
    </row>
    <row r="2691" spans="1:31" s="26" customFormat="1" x14ac:dyDescent="0.3">
      <c r="A2691" s="25" t="s">
        <v>9573</v>
      </c>
      <c r="B2691" s="25"/>
      <c r="C2691" s="26" t="s">
        <v>3005</v>
      </c>
      <c r="D2691" s="70"/>
      <c r="G2691" s="70" t="s">
        <v>1992</v>
      </c>
      <c r="H2691" s="26">
        <v>-1</v>
      </c>
      <c r="I2691" s="70" t="s">
        <v>6831</v>
      </c>
      <c r="J2691" s="26" t="s">
        <v>9574</v>
      </c>
      <c r="K2691" s="26" t="s">
        <v>9575</v>
      </c>
      <c r="M2691" s="76"/>
      <c r="N2691" s="76"/>
      <c r="O2691" s="76"/>
      <c r="P2691" s="76"/>
      <c r="Q2691" s="76"/>
      <c r="R2691" s="76"/>
      <c r="Z2691" s="70"/>
      <c r="AA2691" s="70"/>
      <c r="AB2691" s="70"/>
      <c r="AC2691" s="70"/>
    </row>
    <row r="2692" spans="1:31" s="26" customFormat="1" x14ac:dyDescent="0.3">
      <c r="A2692" s="25" t="s">
        <v>9576</v>
      </c>
      <c r="B2692" s="25"/>
      <c r="C2692" s="26" t="s">
        <v>3005</v>
      </c>
      <c r="D2692" s="70"/>
      <c r="G2692" s="70" t="s">
        <v>1992</v>
      </c>
      <c r="H2692" s="26">
        <v>-1</v>
      </c>
      <c r="I2692" s="70" t="s">
        <v>9577</v>
      </c>
      <c r="J2692" s="26" t="s">
        <v>4734</v>
      </c>
      <c r="K2692" s="26" t="s">
        <v>9578</v>
      </c>
      <c r="M2692" s="76"/>
      <c r="N2692" s="76"/>
      <c r="O2692" s="76"/>
      <c r="P2692" s="76"/>
      <c r="Q2692" s="76"/>
      <c r="R2692" s="76"/>
      <c r="Z2692" s="70"/>
      <c r="AA2692" s="70"/>
      <c r="AB2692" s="70"/>
      <c r="AC2692" s="70"/>
    </row>
    <row r="2693" spans="1:31" s="26" customFormat="1" x14ac:dyDescent="0.3">
      <c r="A2693" s="25" t="s">
        <v>9579</v>
      </c>
      <c r="B2693" s="25"/>
      <c r="C2693" s="26" t="s">
        <v>3005</v>
      </c>
      <c r="D2693" s="70"/>
      <c r="G2693" s="70" t="s">
        <v>1992</v>
      </c>
      <c r="H2693" s="26">
        <v>-1</v>
      </c>
      <c r="I2693" s="70" t="s">
        <v>9580</v>
      </c>
      <c r="J2693" s="26" t="s">
        <v>9581</v>
      </c>
      <c r="K2693" s="26" t="s">
        <v>9582</v>
      </c>
      <c r="M2693" s="76"/>
      <c r="N2693" s="76"/>
      <c r="O2693" s="76"/>
      <c r="P2693" s="76"/>
      <c r="Q2693" s="76"/>
      <c r="R2693" s="76"/>
      <c r="Z2693" s="70"/>
      <c r="AA2693" s="70"/>
      <c r="AB2693" s="70"/>
      <c r="AC2693" s="70"/>
    </row>
    <row r="2694" spans="1:31" s="26" customFormat="1" x14ac:dyDescent="0.3">
      <c r="A2694" s="25" t="s">
        <v>9583</v>
      </c>
      <c r="B2694" s="25"/>
      <c r="C2694" s="26" t="s">
        <v>3005</v>
      </c>
      <c r="D2694" s="70"/>
      <c r="G2694" s="70" t="s">
        <v>1992</v>
      </c>
      <c r="H2694" s="26">
        <v>-1</v>
      </c>
      <c r="I2694" s="70" t="s">
        <v>9584</v>
      </c>
      <c r="J2694" s="26" t="s">
        <v>7495</v>
      </c>
      <c r="K2694" s="26" t="s">
        <v>9585</v>
      </c>
      <c r="M2694" s="76"/>
      <c r="N2694" s="76"/>
      <c r="O2694" s="76"/>
      <c r="P2694" s="76"/>
      <c r="Q2694" s="76"/>
      <c r="R2694" s="76"/>
      <c r="Z2694" s="70"/>
      <c r="AA2694" s="70"/>
      <c r="AB2694" s="70"/>
      <c r="AC2694" s="70"/>
    </row>
    <row r="2695" spans="1:31" s="26" customFormat="1" x14ac:dyDescent="0.3">
      <c r="A2695" s="25" t="s">
        <v>9586</v>
      </c>
      <c r="B2695" s="25"/>
      <c r="C2695" s="26" t="s">
        <v>3005</v>
      </c>
      <c r="D2695" s="70"/>
      <c r="G2695" s="70" t="s">
        <v>1992</v>
      </c>
      <c r="H2695" s="26">
        <v>-1</v>
      </c>
      <c r="I2695" s="70" t="s">
        <v>4179</v>
      </c>
      <c r="J2695" s="26" t="s">
        <v>9587</v>
      </c>
      <c r="K2695" s="26" t="s">
        <v>9588</v>
      </c>
      <c r="M2695" s="76"/>
      <c r="N2695" s="76"/>
      <c r="O2695" s="76"/>
      <c r="P2695" s="76"/>
      <c r="Q2695" s="76"/>
      <c r="R2695" s="76"/>
      <c r="Z2695" s="70"/>
      <c r="AA2695" s="70"/>
      <c r="AB2695" s="70"/>
      <c r="AC2695" s="70"/>
    </row>
    <row r="2696" spans="1:31" s="26" customFormat="1" x14ac:dyDescent="0.3">
      <c r="A2696" s="25" t="s">
        <v>9589</v>
      </c>
      <c r="B2696" s="25"/>
      <c r="C2696" s="26" t="s">
        <v>3005</v>
      </c>
      <c r="D2696" s="70"/>
      <c r="G2696" s="70" t="s">
        <v>1992</v>
      </c>
      <c r="H2696" s="26">
        <v>-1</v>
      </c>
      <c r="I2696" s="70" t="s">
        <v>5626</v>
      </c>
      <c r="J2696" s="26" t="s">
        <v>9590</v>
      </c>
      <c r="K2696" s="26" t="s">
        <v>9591</v>
      </c>
      <c r="M2696" s="76"/>
      <c r="N2696" s="76"/>
      <c r="O2696" s="76"/>
      <c r="P2696" s="76"/>
      <c r="Q2696" s="76"/>
      <c r="R2696" s="76"/>
      <c r="Z2696" s="70"/>
      <c r="AA2696" s="70"/>
      <c r="AB2696" s="70"/>
      <c r="AC2696" s="70"/>
    </row>
    <row r="2697" spans="1:31" s="26" customFormat="1" x14ac:dyDescent="0.3">
      <c r="A2697" s="25" t="s">
        <v>9592</v>
      </c>
      <c r="B2697" s="25"/>
      <c r="C2697" s="26" t="s">
        <v>3005</v>
      </c>
      <c r="D2697" s="70"/>
      <c r="G2697" s="70" t="s">
        <v>1992</v>
      </c>
      <c r="H2697" s="26">
        <v>3</v>
      </c>
      <c r="I2697" s="70" t="s">
        <v>5898</v>
      </c>
      <c r="J2697" s="26" t="s">
        <v>6963</v>
      </c>
      <c r="K2697" s="26" t="s">
        <v>4237</v>
      </c>
      <c r="M2697" s="76"/>
      <c r="N2697" s="76"/>
      <c r="O2697" s="76"/>
      <c r="P2697" s="76"/>
      <c r="Q2697" s="76"/>
      <c r="R2697" s="76"/>
      <c r="Z2697" s="70"/>
      <c r="AA2697" s="70"/>
      <c r="AB2697" s="70"/>
      <c r="AC2697" s="70"/>
    </row>
    <row r="2698" spans="1:31" s="26" customFormat="1" x14ac:dyDescent="0.3">
      <c r="A2698" s="25" t="s">
        <v>9593</v>
      </c>
      <c r="B2698" s="25"/>
      <c r="C2698" s="26" t="s">
        <v>3005</v>
      </c>
      <c r="D2698" s="70"/>
      <c r="G2698" s="70" t="s">
        <v>1992</v>
      </c>
      <c r="H2698" s="26">
        <v>-1</v>
      </c>
      <c r="I2698" s="70" t="s">
        <v>3576</v>
      </c>
      <c r="J2698" s="26" t="s">
        <v>9594</v>
      </c>
      <c r="K2698" s="26" t="s">
        <v>9595</v>
      </c>
      <c r="L2698" s="26" t="s">
        <v>11279</v>
      </c>
      <c r="M2698" s="76"/>
      <c r="N2698" s="76"/>
      <c r="O2698" s="76"/>
      <c r="P2698" s="76"/>
      <c r="Q2698" s="76"/>
      <c r="R2698" s="76"/>
      <c r="Z2698" s="70"/>
      <c r="AA2698" s="70"/>
      <c r="AB2698" s="70"/>
      <c r="AC2698" s="70"/>
    </row>
    <row r="2699" spans="1:31" s="26" customFormat="1" x14ac:dyDescent="0.3">
      <c r="A2699" s="25" t="s">
        <v>9596</v>
      </c>
      <c r="B2699" s="25"/>
      <c r="C2699" s="26" t="s">
        <v>3005</v>
      </c>
      <c r="D2699" s="70"/>
      <c r="G2699" s="70" t="s">
        <v>1992</v>
      </c>
      <c r="H2699" s="26">
        <v>-1</v>
      </c>
      <c r="I2699" s="70" t="s">
        <v>9597</v>
      </c>
      <c r="J2699" s="26" t="s">
        <v>9598</v>
      </c>
      <c r="K2699" s="26" t="s">
        <v>9599</v>
      </c>
      <c r="L2699" s="26" t="s">
        <v>11280</v>
      </c>
      <c r="M2699" s="76"/>
      <c r="N2699" s="76"/>
      <c r="O2699" s="76"/>
      <c r="P2699" s="76"/>
      <c r="Q2699" s="76"/>
      <c r="R2699" s="76"/>
      <c r="T2699" s="26" t="s">
        <v>2200</v>
      </c>
      <c r="Z2699" s="70"/>
      <c r="AA2699" s="70"/>
      <c r="AB2699" s="70"/>
      <c r="AC2699" s="70"/>
      <c r="AE2699" s="26" t="s">
        <v>9600</v>
      </c>
    </row>
    <row r="2700" spans="1:31" s="26" customFormat="1" x14ac:dyDescent="0.3">
      <c r="A2700" s="25" t="s">
        <v>9601</v>
      </c>
      <c r="B2700" s="25"/>
      <c r="C2700" s="26" t="s">
        <v>3005</v>
      </c>
      <c r="D2700" s="70"/>
      <c r="G2700" s="70" t="s">
        <v>1992</v>
      </c>
      <c r="H2700" s="26">
        <v>-1</v>
      </c>
      <c r="I2700" s="70" t="s">
        <v>9602</v>
      </c>
      <c r="J2700" s="26" t="s">
        <v>9603</v>
      </c>
      <c r="K2700" s="26" t="s">
        <v>9604</v>
      </c>
      <c r="L2700" s="26" t="s">
        <v>11281</v>
      </c>
      <c r="M2700" s="76"/>
      <c r="N2700" s="76"/>
      <c r="O2700" s="76"/>
      <c r="P2700" s="76"/>
      <c r="Q2700" s="76"/>
      <c r="R2700" s="76"/>
      <c r="Z2700" s="70"/>
      <c r="AA2700" s="70"/>
      <c r="AB2700" s="70"/>
      <c r="AC2700" s="70"/>
    </row>
    <row r="2701" spans="1:31" s="26" customFormat="1" x14ac:dyDescent="0.3">
      <c r="A2701" s="25" t="s">
        <v>9605</v>
      </c>
      <c r="B2701" s="25"/>
      <c r="C2701" s="26" t="s">
        <v>3005</v>
      </c>
      <c r="D2701" s="70"/>
      <c r="G2701" s="70" t="s">
        <v>1992</v>
      </c>
      <c r="H2701" s="26">
        <v>-1</v>
      </c>
      <c r="I2701" s="70" t="s">
        <v>9606</v>
      </c>
      <c r="J2701" s="26" t="s">
        <v>9590</v>
      </c>
      <c r="K2701" s="26" t="s">
        <v>9607</v>
      </c>
      <c r="L2701" s="26" t="s">
        <v>11282</v>
      </c>
      <c r="M2701" s="76"/>
      <c r="N2701" s="76"/>
      <c r="O2701" s="76"/>
      <c r="P2701" s="76"/>
      <c r="Q2701" s="76"/>
      <c r="R2701" s="76"/>
      <c r="Z2701" s="70"/>
      <c r="AA2701" s="70"/>
      <c r="AB2701" s="70"/>
      <c r="AC2701" s="70"/>
    </row>
    <row r="2702" spans="1:31" s="26" customFormat="1" x14ac:dyDescent="0.3">
      <c r="A2702" s="25" t="s">
        <v>9608</v>
      </c>
      <c r="B2702" s="25"/>
      <c r="C2702" s="26" t="s">
        <v>3005</v>
      </c>
      <c r="D2702" s="70"/>
      <c r="G2702" s="70" t="s">
        <v>1992</v>
      </c>
      <c r="H2702" s="26">
        <v>-1</v>
      </c>
      <c r="I2702" s="70" t="s">
        <v>9609</v>
      </c>
      <c r="J2702" s="26" t="s">
        <v>9610</v>
      </c>
      <c r="K2702" s="26" t="s">
        <v>9611</v>
      </c>
      <c r="L2702" s="26" t="s">
        <v>11283</v>
      </c>
      <c r="M2702" s="76"/>
      <c r="N2702" s="76"/>
      <c r="O2702" s="76"/>
      <c r="P2702" s="76"/>
      <c r="Q2702" s="76"/>
      <c r="R2702" s="76"/>
      <c r="T2702" s="26" t="s">
        <v>2200</v>
      </c>
      <c r="Z2702" s="70"/>
      <c r="AA2702" s="70"/>
      <c r="AB2702" s="70"/>
      <c r="AC2702" s="70"/>
      <c r="AE2702" s="26" t="s">
        <v>9612</v>
      </c>
    </row>
    <row r="2703" spans="1:31" s="26" customFormat="1" x14ac:dyDescent="0.3">
      <c r="A2703" s="25" t="s">
        <v>9613</v>
      </c>
      <c r="B2703" s="25"/>
      <c r="C2703" s="26" t="s">
        <v>3005</v>
      </c>
      <c r="D2703" s="70"/>
      <c r="G2703" s="70" t="s">
        <v>1992</v>
      </c>
      <c r="H2703" s="26">
        <v>-1</v>
      </c>
      <c r="I2703" s="70" t="s">
        <v>9614</v>
      </c>
      <c r="J2703" s="26" t="s">
        <v>9610</v>
      </c>
      <c r="K2703" s="26" t="s">
        <v>9615</v>
      </c>
      <c r="L2703" s="26" t="s">
        <v>11284</v>
      </c>
      <c r="M2703" s="76"/>
      <c r="N2703" s="76"/>
      <c r="O2703" s="76"/>
      <c r="P2703" s="76"/>
      <c r="Q2703" s="76"/>
      <c r="R2703" s="76"/>
      <c r="Z2703" s="70"/>
      <c r="AA2703" s="70"/>
      <c r="AB2703" s="70"/>
      <c r="AC2703" s="70"/>
    </row>
    <row r="2704" spans="1:31" s="26" customFormat="1" x14ac:dyDescent="0.3">
      <c r="A2704" s="25" t="s">
        <v>9616</v>
      </c>
      <c r="B2704" s="25"/>
      <c r="C2704" s="26" t="s">
        <v>3005</v>
      </c>
      <c r="D2704" s="70"/>
      <c r="G2704" s="70" t="s">
        <v>1992</v>
      </c>
      <c r="H2704" s="26">
        <v>-1</v>
      </c>
      <c r="I2704" s="70" t="s">
        <v>9617</v>
      </c>
      <c r="J2704" s="26" t="s">
        <v>9618</v>
      </c>
      <c r="K2704" s="26" t="s">
        <v>9619</v>
      </c>
      <c r="L2704" s="26" t="s">
        <v>11285</v>
      </c>
      <c r="M2704" s="76"/>
      <c r="N2704" s="76"/>
      <c r="O2704" s="76"/>
      <c r="P2704" s="76"/>
      <c r="Q2704" s="76"/>
      <c r="R2704" s="76"/>
      <c r="Z2704" s="70"/>
      <c r="AA2704" s="70"/>
      <c r="AB2704" s="70"/>
      <c r="AC2704" s="70"/>
    </row>
    <row r="2705" spans="1:31" s="26" customFormat="1" x14ac:dyDescent="0.3">
      <c r="A2705" s="25" t="s">
        <v>9620</v>
      </c>
      <c r="B2705" s="25"/>
      <c r="C2705" s="26" t="s">
        <v>3005</v>
      </c>
      <c r="D2705" s="70"/>
      <c r="G2705" s="70" t="s">
        <v>1992</v>
      </c>
      <c r="H2705" s="26">
        <v>-1</v>
      </c>
      <c r="I2705" s="70" t="s">
        <v>9621</v>
      </c>
      <c r="J2705" s="26" t="s">
        <v>9610</v>
      </c>
      <c r="K2705" s="26" t="s">
        <v>9622</v>
      </c>
      <c r="M2705" s="76"/>
      <c r="N2705" s="76"/>
      <c r="O2705" s="76"/>
      <c r="P2705" s="76"/>
      <c r="Q2705" s="76"/>
      <c r="R2705" s="76"/>
      <c r="Z2705" s="70"/>
      <c r="AA2705" s="70"/>
      <c r="AB2705" s="70"/>
      <c r="AC2705" s="70"/>
    </row>
    <row r="2706" spans="1:31" s="24" customFormat="1" x14ac:dyDescent="0.3">
      <c r="A2706" s="23">
        <v>695</v>
      </c>
      <c r="B2706" s="23">
        <v>690</v>
      </c>
      <c r="C2706" s="24" t="s">
        <v>2165</v>
      </c>
      <c r="D2706" s="69" t="s">
        <v>1980</v>
      </c>
      <c r="E2706" s="24" t="s">
        <v>1979</v>
      </c>
      <c r="F2706" s="24" t="s">
        <v>1994</v>
      </c>
      <c r="G2706" s="69" t="s">
        <v>1995</v>
      </c>
      <c r="H2706" s="24">
        <v>1</v>
      </c>
      <c r="I2706" s="69"/>
      <c r="J2706" s="24" t="s">
        <v>9623</v>
      </c>
      <c r="K2706" s="24" t="s">
        <v>1996</v>
      </c>
      <c r="M2706" s="75" t="s">
        <v>15</v>
      </c>
      <c r="N2706" s="75"/>
      <c r="O2706" s="75"/>
      <c r="P2706" s="75" t="s">
        <v>58</v>
      </c>
      <c r="Q2706" s="75"/>
      <c r="R2706" s="75" t="s">
        <v>2166</v>
      </c>
      <c r="T2706" s="24" t="s">
        <v>2863</v>
      </c>
      <c r="Y2706" s="24" t="s">
        <v>2994</v>
      </c>
      <c r="Z2706" s="69"/>
      <c r="AA2706" s="69"/>
      <c r="AB2706" s="69" t="s">
        <v>2995</v>
      </c>
      <c r="AC2706" s="69" t="s">
        <v>11437</v>
      </c>
      <c r="AE2706" s="24" t="s">
        <v>2996</v>
      </c>
    </row>
    <row r="2707" spans="1:31" s="26" customFormat="1" x14ac:dyDescent="0.3">
      <c r="A2707" s="25" t="s">
        <v>9624</v>
      </c>
      <c r="B2707" s="25"/>
      <c r="C2707" s="26" t="s">
        <v>3005</v>
      </c>
      <c r="D2707" s="70"/>
      <c r="G2707" s="70" t="s">
        <v>1995</v>
      </c>
      <c r="H2707" s="26">
        <v>-1</v>
      </c>
      <c r="I2707" s="70" t="s">
        <v>9625</v>
      </c>
      <c r="J2707" s="26" t="s">
        <v>9626</v>
      </c>
      <c r="K2707" s="26" t="s">
        <v>7090</v>
      </c>
      <c r="L2707" s="26" t="s">
        <v>10871</v>
      </c>
      <c r="M2707" s="76"/>
      <c r="N2707" s="76"/>
      <c r="O2707" s="76"/>
      <c r="P2707" s="76"/>
      <c r="Q2707" s="76"/>
      <c r="R2707" s="76"/>
      <c r="Z2707" s="70"/>
      <c r="AA2707" s="70"/>
      <c r="AB2707" s="70"/>
      <c r="AC2707" s="70"/>
    </row>
    <row r="2708" spans="1:31" s="26" customFormat="1" x14ac:dyDescent="0.3">
      <c r="A2708" s="25" t="s">
        <v>9627</v>
      </c>
      <c r="B2708" s="25"/>
      <c r="C2708" s="26" t="s">
        <v>3005</v>
      </c>
      <c r="D2708" s="70"/>
      <c r="G2708" s="70" t="s">
        <v>1995</v>
      </c>
      <c r="H2708" s="26">
        <v>-1</v>
      </c>
      <c r="I2708" s="70" t="s">
        <v>9628</v>
      </c>
      <c r="J2708" s="26" t="s">
        <v>9623</v>
      </c>
      <c r="K2708" s="26" t="s">
        <v>5614</v>
      </c>
      <c r="L2708" s="26" t="s">
        <v>11286</v>
      </c>
      <c r="M2708" s="76"/>
      <c r="N2708" s="76"/>
      <c r="O2708" s="76"/>
      <c r="P2708" s="76"/>
      <c r="Q2708" s="76"/>
      <c r="R2708" s="76"/>
      <c r="Z2708" s="70"/>
      <c r="AA2708" s="70"/>
      <c r="AB2708" s="70"/>
      <c r="AC2708" s="70"/>
    </row>
    <row r="2709" spans="1:31" s="26" customFormat="1" x14ac:dyDescent="0.3">
      <c r="A2709" s="25" t="s">
        <v>9629</v>
      </c>
      <c r="B2709" s="25"/>
      <c r="C2709" s="26" t="s">
        <v>3005</v>
      </c>
      <c r="D2709" s="70"/>
      <c r="G2709" s="70" t="s">
        <v>1995</v>
      </c>
      <c r="H2709" s="26">
        <v>-1</v>
      </c>
      <c r="I2709" s="70" t="s">
        <v>9630</v>
      </c>
      <c r="J2709" s="26" t="s">
        <v>9631</v>
      </c>
      <c r="K2709" s="26" t="s">
        <v>8539</v>
      </c>
      <c r="L2709" s="26" t="s">
        <v>11287</v>
      </c>
      <c r="M2709" s="76"/>
      <c r="N2709" s="76"/>
      <c r="O2709" s="76"/>
      <c r="P2709" s="76"/>
      <c r="Q2709" s="76"/>
      <c r="R2709" s="76"/>
      <c r="Z2709" s="70"/>
      <c r="AA2709" s="70"/>
      <c r="AB2709" s="70"/>
      <c r="AC2709" s="70"/>
    </row>
    <row r="2710" spans="1:31" s="26" customFormat="1" x14ac:dyDescent="0.3">
      <c r="A2710" s="25" t="s">
        <v>9632</v>
      </c>
      <c r="B2710" s="25"/>
      <c r="C2710" s="26" t="s">
        <v>3005</v>
      </c>
      <c r="D2710" s="70"/>
      <c r="G2710" s="70" t="s">
        <v>1995</v>
      </c>
      <c r="H2710" s="26">
        <v>-1</v>
      </c>
      <c r="I2710" s="70" t="s">
        <v>9633</v>
      </c>
      <c r="J2710" s="26" t="s">
        <v>9634</v>
      </c>
      <c r="K2710" s="26" t="s">
        <v>4306</v>
      </c>
      <c r="L2710" s="26" t="s">
        <v>11288</v>
      </c>
      <c r="M2710" s="76"/>
      <c r="N2710" s="76"/>
      <c r="O2710" s="76"/>
      <c r="P2710" s="76"/>
      <c r="Q2710" s="76"/>
      <c r="R2710" s="76"/>
      <c r="Z2710" s="70"/>
      <c r="AA2710" s="70"/>
      <c r="AB2710" s="70"/>
      <c r="AC2710" s="70"/>
    </row>
    <row r="2711" spans="1:31" s="26" customFormat="1" x14ac:dyDescent="0.3">
      <c r="A2711" s="25" t="s">
        <v>9635</v>
      </c>
      <c r="B2711" s="25"/>
      <c r="C2711" s="26" t="s">
        <v>3005</v>
      </c>
      <c r="D2711" s="70"/>
      <c r="G2711" s="70" t="s">
        <v>1995</v>
      </c>
      <c r="H2711" s="26">
        <v>3</v>
      </c>
      <c r="I2711" s="70" t="s">
        <v>5230</v>
      </c>
      <c r="J2711" s="26" t="s">
        <v>9636</v>
      </c>
      <c r="K2711" s="26" t="s">
        <v>5764</v>
      </c>
      <c r="M2711" s="76"/>
      <c r="N2711" s="76"/>
      <c r="O2711" s="76"/>
      <c r="P2711" s="76"/>
      <c r="Q2711" s="76"/>
      <c r="R2711" s="76"/>
      <c r="Y2711" s="26" t="s">
        <v>2994</v>
      </c>
      <c r="Z2711" s="70"/>
      <c r="AA2711" s="70"/>
      <c r="AB2711" s="70" t="s">
        <v>2995</v>
      </c>
      <c r="AC2711" s="70"/>
    </row>
    <row r="2712" spans="1:31" s="24" customFormat="1" x14ac:dyDescent="0.3">
      <c r="A2712" s="23">
        <v>696</v>
      </c>
      <c r="B2712" s="23">
        <v>691</v>
      </c>
      <c r="C2712" s="24" t="s">
        <v>2165</v>
      </c>
      <c r="D2712" s="69" t="s">
        <v>1980</v>
      </c>
      <c r="E2712" s="24" t="s">
        <v>1979</v>
      </c>
      <c r="F2712" s="24" t="s">
        <v>1997</v>
      </c>
      <c r="G2712" s="69" t="s">
        <v>1998</v>
      </c>
      <c r="I2712" s="69"/>
      <c r="J2712" s="24" t="s">
        <v>3016</v>
      </c>
      <c r="K2712" s="24" t="s">
        <v>1999</v>
      </c>
      <c r="L2712" s="24" t="s">
        <v>9943</v>
      </c>
      <c r="M2712" s="75" t="s">
        <v>19</v>
      </c>
      <c r="N2712" s="75"/>
      <c r="O2712" s="75"/>
      <c r="P2712" s="75"/>
      <c r="Q2712" s="75"/>
      <c r="R2712" s="75" t="s">
        <v>2166</v>
      </c>
      <c r="U2712" s="24" t="s">
        <v>2997</v>
      </c>
      <c r="Z2712" s="69"/>
      <c r="AA2712" s="69"/>
      <c r="AB2712" s="69"/>
      <c r="AC2712" s="69" t="s">
        <v>11438</v>
      </c>
    </row>
    <row r="2713" spans="1:31" s="24" customFormat="1" x14ac:dyDescent="0.3">
      <c r="A2713" s="23">
        <v>697</v>
      </c>
      <c r="B2713" s="23">
        <v>692</v>
      </c>
      <c r="C2713" s="24" t="s">
        <v>2165</v>
      </c>
      <c r="D2713" s="69" t="s">
        <v>2001</v>
      </c>
      <c r="E2713" s="24" t="s">
        <v>2000</v>
      </c>
      <c r="F2713" s="24" t="s">
        <v>2002</v>
      </c>
      <c r="G2713" s="69" t="s">
        <v>2003</v>
      </c>
      <c r="I2713" s="69"/>
      <c r="J2713" s="24" t="s">
        <v>4395</v>
      </c>
      <c r="K2713" s="24" t="s">
        <v>2004</v>
      </c>
      <c r="L2713" s="24" t="s">
        <v>9944</v>
      </c>
      <c r="M2713" s="75" t="s">
        <v>19</v>
      </c>
      <c r="N2713" s="75"/>
      <c r="O2713" s="75"/>
      <c r="P2713" s="75"/>
      <c r="Q2713" s="75"/>
      <c r="R2713" s="75" t="s">
        <v>2166</v>
      </c>
      <c r="U2713" s="24" t="s">
        <v>2293</v>
      </c>
      <c r="Z2713" s="69"/>
      <c r="AA2713" s="69"/>
      <c r="AB2713" s="69"/>
      <c r="AC2713" s="69"/>
    </row>
    <row r="2714" spans="1:31" s="24" customFormat="1" x14ac:dyDescent="0.3">
      <c r="A2714" s="23">
        <v>698</v>
      </c>
      <c r="B2714" s="23">
        <v>693</v>
      </c>
      <c r="C2714" s="24" t="s">
        <v>2165</v>
      </c>
      <c r="D2714" s="69" t="s">
        <v>2001</v>
      </c>
      <c r="E2714" s="24" t="s">
        <v>2000</v>
      </c>
      <c r="F2714" s="24" t="s">
        <v>2005</v>
      </c>
      <c r="G2714" s="69" t="s">
        <v>2006</v>
      </c>
      <c r="I2714" s="69"/>
      <c r="J2714" s="24" t="s">
        <v>9637</v>
      </c>
      <c r="K2714" s="24" t="s">
        <v>2007</v>
      </c>
      <c r="M2714" s="75" t="s">
        <v>19</v>
      </c>
      <c r="N2714" s="75"/>
      <c r="O2714" s="75" t="s">
        <v>85</v>
      </c>
      <c r="P2714" s="75" t="s">
        <v>85</v>
      </c>
      <c r="Q2714" s="75"/>
      <c r="R2714" s="75" t="s">
        <v>2166</v>
      </c>
      <c r="U2714" s="24" t="s">
        <v>2293</v>
      </c>
      <c r="Z2714" s="69"/>
      <c r="AA2714" s="69"/>
      <c r="AB2714" s="69"/>
      <c r="AC2714" s="69"/>
    </row>
    <row r="2715" spans="1:31" s="26" customFormat="1" x14ac:dyDescent="0.3">
      <c r="A2715" s="25" t="s">
        <v>9638</v>
      </c>
      <c r="B2715" s="25"/>
      <c r="C2715" s="26" t="s">
        <v>3005</v>
      </c>
      <c r="D2715" s="70"/>
      <c r="G2715" s="70" t="s">
        <v>2006</v>
      </c>
      <c r="H2715" s="26">
        <v>-1</v>
      </c>
      <c r="I2715" s="70" t="s">
        <v>9639</v>
      </c>
      <c r="J2715" s="26" t="s">
        <v>9637</v>
      </c>
      <c r="K2715" s="26" t="s">
        <v>9640</v>
      </c>
      <c r="L2715" s="26" t="s">
        <v>11289</v>
      </c>
      <c r="M2715" s="76"/>
      <c r="N2715" s="76"/>
      <c r="O2715" s="76"/>
      <c r="P2715" s="76"/>
      <c r="Q2715" s="76"/>
      <c r="R2715" s="76"/>
      <c r="Z2715" s="70"/>
      <c r="AA2715" s="70"/>
      <c r="AB2715" s="70"/>
      <c r="AC2715" s="70"/>
    </row>
    <row r="2716" spans="1:31" s="26" customFormat="1" x14ac:dyDescent="0.3">
      <c r="A2716" s="25" t="s">
        <v>9641</v>
      </c>
      <c r="B2716" s="25"/>
      <c r="C2716" s="26" t="s">
        <v>3005</v>
      </c>
      <c r="D2716" s="70"/>
      <c r="G2716" s="70" t="s">
        <v>2006</v>
      </c>
      <c r="H2716" s="26">
        <v>-1</v>
      </c>
      <c r="I2716" s="70" t="s">
        <v>9642</v>
      </c>
      <c r="J2716" s="26" t="s">
        <v>8821</v>
      </c>
      <c r="K2716" s="26" t="s">
        <v>9643</v>
      </c>
      <c r="L2716" s="26" t="s">
        <v>11290</v>
      </c>
      <c r="M2716" s="76"/>
      <c r="N2716" s="76"/>
      <c r="O2716" s="76"/>
      <c r="P2716" s="76"/>
      <c r="Q2716" s="76"/>
      <c r="R2716" s="76"/>
      <c r="Z2716" s="70"/>
      <c r="AA2716" s="70"/>
      <c r="AB2716" s="70"/>
      <c r="AC2716" s="70"/>
    </row>
    <row r="2717" spans="1:31" s="24" customFormat="1" x14ac:dyDescent="0.3">
      <c r="A2717" s="23">
        <v>699</v>
      </c>
      <c r="B2717" s="23">
        <v>694</v>
      </c>
      <c r="C2717" s="24" t="s">
        <v>2165</v>
      </c>
      <c r="D2717" s="69" t="s">
        <v>2001</v>
      </c>
      <c r="E2717" s="24" t="s">
        <v>2000</v>
      </c>
      <c r="F2717" s="24" t="s">
        <v>2008</v>
      </c>
      <c r="G2717" s="69" t="s">
        <v>2009</v>
      </c>
      <c r="I2717" s="69"/>
      <c r="J2717" s="24" t="s">
        <v>9644</v>
      </c>
      <c r="K2717" s="24" t="s">
        <v>2010</v>
      </c>
      <c r="L2717" s="24" t="s">
        <v>9945</v>
      </c>
      <c r="M2717" s="75" t="s">
        <v>19</v>
      </c>
      <c r="N2717" s="75"/>
      <c r="O2717" s="75"/>
      <c r="P2717" s="75"/>
      <c r="Q2717" s="75"/>
      <c r="R2717" s="75" t="s">
        <v>2166</v>
      </c>
      <c r="U2717" s="24" t="s">
        <v>2998</v>
      </c>
      <c r="V2717" s="24" t="s">
        <v>2171</v>
      </c>
      <c r="Z2717" s="69"/>
      <c r="AA2717" s="69"/>
      <c r="AB2717" s="69"/>
      <c r="AC2717" s="69"/>
      <c r="AD2717" s="24" t="s">
        <v>11358</v>
      </c>
    </row>
    <row r="2718" spans="1:31" s="24" customFormat="1" x14ac:dyDescent="0.3">
      <c r="A2718" s="23">
        <v>700</v>
      </c>
      <c r="B2718" s="23">
        <v>695</v>
      </c>
      <c r="C2718" s="24" t="s">
        <v>2165</v>
      </c>
      <c r="D2718" s="69" t="s">
        <v>2001</v>
      </c>
      <c r="E2718" s="24" t="s">
        <v>2000</v>
      </c>
      <c r="F2718" s="24" t="s">
        <v>2011</v>
      </c>
      <c r="G2718" s="69" t="s">
        <v>2012</v>
      </c>
      <c r="I2718" s="69"/>
      <c r="J2718" s="24" t="s">
        <v>9645</v>
      </c>
      <c r="K2718" s="24" t="s">
        <v>2013</v>
      </c>
      <c r="L2718" s="24" t="s">
        <v>9946</v>
      </c>
      <c r="M2718" s="75" t="s">
        <v>50</v>
      </c>
      <c r="N2718" s="75"/>
      <c r="O2718" s="75" t="s">
        <v>66</v>
      </c>
      <c r="P2718" s="75" t="s">
        <v>66</v>
      </c>
      <c r="Q2718" s="75" t="s">
        <v>66</v>
      </c>
      <c r="R2718" s="75"/>
      <c r="U2718" s="24" t="s">
        <v>2232</v>
      </c>
      <c r="Z2718" s="69"/>
      <c r="AA2718" s="69"/>
      <c r="AB2718" s="69"/>
      <c r="AC2718" s="69"/>
    </row>
  </sheetData>
  <autoFilter ref="A1:AE2718"/>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3:J42"/>
  <sheetViews>
    <sheetView zoomScale="70" zoomScaleNormal="70" workbookViewId="0">
      <selection activeCell="B1" sqref="B1"/>
    </sheetView>
  </sheetViews>
  <sheetFormatPr defaultRowHeight="14.4" x14ac:dyDescent="0.3"/>
  <cols>
    <col min="2" max="2" width="20.77734375" style="80" bestFit="1" customWidth="1"/>
    <col min="4" max="4" width="12.33203125" bestFit="1" customWidth="1"/>
    <col min="7" max="7" width="37.109375" bestFit="1" customWidth="1"/>
  </cols>
  <sheetData>
    <row r="3" spans="2:9" ht="15" thickBot="1" x14ac:dyDescent="0.35">
      <c r="B3" s="5" t="s">
        <v>2043</v>
      </c>
      <c r="C3" s="6"/>
      <c r="D3" s="6"/>
      <c r="E3" s="6"/>
      <c r="F3" s="6"/>
      <c r="G3" s="6"/>
      <c r="H3" s="7"/>
      <c r="I3" s="7"/>
    </row>
    <row r="4" spans="2:9" x14ac:dyDescent="0.3">
      <c r="B4" s="80" t="s">
        <v>2044</v>
      </c>
      <c r="C4" s="8">
        <f>E5+E6+E7+E14+E8+E9</f>
        <v>450</v>
      </c>
      <c r="F4" t="s">
        <v>2045</v>
      </c>
      <c r="H4" s="7"/>
      <c r="I4" s="7"/>
    </row>
    <row r="5" spans="2:9" x14ac:dyDescent="0.3">
      <c r="C5" t="s">
        <v>15</v>
      </c>
      <c r="D5" t="s">
        <v>2044</v>
      </c>
      <c r="E5">
        <f>COUNTIF('Sortable Species List'!I:I,"R")</f>
        <v>168</v>
      </c>
      <c r="F5" t="s">
        <v>2046</v>
      </c>
      <c r="H5" s="7"/>
      <c r="I5" s="7"/>
    </row>
    <row r="6" spans="2:9" x14ac:dyDescent="0.3">
      <c r="C6" t="s">
        <v>65</v>
      </c>
      <c r="D6" t="s">
        <v>2047</v>
      </c>
      <c r="E6">
        <f>COUNTIF('Sortable Species List'!I:I,"E")</f>
        <v>241</v>
      </c>
      <c r="F6" t="s">
        <v>2048</v>
      </c>
      <c r="H6" s="7"/>
      <c r="I6" s="7"/>
    </row>
    <row r="7" spans="2:9" x14ac:dyDescent="0.3">
      <c r="C7" t="s">
        <v>732</v>
      </c>
      <c r="D7" t="s">
        <v>2049</v>
      </c>
      <c r="E7">
        <f>COUNTIF('Sortable Species List'!I:I,"NE")</f>
        <v>12</v>
      </c>
      <c r="F7" t="s">
        <v>2050</v>
      </c>
      <c r="H7" s="7"/>
      <c r="I7" s="7"/>
    </row>
    <row r="8" spans="2:9" x14ac:dyDescent="0.3">
      <c r="C8" t="s">
        <v>107</v>
      </c>
      <c r="D8" t="s">
        <v>2051</v>
      </c>
      <c r="E8">
        <f>COUNTIF('Sortable Species List'!I:I,"I")</f>
        <v>7</v>
      </c>
      <c r="F8" t="s">
        <v>2052</v>
      </c>
      <c r="H8" s="7"/>
      <c r="I8" s="7"/>
    </row>
    <row r="9" spans="2:9" x14ac:dyDescent="0.3">
      <c r="B9" s="97"/>
      <c r="C9" s="9" t="s">
        <v>331</v>
      </c>
      <c r="D9" s="9"/>
      <c r="E9" s="9">
        <f>COUNTIF('Sortable Species List'!I:I,"R (M?)")</f>
        <v>2</v>
      </c>
      <c r="F9" s="9" t="s">
        <v>2053</v>
      </c>
      <c r="G9" s="9"/>
      <c r="H9" s="7"/>
      <c r="I9" s="7"/>
    </row>
    <row r="10" spans="2:9" x14ac:dyDescent="0.3">
      <c r="B10" s="80" t="s">
        <v>2054</v>
      </c>
      <c r="C10" s="8">
        <f>E11+E12+E14+E13</f>
        <v>261</v>
      </c>
      <c r="F10" t="s">
        <v>2055</v>
      </c>
      <c r="H10" s="7"/>
      <c r="I10" s="7"/>
    </row>
    <row r="11" spans="2:9" x14ac:dyDescent="0.3">
      <c r="C11" t="s">
        <v>50</v>
      </c>
      <c r="D11" t="s">
        <v>2054</v>
      </c>
      <c r="E11" s="7">
        <f>COUNTIF('Sortable Species List'!I:I,"M")</f>
        <v>107</v>
      </c>
      <c r="F11" t="s">
        <v>2056</v>
      </c>
      <c r="H11" s="7"/>
      <c r="I11" s="7"/>
    </row>
    <row r="12" spans="2:9" x14ac:dyDescent="0.3">
      <c r="C12" t="s">
        <v>19</v>
      </c>
      <c r="D12" t="s">
        <v>2057</v>
      </c>
      <c r="E12" s="7">
        <f>COUNTIF('Sortable Species List'!I:I,"A")</f>
        <v>129</v>
      </c>
      <c r="F12" t="s">
        <v>2058</v>
      </c>
      <c r="H12" s="7"/>
      <c r="I12" s="7"/>
    </row>
    <row r="13" spans="2:9" x14ac:dyDescent="0.3">
      <c r="B13" s="97"/>
      <c r="C13" s="9" t="s">
        <v>317</v>
      </c>
      <c r="D13" s="9"/>
      <c r="E13" s="9">
        <f>COUNTIF('Sortable Species List'!I:I,"M (R?)")</f>
        <v>5</v>
      </c>
      <c r="F13" s="9" t="s">
        <v>2059</v>
      </c>
      <c r="G13" s="9"/>
      <c r="H13" s="7"/>
      <c r="I13" s="7"/>
    </row>
    <row r="14" spans="2:9" x14ac:dyDescent="0.3">
      <c r="B14" s="80" t="s">
        <v>2060</v>
      </c>
      <c r="C14" t="s">
        <v>236</v>
      </c>
      <c r="E14" s="7">
        <f>COUNTIF('Sortable Species List'!I:I,"R,M")</f>
        <v>20</v>
      </c>
      <c r="F14" t="s">
        <v>2061</v>
      </c>
      <c r="H14" s="7"/>
      <c r="I14" s="7"/>
    </row>
    <row r="15" spans="2:9" x14ac:dyDescent="0.3">
      <c r="B15" s="80" t="s">
        <v>2062</v>
      </c>
      <c r="C15" t="s">
        <v>275</v>
      </c>
      <c r="E15" s="7">
        <f>COUNTIF('Sortable Species List'!I:I,"EX")</f>
        <v>3</v>
      </c>
      <c r="F15" t="s">
        <v>2063</v>
      </c>
      <c r="H15" s="7"/>
      <c r="I15" s="7"/>
    </row>
    <row r="16" spans="2:9" x14ac:dyDescent="0.3">
      <c r="B16" s="97" t="s">
        <v>2064</v>
      </c>
      <c r="C16" s="9" t="s">
        <v>10</v>
      </c>
      <c r="D16" s="9"/>
      <c r="E16" s="9">
        <f>COUNTIF('Sortable Species List'!I:I,"SU")</f>
        <v>6</v>
      </c>
      <c r="F16" s="9" t="s">
        <v>2065</v>
      </c>
      <c r="G16" s="9"/>
      <c r="H16" s="7"/>
      <c r="I16" s="7"/>
    </row>
    <row r="17" spans="2:10" ht="15" thickBot="1" x14ac:dyDescent="0.35">
      <c r="B17" s="10" t="s">
        <v>2066</v>
      </c>
      <c r="C17" s="10"/>
      <c r="D17" s="10"/>
      <c r="E17" s="10">
        <f>SUM(E4:E16)</f>
        <v>700</v>
      </c>
      <c r="F17" s="11"/>
      <c r="G17" s="11"/>
      <c r="H17" s="7"/>
      <c r="I17" s="7"/>
    </row>
    <row r="18" spans="2:10" x14ac:dyDescent="0.3">
      <c r="B18" s="12"/>
      <c r="C18" s="12"/>
      <c r="D18" s="12"/>
      <c r="E18" s="12"/>
      <c r="F18" s="7"/>
      <c r="H18" s="7"/>
      <c r="I18" s="7"/>
    </row>
    <row r="20" spans="2:10" ht="15" thickBot="1" x14ac:dyDescent="0.35">
      <c r="B20" s="5" t="s">
        <v>2014</v>
      </c>
      <c r="C20" s="6"/>
      <c r="D20" s="6"/>
      <c r="F20" s="5" t="s">
        <v>2067</v>
      </c>
      <c r="G20" s="6"/>
      <c r="H20" s="6"/>
      <c r="I20" s="6"/>
      <c r="J20" s="6"/>
    </row>
    <row r="21" spans="2:10" x14ac:dyDescent="0.3">
      <c r="C21" s="13" t="s">
        <v>2068</v>
      </c>
      <c r="D21" s="13" t="s">
        <v>2066</v>
      </c>
      <c r="H21" s="13" t="s">
        <v>2040</v>
      </c>
      <c r="I21" s="13" t="s">
        <v>2040</v>
      </c>
      <c r="J21" s="13" t="s">
        <v>2041</v>
      </c>
    </row>
    <row r="22" spans="2:10" x14ac:dyDescent="0.3">
      <c r="B22" s="100" t="s">
        <v>2015</v>
      </c>
      <c r="C22" s="9">
        <f>COUNTIF('Sortable Species List'!J:J,B22)</f>
        <v>92</v>
      </c>
      <c r="D22" s="9">
        <f>C42</f>
        <v>241</v>
      </c>
      <c r="H22" s="13">
        <v>2018</v>
      </c>
      <c r="I22" s="13">
        <v>2019</v>
      </c>
      <c r="J22" s="13"/>
    </row>
    <row r="23" spans="2:10" x14ac:dyDescent="0.3">
      <c r="B23" s="101" t="s">
        <v>2020</v>
      </c>
      <c r="C23">
        <f>COUNTIF('Sortable Species List'!J:J,B23)</f>
        <v>29</v>
      </c>
      <c r="D23">
        <f>C23+C24+C25</f>
        <v>51</v>
      </c>
      <c r="F23" t="s">
        <v>732</v>
      </c>
      <c r="G23" s="7" t="s">
        <v>2069</v>
      </c>
      <c r="H23" s="7">
        <f>COUNTIF('Sortable Species List'!K:K,"NE")</f>
        <v>16</v>
      </c>
      <c r="I23" s="7">
        <f>COUNTIF('Sortable Species List'!L:L,"NE")</f>
        <v>1</v>
      </c>
      <c r="J23" s="7">
        <f>COUNTIF('Sortable Species List'!M:M,"NE")</f>
        <v>0</v>
      </c>
    </row>
    <row r="24" spans="2:10" x14ac:dyDescent="0.3">
      <c r="B24" s="99" t="s">
        <v>2025</v>
      </c>
      <c r="C24">
        <f>COUNTIF('Sortable Species List'!J:J,B24)</f>
        <v>21</v>
      </c>
      <c r="F24" t="s">
        <v>406</v>
      </c>
      <c r="G24" s="7" t="s">
        <v>2070</v>
      </c>
      <c r="H24" s="7">
        <f>COUNTIF('Sortable Species List'!K:K,"DD")</f>
        <v>5</v>
      </c>
      <c r="I24" s="7">
        <f>COUNTIF('Sortable Species List'!L:L,"DD")</f>
        <v>4</v>
      </c>
      <c r="J24" s="7">
        <f>COUNTIF('Sortable Species List'!M:M,"DD")</f>
        <v>0</v>
      </c>
    </row>
    <row r="25" spans="2:10" x14ac:dyDescent="0.3">
      <c r="B25" s="98" t="s">
        <v>2036</v>
      </c>
      <c r="C25" s="9">
        <f>COUNTIF('Sortable Species List'!J:J,B25)</f>
        <v>1</v>
      </c>
      <c r="D25" s="9"/>
      <c r="F25" t="s">
        <v>2071</v>
      </c>
      <c r="G25" t="s">
        <v>2072</v>
      </c>
      <c r="H25" s="7">
        <f>COUNTIF('Sortable Species List'!K2:K701,"")</f>
        <v>502</v>
      </c>
      <c r="I25" s="7">
        <f>COUNTIF('Sortable Species List'!L2:L701,"")</f>
        <v>513</v>
      </c>
      <c r="J25" s="7">
        <f>COUNTIF('Sortable Species List'!M2:M701,"")</f>
        <v>516</v>
      </c>
    </row>
    <row r="26" spans="2:10" x14ac:dyDescent="0.3">
      <c r="B26" s="101" t="s">
        <v>2019</v>
      </c>
      <c r="C26">
        <f>COUNTIF('Sortable Species List'!J:J,B26)</f>
        <v>12</v>
      </c>
      <c r="D26">
        <f>C26+C27</f>
        <v>36</v>
      </c>
      <c r="F26" t="s">
        <v>2073</v>
      </c>
      <c r="G26" s="15" t="s">
        <v>2074</v>
      </c>
      <c r="H26" s="7">
        <f>COUNTIF('Sortable Species List'!K:K,"NT")</f>
        <v>81</v>
      </c>
      <c r="I26" s="7">
        <f>COUNTIF('Sortable Species List'!L:L,"NT")</f>
        <v>85</v>
      </c>
      <c r="J26" s="7">
        <f>COUNTIF('Sortable Species List'!M:M,"OTS")</f>
        <v>33</v>
      </c>
    </row>
    <row r="27" spans="2:10" x14ac:dyDescent="0.3">
      <c r="B27" s="98" t="s">
        <v>2017</v>
      </c>
      <c r="C27" s="9">
        <f>COUNTIF('Sortable Species List'!J:J,B27)</f>
        <v>24</v>
      </c>
      <c r="D27" s="9"/>
      <c r="F27" t="s">
        <v>66</v>
      </c>
      <c r="G27" t="s">
        <v>2075</v>
      </c>
      <c r="H27" s="7">
        <f>COUNTIF('Sortable Species List'!K:K,"VU")</f>
        <v>54</v>
      </c>
      <c r="I27" s="7">
        <f>COUNTIF('Sortable Species List'!L:L,"VU")</f>
        <v>53</v>
      </c>
      <c r="J27" s="7">
        <f>COUNTIF('Sortable Species List'!M:M,"VU")</f>
        <v>78</v>
      </c>
    </row>
    <row r="28" spans="2:10" x14ac:dyDescent="0.3">
      <c r="B28" s="101" t="s">
        <v>2030</v>
      </c>
      <c r="C28">
        <f>COUNTIF('Sortable Species List'!J:J,B28)</f>
        <v>15</v>
      </c>
      <c r="D28">
        <f>C28+C29</f>
        <v>22</v>
      </c>
      <c r="F28" t="s">
        <v>67</v>
      </c>
      <c r="G28" t="s">
        <v>2076</v>
      </c>
      <c r="H28" s="7">
        <f>COUNTIF('Sortable Species List'!K:K,"EN")</f>
        <v>26</v>
      </c>
      <c r="I28" s="7">
        <f>COUNTIF('Sortable Species List'!L:L,"EN")</f>
        <v>28</v>
      </c>
      <c r="J28" s="7">
        <f>COUNTIF('Sortable Species List'!M:M,"EN")</f>
        <v>42</v>
      </c>
    </row>
    <row r="29" spans="2:10" x14ac:dyDescent="0.3">
      <c r="B29" s="98" t="s">
        <v>2016</v>
      </c>
      <c r="C29" s="9">
        <f>COUNTIF('Sortable Species List'!J:J,B29)</f>
        <v>7</v>
      </c>
      <c r="D29" s="9"/>
      <c r="F29" t="s">
        <v>85</v>
      </c>
      <c r="G29" t="s">
        <v>2077</v>
      </c>
      <c r="H29" s="7">
        <f>COUNTIF('Sortable Species List'!K:K,"CR")</f>
        <v>16</v>
      </c>
      <c r="I29" s="7">
        <f>COUNTIF('Sortable Species List'!L:L,"CR")</f>
        <v>16</v>
      </c>
      <c r="J29" s="7">
        <f>COUNTIF('Sortable Species List'!M:M,"CR")</f>
        <v>31</v>
      </c>
    </row>
    <row r="30" spans="2:10" ht="15" thickBot="1" x14ac:dyDescent="0.35">
      <c r="B30" s="101" t="s">
        <v>2032</v>
      </c>
      <c r="C30">
        <f>COUNTIF('Sortable Species List'!J:J,B30)</f>
        <v>1</v>
      </c>
      <c r="D30">
        <f>C30+C31</f>
        <v>9</v>
      </c>
      <c r="F30" s="10" t="s">
        <v>2066</v>
      </c>
      <c r="G30" s="11"/>
      <c r="H30" s="10">
        <f>SUM(H23:H29)</f>
        <v>700</v>
      </c>
      <c r="I30" s="10">
        <f>SUM(I23:I29)</f>
        <v>700</v>
      </c>
      <c r="J30" s="10">
        <f>SUM(J23:J29)</f>
        <v>700</v>
      </c>
    </row>
    <row r="31" spans="2:10" x14ac:dyDescent="0.3">
      <c r="B31" s="98" t="s">
        <v>2021</v>
      </c>
      <c r="C31" s="9">
        <f>COUNTIF('Sortable Species List'!J:J,B31)</f>
        <v>8</v>
      </c>
      <c r="D31" s="9"/>
    </row>
    <row r="32" spans="2:10" x14ac:dyDescent="0.3">
      <c r="B32" s="102" t="s">
        <v>2022</v>
      </c>
      <c r="C32">
        <f>COUNTIF('Sortable Species List'!J:J,B32)</f>
        <v>13</v>
      </c>
      <c r="D32">
        <f>C32+C33+C34+C35</f>
        <v>19</v>
      </c>
    </row>
    <row r="33" spans="2:8" ht="15" thickBot="1" x14ac:dyDescent="0.35">
      <c r="B33" s="99" t="s">
        <v>2024</v>
      </c>
      <c r="C33">
        <f>COUNTIF('Sortable Species List'!J:J,B33)</f>
        <v>2</v>
      </c>
      <c r="F33" s="5" t="s">
        <v>11439</v>
      </c>
      <c r="G33" s="6"/>
      <c r="H33" s="6"/>
    </row>
    <row r="34" spans="2:8" x14ac:dyDescent="0.3">
      <c r="B34" s="99" t="s">
        <v>2035</v>
      </c>
      <c r="C34">
        <f>COUNTIF('Sortable Species List'!J:J,B34)</f>
        <v>1</v>
      </c>
    </row>
    <row r="35" spans="2:8" x14ac:dyDescent="0.3">
      <c r="B35" s="98" t="s">
        <v>2027</v>
      </c>
      <c r="C35" s="9">
        <f>COUNTIF('Sortable Species List'!J:J,B35)</f>
        <v>3</v>
      </c>
      <c r="D35" s="9"/>
      <c r="F35" t="s">
        <v>2165</v>
      </c>
      <c r="H35">
        <v>700</v>
      </c>
    </row>
    <row r="36" spans="2:8" x14ac:dyDescent="0.3">
      <c r="B36" s="101" t="s">
        <v>2029</v>
      </c>
      <c r="C36">
        <f>COUNTIF('Sortable Species List'!J:J,B36)</f>
        <v>4</v>
      </c>
      <c r="D36">
        <f>C36+C37</f>
        <v>6</v>
      </c>
      <c r="F36" t="s">
        <v>11440</v>
      </c>
      <c r="H36">
        <v>652</v>
      </c>
    </row>
    <row r="37" spans="2:8" x14ac:dyDescent="0.3">
      <c r="B37" s="98" t="s">
        <v>2023</v>
      </c>
      <c r="C37" s="9">
        <f>COUNTIF('Sortable Species List'!J:J,B37)</f>
        <v>2</v>
      </c>
      <c r="D37" s="9"/>
    </row>
    <row r="38" spans="2:8" ht="15" thickBot="1" x14ac:dyDescent="0.35">
      <c r="B38" s="102" t="s">
        <v>2026</v>
      </c>
      <c r="C38">
        <f>COUNTIF('Sortable Species List'!J:J,B38)</f>
        <v>1</v>
      </c>
      <c r="D38" s="7">
        <f>C38+C39</f>
        <v>3</v>
      </c>
      <c r="F38" s="10" t="s">
        <v>2066</v>
      </c>
      <c r="G38" s="11"/>
      <c r="H38" s="10">
        <f>SUM(H34:H37)</f>
        <v>1352</v>
      </c>
    </row>
    <row r="39" spans="2:8" x14ac:dyDescent="0.3">
      <c r="B39" s="98" t="s">
        <v>2031</v>
      </c>
      <c r="C39" s="9">
        <f>COUNTIF('Sortable Species List'!J:J,B39)</f>
        <v>2</v>
      </c>
      <c r="D39" s="9"/>
    </row>
    <row r="40" spans="2:8" x14ac:dyDescent="0.3">
      <c r="B40" s="101" t="s">
        <v>2028</v>
      </c>
      <c r="C40">
        <f>COUNTIF('Sortable Species List'!J:J,B40)</f>
        <v>2</v>
      </c>
      <c r="D40" s="7"/>
    </row>
    <row r="41" spans="2:8" x14ac:dyDescent="0.3">
      <c r="B41" s="98" t="s">
        <v>2018</v>
      </c>
      <c r="C41" s="9">
        <f>COUNTIF('Sortable Species List'!J:J,B41)</f>
        <v>1</v>
      </c>
      <c r="D41" s="9"/>
    </row>
    <row r="42" spans="2:8" ht="15" thickBot="1" x14ac:dyDescent="0.35">
      <c r="B42" s="16" t="s">
        <v>2066</v>
      </c>
      <c r="C42" s="5">
        <f>SUM(C22:C41)</f>
        <v>241</v>
      </c>
      <c r="D42" s="5"/>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BirdList</vt:lpstr>
      <vt:lpstr>Sortable Species List</vt:lpstr>
      <vt:lpstr>Sortable SubSpecies List</vt:lpstr>
      <vt:lpstr>Statistics</vt:lpstr>
    </vt:vector>
  </TitlesOfParts>
  <Company>Stichting Deltares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JanJaap Brinkman</dc:creator>
  <cp:lastModifiedBy>JanJaap Brinkman</cp:lastModifiedBy>
  <dcterms:created xsi:type="dcterms:W3CDTF">2019-03-19T13:27:34Z</dcterms:created>
  <dcterms:modified xsi:type="dcterms:W3CDTF">2019-07-23T12:43:31Z</dcterms:modified>
</cp:coreProperties>
</file>