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Birds\Philippines\Birdlists\WBCP-checklists\"/>
    </mc:Choice>
  </mc:AlternateContent>
  <xr:revisionPtr revIDLastSave="0" documentId="13_ncr:1_{5AECFBE6-A176-46BA-AC06-AA17705680AF}" xr6:coauthVersionLast="47" xr6:coauthVersionMax="47" xr10:uidLastSave="{00000000-0000-0000-0000-000000000000}"/>
  <bookViews>
    <workbookView xWindow="-108" yWindow="-108" windowWidth="23256" windowHeight="12576" activeTab="1" xr2:uid="{00000000-000D-0000-FFFF-FFFF00000000}"/>
  </bookViews>
  <sheets>
    <sheet name="Front Page" sheetId="114" r:id="rId1"/>
    <sheet name="Basic List" sheetId="115" r:id="rId2"/>
    <sheet name="Expanded List" sheetId="116" r:id="rId3"/>
    <sheet name="SubSpecies List" sheetId="117" r:id="rId4"/>
  </sheets>
  <definedNames>
    <definedName name="_xlnm._FilterDatabase" localSheetId="1" hidden="1">'Basic List'!$N$2:$P$929</definedName>
    <definedName name="_xlnm._FilterDatabase" localSheetId="2" hidden="1">'Expanded List'!$A$1:$Y$744</definedName>
    <definedName name="_xlnm._FilterDatabase" localSheetId="3" hidden="1">'SubSpecies List'!$A$1:$AC$1536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7" i="115" l="1"/>
  <c r="E927" i="115"/>
  <c r="D927" i="115"/>
  <c r="C927" i="115"/>
  <c r="F926" i="115"/>
  <c r="E926" i="115"/>
  <c r="D926" i="115"/>
  <c r="C926" i="115"/>
  <c r="F925" i="115"/>
  <c r="E925" i="115"/>
  <c r="D925" i="115"/>
  <c r="C925" i="115"/>
  <c r="F924" i="115"/>
  <c r="E924" i="115"/>
  <c r="D924" i="115"/>
  <c r="C924" i="115"/>
  <c r="F923" i="115"/>
  <c r="E923" i="115"/>
  <c r="D923" i="115"/>
  <c r="C923" i="115"/>
  <c r="F922" i="115"/>
  <c r="E922" i="115"/>
  <c r="D922" i="115"/>
  <c r="C922" i="115"/>
  <c r="F921" i="115"/>
  <c r="E921" i="115"/>
  <c r="D921" i="115"/>
  <c r="C921" i="115"/>
  <c r="F920" i="115"/>
  <c r="E920" i="115"/>
  <c r="D920" i="115"/>
  <c r="C920" i="115"/>
  <c r="F919" i="115"/>
  <c r="E919" i="115"/>
  <c r="D919" i="115"/>
  <c r="C919" i="115"/>
  <c r="F918" i="115"/>
  <c r="E918" i="115"/>
  <c r="D918" i="115"/>
  <c r="C918" i="115"/>
  <c r="F915" i="115"/>
  <c r="E915" i="115"/>
  <c r="D915" i="115"/>
  <c r="C915" i="115"/>
  <c r="F912" i="115"/>
  <c r="E912" i="115"/>
  <c r="D912" i="115"/>
  <c r="C912" i="115"/>
  <c r="F911" i="115"/>
  <c r="E911" i="115"/>
  <c r="D911" i="115"/>
  <c r="C911" i="115"/>
  <c r="F910" i="115"/>
  <c r="E910" i="115"/>
  <c r="D910" i="115"/>
  <c r="C910" i="115"/>
  <c r="F909" i="115"/>
  <c r="E909" i="115"/>
  <c r="D909" i="115"/>
  <c r="C909" i="115"/>
  <c r="F908" i="115"/>
  <c r="E908" i="115"/>
  <c r="D908" i="115"/>
  <c r="C908" i="115"/>
  <c r="F907" i="115"/>
  <c r="E907" i="115"/>
  <c r="D907" i="115"/>
  <c r="C907" i="115"/>
  <c r="F906" i="115"/>
  <c r="E906" i="115"/>
  <c r="D906" i="115"/>
  <c r="C906" i="115"/>
  <c r="F905" i="115"/>
  <c r="E905" i="115"/>
  <c r="D905" i="115"/>
  <c r="C905" i="115"/>
  <c r="F904" i="115"/>
  <c r="E904" i="115"/>
  <c r="D904" i="115"/>
  <c r="C904" i="115"/>
  <c r="F901" i="115"/>
  <c r="E901" i="115"/>
  <c r="D901" i="115"/>
  <c r="C901" i="115"/>
  <c r="F900" i="115"/>
  <c r="E900" i="115"/>
  <c r="D900" i="115"/>
  <c r="C900" i="115"/>
  <c r="F899" i="115"/>
  <c r="E899" i="115"/>
  <c r="D899" i="115"/>
  <c r="C899" i="115"/>
  <c r="F898" i="115"/>
  <c r="E898" i="115"/>
  <c r="D898" i="115"/>
  <c r="C898" i="115"/>
  <c r="F897" i="115"/>
  <c r="E897" i="115"/>
  <c r="D897" i="115"/>
  <c r="C897" i="115"/>
  <c r="F896" i="115"/>
  <c r="E896" i="115"/>
  <c r="D896" i="115"/>
  <c r="C896" i="115"/>
  <c r="F895" i="115"/>
  <c r="E895" i="115"/>
  <c r="D895" i="115"/>
  <c r="C895" i="115"/>
  <c r="F894" i="115"/>
  <c r="E894" i="115"/>
  <c r="D894" i="115"/>
  <c r="C894" i="115"/>
  <c r="F893" i="115"/>
  <c r="E893" i="115"/>
  <c r="D893" i="115"/>
  <c r="C893" i="115"/>
  <c r="F892" i="115"/>
  <c r="E892" i="115"/>
  <c r="D892" i="115"/>
  <c r="C892" i="115"/>
  <c r="F891" i="115"/>
  <c r="E891" i="115"/>
  <c r="D891" i="115"/>
  <c r="C891" i="115"/>
  <c r="F888" i="115"/>
  <c r="E888" i="115"/>
  <c r="D888" i="115"/>
  <c r="C888" i="115"/>
  <c r="F887" i="115"/>
  <c r="E887" i="115"/>
  <c r="D887" i="115"/>
  <c r="C887" i="115"/>
  <c r="F886" i="115"/>
  <c r="E886" i="115"/>
  <c r="D886" i="115"/>
  <c r="C886" i="115"/>
  <c r="F885" i="115"/>
  <c r="E885" i="115"/>
  <c r="D885" i="115"/>
  <c r="C885" i="115"/>
  <c r="F884" i="115"/>
  <c r="E884" i="115"/>
  <c r="D884" i="115"/>
  <c r="C884" i="115"/>
  <c r="F883" i="115"/>
  <c r="E883" i="115"/>
  <c r="D883" i="115"/>
  <c r="C883" i="115"/>
  <c r="F882" i="115"/>
  <c r="E882" i="115"/>
  <c r="D882" i="115"/>
  <c r="C882" i="115"/>
  <c r="F881" i="115"/>
  <c r="E881" i="115"/>
  <c r="D881" i="115"/>
  <c r="C881" i="115"/>
  <c r="F880" i="115"/>
  <c r="E880" i="115"/>
  <c r="D880" i="115"/>
  <c r="C880" i="115"/>
  <c r="F877" i="115"/>
  <c r="E877" i="115"/>
  <c r="D877" i="115"/>
  <c r="C877" i="115"/>
  <c r="F876" i="115"/>
  <c r="E876" i="115"/>
  <c r="D876" i="115"/>
  <c r="C876" i="115"/>
  <c r="F875" i="115"/>
  <c r="E875" i="115"/>
  <c r="D875" i="115"/>
  <c r="C875" i="115"/>
  <c r="F872" i="115"/>
  <c r="E872" i="115"/>
  <c r="D872" i="115"/>
  <c r="C872" i="115"/>
  <c r="F871" i="115"/>
  <c r="E871" i="115"/>
  <c r="D871" i="115"/>
  <c r="C871" i="115"/>
  <c r="F870" i="115"/>
  <c r="E870" i="115"/>
  <c r="D870" i="115"/>
  <c r="C870" i="115"/>
  <c r="F869" i="115"/>
  <c r="E869" i="115"/>
  <c r="D869" i="115"/>
  <c r="C869" i="115"/>
  <c r="F868" i="115"/>
  <c r="E868" i="115"/>
  <c r="D868" i="115"/>
  <c r="C868" i="115"/>
  <c r="F867" i="115"/>
  <c r="E867" i="115"/>
  <c r="D867" i="115"/>
  <c r="C867" i="115"/>
  <c r="F866" i="115"/>
  <c r="E866" i="115"/>
  <c r="D866" i="115"/>
  <c r="C866" i="115"/>
  <c r="F865" i="115"/>
  <c r="E865" i="115"/>
  <c r="D865" i="115"/>
  <c r="C865" i="115"/>
  <c r="F864" i="115"/>
  <c r="E864" i="115"/>
  <c r="D864" i="115"/>
  <c r="C864" i="115"/>
  <c r="F863" i="115"/>
  <c r="E863" i="115"/>
  <c r="D863" i="115"/>
  <c r="C863" i="115"/>
  <c r="F862" i="115"/>
  <c r="E862" i="115"/>
  <c r="D862" i="115"/>
  <c r="C862" i="115"/>
  <c r="F861" i="115"/>
  <c r="E861" i="115"/>
  <c r="D861" i="115"/>
  <c r="C861" i="115"/>
  <c r="F860" i="115"/>
  <c r="E860" i="115"/>
  <c r="D860" i="115"/>
  <c r="C860" i="115"/>
  <c r="F859" i="115"/>
  <c r="E859" i="115"/>
  <c r="D859" i="115"/>
  <c r="C859" i="115"/>
  <c r="F858" i="115"/>
  <c r="E858" i="115"/>
  <c r="D858" i="115"/>
  <c r="C858" i="115"/>
  <c r="F857" i="115"/>
  <c r="E857" i="115"/>
  <c r="D857" i="115"/>
  <c r="C857" i="115"/>
  <c r="F856" i="115"/>
  <c r="E856" i="115"/>
  <c r="D856" i="115"/>
  <c r="C856" i="115"/>
  <c r="F855" i="115"/>
  <c r="E855" i="115"/>
  <c r="D855" i="115"/>
  <c r="C855" i="115"/>
  <c r="F852" i="115"/>
  <c r="E852" i="115"/>
  <c r="D852" i="115"/>
  <c r="C852" i="115"/>
  <c r="F851" i="115"/>
  <c r="E851" i="115"/>
  <c r="D851" i="115"/>
  <c r="C851" i="115"/>
  <c r="F850" i="115"/>
  <c r="E850" i="115"/>
  <c r="D850" i="115"/>
  <c r="C850" i="115"/>
  <c r="F849" i="115"/>
  <c r="E849" i="115"/>
  <c r="D849" i="115"/>
  <c r="C849" i="115"/>
  <c r="F848" i="115"/>
  <c r="E848" i="115"/>
  <c r="D848" i="115"/>
  <c r="C848" i="115"/>
  <c r="F847" i="115"/>
  <c r="E847" i="115"/>
  <c r="D847" i="115"/>
  <c r="C847" i="115"/>
  <c r="F846" i="115"/>
  <c r="E846" i="115"/>
  <c r="D846" i="115"/>
  <c r="C846" i="115"/>
  <c r="F845" i="115"/>
  <c r="E845" i="115"/>
  <c r="D845" i="115"/>
  <c r="C845" i="115"/>
  <c r="F844" i="115"/>
  <c r="E844" i="115"/>
  <c r="D844" i="115"/>
  <c r="C844" i="115"/>
  <c r="F843" i="115"/>
  <c r="E843" i="115"/>
  <c r="D843" i="115"/>
  <c r="C843" i="115"/>
  <c r="F842" i="115"/>
  <c r="E842" i="115"/>
  <c r="D842" i="115"/>
  <c r="C842" i="115"/>
  <c r="F841" i="115"/>
  <c r="E841" i="115"/>
  <c r="D841" i="115"/>
  <c r="C841" i="115"/>
  <c r="F840" i="115"/>
  <c r="E840" i="115"/>
  <c r="D840" i="115"/>
  <c r="C840" i="115"/>
  <c r="F839" i="115"/>
  <c r="E839" i="115"/>
  <c r="D839" i="115"/>
  <c r="C839" i="115"/>
  <c r="F838" i="115"/>
  <c r="E838" i="115"/>
  <c r="D838" i="115"/>
  <c r="C838" i="115"/>
  <c r="F837" i="115"/>
  <c r="E837" i="115"/>
  <c r="D837" i="115"/>
  <c r="C837" i="115"/>
  <c r="F834" i="115"/>
  <c r="E834" i="115"/>
  <c r="D834" i="115"/>
  <c r="C834" i="115"/>
  <c r="F833" i="115"/>
  <c r="E833" i="115"/>
  <c r="D833" i="115"/>
  <c r="C833" i="115"/>
  <c r="F830" i="115"/>
  <c r="E830" i="115"/>
  <c r="D830" i="115"/>
  <c r="C830" i="115"/>
  <c r="F829" i="115"/>
  <c r="E829" i="115"/>
  <c r="D829" i="115"/>
  <c r="C829" i="115"/>
  <c r="F828" i="115"/>
  <c r="E828" i="115"/>
  <c r="D828" i="115"/>
  <c r="C828" i="115"/>
  <c r="F827" i="115"/>
  <c r="E827" i="115"/>
  <c r="D827" i="115"/>
  <c r="C827" i="115"/>
  <c r="F826" i="115"/>
  <c r="E826" i="115"/>
  <c r="D826" i="115"/>
  <c r="C826" i="115"/>
  <c r="F825" i="115"/>
  <c r="E825" i="115"/>
  <c r="D825" i="115"/>
  <c r="C825" i="115"/>
  <c r="F824" i="115"/>
  <c r="E824" i="115"/>
  <c r="D824" i="115"/>
  <c r="C824" i="115"/>
  <c r="F823" i="115"/>
  <c r="E823" i="115"/>
  <c r="D823" i="115"/>
  <c r="C823" i="115"/>
  <c r="F822" i="115"/>
  <c r="E822" i="115"/>
  <c r="D822" i="115"/>
  <c r="C822" i="115"/>
  <c r="F821" i="115"/>
  <c r="E821" i="115"/>
  <c r="D821" i="115"/>
  <c r="C821" i="115"/>
  <c r="F820" i="115"/>
  <c r="E820" i="115"/>
  <c r="D820" i="115"/>
  <c r="C820" i="115"/>
  <c r="F819" i="115"/>
  <c r="E819" i="115"/>
  <c r="D819" i="115"/>
  <c r="C819" i="115"/>
  <c r="F818" i="115"/>
  <c r="E818" i="115"/>
  <c r="D818" i="115"/>
  <c r="C818" i="115"/>
  <c r="F817" i="115"/>
  <c r="E817" i="115"/>
  <c r="D817" i="115"/>
  <c r="C817" i="115"/>
  <c r="F816" i="115"/>
  <c r="E816" i="115"/>
  <c r="D816" i="115"/>
  <c r="C816" i="115"/>
  <c r="F815" i="115"/>
  <c r="E815" i="115"/>
  <c r="D815" i="115"/>
  <c r="C815" i="115"/>
  <c r="F814" i="115"/>
  <c r="E814" i="115"/>
  <c r="D814" i="115"/>
  <c r="C814" i="115"/>
  <c r="F813" i="115"/>
  <c r="E813" i="115"/>
  <c r="D813" i="115"/>
  <c r="C813" i="115"/>
  <c r="F812" i="115"/>
  <c r="E812" i="115"/>
  <c r="D812" i="115"/>
  <c r="C812" i="115"/>
  <c r="F811" i="115"/>
  <c r="E811" i="115"/>
  <c r="D811" i="115"/>
  <c r="C811" i="115"/>
  <c r="F810" i="115"/>
  <c r="E810" i="115"/>
  <c r="D810" i="115"/>
  <c r="C810" i="115"/>
  <c r="F809" i="115"/>
  <c r="E809" i="115"/>
  <c r="D809" i="115"/>
  <c r="C809" i="115"/>
  <c r="F808" i="115"/>
  <c r="E808" i="115"/>
  <c r="D808" i="115"/>
  <c r="C808" i="115"/>
  <c r="F807" i="115"/>
  <c r="E807" i="115"/>
  <c r="D807" i="115"/>
  <c r="C807" i="115"/>
  <c r="F806" i="115"/>
  <c r="E806" i="115"/>
  <c r="D806" i="115"/>
  <c r="C806" i="115"/>
  <c r="F805" i="115"/>
  <c r="E805" i="115"/>
  <c r="D805" i="115"/>
  <c r="C805" i="115"/>
  <c r="F804" i="115"/>
  <c r="E804" i="115"/>
  <c r="D804" i="115"/>
  <c r="C804" i="115"/>
  <c r="F803" i="115"/>
  <c r="E803" i="115"/>
  <c r="D803" i="115"/>
  <c r="C803" i="115"/>
  <c r="F802" i="115"/>
  <c r="E802" i="115"/>
  <c r="D802" i="115"/>
  <c r="C802" i="115"/>
  <c r="F801" i="115"/>
  <c r="E801" i="115"/>
  <c r="D801" i="115"/>
  <c r="C801" i="115"/>
  <c r="F800" i="115"/>
  <c r="E800" i="115"/>
  <c r="D800" i="115"/>
  <c r="C800" i="115"/>
  <c r="F799" i="115"/>
  <c r="E799" i="115"/>
  <c r="D799" i="115"/>
  <c r="C799" i="115"/>
  <c r="F798" i="115"/>
  <c r="E798" i="115"/>
  <c r="D798" i="115"/>
  <c r="C798" i="115"/>
  <c r="F797" i="115"/>
  <c r="E797" i="115"/>
  <c r="D797" i="115"/>
  <c r="C797" i="115"/>
  <c r="F796" i="115"/>
  <c r="E796" i="115"/>
  <c r="D796" i="115"/>
  <c r="C796" i="115"/>
  <c r="F795" i="115"/>
  <c r="E795" i="115"/>
  <c r="D795" i="115"/>
  <c r="C795" i="115"/>
  <c r="F794" i="115"/>
  <c r="E794" i="115"/>
  <c r="D794" i="115"/>
  <c r="C794" i="115"/>
  <c r="F793" i="115"/>
  <c r="E793" i="115"/>
  <c r="D793" i="115"/>
  <c r="C793" i="115"/>
  <c r="F792" i="115"/>
  <c r="E792" i="115"/>
  <c r="D792" i="115"/>
  <c r="C792" i="115"/>
  <c r="F791" i="115"/>
  <c r="E791" i="115"/>
  <c r="D791" i="115"/>
  <c r="C791" i="115"/>
  <c r="F790" i="115"/>
  <c r="E790" i="115"/>
  <c r="D790" i="115"/>
  <c r="C790" i="115"/>
  <c r="F789" i="115"/>
  <c r="E789" i="115"/>
  <c r="D789" i="115"/>
  <c r="C789" i="115"/>
  <c r="F788" i="115"/>
  <c r="E788" i="115"/>
  <c r="D788" i="115"/>
  <c r="C788" i="115"/>
  <c r="F787" i="115"/>
  <c r="E787" i="115"/>
  <c r="D787" i="115"/>
  <c r="C787" i="115"/>
  <c r="F786" i="115"/>
  <c r="E786" i="115"/>
  <c r="D786" i="115"/>
  <c r="C786" i="115"/>
  <c r="F785" i="115"/>
  <c r="E785" i="115"/>
  <c r="D785" i="115"/>
  <c r="C785" i="115"/>
  <c r="F782" i="115"/>
  <c r="E782" i="115"/>
  <c r="D782" i="115"/>
  <c r="C782" i="115"/>
  <c r="F781" i="115"/>
  <c r="E781" i="115"/>
  <c r="D781" i="115"/>
  <c r="C781" i="115"/>
  <c r="F780" i="115"/>
  <c r="E780" i="115"/>
  <c r="D780" i="115"/>
  <c r="C780" i="115"/>
  <c r="F779" i="115"/>
  <c r="E779" i="115"/>
  <c r="D779" i="115"/>
  <c r="C779" i="115"/>
  <c r="F778" i="115"/>
  <c r="E778" i="115"/>
  <c r="D778" i="115"/>
  <c r="C778" i="115"/>
  <c r="F777" i="115"/>
  <c r="E777" i="115"/>
  <c r="D777" i="115"/>
  <c r="C777" i="115"/>
  <c r="F776" i="115"/>
  <c r="E776" i="115"/>
  <c r="D776" i="115"/>
  <c r="C776" i="115"/>
  <c r="F775" i="115"/>
  <c r="E775" i="115"/>
  <c r="D775" i="115"/>
  <c r="C775" i="115"/>
  <c r="F774" i="115"/>
  <c r="E774" i="115"/>
  <c r="D774" i="115"/>
  <c r="C774" i="115"/>
  <c r="F773" i="115"/>
  <c r="E773" i="115"/>
  <c r="D773" i="115"/>
  <c r="C773" i="115"/>
  <c r="F772" i="115"/>
  <c r="E772" i="115"/>
  <c r="D772" i="115"/>
  <c r="C772" i="115"/>
  <c r="F771" i="115"/>
  <c r="E771" i="115"/>
  <c r="D771" i="115"/>
  <c r="C771" i="115"/>
  <c r="F770" i="115"/>
  <c r="E770" i="115"/>
  <c r="D770" i="115"/>
  <c r="C770" i="115"/>
  <c r="F769" i="115"/>
  <c r="E769" i="115"/>
  <c r="D769" i="115"/>
  <c r="C769" i="115"/>
  <c r="F768" i="115"/>
  <c r="E768" i="115"/>
  <c r="D768" i="115"/>
  <c r="C768" i="115"/>
  <c r="F765" i="115"/>
  <c r="E765" i="115"/>
  <c r="D765" i="115"/>
  <c r="C765" i="115"/>
  <c r="F764" i="115"/>
  <c r="E764" i="115"/>
  <c r="D764" i="115"/>
  <c r="C764" i="115"/>
  <c r="F763" i="115"/>
  <c r="E763" i="115"/>
  <c r="D763" i="115"/>
  <c r="C763" i="115"/>
  <c r="F762" i="115"/>
  <c r="E762" i="115"/>
  <c r="D762" i="115"/>
  <c r="C762" i="115"/>
  <c r="F761" i="115"/>
  <c r="E761" i="115"/>
  <c r="D761" i="115"/>
  <c r="C761" i="115"/>
  <c r="F760" i="115"/>
  <c r="E760" i="115"/>
  <c r="D760" i="115"/>
  <c r="C760" i="115"/>
  <c r="F759" i="115"/>
  <c r="E759" i="115"/>
  <c r="D759" i="115"/>
  <c r="C759" i="115"/>
  <c r="F758" i="115"/>
  <c r="E758" i="115"/>
  <c r="D758" i="115"/>
  <c r="C758" i="115"/>
  <c r="F757" i="115"/>
  <c r="E757" i="115"/>
  <c r="D757" i="115"/>
  <c r="C757" i="115"/>
  <c r="F756" i="115"/>
  <c r="E756" i="115"/>
  <c r="D756" i="115"/>
  <c r="C756" i="115"/>
  <c r="F755" i="115"/>
  <c r="E755" i="115"/>
  <c r="D755" i="115"/>
  <c r="C755" i="115"/>
  <c r="F754" i="115"/>
  <c r="E754" i="115"/>
  <c r="D754" i="115"/>
  <c r="C754" i="115"/>
  <c r="F753" i="115"/>
  <c r="E753" i="115"/>
  <c r="D753" i="115"/>
  <c r="C753" i="115"/>
  <c r="F752" i="115"/>
  <c r="E752" i="115"/>
  <c r="D752" i="115"/>
  <c r="C752" i="115"/>
  <c r="F751" i="115"/>
  <c r="E751" i="115"/>
  <c r="D751" i="115"/>
  <c r="C751" i="115"/>
  <c r="F750" i="115"/>
  <c r="E750" i="115"/>
  <c r="D750" i="115"/>
  <c r="C750" i="115"/>
  <c r="F749" i="115"/>
  <c r="E749" i="115"/>
  <c r="D749" i="115"/>
  <c r="C749" i="115"/>
  <c r="F748" i="115"/>
  <c r="E748" i="115"/>
  <c r="D748" i="115"/>
  <c r="C748" i="115"/>
  <c r="F745" i="115"/>
  <c r="E745" i="115"/>
  <c r="D745" i="115"/>
  <c r="C745" i="115"/>
  <c r="F744" i="115"/>
  <c r="E744" i="115"/>
  <c r="D744" i="115"/>
  <c r="C744" i="115"/>
  <c r="F741" i="115"/>
  <c r="E741" i="115"/>
  <c r="D741" i="115"/>
  <c r="C741" i="115"/>
  <c r="F740" i="115"/>
  <c r="E740" i="115"/>
  <c r="D740" i="115"/>
  <c r="C740" i="115"/>
  <c r="F737" i="115"/>
  <c r="E737" i="115"/>
  <c r="D737" i="115"/>
  <c r="C737" i="115"/>
  <c r="F736" i="115"/>
  <c r="E736" i="115"/>
  <c r="D736" i="115"/>
  <c r="C736" i="115"/>
  <c r="F735" i="115"/>
  <c r="E735" i="115"/>
  <c r="D735" i="115"/>
  <c r="C735" i="115"/>
  <c r="F734" i="115"/>
  <c r="E734" i="115"/>
  <c r="D734" i="115"/>
  <c r="C734" i="115"/>
  <c r="F731" i="115"/>
  <c r="E731" i="115"/>
  <c r="D731" i="115"/>
  <c r="C731" i="115"/>
  <c r="F730" i="115"/>
  <c r="E730" i="115"/>
  <c r="D730" i="115"/>
  <c r="C730" i="115"/>
  <c r="F729" i="115"/>
  <c r="E729" i="115"/>
  <c r="D729" i="115"/>
  <c r="C729" i="115"/>
  <c r="F726" i="115"/>
  <c r="E726" i="115"/>
  <c r="D726" i="115"/>
  <c r="C726" i="115"/>
  <c r="F725" i="115"/>
  <c r="E725" i="115"/>
  <c r="D725" i="115"/>
  <c r="C725" i="115"/>
  <c r="F724" i="115"/>
  <c r="E724" i="115"/>
  <c r="D724" i="115"/>
  <c r="C724" i="115"/>
  <c r="F723" i="115"/>
  <c r="E723" i="115"/>
  <c r="D723" i="115"/>
  <c r="C723" i="115"/>
  <c r="F722" i="115"/>
  <c r="E722" i="115"/>
  <c r="D722" i="115"/>
  <c r="C722" i="115"/>
  <c r="F721" i="115"/>
  <c r="E721" i="115"/>
  <c r="D721" i="115"/>
  <c r="C721" i="115"/>
  <c r="F720" i="115"/>
  <c r="E720" i="115"/>
  <c r="D720" i="115"/>
  <c r="C720" i="115"/>
  <c r="F719" i="115"/>
  <c r="E719" i="115"/>
  <c r="D719" i="115"/>
  <c r="C719" i="115"/>
  <c r="F718" i="115"/>
  <c r="E718" i="115"/>
  <c r="D718" i="115"/>
  <c r="C718" i="115"/>
  <c r="F717" i="115"/>
  <c r="E717" i="115"/>
  <c r="D717" i="115"/>
  <c r="C717" i="115"/>
  <c r="F716" i="115"/>
  <c r="E716" i="115"/>
  <c r="D716" i="115"/>
  <c r="C716" i="115"/>
  <c r="F715" i="115"/>
  <c r="E715" i="115"/>
  <c r="D715" i="115"/>
  <c r="C715" i="115"/>
  <c r="F714" i="115"/>
  <c r="E714" i="115"/>
  <c r="D714" i="115"/>
  <c r="C714" i="115"/>
  <c r="F713" i="115"/>
  <c r="E713" i="115"/>
  <c r="D713" i="115"/>
  <c r="C713" i="115"/>
  <c r="F712" i="115"/>
  <c r="E712" i="115"/>
  <c r="D712" i="115"/>
  <c r="C712" i="115"/>
  <c r="F711" i="115"/>
  <c r="E711" i="115"/>
  <c r="D711" i="115"/>
  <c r="C711" i="115"/>
  <c r="F710" i="115"/>
  <c r="E710" i="115"/>
  <c r="D710" i="115"/>
  <c r="C710" i="115"/>
  <c r="F707" i="115"/>
  <c r="E707" i="115"/>
  <c r="D707" i="115"/>
  <c r="C707" i="115"/>
  <c r="F706" i="115"/>
  <c r="E706" i="115"/>
  <c r="D706" i="115"/>
  <c r="C706" i="115"/>
  <c r="F705" i="115"/>
  <c r="E705" i="115"/>
  <c r="D705" i="115"/>
  <c r="C705" i="115"/>
  <c r="F704" i="115"/>
  <c r="E704" i="115"/>
  <c r="D704" i="115"/>
  <c r="C704" i="115"/>
  <c r="F703" i="115"/>
  <c r="E703" i="115"/>
  <c r="D703" i="115"/>
  <c r="C703" i="115"/>
  <c r="F702" i="115"/>
  <c r="E702" i="115"/>
  <c r="D702" i="115"/>
  <c r="C702" i="115"/>
  <c r="F701" i="115"/>
  <c r="E701" i="115"/>
  <c r="D701" i="115"/>
  <c r="C701" i="115"/>
  <c r="F700" i="115"/>
  <c r="E700" i="115"/>
  <c r="D700" i="115"/>
  <c r="C700" i="115"/>
  <c r="F699" i="115"/>
  <c r="E699" i="115"/>
  <c r="D699" i="115"/>
  <c r="C699" i="115"/>
  <c r="F698" i="115"/>
  <c r="E698" i="115"/>
  <c r="D698" i="115"/>
  <c r="C698" i="115"/>
  <c r="F697" i="115"/>
  <c r="E697" i="115"/>
  <c r="D697" i="115"/>
  <c r="C697" i="115"/>
  <c r="F696" i="115"/>
  <c r="E696" i="115"/>
  <c r="D696" i="115"/>
  <c r="C696" i="115"/>
  <c r="F695" i="115"/>
  <c r="E695" i="115"/>
  <c r="D695" i="115"/>
  <c r="C695" i="115"/>
  <c r="F692" i="115"/>
  <c r="E692" i="115"/>
  <c r="D692" i="115"/>
  <c r="C692" i="115"/>
  <c r="F691" i="115"/>
  <c r="E691" i="115"/>
  <c r="D691" i="115"/>
  <c r="C691" i="115"/>
  <c r="F690" i="115"/>
  <c r="E690" i="115"/>
  <c r="D690" i="115"/>
  <c r="C690" i="115"/>
  <c r="F689" i="115"/>
  <c r="E689" i="115"/>
  <c r="D689" i="115"/>
  <c r="C689" i="115"/>
  <c r="F688" i="115"/>
  <c r="E688" i="115"/>
  <c r="D688" i="115"/>
  <c r="C688" i="115"/>
  <c r="F687" i="115"/>
  <c r="E687" i="115"/>
  <c r="D687" i="115"/>
  <c r="C687" i="115"/>
  <c r="F686" i="115"/>
  <c r="E686" i="115"/>
  <c r="D686" i="115"/>
  <c r="C686" i="115"/>
  <c r="F685" i="115"/>
  <c r="E685" i="115"/>
  <c r="D685" i="115"/>
  <c r="C685" i="115"/>
  <c r="F684" i="115"/>
  <c r="E684" i="115"/>
  <c r="D684" i="115"/>
  <c r="C684" i="115"/>
  <c r="F683" i="115"/>
  <c r="E683" i="115"/>
  <c r="D683" i="115"/>
  <c r="C683" i="115"/>
  <c r="F682" i="115"/>
  <c r="E682" i="115"/>
  <c r="D682" i="115"/>
  <c r="C682" i="115"/>
  <c r="F679" i="115"/>
  <c r="E679" i="115"/>
  <c r="D679" i="115"/>
  <c r="C679" i="115"/>
  <c r="F678" i="115"/>
  <c r="E678" i="115"/>
  <c r="D678" i="115"/>
  <c r="C678" i="115"/>
  <c r="F677" i="115"/>
  <c r="E677" i="115"/>
  <c r="D677" i="115"/>
  <c r="C677" i="115"/>
  <c r="F676" i="115"/>
  <c r="E676" i="115"/>
  <c r="D676" i="115"/>
  <c r="C676" i="115"/>
  <c r="F673" i="115"/>
  <c r="E673" i="115"/>
  <c r="D673" i="115"/>
  <c r="C673" i="115"/>
  <c r="F672" i="115"/>
  <c r="E672" i="115"/>
  <c r="D672" i="115"/>
  <c r="C672" i="115"/>
  <c r="F671" i="115"/>
  <c r="E671" i="115"/>
  <c r="D671" i="115"/>
  <c r="C671" i="115"/>
  <c r="F670" i="115"/>
  <c r="E670" i="115"/>
  <c r="D670" i="115"/>
  <c r="C670" i="115"/>
  <c r="F669" i="115"/>
  <c r="E669" i="115"/>
  <c r="D669" i="115"/>
  <c r="C669" i="115"/>
  <c r="F668" i="115"/>
  <c r="E668" i="115"/>
  <c r="D668" i="115"/>
  <c r="C668" i="115"/>
  <c r="F667" i="115"/>
  <c r="E667" i="115"/>
  <c r="D667" i="115"/>
  <c r="C667" i="115"/>
  <c r="F666" i="115"/>
  <c r="E666" i="115"/>
  <c r="D666" i="115"/>
  <c r="C666" i="115"/>
  <c r="F665" i="115"/>
  <c r="E665" i="115"/>
  <c r="D665" i="115"/>
  <c r="C665" i="115"/>
  <c r="F664" i="115"/>
  <c r="E664" i="115"/>
  <c r="D664" i="115"/>
  <c r="C664" i="115"/>
  <c r="F663" i="115"/>
  <c r="E663" i="115"/>
  <c r="D663" i="115"/>
  <c r="C663" i="115"/>
  <c r="F660" i="115"/>
  <c r="E660" i="115"/>
  <c r="D660" i="115"/>
  <c r="C660" i="115"/>
  <c r="F659" i="115"/>
  <c r="E659" i="115"/>
  <c r="D659" i="115"/>
  <c r="C659" i="115"/>
  <c r="F658" i="115"/>
  <c r="E658" i="115"/>
  <c r="D658" i="115"/>
  <c r="C658" i="115"/>
  <c r="F657" i="115"/>
  <c r="E657" i="115"/>
  <c r="D657" i="115"/>
  <c r="C657" i="115"/>
  <c r="F656" i="115"/>
  <c r="E656" i="115"/>
  <c r="D656" i="115"/>
  <c r="C656" i="115"/>
  <c r="F655" i="115"/>
  <c r="E655" i="115"/>
  <c r="D655" i="115"/>
  <c r="C655" i="115"/>
  <c r="F652" i="115"/>
  <c r="E652" i="115"/>
  <c r="D652" i="115"/>
  <c r="C652" i="115"/>
  <c r="F651" i="115"/>
  <c r="E651" i="115"/>
  <c r="D651" i="115"/>
  <c r="C651" i="115"/>
  <c r="F650" i="115"/>
  <c r="E650" i="115"/>
  <c r="D650" i="115"/>
  <c r="C650" i="115"/>
  <c r="F649" i="115"/>
  <c r="E649" i="115"/>
  <c r="D649" i="115"/>
  <c r="C649" i="115"/>
  <c r="F648" i="115"/>
  <c r="E648" i="115"/>
  <c r="D648" i="115"/>
  <c r="C648" i="115"/>
  <c r="F647" i="115"/>
  <c r="E647" i="115"/>
  <c r="D647" i="115"/>
  <c r="C647" i="115"/>
  <c r="F646" i="115"/>
  <c r="E646" i="115"/>
  <c r="D646" i="115"/>
  <c r="C646" i="115"/>
  <c r="F643" i="115"/>
  <c r="E643" i="115"/>
  <c r="D643" i="115"/>
  <c r="C643" i="115"/>
  <c r="F642" i="115"/>
  <c r="E642" i="115"/>
  <c r="D642" i="115"/>
  <c r="C642" i="115"/>
  <c r="F641" i="115"/>
  <c r="E641" i="115"/>
  <c r="D641" i="115"/>
  <c r="C641" i="115"/>
  <c r="F640" i="115"/>
  <c r="E640" i="115"/>
  <c r="D640" i="115"/>
  <c r="C640" i="115"/>
  <c r="F639" i="115"/>
  <c r="E639" i="115"/>
  <c r="D639" i="115"/>
  <c r="C639" i="115"/>
  <c r="F638" i="115"/>
  <c r="E638" i="115"/>
  <c r="D638" i="115"/>
  <c r="C638" i="115"/>
  <c r="F637" i="115"/>
  <c r="E637" i="115"/>
  <c r="D637" i="115"/>
  <c r="C637" i="115"/>
  <c r="F636" i="115"/>
  <c r="E636" i="115"/>
  <c r="D636" i="115"/>
  <c r="C636" i="115"/>
  <c r="F635" i="115"/>
  <c r="E635" i="115"/>
  <c r="D635" i="115"/>
  <c r="C635" i="115"/>
  <c r="F634" i="115"/>
  <c r="E634" i="115"/>
  <c r="D634" i="115"/>
  <c r="C634" i="115"/>
  <c r="F633" i="115"/>
  <c r="E633" i="115"/>
  <c r="D633" i="115"/>
  <c r="C633" i="115"/>
  <c r="F632" i="115"/>
  <c r="E632" i="115"/>
  <c r="D632" i="115"/>
  <c r="C632" i="115"/>
  <c r="F631" i="115"/>
  <c r="E631" i="115"/>
  <c r="D631" i="115"/>
  <c r="C631" i="115"/>
  <c r="F630" i="115"/>
  <c r="E630" i="115"/>
  <c r="D630" i="115"/>
  <c r="C630" i="115"/>
  <c r="F629" i="115"/>
  <c r="E629" i="115"/>
  <c r="D629" i="115"/>
  <c r="C629" i="115"/>
  <c r="F628" i="115"/>
  <c r="E628" i="115"/>
  <c r="D628" i="115"/>
  <c r="C628" i="115"/>
  <c r="F627" i="115"/>
  <c r="E627" i="115"/>
  <c r="D627" i="115"/>
  <c r="C627" i="115"/>
  <c r="F624" i="115"/>
  <c r="E624" i="115"/>
  <c r="D624" i="115"/>
  <c r="C624" i="115"/>
  <c r="F623" i="115"/>
  <c r="E623" i="115"/>
  <c r="D623" i="115"/>
  <c r="C623" i="115"/>
  <c r="F622" i="115"/>
  <c r="E622" i="115"/>
  <c r="D622" i="115"/>
  <c r="C622" i="115"/>
  <c r="F619" i="115"/>
  <c r="E619" i="115"/>
  <c r="D619" i="115"/>
  <c r="C619" i="115"/>
  <c r="F618" i="115"/>
  <c r="E618" i="115"/>
  <c r="D618" i="115"/>
  <c r="C618" i="115"/>
  <c r="F617" i="115"/>
  <c r="E617" i="115"/>
  <c r="D617" i="115"/>
  <c r="C617" i="115"/>
  <c r="F614" i="115"/>
  <c r="E614" i="115"/>
  <c r="D614" i="115"/>
  <c r="C614" i="115"/>
  <c r="F611" i="115"/>
  <c r="E611" i="115"/>
  <c r="D611" i="115"/>
  <c r="C611" i="115"/>
  <c r="F608" i="115"/>
  <c r="E608" i="115"/>
  <c r="D608" i="115"/>
  <c r="C608" i="115"/>
  <c r="F607" i="115"/>
  <c r="E607" i="115"/>
  <c r="D607" i="115"/>
  <c r="C607" i="115"/>
  <c r="F606" i="115"/>
  <c r="E606" i="115"/>
  <c r="D606" i="115"/>
  <c r="C606" i="115"/>
  <c r="F603" i="115"/>
  <c r="E603" i="115"/>
  <c r="D603" i="115"/>
  <c r="C603" i="115"/>
  <c r="F602" i="115"/>
  <c r="E602" i="115"/>
  <c r="D602" i="115"/>
  <c r="C602" i="115"/>
  <c r="F601" i="115"/>
  <c r="E601" i="115"/>
  <c r="D601" i="115"/>
  <c r="C601" i="115"/>
  <c r="F600" i="115"/>
  <c r="E600" i="115"/>
  <c r="D600" i="115"/>
  <c r="C600" i="115"/>
  <c r="F597" i="115"/>
  <c r="E597" i="115"/>
  <c r="D597" i="115"/>
  <c r="C597" i="115"/>
  <c r="F596" i="115"/>
  <c r="E596" i="115"/>
  <c r="D596" i="115"/>
  <c r="C596" i="115"/>
  <c r="F595" i="115"/>
  <c r="E595" i="115"/>
  <c r="D595" i="115"/>
  <c r="C595" i="115"/>
  <c r="F594" i="115"/>
  <c r="E594" i="115"/>
  <c r="D594" i="115"/>
  <c r="C594" i="115"/>
  <c r="F593" i="115"/>
  <c r="E593" i="115"/>
  <c r="D593" i="115"/>
  <c r="C593" i="115"/>
  <c r="F592" i="115"/>
  <c r="E592" i="115"/>
  <c r="D592" i="115"/>
  <c r="C592" i="115"/>
  <c r="F591" i="115"/>
  <c r="E591" i="115"/>
  <c r="D591" i="115"/>
  <c r="C591" i="115"/>
  <c r="F588" i="115"/>
  <c r="E588" i="115"/>
  <c r="D588" i="115"/>
  <c r="C588" i="115"/>
  <c r="F587" i="115"/>
  <c r="E587" i="115"/>
  <c r="D587" i="115"/>
  <c r="C587" i="115"/>
  <c r="F586" i="115"/>
  <c r="E586" i="115"/>
  <c r="D586" i="115"/>
  <c r="C586" i="115"/>
  <c r="F585" i="115"/>
  <c r="E585" i="115"/>
  <c r="D585" i="115"/>
  <c r="C585" i="115"/>
  <c r="F584" i="115"/>
  <c r="E584" i="115"/>
  <c r="D584" i="115"/>
  <c r="C584" i="115"/>
  <c r="F583" i="115"/>
  <c r="E583" i="115"/>
  <c r="D583" i="115"/>
  <c r="C583" i="115"/>
  <c r="F582" i="115"/>
  <c r="E582" i="115"/>
  <c r="D582" i="115"/>
  <c r="C582" i="115"/>
  <c r="F579" i="115"/>
  <c r="E579" i="115"/>
  <c r="D579" i="115"/>
  <c r="C579" i="115"/>
  <c r="F578" i="115"/>
  <c r="E578" i="115"/>
  <c r="D578" i="115"/>
  <c r="C578" i="115"/>
  <c r="F577" i="115"/>
  <c r="E577" i="115"/>
  <c r="D577" i="115"/>
  <c r="C577" i="115"/>
  <c r="F576" i="115"/>
  <c r="E576" i="115"/>
  <c r="D576" i="115"/>
  <c r="C576" i="115"/>
  <c r="F575" i="115"/>
  <c r="E575" i="115"/>
  <c r="D575" i="115"/>
  <c r="C575" i="115"/>
  <c r="F574" i="115"/>
  <c r="E574" i="115"/>
  <c r="D574" i="115"/>
  <c r="C574" i="115"/>
  <c r="F573" i="115"/>
  <c r="E573" i="115"/>
  <c r="D573" i="115"/>
  <c r="C573" i="115"/>
  <c r="F572" i="115"/>
  <c r="E572" i="115"/>
  <c r="D572" i="115"/>
  <c r="C572" i="115"/>
  <c r="F569" i="115"/>
  <c r="E569" i="115"/>
  <c r="D569" i="115"/>
  <c r="C569" i="115"/>
  <c r="F568" i="115"/>
  <c r="E568" i="115"/>
  <c r="D568" i="115"/>
  <c r="C568" i="115"/>
  <c r="F567" i="115"/>
  <c r="E567" i="115"/>
  <c r="D567" i="115"/>
  <c r="C567" i="115"/>
  <c r="F566" i="115"/>
  <c r="E566" i="115"/>
  <c r="D566" i="115"/>
  <c r="C566" i="115"/>
  <c r="F565" i="115"/>
  <c r="E565" i="115"/>
  <c r="D565" i="115"/>
  <c r="C565" i="115"/>
  <c r="F562" i="115"/>
  <c r="E562" i="115"/>
  <c r="D562" i="115"/>
  <c r="C562" i="115"/>
  <c r="F561" i="115"/>
  <c r="E561" i="115"/>
  <c r="D561" i="115"/>
  <c r="C561" i="115"/>
  <c r="F560" i="115"/>
  <c r="E560" i="115"/>
  <c r="D560" i="115"/>
  <c r="C560" i="115"/>
  <c r="F559" i="115"/>
  <c r="E559" i="115"/>
  <c r="D559" i="115"/>
  <c r="C559" i="115"/>
  <c r="F556" i="115"/>
  <c r="E556" i="115"/>
  <c r="D556" i="115"/>
  <c r="C556" i="115"/>
  <c r="F555" i="115"/>
  <c r="E555" i="115"/>
  <c r="D555" i="115"/>
  <c r="C555" i="115"/>
  <c r="F554" i="115"/>
  <c r="E554" i="115"/>
  <c r="D554" i="115"/>
  <c r="C554" i="115"/>
  <c r="F553" i="115"/>
  <c r="E553" i="115"/>
  <c r="D553" i="115"/>
  <c r="C553" i="115"/>
  <c r="F552" i="115"/>
  <c r="E552" i="115"/>
  <c r="D552" i="115"/>
  <c r="C552" i="115"/>
  <c r="F551" i="115"/>
  <c r="E551" i="115"/>
  <c r="D551" i="115"/>
  <c r="C551" i="115"/>
  <c r="F550" i="115"/>
  <c r="E550" i="115"/>
  <c r="D550" i="115"/>
  <c r="C550" i="115"/>
  <c r="F549" i="115"/>
  <c r="E549" i="115"/>
  <c r="D549" i="115"/>
  <c r="C549" i="115"/>
  <c r="F548" i="115"/>
  <c r="E548" i="115"/>
  <c r="D548" i="115"/>
  <c r="C548" i="115"/>
  <c r="F547" i="115"/>
  <c r="E547" i="115"/>
  <c r="D547" i="115"/>
  <c r="C547" i="115"/>
  <c r="F546" i="115"/>
  <c r="E546" i="115"/>
  <c r="D546" i="115"/>
  <c r="C546" i="115"/>
  <c r="F543" i="115"/>
  <c r="E543" i="115"/>
  <c r="D543" i="115"/>
  <c r="C543" i="115"/>
  <c r="F540" i="115"/>
  <c r="E540" i="115"/>
  <c r="D540" i="115"/>
  <c r="C540" i="115"/>
  <c r="F537" i="115"/>
  <c r="E537" i="115"/>
  <c r="D537" i="115"/>
  <c r="C537" i="115"/>
  <c r="F534" i="115"/>
  <c r="E534" i="115"/>
  <c r="D534" i="115"/>
  <c r="C534" i="115"/>
  <c r="F533" i="115"/>
  <c r="E533" i="115"/>
  <c r="D533" i="115"/>
  <c r="C533" i="115"/>
  <c r="F532" i="115"/>
  <c r="E532" i="115"/>
  <c r="D532" i="115"/>
  <c r="C532" i="115"/>
  <c r="F531" i="115"/>
  <c r="E531" i="115"/>
  <c r="D531" i="115"/>
  <c r="C531" i="115"/>
  <c r="F530" i="115"/>
  <c r="E530" i="115"/>
  <c r="D530" i="115"/>
  <c r="C530" i="115"/>
  <c r="F529" i="115"/>
  <c r="E529" i="115"/>
  <c r="D529" i="115"/>
  <c r="C529" i="115"/>
  <c r="F526" i="115"/>
  <c r="E526" i="115"/>
  <c r="D526" i="115"/>
  <c r="C526" i="115"/>
  <c r="F525" i="115"/>
  <c r="E525" i="115"/>
  <c r="D525" i="115"/>
  <c r="C525" i="115"/>
  <c r="F522" i="115"/>
  <c r="E522" i="115"/>
  <c r="D522" i="115"/>
  <c r="C522" i="115"/>
  <c r="F521" i="115"/>
  <c r="E521" i="115"/>
  <c r="D521" i="115"/>
  <c r="C521" i="115"/>
  <c r="F520" i="115"/>
  <c r="E520" i="115"/>
  <c r="D520" i="115"/>
  <c r="C520" i="115"/>
  <c r="F519" i="115"/>
  <c r="E519" i="115"/>
  <c r="D519" i="115"/>
  <c r="C519" i="115"/>
  <c r="F518" i="115"/>
  <c r="E518" i="115"/>
  <c r="D518" i="115"/>
  <c r="C518" i="115"/>
  <c r="F517" i="115"/>
  <c r="E517" i="115"/>
  <c r="D517" i="115"/>
  <c r="C517" i="115"/>
  <c r="F516" i="115"/>
  <c r="E516" i="115"/>
  <c r="D516" i="115"/>
  <c r="C516" i="115"/>
  <c r="F515" i="115"/>
  <c r="E515" i="115"/>
  <c r="D515" i="115"/>
  <c r="C515" i="115"/>
  <c r="F514" i="115"/>
  <c r="E514" i="115"/>
  <c r="D514" i="115"/>
  <c r="C514" i="115"/>
  <c r="F513" i="115"/>
  <c r="E513" i="115"/>
  <c r="D513" i="115"/>
  <c r="C513" i="115"/>
  <c r="F512" i="115"/>
  <c r="E512" i="115"/>
  <c r="D512" i="115"/>
  <c r="C512" i="115"/>
  <c r="F511" i="115"/>
  <c r="E511" i="115"/>
  <c r="D511" i="115"/>
  <c r="C511" i="115"/>
  <c r="F510" i="115"/>
  <c r="E510" i="115"/>
  <c r="D510" i="115"/>
  <c r="C510" i="115"/>
  <c r="F509" i="115"/>
  <c r="E509" i="115"/>
  <c r="D509" i="115"/>
  <c r="C509" i="115"/>
  <c r="F508" i="115"/>
  <c r="E508" i="115"/>
  <c r="D508" i="115"/>
  <c r="C508" i="115"/>
  <c r="F507" i="115"/>
  <c r="E507" i="115"/>
  <c r="D507" i="115"/>
  <c r="C507" i="115"/>
  <c r="F504" i="115"/>
  <c r="E504" i="115"/>
  <c r="D504" i="115"/>
  <c r="C504" i="115"/>
  <c r="F501" i="115"/>
  <c r="E501" i="115"/>
  <c r="D501" i="115"/>
  <c r="C501" i="115"/>
  <c r="F500" i="115"/>
  <c r="E500" i="115"/>
  <c r="D500" i="115"/>
  <c r="C500" i="115"/>
  <c r="F499" i="115"/>
  <c r="E499" i="115"/>
  <c r="D499" i="115"/>
  <c r="C499" i="115"/>
  <c r="F498" i="115"/>
  <c r="E498" i="115"/>
  <c r="D498" i="115"/>
  <c r="C498" i="115"/>
  <c r="F497" i="115"/>
  <c r="E497" i="115"/>
  <c r="D497" i="115"/>
  <c r="C497" i="115"/>
  <c r="F496" i="115"/>
  <c r="E496" i="115"/>
  <c r="D496" i="115"/>
  <c r="C496" i="115"/>
  <c r="F495" i="115"/>
  <c r="E495" i="115"/>
  <c r="D495" i="115"/>
  <c r="C495" i="115"/>
  <c r="F494" i="115"/>
  <c r="E494" i="115"/>
  <c r="D494" i="115"/>
  <c r="C494" i="115"/>
  <c r="F491" i="115"/>
  <c r="E491" i="115"/>
  <c r="D491" i="115"/>
  <c r="C491" i="115"/>
  <c r="F490" i="115"/>
  <c r="E490" i="115"/>
  <c r="D490" i="115"/>
  <c r="C490" i="115"/>
  <c r="F489" i="115"/>
  <c r="E489" i="115"/>
  <c r="D489" i="115"/>
  <c r="C489" i="115"/>
  <c r="F488" i="115"/>
  <c r="E488" i="115"/>
  <c r="D488" i="115"/>
  <c r="C488" i="115"/>
  <c r="F487" i="115"/>
  <c r="E487" i="115"/>
  <c r="D487" i="115"/>
  <c r="C487" i="115"/>
  <c r="F486" i="115"/>
  <c r="E486" i="115"/>
  <c r="D486" i="115"/>
  <c r="C486" i="115"/>
  <c r="F485" i="115"/>
  <c r="E485" i="115"/>
  <c r="D485" i="115"/>
  <c r="C485" i="115"/>
  <c r="F484" i="115"/>
  <c r="E484" i="115"/>
  <c r="D484" i="115"/>
  <c r="C484" i="115"/>
  <c r="F483" i="115"/>
  <c r="E483" i="115"/>
  <c r="D483" i="115"/>
  <c r="C483" i="115"/>
  <c r="F482" i="115"/>
  <c r="E482" i="115"/>
  <c r="D482" i="115"/>
  <c r="C482" i="115"/>
  <c r="F481" i="115"/>
  <c r="E481" i="115"/>
  <c r="D481" i="115"/>
  <c r="C481" i="115"/>
  <c r="F480" i="115"/>
  <c r="E480" i="115"/>
  <c r="D480" i="115"/>
  <c r="C480" i="115"/>
  <c r="F477" i="115"/>
  <c r="E477" i="115"/>
  <c r="D477" i="115"/>
  <c r="C477" i="115"/>
  <c r="F474" i="115"/>
  <c r="E474" i="115"/>
  <c r="D474" i="115"/>
  <c r="C474" i="115"/>
  <c r="F473" i="115"/>
  <c r="E473" i="115"/>
  <c r="D473" i="115"/>
  <c r="C473" i="115"/>
  <c r="F470" i="115"/>
  <c r="E470" i="115"/>
  <c r="D470" i="115"/>
  <c r="C470" i="115"/>
  <c r="F469" i="115"/>
  <c r="E469" i="115"/>
  <c r="D469" i="115"/>
  <c r="C469" i="115"/>
  <c r="F468" i="115"/>
  <c r="E468" i="115"/>
  <c r="D468" i="115"/>
  <c r="C468" i="115"/>
  <c r="F467" i="115"/>
  <c r="E467" i="115"/>
  <c r="D467" i="115"/>
  <c r="C467" i="115"/>
  <c r="F466" i="115"/>
  <c r="E466" i="115"/>
  <c r="D466" i="115"/>
  <c r="C466" i="115"/>
  <c r="F465" i="115"/>
  <c r="E465" i="115"/>
  <c r="D465" i="115"/>
  <c r="C465" i="115"/>
  <c r="F464" i="115"/>
  <c r="E464" i="115"/>
  <c r="D464" i="115"/>
  <c r="C464" i="115"/>
  <c r="F463" i="115"/>
  <c r="E463" i="115"/>
  <c r="D463" i="115"/>
  <c r="C463" i="115"/>
  <c r="F462" i="115"/>
  <c r="E462" i="115"/>
  <c r="D462" i="115"/>
  <c r="C462" i="115"/>
  <c r="F461" i="115"/>
  <c r="E461" i="115"/>
  <c r="D461" i="115"/>
  <c r="C461" i="115"/>
  <c r="F460" i="115"/>
  <c r="E460" i="115"/>
  <c r="D460" i="115"/>
  <c r="C460" i="115"/>
  <c r="F459" i="115"/>
  <c r="E459" i="115"/>
  <c r="D459" i="115"/>
  <c r="C459" i="115"/>
  <c r="F458" i="115"/>
  <c r="E458" i="115"/>
  <c r="D458" i="115"/>
  <c r="C458" i="115"/>
  <c r="F457" i="115"/>
  <c r="E457" i="115"/>
  <c r="D457" i="115"/>
  <c r="C457" i="115"/>
  <c r="F456" i="115"/>
  <c r="E456" i="115"/>
  <c r="D456" i="115"/>
  <c r="C456" i="115"/>
  <c r="F455" i="115"/>
  <c r="E455" i="115"/>
  <c r="D455" i="115"/>
  <c r="C455" i="115"/>
  <c r="F454" i="115"/>
  <c r="E454" i="115"/>
  <c r="D454" i="115"/>
  <c r="C454" i="115"/>
  <c r="F451" i="115"/>
  <c r="E451" i="115"/>
  <c r="D451" i="115"/>
  <c r="C451" i="115"/>
  <c r="F448" i="115"/>
  <c r="E448" i="115"/>
  <c r="D448" i="115"/>
  <c r="C448" i="115"/>
  <c r="F447" i="115"/>
  <c r="E447" i="115"/>
  <c r="D447" i="115"/>
  <c r="C447" i="115"/>
  <c r="F446" i="115"/>
  <c r="E446" i="115"/>
  <c r="D446" i="115"/>
  <c r="C446" i="115"/>
  <c r="F445" i="115"/>
  <c r="E445" i="115"/>
  <c r="D445" i="115"/>
  <c r="C445" i="115"/>
  <c r="F444" i="115"/>
  <c r="E444" i="115"/>
  <c r="D444" i="115"/>
  <c r="C444" i="115"/>
  <c r="F443" i="115"/>
  <c r="E443" i="115"/>
  <c r="D443" i="115"/>
  <c r="C443" i="115"/>
  <c r="F442" i="115"/>
  <c r="E442" i="115"/>
  <c r="D442" i="115"/>
  <c r="C442" i="115"/>
  <c r="F441" i="115"/>
  <c r="E441" i="115"/>
  <c r="D441" i="115"/>
  <c r="C441" i="115"/>
  <c r="F440" i="115"/>
  <c r="E440" i="115"/>
  <c r="D440" i="115"/>
  <c r="C440" i="115"/>
  <c r="F439" i="115"/>
  <c r="E439" i="115"/>
  <c r="D439" i="115"/>
  <c r="C439" i="115"/>
  <c r="F436" i="115"/>
  <c r="E436" i="115"/>
  <c r="D436" i="115"/>
  <c r="C436" i="115"/>
  <c r="F433" i="115"/>
  <c r="E433" i="115"/>
  <c r="D433" i="115"/>
  <c r="C433" i="115"/>
  <c r="F430" i="115"/>
  <c r="E430" i="115"/>
  <c r="D430" i="115"/>
  <c r="C430" i="115"/>
  <c r="F429" i="115"/>
  <c r="E429" i="115"/>
  <c r="D429" i="115"/>
  <c r="C429" i="115"/>
  <c r="F428" i="115"/>
  <c r="E428" i="115"/>
  <c r="D428" i="115"/>
  <c r="C428" i="115"/>
  <c r="F427" i="115"/>
  <c r="E427" i="115"/>
  <c r="D427" i="115"/>
  <c r="C427" i="115"/>
  <c r="F426" i="115"/>
  <c r="E426" i="115"/>
  <c r="D426" i="115"/>
  <c r="C426" i="115"/>
  <c r="F425" i="115"/>
  <c r="E425" i="115"/>
  <c r="D425" i="115"/>
  <c r="C425" i="115"/>
  <c r="F424" i="115"/>
  <c r="E424" i="115"/>
  <c r="D424" i="115"/>
  <c r="C424" i="115"/>
  <c r="F423" i="115"/>
  <c r="E423" i="115"/>
  <c r="D423" i="115"/>
  <c r="C423" i="115"/>
  <c r="F422" i="115"/>
  <c r="E422" i="115"/>
  <c r="D422" i="115"/>
  <c r="C422" i="115"/>
  <c r="F421" i="115"/>
  <c r="E421" i="115"/>
  <c r="D421" i="115"/>
  <c r="C421" i="115"/>
  <c r="F420" i="115"/>
  <c r="E420" i="115"/>
  <c r="D420" i="115"/>
  <c r="C420" i="115"/>
  <c r="F419" i="115"/>
  <c r="E419" i="115"/>
  <c r="D419" i="115"/>
  <c r="C419" i="115"/>
  <c r="F418" i="115"/>
  <c r="E418" i="115"/>
  <c r="D418" i="115"/>
  <c r="C418" i="115"/>
  <c r="F417" i="115"/>
  <c r="E417" i="115"/>
  <c r="D417" i="115"/>
  <c r="C417" i="115"/>
  <c r="F416" i="115"/>
  <c r="E416" i="115"/>
  <c r="D416" i="115"/>
  <c r="C416" i="115"/>
  <c r="F415" i="115"/>
  <c r="E415" i="115"/>
  <c r="D415" i="115"/>
  <c r="C415" i="115"/>
  <c r="F414" i="115"/>
  <c r="E414" i="115"/>
  <c r="D414" i="115"/>
  <c r="C414" i="115"/>
  <c r="F413" i="115"/>
  <c r="E413" i="115"/>
  <c r="D413" i="115"/>
  <c r="C413" i="115"/>
  <c r="F412" i="115"/>
  <c r="E412" i="115"/>
  <c r="D412" i="115"/>
  <c r="C412" i="115"/>
  <c r="F411" i="115"/>
  <c r="E411" i="115"/>
  <c r="D411" i="115"/>
  <c r="C411" i="115"/>
  <c r="F410" i="115"/>
  <c r="E410" i="115"/>
  <c r="D410" i="115"/>
  <c r="C410" i="115"/>
  <c r="F409" i="115"/>
  <c r="E409" i="115"/>
  <c r="D409" i="115"/>
  <c r="C409" i="115"/>
  <c r="F408" i="115"/>
  <c r="E408" i="115"/>
  <c r="D408" i="115"/>
  <c r="C408" i="115"/>
  <c r="F407" i="115"/>
  <c r="E407" i="115"/>
  <c r="D407" i="115"/>
  <c r="C407" i="115"/>
  <c r="F404" i="115"/>
  <c r="E404" i="115"/>
  <c r="D404" i="115"/>
  <c r="C404" i="115"/>
  <c r="F401" i="115"/>
  <c r="E401" i="115"/>
  <c r="D401" i="115"/>
  <c r="C401" i="115"/>
  <c r="F400" i="115"/>
  <c r="E400" i="115"/>
  <c r="D400" i="115"/>
  <c r="C400" i="115"/>
  <c r="F399" i="115"/>
  <c r="E399" i="115"/>
  <c r="D399" i="115"/>
  <c r="C399" i="115"/>
  <c r="F398" i="115"/>
  <c r="E398" i="115"/>
  <c r="D398" i="115"/>
  <c r="C398" i="115"/>
  <c r="F397" i="115"/>
  <c r="E397" i="115"/>
  <c r="D397" i="115"/>
  <c r="C397" i="115"/>
  <c r="F396" i="115"/>
  <c r="E396" i="115"/>
  <c r="D396" i="115"/>
  <c r="C396" i="115"/>
  <c r="F395" i="115"/>
  <c r="E395" i="115"/>
  <c r="D395" i="115"/>
  <c r="C395" i="115"/>
  <c r="F394" i="115"/>
  <c r="E394" i="115"/>
  <c r="D394" i="115"/>
  <c r="C394" i="115"/>
  <c r="F393" i="115"/>
  <c r="E393" i="115"/>
  <c r="D393" i="115"/>
  <c r="C393" i="115"/>
  <c r="F392" i="115"/>
  <c r="E392" i="115"/>
  <c r="D392" i="115"/>
  <c r="C392" i="115"/>
  <c r="F391" i="115"/>
  <c r="E391" i="115"/>
  <c r="D391" i="115"/>
  <c r="C391" i="115"/>
  <c r="F390" i="115"/>
  <c r="E390" i="115"/>
  <c r="D390" i="115"/>
  <c r="C390" i="115"/>
  <c r="F389" i="115"/>
  <c r="E389" i="115"/>
  <c r="D389" i="115"/>
  <c r="C389" i="115"/>
  <c r="F388" i="115"/>
  <c r="E388" i="115"/>
  <c r="D388" i="115"/>
  <c r="C388" i="115"/>
  <c r="F387" i="115"/>
  <c r="E387" i="115"/>
  <c r="D387" i="115"/>
  <c r="C387" i="115"/>
  <c r="F386" i="115"/>
  <c r="E386" i="115"/>
  <c r="D386" i="115"/>
  <c r="C386" i="115"/>
  <c r="F385" i="115"/>
  <c r="E385" i="115"/>
  <c r="D385" i="115"/>
  <c r="C385" i="115"/>
  <c r="F384" i="115"/>
  <c r="E384" i="115"/>
  <c r="D384" i="115"/>
  <c r="C384" i="115"/>
  <c r="F383" i="115"/>
  <c r="E383" i="115"/>
  <c r="D383" i="115"/>
  <c r="C383" i="115"/>
  <c r="F382" i="115"/>
  <c r="E382" i="115"/>
  <c r="D382" i="115"/>
  <c r="C382" i="115"/>
  <c r="F381" i="115"/>
  <c r="E381" i="115"/>
  <c r="D381" i="115"/>
  <c r="C381" i="115"/>
  <c r="F380" i="115"/>
  <c r="E380" i="115"/>
  <c r="D380" i="115"/>
  <c r="C380" i="115"/>
  <c r="F379" i="115"/>
  <c r="E379" i="115"/>
  <c r="D379" i="115"/>
  <c r="C379" i="115"/>
  <c r="F378" i="115"/>
  <c r="E378" i="115"/>
  <c r="D378" i="115"/>
  <c r="C378" i="115"/>
  <c r="F377" i="115"/>
  <c r="E377" i="115"/>
  <c r="D377" i="115"/>
  <c r="C377" i="115"/>
  <c r="F376" i="115"/>
  <c r="E376" i="115"/>
  <c r="D376" i="115"/>
  <c r="C376" i="115"/>
  <c r="F373" i="115"/>
  <c r="E373" i="115"/>
  <c r="D373" i="115"/>
  <c r="C373" i="115"/>
  <c r="F370" i="115"/>
  <c r="E370" i="115"/>
  <c r="D370" i="115"/>
  <c r="C370" i="115"/>
  <c r="F369" i="115"/>
  <c r="E369" i="115"/>
  <c r="D369" i="115"/>
  <c r="C369" i="115"/>
  <c r="F368" i="115"/>
  <c r="E368" i="115"/>
  <c r="D368" i="115"/>
  <c r="C368" i="115"/>
  <c r="F365" i="115"/>
  <c r="E365" i="115"/>
  <c r="D365" i="115"/>
  <c r="C365" i="115"/>
  <c r="F364" i="115"/>
  <c r="E364" i="115"/>
  <c r="D364" i="115"/>
  <c r="C364" i="115"/>
  <c r="F363" i="115"/>
  <c r="E363" i="115"/>
  <c r="D363" i="115"/>
  <c r="C363" i="115"/>
  <c r="F362" i="115"/>
  <c r="E362" i="115"/>
  <c r="D362" i="115"/>
  <c r="C362" i="115"/>
  <c r="F361" i="115"/>
  <c r="E361" i="115"/>
  <c r="D361" i="115"/>
  <c r="C361" i="115"/>
  <c r="F360" i="115"/>
  <c r="E360" i="115"/>
  <c r="D360" i="115"/>
  <c r="C360" i="115"/>
  <c r="F359" i="115"/>
  <c r="E359" i="115"/>
  <c r="D359" i="115"/>
  <c r="C359" i="115"/>
  <c r="F358" i="115"/>
  <c r="E358" i="115"/>
  <c r="D358" i="115"/>
  <c r="C358" i="115"/>
  <c r="F357" i="115"/>
  <c r="E357" i="115"/>
  <c r="D357" i="115"/>
  <c r="C357" i="115"/>
  <c r="F356" i="115"/>
  <c r="E356" i="115"/>
  <c r="D356" i="115"/>
  <c r="C356" i="115"/>
  <c r="F355" i="115"/>
  <c r="E355" i="115"/>
  <c r="D355" i="115"/>
  <c r="C355" i="115"/>
  <c r="F354" i="115"/>
  <c r="E354" i="115"/>
  <c r="D354" i="115"/>
  <c r="C354" i="115"/>
  <c r="F353" i="115"/>
  <c r="E353" i="115"/>
  <c r="D353" i="115"/>
  <c r="C353" i="115"/>
  <c r="F352" i="115"/>
  <c r="E352" i="115"/>
  <c r="D352" i="115"/>
  <c r="C352" i="115"/>
  <c r="F351" i="115"/>
  <c r="E351" i="115"/>
  <c r="D351" i="115"/>
  <c r="C351" i="115"/>
  <c r="F350" i="115"/>
  <c r="E350" i="115"/>
  <c r="D350" i="115"/>
  <c r="C350" i="115"/>
  <c r="F349" i="115"/>
  <c r="E349" i="115"/>
  <c r="D349" i="115"/>
  <c r="C349" i="115"/>
  <c r="F348" i="115"/>
  <c r="E348" i="115"/>
  <c r="D348" i="115"/>
  <c r="C348" i="115"/>
  <c r="F347" i="115"/>
  <c r="E347" i="115"/>
  <c r="D347" i="115"/>
  <c r="C347" i="115"/>
  <c r="F346" i="115"/>
  <c r="E346" i="115"/>
  <c r="D346" i="115"/>
  <c r="C346" i="115"/>
  <c r="F345" i="115"/>
  <c r="E345" i="115"/>
  <c r="D345" i="115"/>
  <c r="C345" i="115"/>
  <c r="F342" i="115"/>
  <c r="E342" i="115"/>
  <c r="D342" i="115"/>
  <c r="C342" i="115"/>
  <c r="F341" i="115"/>
  <c r="E341" i="115"/>
  <c r="D341" i="115"/>
  <c r="C341" i="115"/>
  <c r="F340" i="115"/>
  <c r="E340" i="115"/>
  <c r="D340" i="115"/>
  <c r="C340" i="115"/>
  <c r="F339" i="115"/>
  <c r="E339" i="115"/>
  <c r="D339" i="115"/>
  <c r="C339" i="115"/>
  <c r="F336" i="115"/>
  <c r="E336" i="115"/>
  <c r="D336" i="115"/>
  <c r="C336" i="115"/>
  <c r="F335" i="115"/>
  <c r="E335" i="115"/>
  <c r="D335" i="115"/>
  <c r="C335" i="115"/>
  <c r="F332" i="115"/>
  <c r="E332" i="115"/>
  <c r="D332" i="115"/>
  <c r="C332" i="115"/>
  <c r="F329" i="115"/>
  <c r="E329" i="115"/>
  <c r="D329" i="115"/>
  <c r="C329" i="115"/>
  <c r="F328" i="115"/>
  <c r="E328" i="115"/>
  <c r="D328" i="115"/>
  <c r="C328" i="115"/>
  <c r="F327" i="115"/>
  <c r="E327" i="115"/>
  <c r="D327" i="115"/>
  <c r="C327" i="115"/>
  <c r="F324" i="115"/>
  <c r="E324" i="115"/>
  <c r="D324" i="115"/>
  <c r="C324" i="115"/>
  <c r="F323" i="115"/>
  <c r="E323" i="115"/>
  <c r="D323" i="115"/>
  <c r="C323" i="115"/>
  <c r="F322" i="115"/>
  <c r="E322" i="115"/>
  <c r="D322" i="115"/>
  <c r="C322" i="115"/>
  <c r="F319" i="115"/>
  <c r="E319" i="115"/>
  <c r="D319" i="115"/>
  <c r="C319" i="115"/>
  <c r="F318" i="115"/>
  <c r="E318" i="115"/>
  <c r="D318" i="115"/>
  <c r="C318" i="115"/>
  <c r="F317" i="115"/>
  <c r="E317" i="115"/>
  <c r="D317" i="115"/>
  <c r="C317" i="115"/>
  <c r="F314" i="115"/>
  <c r="E314" i="115"/>
  <c r="D314" i="115"/>
  <c r="C314" i="115"/>
  <c r="F313" i="115"/>
  <c r="E313" i="115"/>
  <c r="D313" i="115"/>
  <c r="C313" i="115"/>
  <c r="F312" i="115"/>
  <c r="E312" i="115"/>
  <c r="D312" i="115"/>
  <c r="C312" i="115"/>
  <c r="F311" i="115"/>
  <c r="E311" i="115"/>
  <c r="D311" i="115"/>
  <c r="C311" i="115"/>
  <c r="F310" i="115"/>
  <c r="E310" i="115"/>
  <c r="D310" i="115"/>
  <c r="C310" i="115"/>
  <c r="F309" i="115"/>
  <c r="E309" i="115"/>
  <c r="D309" i="115"/>
  <c r="C309" i="115"/>
  <c r="F308" i="115"/>
  <c r="E308" i="115"/>
  <c r="D308" i="115"/>
  <c r="C308" i="115"/>
  <c r="F307" i="115"/>
  <c r="E307" i="115"/>
  <c r="D307" i="115"/>
  <c r="C307" i="115"/>
  <c r="F306" i="115"/>
  <c r="E306" i="115"/>
  <c r="D306" i="115"/>
  <c r="C306" i="115"/>
  <c r="F303" i="115"/>
  <c r="E303" i="115"/>
  <c r="D303" i="115"/>
  <c r="C303" i="115"/>
  <c r="F302" i="115"/>
  <c r="E302" i="115"/>
  <c r="D302" i="115"/>
  <c r="C302" i="115"/>
  <c r="F299" i="115"/>
  <c r="E299" i="115"/>
  <c r="D299" i="115"/>
  <c r="C299" i="115"/>
  <c r="F296" i="115"/>
  <c r="E296" i="115"/>
  <c r="D296" i="115"/>
  <c r="C296" i="115"/>
  <c r="F295" i="115"/>
  <c r="E295" i="115"/>
  <c r="D295" i="115"/>
  <c r="C295" i="115"/>
  <c r="F292" i="115"/>
  <c r="E292" i="115"/>
  <c r="D292" i="115"/>
  <c r="C292" i="115"/>
  <c r="F291" i="115"/>
  <c r="E291" i="115"/>
  <c r="D291" i="115"/>
  <c r="C291" i="115"/>
  <c r="F290" i="115"/>
  <c r="E290" i="115"/>
  <c r="D290" i="115"/>
  <c r="C290" i="115"/>
  <c r="F287" i="115"/>
  <c r="E287" i="115"/>
  <c r="D287" i="115"/>
  <c r="C287" i="115"/>
  <c r="F286" i="115"/>
  <c r="E286" i="115"/>
  <c r="D286" i="115"/>
  <c r="C286" i="115"/>
  <c r="F285" i="115"/>
  <c r="E285" i="115"/>
  <c r="D285" i="115"/>
  <c r="C285" i="115"/>
  <c r="F284" i="115"/>
  <c r="E284" i="115"/>
  <c r="D284" i="115"/>
  <c r="C284" i="115"/>
  <c r="F283" i="115"/>
  <c r="E283" i="115"/>
  <c r="D283" i="115"/>
  <c r="C283" i="115"/>
  <c r="F282" i="115"/>
  <c r="E282" i="115"/>
  <c r="D282" i="115"/>
  <c r="C282" i="115"/>
  <c r="F281" i="115"/>
  <c r="E281" i="115"/>
  <c r="D281" i="115"/>
  <c r="C281" i="115"/>
  <c r="F280" i="115"/>
  <c r="E280" i="115"/>
  <c r="D280" i="115"/>
  <c r="C280" i="115"/>
  <c r="F279" i="115"/>
  <c r="E279" i="115"/>
  <c r="D279" i="115"/>
  <c r="C279" i="115"/>
  <c r="F278" i="115"/>
  <c r="E278" i="115"/>
  <c r="D278" i="115"/>
  <c r="C278" i="115"/>
  <c r="F277" i="115"/>
  <c r="E277" i="115"/>
  <c r="D277" i="115"/>
  <c r="C277" i="115"/>
  <c r="F276" i="115"/>
  <c r="E276" i="115"/>
  <c r="D276" i="115"/>
  <c r="C276" i="115"/>
  <c r="F275" i="115"/>
  <c r="E275" i="115"/>
  <c r="D275" i="115"/>
  <c r="C275" i="115"/>
  <c r="F274" i="115"/>
  <c r="E274" i="115"/>
  <c r="D274" i="115"/>
  <c r="C274" i="115"/>
  <c r="F273" i="115"/>
  <c r="E273" i="115"/>
  <c r="D273" i="115"/>
  <c r="C273" i="115"/>
  <c r="F272" i="115"/>
  <c r="E272" i="115"/>
  <c r="D272" i="115"/>
  <c r="C272" i="115"/>
  <c r="F271" i="115"/>
  <c r="E271" i="115"/>
  <c r="D271" i="115"/>
  <c r="C271" i="115"/>
  <c r="F270" i="115"/>
  <c r="E270" i="115"/>
  <c r="D270" i="115"/>
  <c r="C270" i="115"/>
  <c r="F269" i="115"/>
  <c r="E269" i="115"/>
  <c r="D269" i="115"/>
  <c r="C269" i="115"/>
  <c r="F268" i="115"/>
  <c r="E268" i="115"/>
  <c r="D268" i="115"/>
  <c r="C268" i="115"/>
  <c r="F267" i="115"/>
  <c r="E267" i="115"/>
  <c r="D267" i="115"/>
  <c r="C267" i="115"/>
  <c r="F266" i="115"/>
  <c r="E266" i="115"/>
  <c r="D266" i="115"/>
  <c r="C266" i="115"/>
  <c r="F265" i="115"/>
  <c r="E265" i="115"/>
  <c r="D265" i="115"/>
  <c r="C265" i="115"/>
  <c r="F264" i="115"/>
  <c r="E264" i="115"/>
  <c r="D264" i="115"/>
  <c r="C264" i="115"/>
  <c r="F263" i="115"/>
  <c r="E263" i="115"/>
  <c r="D263" i="115"/>
  <c r="C263" i="115"/>
  <c r="F262" i="115"/>
  <c r="E262" i="115"/>
  <c r="D262" i="115"/>
  <c r="C262" i="115"/>
  <c r="F261" i="115"/>
  <c r="E261" i="115"/>
  <c r="D261" i="115"/>
  <c r="C261" i="115"/>
  <c r="F258" i="115"/>
  <c r="E258" i="115"/>
  <c r="D258" i="115"/>
  <c r="C258" i="115"/>
  <c r="F255" i="115"/>
  <c r="E255" i="115"/>
  <c r="D255" i="115"/>
  <c r="C255" i="115"/>
  <c r="F254" i="115"/>
  <c r="E254" i="115"/>
  <c r="D254" i="115"/>
  <c r="C254" i="115"/>
  <c r="F253" i="115"/>
  <c r="E253" i="115"/>
  <c r="D253" i="115"/>
  <c r="C253" i="115"/>
  <c r="F252" i="115"/>
  <c r="E252" i="115"/>
  <c r="D252" i="115"/>
  <c r="C252" i="115"/>
  <c r="F251" i="115"/>
  <c r="E251" i="115"/>
  <c r="D251" i="115"/>
  <c r="C251" i="115"/>
  <c r="F250" i="115"/>
  <c r="E250" i="115"/>
  <c r="D250" i="115"/>
  <c r="C250" i="115"/>
  <c r="F249" i="115"/>
  <c r="E249" i="115"/>
  <c r="D249" i="115"/>
  <c r="C249" i="115"/>
  <c r="F248" i="115"/>
  <c r="E248" i="115"/>
  <c r="D248" i="115"/>
  <c r="C248" i="115"/>
  <c r="F247" i="115"/>
  <c r="E247" i="115"/>
  <c r="D247" i="115"/>
  <c r="C247" i="115"/>
  <c r="F246" i="115"/>
  <c r="E246" i="115"/>
  <c r="D246" i="115"/>
  <c r="C246" i="115"/>
  <c r="F245" i="115"/>
  <c r="E245" i="115"/>
  <c r="D245" i="115"/>
  <c r="C245" i="115"/>
  <c r="F244" i="115"/>
  <c r="E244" i="115"/>
  <c r="D244" i="115"/>
  <c r="C244" i="115"/>
  <c r="F243" i="115"/>
  <c r="E243" i="115"/>
  <c r="D243" i="115"/>
  <c r="C243" i="115"/>
  <c r="F242" i="115"/>
  <c r="E242" i="115"/>
  <c r="D242" i="115"/>
  <c r="C242" i="115"/>
  <c r="F241" i="115"/>
  <c r="E241" i="115"/>
  <c r="D241" i="115"/>
  <c r="C241" i="115"/>
  <c r="F240" i="115"/>
  <c r="E240" i="115"/>
  <c r="D240" i="115"/>
  <c r="C240" i="115"/>
  <c r="F239" i="115"/>
  <c r="E239" i="115"/>
  <c r="D239" i="115"/>
  <c r="C239" i="115"/>
  <c r="F238" i="115"/>
  <c r="E238" i="115"/>
  <c r="D238" i="115"/>
  <c r="C238" i="115"/>
  <c r="F237" i="115"/>
  <c r="E237" i="115"/>
  <c r="D237" i="115"/>
  <c r="C237" i="115"/>
  <c r="F236" i="115"/>
  <c r="E236" i="115"/>
  <c r="D236" i="115"/>
  <c r="C236" i="115"/>
  <c r="F235" i="115"/>
  <c r="E235" i="115"/>
  <c r="D235" i="115"/>
  <c r="C235" i="115"/>
  <c r="F234" i="115"/>
  <c r="E234" i="115"/>
  <c r="D234" i="115"/>
  <c r="C234" i="115"/>
  <c r="F233" i="115"/>
  <c r="E233" i="115"/>
  <c r="D233" i="115"/>
  <c r="C233" i="115"/>
  <c r="F232" i="115"/>
  <c r="E232" i="115"/>
  <c r="D232" i="115"/>
  <c r="C232" i="115"/>
  <c r="F231" i="115"/>
  <c r="E231" i="115"/>
  <c r="D231" i="115"/>
  <c r="C231" i="115"/>
  <c r="F230" i="115"/>
  <c r="E230" i="115"/>
  <c r="D230" i="115"/>
  <c r="C230" i="115"/>
  <c r="F229" i="115"/>
  <c r="E229" i="115"/>
  <c r="D229" i="115"/>
  <c r="C229" i="115"/>
  <c r="F228" i="115"/>
  <c r="E228" i="115"/>
  <c r="D228" i="115"/>
  <c r="C228" i="115"/>
  <c r="F227" i="115"/>
  <c r="E227" i="115"/>
  <c r="D227" i="115"/>
  <c r="C227" i="115"/>
  <c r="F226" i="115"/>
  <c r="E226" i="115"/>
  <c r="D226" i="115"/>
  <c r="C226" i="115"/>
  <c r="F225" i="115"/>
  <c r="E225" i="115"/>
  <c r="D225" i="115"/>
  <c r="C225" i="115"/>
  <c r="F224" i="115"/>
  <c r="E224" i="115"/>
  <c r="D224" i="115"/>
  <c r="C224" i="115"/>
  <c r="F223" i="115"/>
  <c r="E223" i="115"/>
  <c r="D223" i="115"/>
  <c r="C223" i="115"/>
  <c r="F222" i="115"/>
  <c r="E222" i="115"/>
  <c r="D222" i="115"/>
  <c r="C222" i="115"/>
  <c r="F221" i="115"/>
  <c r="E221" i="115"/>
  <c r="D221" i="115"/>
  <c r="C221" i="115"/>
  <c r="F220" i="115"/>
  <c r="E220" i="115"/>
  <c r="D220" i="115"/>
  <c r="C220" i="115"/>
  <c r="F219" i="115"/>
  <c r="E219" i="115"/>
  <c r="D219" i="115"/>
  <c r="C219" i="115"/>
  <c r="F218" i="115"/>
  <c r="E218" i="115"/>
  <c r="D218" i="115"/>
  <c r="C218" i="115"/>
  <c r="F217" i="115"/>
  <c r="E217" i="115"/>
  <c r="D217" i="115"/>
  <c r="C217" i="115"/>
  <c r="F216" i="115"/>
  <c r="E216" i="115"/>
  <c r="D216" i="115"/>
  <c r="C216" i="115"/>
  <c r="F215" i="115"/>
  <c r="E215" i="115"/>
  <c r="D215" i="115"/>
  <c r="C215" i="115"/>
  <c r="F214" i="115"/>
  <c r="E214" i="115"/>
  <c r="D214" i="115"/>
  <c r="C214" i="115"/>
  <c r="F211" i="115"/>
  <c r="E211" i="115"/>
  <c r="D211" i="115"/>
  <c r="C211" i="115"/>
  <c r="F210" i="115"/>
  <c r="E210" i="115"/>
  <c r="D210" i="115"/>
  <c r="C210" i="115"/>
  <c r="F207" i="115"/>
  <c r="E207" i="115"/>
  <c r="D207" i="115"/>
  <c r="C207" i="115"/>
  <c r="F204" i="115"/>
  <c r="E204" i="115"/>
  <c r="D204" i="115"/>
  <c r="C204" i="115"/>
  <c r="F203" i="115"/>
  <c r="E203" i="115"/>
  <c r="D203" i="115"/>
  <c r="C203" i="115"/>
  <c r="F202" i="115"/>
  <c r="E202" i="115"/>
  <c r="D202" i="115"/>
  <c r="C202" i="115"/>
  <c r="F201" i="115"/>
  <c r="E201" i="115"/>
  <c r="D201" i="115"/>
  <c r="C201" i="115"/>
  <c r="F200" i="115"/>
  <c r="E200" i="115"/>
  <c r="D200" i="115"/>
  <c r="C200" i="115"/>
  <c r="F199" i="115"/>
  <c r="E199" i="115"/>
  <c r="D199" i="115"/>
  <c r="C199" i="115"/>
  <c r="F198" i="115"/>
  <c r="E198" i="115"/>
  <c r="D198" i="115"/>
  <c r="C198" i="115"/>
  <c r="F197" i="115"/>
  <c r="E197" i="115"/>
  <c r="D197" i="115"/>
  <c r="C197" i="115"/>
  <c r="F196" i="115"/>
  <c r="E196" i="115"/>
  <c r="D196" i="115"/>
  <c r="C196" i="115"/>
  <c r="F195" i="115"/>
  <c r="E195" i="115"/>
  <c r="D195" i="115"/>
  <c r="C195" i="115"/>
  <c r="F194" i="115"/>
  <c r="E194" i="115"/>
  <c r="D194" i="115"/>
  <c r="C194" i="115"/>
  <c r="F193" i="115"/>
  <c r="E193" i="115"/>
  <c r="D193" i="115"/>
  <c r="C193" i="115"/>
  <c r="F192" i="115"/>
  <c r="E192" i="115"/>
  <c r="D192" i="115"/>
  <c r="C192" i="115"/>
  <c r="F189" i="115"/>
  <c r="E189" i="115"/>
  <c r="D189" i="115"/>
  <c r="C189" i="115"/>
  <c r="F188" i="115"/>
  <c r="E188" i="115"/>
  <c r="D188" i="115"/>
  <c r="C188" i="115"/>
  <c r="F187" i="115"/>
  <c r="E187" i="115"/>
  <c r="D187" i="115"/>
  <c r="C187" i="115"/>
  <c r="F184" i="115"/>
  <c r="E184" i="115"/>
  <c r="D184" i="115"/>
  <c r="C184" i="115"/>
  <c r="F181" i="115"/>
  <c r="E181" i="115"/>
  <c r="D181" i="115"/>
  <c r="C181" i="115"/>
  <c r="F178" i="115"/>
  <c r="E178" i="115"/>
  <c r="D178" i="115"/>
  <c r="C178" i="115"/>
  <c r="F177" i="115"/>
  <c r="E177" i="115"/>
  <c r="D177" i="115"/>
  <c r="C177" i="115"/>
  <c r="F176" i="115"/>
  <c r="E176" i="115"/>
  <c r="D176" i="115"/>
  <c r="C176" i="115"/>
  <c r="F175" i="115"/>
  <c r="E175" i="115"/>
  <c r="D175" i="115"/>
  <c r="C175" i="115"/>
  <c r="F172" i="115"/>
  <c r="E172" i="115"/>
  <c r="D172" i="115"/>
  <c r="C172" i="115"/>
  <c r="F171" i="115"/>
  <c r="E171" i="115"/>
  <c r="D171" i="115"/>
  <c r="C171" i="115"/>
  <c r="F168" i="115"/>
  <c r="E168" i="115"/>
  <c r="D168" i="115"/>
  <c r="C168" i="115"/>
  <c r="F167" i="115"/>
  <c r="E167" i="115"/>
  <c r="D167" i="115"/>
  <c r="C167" i="115"/>
  <c r="F166" i="115"/>
  <c r="E166" i="115"/>
  <c r="D166" i="115"/>
  <c r="C166" i="115"/>
  <c r="F163" i="115"/>
  <c r="E163" i="115"/>
  <c r="D163" i="115"/>
  <c r="C163" i="115"/>
  <c r="F162" i="115"/>
  <c r="E162" i="115"/>
  <c r="D162" i="115"/>
  <c r="C162" i="115"/>
  <c r="F161" i="115"/>
  <c r="E161" i="115"/>
  <c r="D161" i="115"/>
  <c r="C161" i="115"/>
  <c r="F160" i="115"/>
  <c r="E160" i="115"/>
  <c r="D160" i="115"/>
  <c r="C160" i="115"/>
  <c r="F159" i="115"/>
  <c r="E159" i="115"/>
  <c r="D159" i="115"/>
  <c r="C159" i="115"/>
  <c r="F158" i="115"/>
  <c r="E158" i="115"/>
  <c r="D158" i="115"/>
  <c r="C158" i="115"/>
  <c r="F157" i="115"/>
  <c r="E157" i="115"/>
  <c r="D157" i="115"/>
  <c r="C157" i="115"/>
  <c r="F156" i="115"/>
  <c r="E156" i="115"/>
  <c r="D156" i="115"/>
  <c r="C156" i="115"/>
  <c r="F155" i="115"/>
  <c r="E155" i="115"/>
  <c r="D155" i="115"/>
  <c r="C155" i="115"/>
  <c r="F154" i="115"/>
  <c r="E154" i="115"/>
  <c r="D154" i="115"/>
  <c r="C154" i="115"/>
  <c r="F153" i="115"/>
  <c r="E153" i="115"/>
  <c r="D153" i="115"/>
  <c r="C153" i="115"/>
  <c r="F152" i="115"/>
  <c r="E152" i="115"/>
  <c r="D152" i="115"/>
  <c r="C152" i="115"/>
  <c r="F151" i="115"/>
  <c r="E151" i="115"/>
  <c r="D151" i="115"/>
  <c r="C151" i="115"/>
  <c r="F150" i="115"/>
  <c r="E150" i="115"/>
  <c r="D150" i="115"/>
  <c r="C150" i="115"/>
  <c r="F149" i="115"/>
  <c r="E149" i="115"/>
  <c r="D149" i="115"/>
  <c r="C149" i="115"/>
  <c r="F148" i="115"/>
  <c r="E148" i="115"/>
  <c r="D148" i="115"/>
  <c r="C148" i="115"/>
  <c r="F147" i="115"/>
  <c r="E147" i="115"/>
  <c r="D147" i="115"/>
  <c r="C147" i="115"/>
  <c r="F144" i="115"/>
  <c r="E144" i="115"/>
  <c r="D144" i="115"/>
  <c r="C144" i="115"/>
  <c r="F143" i="115"/>
  <c r="E143" i="115"/>
  <c r="D143" i="115"/>
  <c r="C143" i="115"/>
  <c r="F142" i="115"/>
  <c r="E142" i="115"/>
  <c r="D142" i="115"/>
  <c r="C142" i="115"/>
  <c r="F141" i="115"/>
  <c r="E141" i="115"/>
  <c r="D141" i="115"/>
  <c r="C141" i="115"/>
  <c r="F140" i="115"/>
  <c r="E140" i="115"/>
  <c r="D140" i="115"/>
  <c r="C140" i="115"/>
  <c r="F139" i="115"/>
  <c r="E139" i="115"/>
  <c r="D139" i="115"/>
  <c r="C139" i="115"/>
  <c r="F138" i="115"/>
  <c r="E138" i="115"/>
  <c r="D138" i="115"/>
  <c r="C138" i="115"/>
  <c r="F137" i="115"/>
  <c r="E137" i="115"/>
  <c r="D137" i="115"/>
  <c r="C137" i="115"/>
  <c r="F136" i="115"/>
  <c r="E136" i="115"/>
  <c r="D136" i="115"/>
  <c r="C136" i="115"/>
  <c r="F135" i="115"/>
  <c r="E135" i="115"/>
  <c r="D135" i="115"/>
  <c r="C135" i="115"/>
  <c r="F134" i="115"/>
  <c r="E134" i="115"/>
  <c r="D134" i="115"/>
  <c r="C134" i="115"/>
  <c r="F133" i="115"/>
  <c r="E133" i="115"/>
  <c r="D133" i="115"/>
  <c r="C133" i="115"/>
  <c r="F132" i="115"/>
  <c r="E132" i="115"/>
  <c r="D132" i="115"/>
  <c r="C132" i="115"/>
  <c r="F131" i="115"/>
  <c r="E131" i="115"/>
  <c r="D131" i="115"/>
  <c r="C131" i="115"/>
  <c r="F130" i="115"/>
  <c r="E130" i="115"/>
  <c r="D130" i="115"/>
  <c r="C130" i="115"/>
  <c r="F129" i="115"/>
  <c r="E129" i="115"/>
  <c r="D129" i="115"/>
  <c r="C129" i="115"/>
  <c r="F128" i="115"/>
  <c r="E128" i="115"/>
  <c r="D128" i="115"/>
  <c r="C128" i="115"/>
  <c r="F127" i="115"/>
  <c r="E127" i="115"/>
  <c r="D127" i="115"/>
  <c r="C127" i="115"/>
  <c r="F126" i="115"/>
  <c r="E126" i="115"/>
  <c r="D126" i="115"/>
  <c r="C126" i="115"/>
  <c r="F125" i="115"/>
  <c r="E125" i="115"/>
  <c r="D125" i="115"/>
  <c r="C125" i="115"/>
  <c r="F124" i="115"/>
  <c r="E124" i="115"/>
  <c r="D124" i="115"/>
  <c r="C124" i="115"/>
  <c r="F123" i="115"/>
  <c r="E123" i="115"/>
  <c r="D123" i="115"/>
  <c r="C123" i="115"/>
  <c r="F122" i="115"/>
  <c r="E122" i="115"/>
  <c r="D122" i="115"/>
  <c r="C122" i="115"/>
  <c r="F121" i="115"/>
  <c r="E121" i="115"/>
  <c r="D121" i="115"/>
  <c r="C121" i="115"/>
  <c r="F120" i="115"/>
  <c r="E120" i="115"/>
  <c r="D120" i="115"/>
  <c r="C120" i="115"/>
  <c r="F119" i="115"/>
  <c r="E119" i="115"/>
  <c r="D119" i="115"/>
  <c r="C119" i="115"/>
  <c r="F118" i="115"/>
  <c r="E118" i="115"/>
  <c r="D118" i="115"/>
  <c r="C118" i="115"/>
  <c r="F117" i="115"/>
  <c r="E117" i="115"/>
  <c r="D117" i="115"/>
  <c r="C117" i="115"/>
  <c r="F116" i="115"/>
  <c r="E116" i="115"/>
  <c r="D116" i="115"/>
  <c r="C116" i="115"/>
  <c r="F115" i="115"/>
  <c r="E115" i="115"/>
  <c r="D115" i="115"/>
  <c r="C115" i="115"/>
  <c r="F114" i="115"/>
  <c r="E114" i="115"/>
  <c r="D114" i="115"/>
  <c r="C114" i="115"/>
  <c r="F113" i="115"/>
  <c r="E113" i="115"/>
  <c r="D113" i="115"/>
  <c r="C113" i="115"/>
  <c r="F112" i="115"/>
  <c r="E112" i="115"/>
  <c r="D112" i="115"/>
  <c r="C112" i="115"/>
  <c r="F111" i="115"/>
  <c r="E111" i="115"/>
  <c r="D111" i="115"/>
  <c r="C111" i="115"/>
  <c r="F110" i="115"/>
  <c r="E110" i="115"/>
  <c r="D110" i="115"/>
  <c r="C110" i="115"/>
  <c r="F109" i="115"/>
  <c r="E109" i="115"/>
  <c r="D109" i="115"/>
  <c r="C109" i="115"/>
  <c r="F106" i="115"/>
  <c r="E106" i="115"/>
  <c r="D106" i="115"/>
  <c r="C106" i="115"/>
  <c r="F105" i="115"/>
  <c r="E105" i="115"/>
  <c r="D105" i="115"/>
  <c r="C105" i="115"/>
  <c r="F104" i="115"/>
  <c r="E104" i="115"/>
  <c r="D104" i="115"/>
  <c r="C104" i="115"/>
  <c r="F103" i="115"/>
  <c r="E103" i="115"/>
  <c r="D103" i="115"/>
  <c r="C103" i="115"/>
  <c r="F102" i="115"/>
  <c r="E102" i="115"/>
  <c r="D102" i="115"/>
  <c r="C102" i="115"/>
  <c r="F101" i="115"/>
  <c r="E101" i="115"/>
  <c r="D101" i="115"/>
  <c r="C101" i="115"/>
  <c r="F100" i="115"/>
  <c r="E100" i="115"/>
  <c r="D100" i="115"/>
  <c r="C100" i="115"/>
  <c r="F99" i="115"/>
  <c r="E99" i="115"/>
  <c r="D99" i="115"/>
  <c r="C99" i="115"/>
  <c r="F98" i="115"/>
  <c r="E98" i="115"/>
  <c r="D98" i="115"/>
  <c r="C98" i="115"/>
  <c r="F97" i="115"/>
  <c r="E97" i="115"/>
  <c r="D97" i="115"/>
  <c r="C97" i="115"/>
  <c r="F96" i="115"/>
  <c r="E96" i="115"/>
  <c r="D96" i="115"/>
  <c r="C96" i="115"/>
  <c r="F95" i="115"/>
  <c r="E95" i="115"/>
  <c r="D95" i="115"/>
  <c r="C95" i="115"/>
  <c r="F94" i="115"/>
  <c r="E94" i="115"/>
  <c r="D94" i="115"/>
  <c r="C94" i="115"/>
  <c r="F93" i="115"/>
  <c r="E93" i="115"/>
  <c r="D93" i="115"/>
  <c r="C93" i="115"/>
  <c r="F92" i="115"/>
  <c r="E92" i="115"/>
  <c r="D92" i="115"/>
  <c r="C92" i="115"/>
  <c r="F91" i="115"/>
  <c r="E91" i="115"/>
  <c r="D91" i="115"/>
  <c r="C91" i="115"/>
  <c r="F90" i="115"/>
  <c r="E90" i="115"/>
  <c r="D90" i="115"/>
  <c r="C90" i="115"/>
  <c r="F89" i="115"/>
  <c r="E89" i="115"/>
  <c r="D89" i="115"/>
  <c r="C89" i="115"/>
  <c r="F88" i="115"/>
  <c r="E88" i="115"/>
  <c r="D88" i="115"/>
  <c r="C88" i="115"/>
  <c r="F87" i="115"/>
  <c r="E87" i="115"/>
  <c r="D87" i="115"/>
  <c r="C87" i="115"/>
  <c r="F86" i="115"/>
  <c r="E86" i="115"/>
  <c r="D86" i="115"/>
  <c r="C86" i="115"/>
  <c r="F85" i="115"/>
  <c r="E85" i="115"/>
  <c r="D85" i="115"/>
  <c r="C85" i="115"/>
  <c r="F84" i="115"/>
  <c r="E84" i="115"/>
  <c r="D84" i="115"/>
  <c r="C84" i="115"/>
  <c r="F83" i="115"/>
  <c r="E83" i="115"/>
  <c r="D83" i="115"/>
  <c r="C83" i="115"/>
  <c r="F82" i="115"/>
  <c r="E82" i="115"/>
  <c r="D82" i="115"/>
  <c r="C82" i="115"/>
  <c r="F79" i="115"/>
  <c r="E79" i="115"/>
  <c r="D79" i="115"/>
  <c r="C79" i="115"/>
  <c r="F78" i="115"/>
  <c r="E78" i="115"/>
  <c r="D78" i="115"/>
  <c r="C78" i="115"/>
  <c r="F77" i="115"/>
  <c r="E77" i="115"/>
  <c r="D77" i="115"/>
  <c r="C77" i="115"/>
  <c r="F76" i="115"/>
  <c r="E76" i="115"/>
  <c r="D76" i="115"/>
  <c r="C76" i="115"/>
  <c r="F75" i="115"/>
  <c r="E75" i="115"/>
  <c r="D75" i="115"/>
  <c r="C75" i="115"/>
  <c r="F74" i="115"/>
  <c r="E74" i="115"/>
  <c r="D74" i="115"/>
  <c r="C74" i="115"/>
  <c r="F73" i="115"/>
  <c r="E73" i="115"/>
  <c r="D73" i="115"/>
  <c r="C73" i="115"/>
  <c r="F72" i="115"/>
  <c r="E72" i="115"/>
  <c r="D72" i="115"/>
  <c r="C72" i="115"/>
  <c r="F71" i="115"/>
  <c r="E71" i="115"/>
  <c r="D71" i="115"/>
  <c r="C71" i="115"/>
  <c r="F70" i="115"/>
  <c r="E70" i="115"/>
  <c r="D70" i="115"/>
  <c r="C70" i="115"/>
  <c r="F69" i="115"/>
  <c r="E69" i="115"/>
  <c r="D69" i="115"/>
  <c r="C69" i="115"/>
  <c r="F68" i="115"/>
  <c r="E68" i="115"/>
  <c r="D68" i="115"/>
  <c r="C68" i="115"/>
  <c r="F67" i="115"/>
  <c r="E67" i="115"/>
  <c r="D67" i="115"/>
  <c r="C67" i="115"/>
  <c r="F66" i="115"/>
  <c r="E66" i="115"/>
  <c r="D66" i="115"/>
  <c r="C66" i="115"/>
  <c r="F65" i="115"/>
  <c r="E65" i="115"/>
  <c r="D65" i="115"/>
  <c r="C65" i="115"/>
  <c r="F64" i="115"/>
  <c r="E64" i="115"/>
  <c r="D64" i="115"/>
  <c r="C64" i="115"/>
  <c r="F61" i="115"/>
  <c r="E61" i="115"/>
  <c r="D61" i="115"/>
  <c r="C61" i="115"/>
  <c r="F60" i="115"/>
  <c r="E60" i="115"/>
  <c r="D60" i="115"/>
  <c r="C60" i="115"/>
  <c r="F57" i="115"/>
  <c r="E57" i="115"/>
  <c r="D57" i="115"/>
  <c r="C57" i="115"/>
  <c r="F56" i="115"/>
  <c r="E56" i="115"/>
  <c r="D56" i="115"/>
  <c r="C56" i="115"/>
  <c r="F53" i="115"/>
  <c r="E53" i="115"/>
  <c r="D53" i="115"/>
  <c r="C53" i="115"/>
  <c r="F52" i="115"/>
  <c r="E52" i="115"/>
  <c r="D52" i="115"/>
  <c r="C52" i="115"/>
  <c r="F51" i="115"/>
  <c r="E51" i="115"/>
  <c r="D51" i="115"/>
  <c r="C51" i="115"/>
  <c r="F50" i="115"/>
  <c r="E50" i="115"/>
  <c r="D50" i="115"/>
  <c r="C50" i="115"/>
  <c r="F49" i="115"/>
  <c r="E49" i="115"/>
  <c r="D49" i="115"/>
  <c r="C49" i="115"/>
  <c r="F46" i="115"/>
  <c r="E46" i="115"/>
  <c r="D46" i="115"/>
  <c r="C46" i="115"/>
  <c r="F45" i="115"/>
  <c r="E45" i="115"/>
  <c r="D45" i="115"/>
  <c r="C45" i="115"/>
  <c r="F44" i="115"/>
  <c r="E44" i="115"/>
  <c r="D44" i="115"/>
  <c r="C44" i="115"/>
  <c r="F43" i="115"/>
  <c r="E43" i="115"/>
  <c r="D43" i="115"/>
  <c r="C43" i="115"/>
  <c r="F42" i="115"/>
  <c r="E42" i="115"/>
  <c r="D42" i="115"/>
  <c r="C42" i="115"/>
  <c r="F41" i="115"/>
  <c r="E41" i="115"/>
  <c r="D41" i="115"/>
  <c r="C41" i="115"/>
  <c r="F38" i="115"/>
  <c r="E38" i="115"/>
  <c r="D38" i="115"/>
  <c r="C38" i="115"/>
  <c r="F35" i="115"/>
  <c r="E35" i="115"/>
  <c r="D35" i="115"/>
  <c r="C35" i="115"/>
  <c r="F34" i="115"/>
  <c r="E34" i="115"/>
  <c r="D34" i="115"/>
  <c r="C34" i="115"/>
  <c r="F33" i="115"/>
  <c r="E33" i="115"/>
  <c r="D33" i="115"/>
  <c r="C33" i="115"/>
  <c r="F32" i="115"/>
  <c r="E32" i="115"/>
  <c r="D32" i="115"/>
  <c r="C32" i="115"/>
  <c r="F31" i="115"/>
  <c r="E31" i="115"/>
  <c r="D31" i="115"/>
  <c r="C31" i="115"/>
  <c r="F30" i="115"/>
  <c r="E30" i="115"/>
  <c r="D30" i="115"/>
  <c r="C30" i="115"/>
  <c r="F29" i="115"/>
  <c r="E29" i="115"/>
  <c r="D29" i="115"/>
  <c r="C29" i="115"/>
  <c r="F28" i="115"/>
  <c r="E28" i="115"/>
  <c r="D28" i="115"/>
  <c r="C28" i="115"/>
  <c r="F27" i="115"/>
  <c r="E27" i="115"/>
  <c r="D27" i="115"/>
  <c r="C27" i="115"/>
  <c r="F26" i="115"/>
  <c r="E26" i="115"/>
  <c r="D26" i="115"/>
  <c r="C26" i="115"/>
  <c r="F25" i="115"/>
  <c r="E25" i="115"/>
  <c r="D25" i="115"/>
  <c r="C25" i="115"/>
  <c r="F24" i="115"/>
  <c r="E24" i="115"/>
  <c r="D24" i="115"/>
  <c r="C24" i="115"/>
  <c r="F23" i="115"/>
  <c r="E23" i="115"/>
  <c r="D23" i="115"/>
  <c r="C23" i="115"/>
  <c r="F22" i="115"/>
  <c r="E22" i="115"/>
  <c r="D22" i="115"/>
  <c r="C22" i="115"/>
  <c r="F21" i="115"/>
  <c r="E21" i="115"/>
  <c r="D21" i="115"/>
  <c r="C21" i="115"/>
  <c r="F20" i="115"/>
  <c r="E20" i="115"/>
  <c r="D20" i="115"/>
  <c r="C20" i="115"/>
  <c r="F19" i="115"/>
  <c r="E19" i="115"/>
  <c r="D19" i="115"/>
  <c r="C19" i="115"/>
  <c r="F18" i="115"/>
  <c r="E18" i="115"/>
  <c r="D18" i="115"/>
  <c r="C18" i="115"/>
  <c r="F17" i="115"/>
  <c r="E17" i="115"/>
  <c r="D17" i="115"/>
  <c r="C17" i="115"/>
  <c r="F16" i="115"/>
  <c r="E16" i="115"/>
  <c r="D16" i="115"/>
  <c r="C16" i="115"/>
  <c r="F15" i="115"/>
  <c r="E15" i="115"/>
  <c r="D15" i="115"/>
  <c r="C15" i="115"/>
  <c r="F14" i="115"/>
  <c r="E14" i="115"/>
  <c r="D14" i="115"/>
  <c r="C14" i="115"/>
  <c r="F13" i="115"/>
  <c r="E13" i="115"/>
  <c r="D13" i="115"/>
  <c r="C13" i="115"/>
  <c r="F12" i="115"/>
  <c r="E12" i="115"/>
  <c r="D12" i="115"/>
  <c r="C12" i="115"/>
  <c r="F11" i="115"/>
  <c r="E11" i="115"/>
  <c r="D11" i="115"/>
  <c r="C11" i="115"/>
  <c r="F10" i="115"/>
  <c r="E10" i="115"/>
  <c r="D10" i="115"/>
  <c r="C10" i="115"/>
  <c r="F9" i="115"/>
  <c r="E9" i="115"/>
  <c r="D9" i="115"/>
  <c r="C9" i="115"/>
  <c r="F8" i="115"/>
  <c r="E8" i="115"/>
  <c r="D8" i="115"/>
  <c r="C8" i="115"/>
  <c r="F7" i="115"/>
  <c r="E7" i="115"/>
  <c r="D7" i="115"/>
  <c r="C7" i="115"/>
  <c r="F6" i="115"/>
  <c r="E6" i="115"/>
  <c r="D6" i="115"/>
  <c r="C6" i="115"/>
  <c r="F5" i="115"/>
  <c r="E5" i="115"/>
  <c r="D5" i="115"/>
  <c r="C5" i="115"/>
</calcChain>
</file>

<file path=xl/sharedStrings.xml><?xml version="1.0" encoding="utf-8"?>
<sst xmlns="http://schemas.openxmlformats.org/spreadsheetml/2006/main" count="26304" uniqueCount="8592">
  <si>
    <t>You may download the WBCP checklist for personal or scientific</t>
  </si>
  <si>
    <t>reference use only. The Wild Bird Club of the Philippines retains the</t>
  </si>
  <si>
    <t>copyright for the list and it should not be used for commercial</t>
  </si>
  <si>
    <t>purposes without prior written permission from WBCP.</t>
  </si>
  <si>
    <t>If any of this material is used or included in any other publication</t>
  </si>
  <si>
    <t>Abbreviations:</t>
  </si>
  <si>
    <t>or private report, please acknowledge the WBCP using the following</t>
  </si>
  <si>
    <t>citation:</t>
  </si>
  <si>
    <t>Checklist of birds of the Philippines. Wild Bird Club of the Philippines. www.birdwatch.ph</t>
  </si>
  <si>
    <t xml:space="preserve"> </t>
  </si>
  <si>
    <t>Conservation status:</t>
  </si>
  <si>
    <t>Literature:</t>
  </si>
  <si>
    <t xml:space="preserve">Gill, F. &amp; D. Donsker (Eds). (2013). IOC World Bird List (version 3.5).  </t>
  </si>
  <si>
    <t>IUCN 2017. The IUCN Red List of Threatened Species. Version 2017-3. &lt;http://www.iucnredlist.org&gt;. Downloaded on 05 December 2017.</t>
  </si>
  <si>
    <t>Jensen, A.E., Songco, A.M. and Pagliawan, M.R. (2016). Field Report: Monitoring and inventory of the seabirds and their breeding areas in Tubbataha Reefs Natural Park &amp; Wolrd Heritage Site, Cagayancillo, Palawan, the Philippines. May 2016</t>
  </si>
  <si>
    <t>King, B. (2002). Species limits in the Brown Boobook Ninox scutula complex. Bulletin of the British Ornithologists' Club 122: 250-257.</t>
  </si>
  <si>
    <t>Laurie, M. A., Caro, R.B., Guiamla, R.B., and Solis, P.H.D. (2011). Birds of Ebpanan Marsh, Maguindanao. College of Forestry &amp; Environmental Studies. Mindanao State University, Datu Odin Sinsuat, Maguindanao.</t>
  </si>
  <si>
    <t>Pendaliday, A.M. (2006). Ligawasan Avifauna Data. Submitted to World Bank, Manila Office.</t>
  </si>
  <si>
    <t>Rasmussen, P. C., Allen, D. N. S., Collar, N., DeMeuleMeester, B., Hutchinson, R. O., Jakosalem, P. G. C., Kenny, R. S., Lambert, F. R., Paguntalan, L. M. (2012). "Vocal divergence and new species in the Philippine Hawk Owl Ninox philippensis complex". Forktail 28: 1–20.</t>
  </si>
  <si>
    <t>Tabaranza, B. (2004). Proposed Ligawasan Marsh Protected Area. Volume I – Annex (Avifauna Checklist). DENR, GEF, UNDP and WB. December 2004.</t>
  </si>
  <si>
    <t>Tello, J. G., Degner J. F., Bates, J. M., and Willard, D. E. (2006) A New Species of Hanging-Parrot (Aves: Psittacidae: Loriculus) from Camiguin Island, Philippines. Fieldiana: Zoology 106 (5 April 2006): 49-57.</t>
  </si>
  <si>
    <t>Image</t>
  </si>
  <si>
    <t>Sound</t>
  </si>
  <si>
    <t>EBird</t>
  </si>
  <si>
    <t>IUCN</t>
  </si>
  <si>
    <t>#</t>
  </si>
  <si>
    <t>Family Scientific</t>
  </si>
  <si>
    <t>English Name</t>
  </si>
  <si>
    <t>Scientific Name</t>
  </si>
  <si>
    <t>PH Status</t>
  </si>
  <si>
    <t>DENR</t>
  </si>
  <si>
    <t>Breeding Range IOC</t>
  </si>
  <si>
    <t>Note</t>
  </si>
  <si>
    <t>Megapodes</t>
  </si>
  <si>
    <t>Megapodiidae</t>
  </si>
  <si>
    <t>Philippine Megapode</t>
  </si>
  <si>
    <t>Megapodius cumingii</t>
  </si>
  <si>
    <t>R</t>
  </si>
  <si>
    <t>VU</t>
  </si>
  <si>
    <t>Phasianidae</t>
  </si>
  <si>
    <t>Chinese Francolin</t>
  </si>
  <si>
    <t>Francolinus pintadeanus</t>
  </si>
  <si>
    <t>I</t>
  </si>
  <si>
    <t>Introduced in the Manila area around 1918. Only recent records (1997-2013) are from Binan, Cabuyao, Nuvali and Sta. Rosa, Laguna</t>
  </si>
  <si>
    <t>Daurian Partridge</t>
  </si>
  <si>
    <t>Perdix dauurica</t>
  </si>
  <si>
    <t>Introduced in the Manila area in 1915. Only one recent record (1999) of  a single bird from Silang, Cavite by J. P. Carino</t>
  </si>
  <si>
    <t>Japanese Quail</t>
  </si>
  <si>
    <t>Coturnix japonica</t>
  </si>
  <si>
    <t>A</t>
  </si>
  <si>
    <t>NT</t>
  </si>
  <si>
    <t>King Quail</t>
  </si>
  <si>
    <t>OR, AU : widespread</t>
  </si>
  <si>
    <t>Red Junglefowl</t>
  </si>
  <si>
    <t>Gallus gallus</t>
  </si>
  <si>
    <t>Palawan Peacock-Pheasant</t>
  </si>
  <si>
    <t>Polyplectron napoleonis</t>
  </si>
  <si>
    <t>E</t>
  </si>
  <si>
    <t>EN</t>
  </si>
  <si>
    <t>OR : Philippines</t>
  </si>
  <si>
    <t>Anatidae</t>
  </si>
  <si>
    <t>Spotted Whistling Duck</t>
  </si>
  <si>
    <t>Dendrocygna guttata</t>
  </si>
  <si>
    <t>SU</t>
  </si>
  <si>
    <t>Wandering Whistling Duck</t>
  </si>
  <si>
    <t>Dendrocygna arcuata</t>
  </si>
  <si>
    <t>Brant Goose</t>
  </si>
  <si>
    <t>Branta bernicla</t>
  </si>
  <si>
    <t>Taiga Bean Goose</t>
  </si>
  <si>
    <t>Anser fabalis</t>
  </si>
  <si>
    <t>Tundra Bean Goose</t>
  </si>
  <si>
    <t>Anser serrirostris</t>
  </si>
  <si>
    <t>Greater White-fronted Goose</t>
  </si>
  <si>
    <t>Anser albifrons</t>
  </si>
  <si>
    <t>Tundra Swan</t>
  </si>
  <si>
    <t>Cygnus columbianus</t>
  </si>
  <si>
    <t>Common Shelduck</t>
  </si>
  <si>
    <t>Tadorna tadorna</t>
  </si>
  <si>
    <t>Ruddy Shelduck</t>
  </si>
  <si>
    <t>Tadorna ferruginea</t>
  </si>
  <si>
    <t>Mandarin Duck</t>
  </si>
  <si>
    <t>Aix galericulata</t>
  </si>
  <si>
    <t>Cotton Pygmy Goose</t>
  </si>
  <si>
    <t>Nettapus coromandelianus</t>
  </si>
  <si>
    <t>OR : widespread</t>
  </si>
  <si>
    <t>Baikal Teal</t>
  </si>
  <si>
    <t>Sibirionetta formosa</t>
  </si>
  <si>
    <t>Garganey</t>
  </si>
  <si>
    <t>Spatula querquedula</t>
  </si>
  <si>
    <t>M</t>
  </si>
  <si>
    <t>Northern Shoveler</t>
  </si>
  <si>
    <t>Spatula clypeata</t>
  </si>
  <si>
    <t>Gadwall</t>
  </si>
  <si>
    <t>Mareca strepera</t>
  </si>
  <si>
    <t>Falcated Duck</t>
  </si>
  <si>
    <t>Mareca falcata</t>
  </si>
  <si>
    <t>Eurasian Wigeon</t>
  </si>
  <si>
    <t>Mareca penelope</t>
  </si>
  <si>
    <t>Philippine Duck</t>
  </si>
  <si>
    <t>Anas luzonica</t>
  </si>
  <si>
    <t>Eastern Spot-billed Duck</t>
  </si>
  <si>
    <t>Anas zonorhyncha</t>
  </si>
  <si>
    <t>Mallard</t>
  </si>
  <si>
    <t>Anas platyrhynchos</t>
  </si>
  <si>
    <t>Northern Pintail</t>
  </si>
  <si>
    <t>Anas acuta</t>
  </si>
  <si>
    <t>Eurasian Teal</t>
  </si>
  <si>
    <t>Anas crecca</t>
  </si>
  <si>
    <t>Common Pochard</t>
  </si>
  <si>
    <t>Aythya ferina</t>
  </si>
  <si>
    <t>Baer's Pochard</t>
  </si>
  <si>
    <t>Aythya baeri</t>
  </si>
  <si>
    <t>CR</t>
  </si>
  <si>
    <t>Ferruginous Duck</t>
  </si>
  <si>
    <t>Aythya nyroca</t>
  </si>
  <si>
    <t>Tufted Duck</t>
  </si>
  <si>
    <t>Aythya fuligula</t>
  </si>
  <si>
    <t>Greater Scaup</t>
  </si>
  <si>
    <t>Aythya marila</t>
  </si>
  <si>
    <t>Scaly-sided Merganser</t>
  </si>
  <si>
    <t>Mergus squamatus</t>
  </si>
  <si>
    <t>Frogmouths</t>
  </si>
  <si>
    <t>Podargidae</t>
  </si>
  <si>
    <t>Philippine Frogmouth</t>
  </si>
  <si>
    <t>Batrachostomus septimus</t>
  </si>
  <si>
    <t>Palawan Frogmouth</t>
  </si>
  <si>
    <t>Batrachostomus chaseni</t>
  </si>
  <si>
    <t>Nightjars</t>
  </si>
  <si>
    <t>Caprimulgidae</t>
  </si>
  <si>
    <t>Great Eared Nightjar</t>
  </si>
  <si>
    <t>Lyncornis macrotis</t>
  </si>
  <si>
    <t>Grey Nightjar</t>
  </si>
  <si>
    <t>Caprimulgus jotaka</t>
  </si>
  <si>
    <t>OR : Himalayas to e, se Asia</t>
  </si>
  <si>
    <t>Large-tailed Nightjar</t>
  </si>
  <si>
    <t>Caprimulgus macrurus</t>
  </si>
  <si>
    <t>Philippine Nightjar</t>
  </si>
  <si>
    <t>Caprimulgus manillensis</t>
  </si>
  <si>
    <t>Savanna Nightjar</t>
  </si>
  <si>
    <t>Caprimulgus affinis</t>
  </si>
  <si>
    <t>Treeswifts</t>
  </si>
  <si>
    <t>Hemiprocnidae</t>
  </si>
  <si>
    <t>Grey-rumped Treeswift</t>
  </si>
  <si>
    <t>Hemiprocne longipennis</t>
  </si>
  <si>
    <t>Whiskered Treeswift</t>
  </si>
  <si>
    <t>Hemiprocne comata</t>
  </si>
  <si>
    <t>Swifts</t>
  </si>
  <si>
    <t>Apodidae</t>
  </si>
  <si>
    <t>Grey-rumped Swiftlet</t>
  </si>
  <si>
    <t>Collocalia marginata</t>
  </si>
  <si>
    <t>Ridgetop Swiftlet</t>
  </si>
  <si>
    <t>Collocalia isonota</t>
  </si>
  <si>
    <t>Pygmy Swiftlet</t>
  </si>
  <si>
    <t>Collocalia troglodytes</t>
  </si>
  <si>
    <t>Philippine Swiftlet</t>
  </si>
  <si>
    <t>Aerodramus mearnsi</t>
  </si>
  <si>
    <t>Whitehead's Swiftlet</t>
  </si>
  <si>
    <t>Aerodramus whiteheadi</t>
  </si>
  <si>
    <t>DD</t>
  </si>
  <si>
    <t>Mossy-nest Swiftlet</t>
  </si>
  <si>
    <t>Aerodramus salangana</t>
  </si>
  <si>
    <t>Ameline Swiftlet</t>
  </si>
  <si>
    <t>Aerodramus amelis</t>
  </si>
  <si>
    <t>Black-nest Swiftlet</t>
  </si>
  <si>
    <t>Aerodramus maximus</t>
  </si>
  <si>
    <t>Germain's Swiftlet</t>
  </si>
  <si>
    <t>Aerodramus germani</t>
  </si>
  <si>
    <t>Mearnsia picina</t>
  </si>
  <si>
    <t>White-throated Needletail</t>
  </si>
  <si>
    <t>Hirundapus caudacutus</t>
  </si>
  <si>
    <t>Brown-backed Needletail</t>
  </si>
  <si>
    <t>Hirundapus giganteus</t>
  </si>
  <si>
    <t>Purple Needletail</t>
  </si>
  <si>
    <t>Hirundapus celebensis</t>
  </si>
  <si>
    <t>Asian Palm Swift</t>
  </si>
  <si>
    <t>Cypsiurus balasiensis</t>
  </si>
  <si>
    <t>Pacific Swift</t>
  </si>
  <si>
    <t>Apus pacificus</t>
  </si>
  <si>
    <t>M (R?)</t>
  </si>
  <si>
    <t>House Swift</t>
  </si>
  <si>
    <t>Apus nipalensis</t>
  </si>
  <si>
    <t>OR : also s Japan</t>
  </si>
  <si>
    <t>Cuckoos</t>
  </si>
  <si>
    <t>Cuculidae</t>
  </si>
  <si>
    <t>Rufous Coucal</t>
  </si>
  <si>
    <t>Centropus unirufus</t>
  </si>
  <si>
    <t>OTS</t>
  </si>
  <si>
    <t>Black-faced Coucal</t>
  </si>
  <si>
    <t>Centropus melanops</t>
  </si>
  <si>
    <t>Black-hooded Coucal</t>
  </si>
  <si>
    <t>Centropus steerii</t>
  </si>
  <si>
    <t>Greater Coucal</t>
  </si>
  <si>
    <t>Centropus sinensis</t>
  </si>
  <si>
    <t>Philippine Coucal</t>
  </si>
  <si>
    <t>Centropus viridis</t>
  </si>
  <si>
    <t>Lesser Coucal</t>
  </si>
  <si>
    <t>Centropus bengalensis</t>
  </si>
  <si>
    <t>Chestnut-breasted Malkoha</t>
  </si>
  <si>
    <t>Phaenicophaeus curvirostris</t>
  </si>
  <si>
    <t>Rough-crested Malkoha</t>
  </si>
  <si>
    <t>Dasylophus superciliosus</t>
  </si>
  <si>
    <t>Scale-feathered Malkoha</t>
  </si>
  <si>
    <t>Dasylophus cumingi</t>
  </si>
  <si>
    <t>Chestnut-winged Cuckoo</t>
  </si>
  <si>
    <t>Clamator coromandus</t>
  </si>
  <si>
    <t>Jacobin Cuckoo</t>
  </si>
  <si>
    <t>Clamator jacobinus</t>
  </si>
  <si>
    <t>AF, OR : widespread in AF, India to Myanmar</t>
  </si>
  <si>
    <t>Asian Koel</t>
  </si>
  <si>
    <t>Eudynamys scolopaceus</t>
  </si>
  <si>
    <t>OR : widespread, also Lesser Sundas</t>
  </si>
  <si>
    <t>Channel-billed Cuckoo</t>
  </si>
  <si>
    <t>Scythrops novaehollandiae</t>
  </si>
  <si>
    <t>AU : widespread</t>
  </si>
  <si>
    <t>Violet Cuckoo</t>
  </si>
  <si>
    <t>Chrysococcyx xanthorhynchus</t>
  </si>
  <si>
    <t>Little Bronze Cuckoo</t>
  </si>
  <si>
    <t>Chrysococcyx minutillus</t>
  </si>
  <si>
    <t>Banded Bay Cuckoo</t>
  </si>
  <si>
    <t>Cacomantis sonneratii</t>
  </si>
  <si>
    <t>Plaintive Cuckoo</t>
  </si>
  <si>
    <t>Cacomantis merulinus</t>
  </si>
  <si>
    <t>Rusty-breasted Cuckoo</t>
  </si>
  <si>
    <t>Cacomantis sepulcralis</t>
  </si>
  <si>
    <t>Philippine Drongo-Cuckoo</t>
  </si>
  <si>
    <t>Surniculus velutinus</t>
  </si>
  <si>
    <t>Square-tailed Drongo-Cuckoo</t>
  </si>
  <si>
    <t>Surniculus lugubris</t>
  </si>
  <si>
    <t>Large Hawk-Cuckoo</t>
  </si>
  <si>
    <t>Hierococcyx sparverioides</t>
  </si>
  <si>
    <t>Philippine Hawk-Cuckoo</t>
  </si>
  <si>
    <t>Hierococcyx pectoralis</t>
  </si>
  <si>
    <t>Indian Cuckoo</t>
  </si>
  <si>
    <t>Cuculus micropterus</t>
  </si>
  <si>
    <t>OR : widespread, also e Asia</t>
  </si>
  <si>
    <t>Himalayan Cuckoo</t>
  </si>
  <si>
    <t>Cuculus saturatus</t>
  </si>
  <si>
    <t>Oriental Cuckoo</t>
  </si>
  <si>
    <t>Cuculus optatus</t>
  </si>
  <si>
    <t>Columbidae</t>
  </si>
  <si>
    <t>Rock Dove</t>
  </si>
  <si>
    <t>Columba livia</t>
  </si>
  <si>
    <t>Worldwide : widespread</t>
  </si>
  <si>
    <t>Introduced. Free-living population of domestic form, e.g. in Metro Manila, Cebu City and Davao City</t>
  </si>
  <si>
    <t>Metallic Pigeon</t>
  </si>
  <si>
    <t>Columba vitiensis</t>
  </si>
  <si>
    <t>Oriental Turtle Dove</t>
  </si>
  <si>
    <t>Streptopelia orientalis</t>
  </si>
  <si>
    <t>Streptopelia tranquebarica</t>
  </si>
  <si>
    <t>Spotted Dove</t>
  </si>
  <si>
    <t>Spilopelia chinensis</t>
  </si>
  <si>
    <t>Philippine Cuckoo-Dove</t>
  </si>
  <si>
    <t>Macropygia tenuirostris</t>
  </si>
  <si>
    <t>NE</t>
  </si>
  <si>
    <t>Near endemic: also breeds on Lan Yu Island, Taiwan</t>
  </si>
  <si>
    <t>Common Emerald Dove</t>
  </si>
  <si>
    <t>Chalcophaps indica</t>
  </si>
  <si>
    <t>Zebra Dove</t>
  </si>
  <si>
    <t>Geopelia striata</t>
  </si>
  <si>
    <t>Nicobar Pigeon</t>
  </si>
  <si>
    <t>Caloenas nicobarica</t>
  </si>
  <si>
    <t>Luzon Bleeding-heart</t>
  </si>
  <si>
    <t>Gallicolumba luzonica</t>
  </si>
  <si>
    <t>Mindanao Bleeding-heart</t>
  </si>
  <si>
    <t>Gallicolumba crinigera</t>
  </si>
  <si>
    <t>Mindoro Bleeding-heart</t>
  </si>
  <si>
    <t>Gallicolumba platenae</t>
  </si>
  <si>
    <t>Negros Bleeding-heart</t>
  </si>
  <si>
    <t>Gallicolumba keayi</t>
  </si>
  <si>
    <t>Sulu Bleeding-heart</t>
  </si>
  <si>
    <t>Gallicolumba menagei</t>
  </si>
  <si>
    <t xml:space="preserve">Known only from two specimens collected on Tawi-Tawi in 1891 </t>
  </si>
  <si>
    <t>White-eared Brown Dove</t>
  </si>
  <si>
    <t>Phapitreron leucotis</t>
  </si>
  <si>
    <t>Amethyst Brown Dove</t>
  </si>
  <si>
    <t>Phapitreron amethystinus</t>
  </si>
  <si>
    <t>Tawitawi Brown Dove</t>
  </si>
  <si>
    <t>Phapitreron cinereiceps</t>
  </si>
  <si>
    <t>Mindanao Brown Dove</t>
  </si>
  <si>
    <t>Phapitreron brunneiceps</t>
  </si>
  <si>
    <t>Pink-necked Green Pigeon</t>
  </si>
  <si>
    <t>Treron vernans</t>
  </si>
  <si>
    <t>Philippine Green Pigeon</t>
  </si>
  <si>
    <t>Treron axillaris</t>
  </si>
  <si>
    <t>Thick-billed Green Pigeon</t>
  </si>
  <si>
    <t>Treron curvirostra</t>
  </si>
  <si>
    <t>Treron formosae</t>
  </si>
  <si>
    <t>Flame-breasted Fruit Dove</t>
  </si>
  <si>
    <t>Ptilinopus marchei</t>
  </si>
  <si>
    <t>Cream-breasted Fruit Dove</t>
  </si>
  <si>
    <t>Ptilinopus merrilli</t>
  </si>
  <si>
    <t>Yellow-breasted Fruit Dove</t>
  </si>
  <si>
    <t>Ptilinopus occipitalis</t>
  </si>
  <si>
    <t>Black-chinned Fruit Dove</t>
  </si>
  <si>
    <t>Ptilinopus leclancheri</t>
  </si>
  <si>
    <t>OR : Philippines and Taiwan</t>
  </si>
  <si>
    <t>Near endemic: also breeds on Lan Yu Island and southern Taiwan</t>
  </si>
  <si>
    <t>Superb Fruit Dove</t>
  </si>
  <si>
    <t>Ptilinopus superbus</t>
  </si>
  <si>
    <t>Black-naped Fruit Dove</t>
  </si>
  <si>
    <t>Ptilinopus melanospilus</t>
  </si>
  <si>
    <t>Negros Fruit Dove</t>
  </si>
  <si>
    <t>Ptilinopus arcanus</t>
  </si>
  <si>
    <t>Known only from one specimen collected on Mount Canlaon, Negros Occidental  in May 1953</t>
  </si>
  <si>
    <t>Pink-bellied Imperial Pigeon</t>
  </si>
  <si>
    <t>Ducula poliocephala</t>
  </si>
  <si>
    <t>Mindoro Imperial Pigeon</t>
  </si>
  <si>
    <t>Ducula mindorensis</t>
  </si>
  <si>
    <t>Spotted Imperial Pigeon</t>
  </si>
  <si>
    <t>Ducula carola</t>
  </si>
  <si>
    <t>Green Imperial Pigeon</t>
  </si>
  <si>
    <t>Ducula aenea</t>
  </si>
  <si>
    <t>Grey Imperial Pigeon</t>
  </si>
  <si>
    <t>Ducula pickeringii</t>
  </si>
  <si>
    <t>Near endemic: also breeds on off-shore islands along coasts of Borneo, and Miangas and Talaud Islands and North Sulawesi, Indonesia</t>
  </si>
  <si>
    <t>Pied Imperial Pigeon</t>
  </si>
  <si>
    <t>Ducula bicolor</t>
  </si>
  <si>
    <t>Rallidae</t>
  </si>
  <si>
    <t>Red-legged Crake</t>
  </si>
  <si>
    <t>Rallina fasciata</t>
  </si>
  <si>
    <t>Slaty-legged Crake</t>
  </si>
  <si>
    <t>Rallina eurizonoides</t>
  </si>
  <si>
    <t>Calayan Rail</t>
  </si>
  <si>
    <t>Gallirallus calayanensis</t>
  </si>
  <si>
    <t>Barred Rail</t>
  </si>
  <si>
    <t>Gallirallus torquatus</t>
  </si>
  <si>
    <t>Buff-banded Rail</t>
  </si>
  <si>
    <t>Gallirallus philippensis</t>
  </si>
  <si>
    <t>Slaty-breasted Rail</t>
  </si>
  <si>
    <t>Brown-banded Rail</t>
  </si>
  <si>
    <t>Lewinia mirifica</t>
  </si>
  <si>
    <t>Plain Bush-hen</t>
  </si>
  <si>
    <t>Amaurornis olivacea</t>
  </si>
  <si>
    <t>White-breasted Waterhen</t>
  </si>
  <si>
    <t>Amaurornis phoenicurus</t>
  </si>
  <si>
    <t>Baillon's Crake</t>
  </si>
  <si>
    <t>Ruddy-breasted Crake</t>
  </si>
  <si>
    <t>Spotless Crake</t>
  </si>
  <si>
    <t>White-browed Crake</t>
  </si>
  <si>
    <t>Watercock</t>
  </si>
  <si>
    <t>Gallicrex cinerea</t>
  </si>
  <si>
    <t>Philippine Swamphen</t>
  </si>
  <si>
    <t>Porphyrio pulverulentus</t>
  </si>
  <si>
    <t>The identification of recent individuals in Mindanao referring to either Australasian Swamphen Porphyrio melanotus or Black-backed Swamphen Porphyrio indicus requires taxonomic clarification</t>
  </si>
  <si>
    <t>Common Moorhen</t>
  </si>
  <si>
    <t>Gallinula chloropus</t>
  </si>
  <si>
    <t>R,M</t>
  </si>
  <si>
    <t>Eurasian Coot</t>
  </si>
  <si>
    <t>Fulica atra</t>
  </si>
  <si>
    <t>Cranes</t>
  </si>
  <si>
    <t>Gruidae</t>
  </si>
  <si>
    <t>Sarus Crane</t>
  </si>
  <si>
    <t>Antigone antigone</t>
  </si>
  <si>
    <t>EX</t>
  </si>
  <si>
    <t>Extirpated. Not recorded since around 1910</t>
  </si>
  <si>
    <t>Demoiselle Crane</t>
  </si>
  <si>
    <t>Grus virgo</t>
  </si>
  <si>
    <t>Grebes</t>
  </si>
  <si>
    <t>Podicipedidae</t>
  </si>
  <si>
    <t>Little Grebe</t>
  </si>
  <si>
    <t>Tachybaptus ruficollis</t>
  </si>
  <si>
    <t>Black-necked Grebe</t>
  </si>
  <si>
    <t>Podiceps nigricollis</t>
  </si>
  <si>
    <t>Turnicidae</t>
  </si>
  <si>
    <t>Common Buttonquail</t>
  </si>
  <si>
    <t>Turnix sylvaticus</t>
  </si>
  <si>
    <t>Spotted Buttonquail</t>
  </si>
  <si>
    <t>Turnix ocellatus</t>
  </si>
  <si>
    <t>Barred Buttonquail</t>
  </si>
  <si>
    <t>Turnix suscitator</t>
  </si>
  <si>
    <t>Turnix worcesteri</t>
  </si>
  <si>
    <t>Stone-curlews, Thick-knees</t>
  </si>
  <si>
    <t>Burhinidae</t>
  </si>
  <si>
    <t>Beach Stone-curlew</t>
  </si>
  <si>
    <t>Esacus magnirostris</t>
  </si>
  <si>
    <t>Oystercatchers</t>
  </si>
  <si>
    <t>Haematopodidae</t>
  </si>
  <si>
    <t>Eurasian Oystercatcher</t>
  </si>
  <si>
    <t>Haematopus ostralegus</t>
  </si>
  <si>
    <t>Recurvirostridae</t>
  </si>
  <si>
    <t>Black-winged Stilt</t>
  </si>
  <si>
    <t>Himantopus himantopus</t>
  </si>
  <si>
    <t>Pied Stilt</t>
  </si>
  <si>
    <t>Himantopus leucocephalus</t>
  </si>
  <si>
    <t>Pied Avocet</t>
  </si>
  <si>
    <t>Recurvirostra avosetta</t>
  </si>
  <si>
    <t>Plovers</t>
  </si>
  <si>
    <t>Charadriidae</t>
  </si>
  <si>
    <t>Northern Lapwing</t>
  </si>
  <si>
    <t>Vanellus vanellus</t>
  </si>
  <si>
    <t>Grey-headed Lapwing</t>
  </si>
  <si>
    <t>Vanellus cinereus</t>
  </si>
  <si>
    <t>Pacific Golden Plover</t>
  </si>
  <si>
    <t>Pluvialis fulva</t>
  </si>
  <si>
    <t>Grey Plover</t>
  </si>
  <si>
    <t>Pluvialis squatarola</t>
  </si>
  <si>
    <t>Common Ringed Plover</t>
  </si>
  <si>
    <t>Charadrius hiaticula</t>
  </si>
  <si>
    <t>Little Ringed Plover</t>
  </si>
  <si>
    <t>Charadrius dubius</t>
  </si>
  <si>
    <t>Kentish Plover</t>
  </si>
  <si>
    <t>Charadrius alexandrinus</t>
  </si>
  <si>
    <t>Malaysian Plover</t>
  </si>
  <si>
    <t>Charadrius peronii</t>
  </si>
  <si>
    <t>Charadrius mongolus</t>
  </si>
  <si>
    <t>Greater Sand Plover</t>
  </si>
  <si>
    <t>Charadrius leschenaultii</t>
  </si>
  <si>
    <t>Oriental Plover</t>
  </si>
  <si>
    <t>Charadrius veredus</t>
  </si>
  <si>
    <t>Painted-snipes</t>
  </si>
  <si>
    <t>Rostratulidae</t>
  </si>
  <si>
    <t>Greater Painted-snipe</t>
  </si>
  <si>
    <t>Rostratula benghalensis</t>
  </si>
  <si>
    <t>Jacanas</t>
  </si>
  <si>
    <t>Jacanidae</t>
  </si>
  <si>
    <t>Comb-crested Jacana</t>
  </si>
  <si>
    <t>Irediparra gallinacea</t>
  </si>
  <si>
    <t>Pheasant-tailed Jacana</t>
  </si>
  <si>
    <t>Hydrophasianus chirurgus</t>
  </si>
  <si>
    <t>Scolopacidae</t>
  </si>
  <si>
    <t>Bristle-thighed Curlew</t>
  </si>
  <si>
    <t>Numenius tahitiensis</t>
  </si>
  <si>
    <t>Whimbrel</t>
  </si>
  <si>
    <t>Numenius phaeopus</t>
  </si>
  <si>
    <t>Little Curlew</t>
  </si>
  <si>
    <t>Numenius minutus</t>
  </si>
  <si>
    <t>Far Eastern Curlew</t>
  </si>
  <si>
    <t>Numenius madagascariensis</t>
  </si>
  <si>
    <t>Eurasian Curlew</t>
  </si>
  <si>
    <t>Numenius arquata</t>
  </si>
  <si>
    <t>Bar-tailed Godwit</t>
  </si>
  <si>
    <t>Limosa lapponica</t>
  </si>
  <si>
    <t>Black-tailed Godwit</t>
  </si>
  <si>
    <t>Limosa limosa</t>
  </si>
  <si>
    <t>Ruddy Turnstone</t>
  </si>
  <si>
    <t>Arenaria interpres</t>
  </si>
  <si>
    <t>Great Knot</t>
  </si>
  <si>
    <t>Calidris tenuirostris</t>
  </si>
  <si>
    <t>Red Knot</t>
  </si>
  <si>
    <t>Calidris canutus</t>
  </si>
  <si>
    <t>Ruff</t>
  </si>
  <si>
    <t>Calidris pugnax</t>
  </si>
  <si>
    <t>Broad-billed Sandpiper</t>
  </si>
  <si>
    <t>Calidris falcinellus</t>
  </si>
  <si>
    <t>Sharp-tailed Sandpiper</t>
  </si>
  <si>
    <t>Calidris acuminata</t>
  </si>
  <si>
    <t>Curlew Sandpiper</t>
  </si>
  <si>
    <t>Calidris ferruginea</t>
  </si>
  <si>
    <t>Temminck's Stint</t>
  </si>
  <si>
    <t>Calidris temminckii</t>
  </si>
  <si>
    <t>Long-toed Stint</t>
  </si>
  <si>
    <t>Calidris subminuta</t>
  </si>
  <si>
    <t>Red-necked Stint</t>
  </si>
  <si>
    <t>Calidris ruficollis</t>
  </si>
  <si>
    <t>Sanderling</t>
  </si>
  <si>
    <t>Calidris alba</t>
  </si>
  <si>
    <t>Dunlin</t>
  </si>
  <si>
    <t>Calidris alpina</t>
  </si>
  <si>
    <t>Little Stint</t>
  </si>
  <si>
    <t>Calidris minuta</t>
  </si>
  <si>
    <t>Pectoral Sandpiper</t>
  </si>
  <si>
    <t>Calidris melanotos</t>
  </si>
  <si>
    <t>Asian Dowitcher</t>
  </si>
  <si>
    <t>Limnodromus semipalmatus</t>
  </si>
  <si>
    <t>Long-billed Dowitcher</t>
  </si>
  <si>
    <t>Limnodromus scolopaceus</t>
  </si>
  <si>
    <t>Bukidnon Woodcock</t>
  </si>
  <si>
    <t>Scolopax bukidnonensis</t>
  </si>
  <si>
    <t>Jack Snipe</t>
  </si>
  <si>
    <t>Lymnocryptes minimus</t>
  </si>
  <si>
    <t>Latham's Snipe</t>
  </si>
  <si>
    <t>Gallinago hardwickii</t>
  </si>
  <si>
    <t>Pin-tailed Snipe</t>
  </si>
  <si>
    <t>Gallinago stenura</t>
  </si>
  <si>
    <t>Swinhoe's Snipe</t>
  </si>
  <si>
    <t>Gallinago megala</t>
  </si>
  <si>
    <t>Common Snipe</t>
  </si>
  <si>
    <t>Gallinago gallinago</t>
  </si>
  <si>
    <t>Terek Sandpiper</t>
  </si>
  <si>
    <t>Xenus cinereus</t>
  </si>
  <si>
    <t>Red-necked Phalarope</t>
  </si>
  <si>
    <t>Phalaropus lobatus</t>
  </si>
  <si>
    <t>Red Phalarope</t>
  </si>
  <si>
    <t>Phalaropus fulicarius</t>
  </si>
  <si>
    <t>Common Sandpiper</t>
  </si>
  <si>
    <t>Actitis hypoleucos</t>
  </si>
  <si>
    <t>Green Sandpiper</t>
  </si>
  <si>
    <t>Tringa ochropus</t>
  </si>
  <si>
    <t>Grey-tailed Tattler</t>
  </si>
  <si>
    <t>Tringa brevipes</t>
  </si>
  <si>
    <t>Common Redshank</t>
  </si>
  <si>
    <t>Tringa totanus</t>
  </si>
  <si>
    <t>Marsh Sandpiper</t>
  </si>
  <si>
    <t>Tringa stagnatilis</t>
  </si>
  <si>
    <t>Wood Sandpiper</t>
  </si>
  <si>
    <t>Tringa glareola</t>
  </si>
  <si>
    <t>Spotted Redshank</t>
  </si>
  <si>
    <t>Tringa erythropus</t>
  </si>
  <si>
    <t>Common Greenshank</t>
  </si>
  <si>
    <t>Tringa nebularia</t>
  </si>
  <si>
    <t>Nordmann's Greenshank</t>
  </si>
  <si>
    <t>Tringa guttifer</t>
  </si>
  <si>
    <t>Glareolidae</t>
  </si>
  <si>
    <t>Oriental Pratincole</t>
  </si>
  <si>
    <t>Glareola maldivarum</t>
  </si>
  <si>
    <t>Laridae</t>
  </si>
  <si>
    <t>Brown Noddy</t>
  </si>
  <si>
    <t>Anous stolidus</t>
  </si>
  <si>
    <t>Black Noddy</t>
  </si>
  <si>
    <t>Anous minutus</t>
  </si>
  <si>
    <t>White Tern</t>
  </si>
  <si>
    <t>Gygis alba</t>
  </si>
  <si>
    <t>Black-headed Gull</t>
  </si>
  <si>
    <t>Chroicocephalus ridibundus</t>
  </si>
  <si>
    <t>Saunders's Gull</t>
  </si>
  <si>
    <t>Laughing Gull</t>
  </si>
  <si>
    <t>Leucophaeus atricilla</t>
  </si>
  <si>
    <t>Franklin's Gull</t>
  </si>
  <si>
    <t>Leucophaeus pipixcan</t>
  </si>
  <si>
    <t>Black-tailed Gull</t>
  </si>
  <si>
    <t>Larus crassirostris</t>
  </si>
  <si>
    <t>Mew Gull</t>
  </si>
  <si>
    <t>Larus canus</t>
  </si>
  <si>
    <t>Vega Gull</t>
  </si>
  <si>
    <t>Larus vegae</t>
  </si>
  <si>
    <t>Slaty-backed Gull</t>
  </si>
  <si>
    <t>Larus schistisagus</t>
  </si>
  <si>
    <t>Lesser Black-backed Gull</t>
  </si>
  <si>
    <t>Larus fuscus</t>
  </si>
  <si>
    <t>Gull-billed Tern</t>
  </si>
  <si>
    <t>Gelochelidon nilotica</t>
  </si>
  <si>
    <t>Caspian Tern</t>
  </si>
  <si>
    <t>Hydroprogne caspia</t>
  </si>
  <si>
    <t>Greater Crested Tern</t>
  </si>
  <si>
    <t>Thalasseus bergii</t>
  </si>
  <si>
    <t>Chinese Crested Tern</t>
  </si>
  <si>
    <t>Thalasseus bernsteini</t>
  </si>
  <si>
    <t>Little Tern</t>
  </si>
  <si>
    <t>Sternula albifrons</t>
  </si>
  <si>
    <t>Aleutian Tern</t>
  </si>
  <si>
    <t>Onychoprion aleuticus</t>
  </si>
  <si>
    <t>Bridled Tern</t>
  </si>
  <si>
    <t>Onychoprion anaethetus</t>
  </si>
  <si>
    <t>Sooty Tern</t>
  </si>
  <si>
    <t>Onychoprion fuscatus</t>
  </si>
  <si>
    <t>Roseate Tern</t>
  </si>
  <si>
    <t>Sterna dougallii</t>
  </si>
  <si>
    <t>Black-naped Tern</t>
  </si>
  <si>
    <t>Sterna sumatrana</t>
  </si>
  <si>
    <t>Common Tern</t>
  </si>
  <si>
    <t>Sterna hirundo</t>
  </si>
  <si>
    <t>Whiskered Tern</t>
  </si>
  <si>
    <t>Chlidonias hybrida</t>
  </si>
  <si>
    <t>White-winged Tern</t>
  </si>
  <si>
    <t>Chlidonias leucopterus</t>
  </si>
  <si>
    <t>Skuas</t>
  </si>
  <si>
    <t>Stercorariidae</t>
  </si>
  <si>
    <t>Pomarine Jaeger</t>
  </si>
  <si>
    <t>Stercorarius pomarinus</t>
  </si>
  <si>
    <t>Parasitic Jaeger</t>
  </si>
  <si>
    <t>Stercorarius parasiticus</t>
  </si>
  <si>
    <t>Long-tailed Jaeger</t>
  </si>
  <si>
    <t>Stercorarius longicaudus</t>
  </si>
  <si>
    <t>Tropicbirds</t>
  </si>
  <si>
    <t>Phaethontidae</t>
  </si>
  <si>
    <t>Red-tailed Tropicbird</t>
  </si>
  <si>
    <t>Phaethon rubricauda</t>
  </si>
  <si>
    <t>White-tailed Tropicbird</t>
  </si>
  <si>
    <t>Phaethon lepturus</t>
  </si>
  <si>
    <t>Albatrosses</t>
  </si>
  <si>
    <t>Diomedeidae</t>
  </si>
  <si>
    <t>Laysan Albatross</t>
  </si>
  <si>
    <t>Phoebastria immutabilis</t>
  </si>
  <si>
    <t>Northern Storm Petrels</t>
  </si>
  <si>
    <t>Hydrobatidae</t>
  </si>
  <si>
    <t>Swinhoe's Storm Petrel</t>
  </si>
  <si>
    <t>Leach's Storm Petrel</t>
  </si>
  <si>
    <t>Procellariidae</t>
  </si>
  <si>
    <t>Kermadec Petrel</t>
  </si>
  <si>
    <t>Pterodroma neglecta</t>
  </si>
  <si>
    <t>Hawaiian Petrel</t>
  </si>
  <si>
    <t>Pterodroma sandwichensis</t>
  </si>
  <si>
    <t>Bonin Petrel</t>
  </si>
  <si>
    <t>Pterodroma hypoleuca</t>
  </si>
  <si>
    <t>Tahiti Petrel</t>
  </si>
  <si>
    <t>Pseudobulweria rostrata</t>
  </si>
  <si>
    <t>Streaked Shearwater</t>
  </si>
  <si>
    <t>Calonectris leucomelas</t>
  </si>
  <si>
    <t>Wedge-tailed Shearwater</t>
  </si>
  <si>
    <t>Ardenna pacifica</t>
  </si>
  <si>
    <t>Short-tailed Shearwater</t>
  </si>
  <si>
    <t>Ardenna tenuirostris</t>
  </si>
  <si>
    <t>Bulwer's Petrel</t>
  </si>
  <si>
    <t>Bulweria bulwerii</t>
  </si>
  <si>
    <t>Storks</t>
  </si>
  <si>
    <t>Ciconiidae</t>
  </si>
  <si>
    <t>Black Stork</t>
  </si>
  <si>
    <t>Ciconia nigra</t>
  </si>
  <si>
    <t>Ciconia episcopus</t>
  </si>
  <si>
    <t>Oriental Stork</t>
  </si>
  <si>
    <t>Ciconia boyciana</t>
  </si>
  <si>
    <t>Frigatebirds</t>
  </si>
  <si>
    <t>Fregatidae</t>
  </si>
  <si>
    <t>Christmas Island Frigatebird</t>
  </si>
  <si>
    <t>Fregata andrewsi</t>
  </si>
  <si>
    <t>Great Frigatebird</t>
  </si>
  <si>
    <t>Fregata minor</t>
  </si>
  <si>
    <t>Lesser Frigatebird</t>
  </si>
  <si>
    <t>Fregata ariel</t>
  </si>
  <si>
    <t>Sulidae</t>
  </si>
  <si>
    <t>Masked Booby</t>
  </si>
  <si>
    <t>Sula dactylatra</t>
  </si>
  <si>
    <t>Red-footed Booby</t>
  </si>
  <si>
    <t>Sula sula</t>
  </si>
  <si>
    <t>Brown Booby</t>
  </si>
  <si>
    <t>Sula leucogaster</t>
  </si>
  <si>
    <t>Phalacrocoracidae</t>
  </si>
  <si>
    <t>Great Cormorant</t>
  </si>
  <si>
    <t>Phalacrocorax carbo</t>
  </si>
  <si>
    <t>Anhingidae</t>
  </si>
  <si>
    <t>Oriental Darter</t>
  </si>
  <si>
    <t>Anhinga melanogaster</t>
  </si>
  <si>
    <t>Threskiornithidae</t>
  </si>
  <si>
    <t>Black-headed Ibis</t>
  </si>
  <si>
    <t>Threskiornis melanocephalus</t>
  </si>
  <si>
    <t>Glossy Ibis</t>
  </si>
  <si>
    <t>Plegadis falcinellus</t>
  </si>
  <si>
    <t>Eurasian Spoonbill</t>
  </si>
  <si>
    <t>Platalea leucorodia</t>
  </si>
  <si>
    <t>Black-faced Spoonbill</t>
  </si>
  <si>
    <t>Platalea minor</t>
  </si>
  <si>
    <t>Ardeidae</t>
  </si>
  <si>
    <t>Eurasian Bittern</t>
  </si>
  <si>
    <t>Botaurus stellaris</t>
  </si>
  <si>
    <t>Yellow Bittern</t>
  </si>
  <si>
    <t>Ixobrychus sinensis</t>
  </si>
  <si>
    <t>Von Schrenck's Bittern</t>
  </si>
  <si>
    <t>Ixobrychus eurhythmus</t>
  </si>
  <si>
    <t>Cinnamon Bittern</t>
  </si>
  <si>
    <t>Ixobrychus cinnamomeus</t>
  </si>
  <si>
    <t>Black Bittern</t>
  </si>
  <si>
    <t>Japanese Night Heron</t>
  </si>
  <si>
    <t>Gorsachius goisagi</t>
  </si>
  <si>
    <t>Malayan Night Heron</t>
  </si>
  <si>
    <t>Gorsachius melanolophus</t>
  </si>
  <si>
    <t>Black-crowned Night Heron</t>
  </si>
  <si>
    <t>Nycticorax nycticorax</t>
  </si>
  <si>
    <t>Worldwide : except AU</t>
  </si>
  <si>
    <t>Nycticorax caledonicus</t>
  </si>
  <si>
    <t>Striated Heron</t>
  </si>
  <si>
    <t>Butorides striata</t>
  </si>
  <si>
    <t>Chinese Pond Heron</t>
  </si>
  <si>
    <t>Ardeola bacchus</t>
  </si>
  <si>
    <t>Javan Pond Heron</t>
  </si>
  <si>
    <t>Ardeola speciosa</t>
  </si>
  <si>
    <t>Bubulcus coromandus</t>
  </si>
  <si>
    <t>Grey Heron</t>
  </si>
  <si>
    <t>Ardea cinerea</t>
  </si>
  <si>
    <t>Great-billed Heron</t>
  </si>
  <si>
    <t>Ardea sumatrana</t>
  </si>
  <si>
    <t>Purple Heron</t>
  </si>
  <si>
    <t>Ardea purpurea</t>
  </si>
  <si>
    <t>Great Egret</t>
  </si>
  <si>
    <t>Ardea alba</t>
  </si>
  <si>
    <t xml:space="preserve">First documented breeding record is from Zamboanga City (2013) by Maia Tañedo. May also breed in Baras Bird Sanctuary, Sultan Kudarat </t>
  </si>
  <si>
    <t>Intermediate Egret</t>
  </si>
  <si>
    <t>Ardea intermedia</t>
  </si>
  <si>
    <t>Little Egret</t>
  </si>
  <si>
    <t>Egretta garzetta</t>
  </si>
  <si>
    <t>First documented breeding record is from Baras Bird Sanctuary, Sultan Kudarat (2007). On Luzon, first documented breeding in Bani, Pangasinan  (2009) by Rey St. Ana</t>
  </si>
  <si>
    <t>Pacific Reef Heron</t>
  </si>
  <si>
    <t>Egretta sacra</t>
  </si>
  <si>
    <t>Chinese Egret</t>
  </si>
  <si>
    <t>Egretta eulophotes</t>
  </si>
  <si>
    <t>Pelicans</t>
  </si>
  <si>
    <t>Pelecanidae</t>
  </si>
  <si>
    <t>Spot-billed Pelican</t>
  </si>
  <si>
    <t>Pelecanus philippensis</t>
  </si>
  <si>
    <t>Dalmatian Pelican</t>
  </si>
  <si>
    <t>Pelecanus crispus</t>
  </si>
  <si>
    <t>Australian Pelican</t>
  </si>
  <si>
    <t>Pelecanus conspicillatus</t>
  </si>
  <si>
    <t>Ospreys</t>
  </si>
  <si>
    <t>Pandionidae</t>
  </si>
  <si>
    <t>Western Osprey</t>
  </si>
  <si>
    <t>Pandion haliaetus</t>
  </si>
  <si>
    <t>Accipitridae</t>
  </si>
  <si>
    <t>Black-winged Kite</t>
  </si>
  <si>
    <t>Elanus caeruleus</t>
  </si>
  <si>
    <t>Crested Honey Buzzard</t>
  </si>
  <si>
    <t>Pernis ptilorhynchus</t>
  </si>
  <si>
    <t>Philippine Honey Buzzard</t>
  </si>
  <si>
    <t>Pernis steerei</t>
  </si>
  <si>
    <t>Jerdon's Baza</t>
  </si>
  <si>
    <t>Aviceda jerdoni</t>
  </si>
  <si>
    <t>R (M?)</t>
  </si>
  <si>
    <t>Cinereous Vulture</t>
  </si>
  <si>
    <t>Aegypius monachus</t>
  </si>
  <si>
    <t>Crested Serpent Eagle</t>
  </si>
  <si>
    <t>Spilornis cheela</t>
  </si>
  <si>
    <t>Philippine Serpent Eagle</t>
  </si>
  <si>
    <t>Spilornis holospilus</t>
  </si>
  <si>
    <t>Philippine Eagle</t>
  </si>
  <si>
    <t>Pithecophaga jefferyi</t>
  </si>
  <si>
    <t>Changeable Hawk-Eagle</t>
  </si>
  <si>
    <t>Nisaetus cirrhatus</t>
  </si>
  <si>
    <t>Philippine Hawk-Eagle</t>
  </si>
  <si>
    <t>Nisaetus philippensis</t>
  </si>
  <si>
    <t>Pinsker's Hawk-Eagle</t>
  </si>
  <si>
    <t>Nisaetus pinskeri</t>
  </si>
  <si>
    <t>Rufous-bellied Eagle</t>
  </si>
  <si>
    <t>Lophotriorchis kienerii</t>
  </si>
  <si>
    <t>Crested Goshawk</t>
  </si>
  <si>
    <t>Accipiter trivirgatus</t>
  </si>
  <si>
    <t>Chinese Sparrowhawk</t>
  </si>
  <si>
    <t>Accipiter soloensis</t>
  </si>
  <si>
    <t>Japanese Sparrowhawk</t>
  </si>
  <si>
    <t>Accipiter gularis</t>
  </si>
  <si>
    <t>Besra</t>
  </si>
  <si>
    <t>Accipiter virgatus</t>
  </si>
  <si>
    <t>Eurasian Sparrowhawk</t>
  </si>
  <si>
    <t>Accipiter nisus</t>
  </si>
  <si>
    <t>Eastern Marsh Harrier</t>
  </si>
  <si>
    <t>Circus spilonotus</t>
  </si>
  <si>
    <t>Pied Harrier</t>
  </si>
  <si>
    <t>Circus melanoleucos</t>
  </si>
  <si>
    <t>Black Kite</t>
  </si>
  <si>
    <t>Milvus migrans</t>
  </si>
  <si>
    <t>Brahminy Kite</t>
  </si>
  <si>
    <t>Haliastur indus</t>
  </si>
  <si>
    <t>White-bellied Sea Eagle</t>
  </si>
  <si>
    <t>Haliaeetus leucogaster</t>
  </si>
  <si>
    <t>Grey-headed Fish Eagle</t>
  </si>
  <si>
    <t>Grey-faced Buzzard</t>
  </si>
  <si>
    <t>Butastur indicus</t>
  </si>
  <si>
    <t>Eastern Buzzard</t>
  </si>
  <si>
    <t>Buteo japonicus</t>
  </si>
  <si>
    <t>Barn Owls</t>
  </si>
  <si>
    <t>Tytonidae</t>
  </si>
  <si>
    <t>Eastern Grass Owl</t>
  </si>
  <si>
    <t>Tyto longimembris</t>
  </si>
  <si>
    <t>Owls</t>
  </si>
  <si>
    <t>Strigidae</t>
  </si>
  <si>
    <t>Giant Scops Owl</t>
  </si>
  <si>
    <t>Otus gurneyi</t>
  </si>
  <si>
    <t>Palawan Scops Owl</t>
  </si>
  <si>
    <t>Otus fuliginosus</t>
  </si>
  <si>
    <t>Philippine Scops Owl</t>
  </si>
  <si>
    <t>Otus megalotis</t>
  </si>
  <si>
    <t>Everett's Scops Owl</t>
  </si>
  <si>
    <t>Otus everetti</t>
  </si>
  <si>
    <t>Negros Scops Owl</t>
  </si>
  <si>
    <t>Otus nigrorum</t>
  </si>
  <si>
    <t>Mindanao Scops Owl</t>
  </si>
  <si>
    <t>Otus mirus</t>
  </si>
  <si>
    <t>Luzon Scops Owl</t>
  </si>
  <si>
    <t>Otus longicornis</t>
  </si>
  <si>
    <t>Mindoro Scops Owl</t>
  </si>
  <si>
    <t>Otus mindorensis</t>
  </si>
  <si>
    <t>Oriental Scops Owl</t>
  </si>
  <si>
    <t>Otus sunia</t>
  </si>
  <si>
    <t>Mantanani Scops Owl</t>
  </si>
  <si>
    <t>Otus mantananensis</t>
  </si>
  <si>
    <t>Near endemic: also breeds on islets off Sabah, Malaysia</t>
  </si>
  <si>
    <t>Ryukyu Scops Owl</t>
  </si>
  <si>
    <t>Otus elegans</t>
  </si>
  <si>
    <t>Philippine Eagle-Owl</t>
  </si>
  <si>
    <t>Bubo philippensis</t>
  </si>
  <si>
    <t>Spotted Wood Owl</t>
  </si>
  <si>
    <t>Strix seloputo</t>
  </si>
  <si>
    <t>Brown Hawk-Owl</t>
  </si>
  <si>
    <t>Ninox scutulata</t>
  </si>
  <si>
    <t>Northern Boobook</t>
  </si>
  <si>
    <t>Ninox japonica</t>
  </si>
  <si>
    <t>Chocolate Boobook</t>
  </si>
  <si>
    <t>Ninox randi</t>
  </si>
  <si>
    <t>Ninox philippensis</t>
  </si>
  <si>
    <t>Ninox spilocephala</t>
  </si>
  <si>
    <t>Ninox mindorensis</t>
  </si>
  <si>
    <t>Ninox spilonotus</t>
  </si>
  <si>
    <t>Ninox rumseyi</t>
  </si>
  <si>
    <t>OR : Cebu (w Philippines)</t>
  </si>
  <si>
    <t>Ninox leventisi</t>
  </si>
  <si>
    <t>Ninox reyi</t>
  </si>
  <si>
    <t>Short-eared Owl</t>
  </si>
  <si>
    <t>Asio flammeus</t>
  </si>
  <si>
    <t>Worldwide : widespread except AU</t>
  </si>
  <si>
    <t>Trogons</t>
  </si>
  <si>
    <t>Trogonidae</t>
  </si>
  <si>
    <t>Philippine Trogon</t>
  </si>
  <si>
    <t>Harpactes ardens</t>
  </si>
  <si>
    <t>Hoopoes</t>
  </si>
  <si>
    <t>Upupidae</t>
  </si>
  <si>
    <t>Eurasian Hoopoe</t>
  </si>
  <si>
    <t>Upupa epops</t>
  </si>
  <si>
    <t>Hornbills</t>
  </si>
  <si>
    <t>Bucerotidae</t>
  </si>
  <si>
    <t>Rufous Hornbill</t>
  </si>
  <si>
    <t>Buceros hydrocorax</t>
  </si>
  <si>
    <t>Palawan Hornbill</t>
  </si>
  <si>
    <t>Anthracoceros marchei</t>
  </si>
  <si>
    <t>Sulu Hornbill</t>
  </si>
  <si>
    <t>Anthracoceros montani</t>
  </si>
  <si>
    <t>Walden's Hornbill</t>
  </si>
  <si>
    <t>Rhabdotorrhinus waldeni</t>
  </si>
  <si>
    <t>Writhed Hornbill</t>
  </si>
  <si>
    <t>Rhabdotorrhinus leucocephalus</t>
  </si>
  <si>
    <t>Luzon Hornbill</t>
  </si>
  <si>
    <t>Penelopides manillae</t>
  </si>
  <si>
    <t>OR : n Philippines</t>
  </si>
  <si>
    <t>Mindoro Hornbill</t>
  </si>
  <si>
    <t>Penelopides mindorensis</t>
  </si>
  <si>
    <t>Mindanao Hornbill</t>
  </si>
  <si>
    <t>Penelopides affinis</t>
  </si>
  <si>
    <t>Samar Hornbill</t>
  </si>
  <si>
    <t>Penelopides samarensis</t>
  </si>
  <si>
    <t>Visayan Hornbill</t>
  </si>
  <si>
    <t>Penelopides panini</t>
  </si>
  <si>
    <t>Rollers</t>
  </si>
  <si>
    <t>Coraciidae</t>
  </si>
  <si>
    <t>Oriental Dollarbird</t>
  </si>
  <si>
    <t>Eurystomus orientalis</t>
  </si>
  <si>
    <t>Kingfishers</t>
  </si>
  <si>
    <t>Alcedinidae</t>
  </si>
  <si>
    <t>Spotted Wood Kingfisher</t>
  </si>
  <si>
    <t>Actenoides lindsayi</t>
  </si>
  <si>
    <t>Actenoides hombroni</t>
  </si>
  <si>
    <t>Stork-billed Kingfisher</t>
  </si>
  <si>
    <t>Pelargopsis capensis</t>
  </si>
  <si>
    <t>Ruddy Kingfisher</t>
  </si>
  <si>
    <t>Halcyon coromanda</t>
  </si>
  <si>
    <t>White-throated Kingfisher</t>
  </si>
  <si>
    <t>Black-capped Kingfisher</t>
  </si>
  <si>
    <t>Halcyon pileata</t>
  </si>
  <si>
    <t>Rufous-lored Kingfisher</t>
  </si>
  <si>
    <t>Todiramphus winchelli</t>
  </si>
  <si>
    <t>Collared Kingfisher</t>
  </si>
  <si>
    <t>Todiramphus chloris</t>
  </si>
  <si>
    <t>Sacred Kingfisher</t>
  </si>
  <si>
    <t>Todiramphus sanctus</t>
  </si>
  <si>
    <t>Blue-eared Kingfisher</t>
  </si>
  <si>
    <t>Alcedo meninting</t>
  </si>
  <si>
    <t>Common Kingfisher</t>
  </si>
  <si>
    <t>Alcedo atthis</t>
  </si>
  <si>
    <t>Ceyx erithaca</t>
  </si>
  <si>
    <t>Philippine Dwarf Kingfisher</t>
  </si>
  <si>
    <t>Ceyx melanurus</t>
  </si>
  <si>
    <t>Dimorphic Dwarf Kingfisher</t>
  </si>
  <si>
    <t>Ceyx margarethae</t>
  </si>
  <si>
    <t>Indigo-banded Kingfisher</t>
  </si>
  <si>
    <t>Ceyx cyanopectus</t>
  </si>
  <si>
    <t>Southern Silvery Kingfisher</t>
  </si>
  <si>
    <t>Ceyx argentatus</t>
  </si>
  <si>
    <t>Northern Silvery Kingfisher</t>
  </si>
  <si>
    <t>Ceyx flumenicola</t>
  </si>
  <si>
    <t>Bee-eaters</t>
  </si>
  <si>
    <t>Meropidae</t>
  </si>
  <si>
    <t>Blue-tailed Bee-eater</t>
  </si>
  <si>
    <t>Merops philippinus</t>
  </si>
  <si>
    <t>Asian Barbets</t>
  </si>
  <si>
    <t>Megalaimidae</t>
  </si>
  <si>
    <t>Coppersmith Barbet</t>
  </si>
  <si>
    <t>Psilopogon haemacephalus</t>
  </si>
  <si>
    <t>Woodpeckers</t>
  </si>
  <si>
    <t>Picidae</t>
  </si>
  <si>
    <t>Philippine Pygmy Woodpecker</t>
  </si>
  <si>
    <t>Yungipicus maculatus</t>
  </si>
  <si>
    <t>Sulu Pygmy Woodpecker</t>
  </si>
  <si>
    <t>Yungipicus ramsayi</t>
  </si>
  <si>
    <t>White-bellied Woodpecker</t>
  </si>
  <si>
    <t>Dryocopus javensis</t>
  </si>
  <si>
    <t>Spot-throated Flameback</t>
  </si>
  <si>
    <t>Dinopium everetti</t>
  </si>
  <si>
    <t>Buff-spotted Flameback</t>
  </si>
  <si>
    <t>Chrysocolaptes lucidus</t>
  </si>
  <si>
    <t>OR : ec, s Philippines</t>
  </si>
  <si>
    <t>Luzon Flameback</t>
  </si>
  <si>
    <t>Chrysocolaptes haematribon</t>
  </si>
  <si>
    <t>Yellow-faced Flameback</t>
  </si>
  <si>
    <t>Chrysocolaptes xanthocephalus</t>
  </si>
  <si>
    <t>Red-headed Flameback</t>
  </si>
  <si>
    <t>Chrysocolaptes erythrocephalus</t>
  </si>
  <si>
    <t>Sooty Woodpecker</t>
  </si>
  <si>
    <t>Mulleripicus funebris</t>
  </si>
  <si>
    <t>Great Slaty Woodpecker</t>
  </si>
  <si>
    <t>Mulleripicus pulverulentus</t>
  </si>
  <si>
    <t>Falconidae</t>
  </si>
  <si>
    <t>Philippine Falconet</t>
  </si>
  <si>
    <t>Microhierax erythrogenys</t>
  </si>
  <si>
    <t>Common Kestrel</t>
  </si>
  <si>
    <t>Falco tinnunculus</t>
  </si>
  <si>
    <t>Spotted Kestrel</t>
  </si>
  <si>
    <t>Falco moluccensis</t>
  </si>
  <si>
    <t>Amur Falcon</t>
  </si>
  <si>
    <t>Falco amurensis</t>
  </si>
  <si>
    <t>Merlin</t>
  </si>
  <si>
    <t>Falco columbarius</t>
  </si>
  <si>
    <t>Eurasian Hobby</t>
  </si>
  <si>
    <t>Falco subbuteo</t>
  </si>
  <si>
    <t>Oriental Hobby</t>
  </si>
  <si>
    <t>Falco severus</t>
  </si>
  <si>
    <t>Peregrine Falcon</t>
  </si>
  <si>
    <t>Falco peregrinus</t>
  </si>
  <si>
    <t>Cockatoos</t>
  </si>
  <si>
    <t>Cacatuidae</t>
  </si>
  <si>
    <t>Red-vented Cockatoo</t>
  </si>
  <si>
    <t>Cacatua haematuropygia</t>
  </si>
  <si>
    <t>Old World Parrots</t>
  </si>
  <si>
    <t>Psittaculidae</t>
  </si>
  <si>
    <t>Mindanao Racket-tail</t>
  </si>
  <si>
    <t>Prioniturus waterstradti</t>
  </si>
  <si>
    <t>Montane Racket-tail</t>
  </si>
  <si>
    <t>Prioniturus montanus</t>
  </si>
  <si>
    <t>Blue-headed Racket-tail</t>
  </si>
  <si>
    <t>Prioniturus platenae</t>
  </si>
  <si>
    <t>Mindoro Racket-tail</t>
  </si>
  <si>
    <t>Prioniturus mindorensis</t>
  </si>
  <si>
    <t>Blue-winged Racket-tail</t>
  </si>
  <si>
    <t>Prioniturus verticalis</t>
  </si>
  <si>
    <t>Green Racket-tail</t>
  </si>
  <si>
    <t>Prioniturus luconensis</t>
  </si>
  <si>
    <t>Blue-crowned Racket-tail</t>
  </si>
  <si>
    <t>Prioniturus discurus</t>
  </si>
  <si>
    <t>Great-billed Parrot</t>
  </si>
  <si>
    <t>Tanygnathus megalorynchos</t>
  </si>
  <si>
    <t>Blue-naped Parrot</t>
  </si>
  <si>
    <t>Tanygnathus lucionensis</t>
  </si>
  <si>
    <t xml:space="preserve">Near endemic: also breeds on Talaud Islands, Indonesia, and Sabah, Malaysia </t>
  </si>
  <si>
    <t>Blue-backed Parrot</t>
  </si>
  <si>
    <t>Rose-ringed Parakeet</t>
  </si>
  <si>
    <t>Psittacula krameri</t>
  </si>
  <si>
    <t>AF, OR : w, c, e AF, Pakistan to Myanmar</t>
  </si>
  <si>
    <t>Mindanao Lorikeet</t>
  </si>
  <si>
    <t>Trichoglossus johnstoniae</t>
  </si>
  <si>
    <t>Guaiabero</t>
  </si>
  <si>
    <t>Bolbopsittacus lunulatus</t>
  </si>
  <si>
    <t>Loriculus philippensis</t>
  </si>
  <si>
    <t>Camiguin Hanging Parrot</t>
  </si>
  <si>
    <t>Loriculus camiguinensis</t>
  </si>
  <si>
    <t>Eurylaimidae</t>
  </si>
  <si>
    <t>Wattled Broadbill</t>
  </si>
  <si>
    <t>Sarcophanops steerii</t>
  </si>
  <si>
    <t>Visayan Broadbill</t>
  </si>
  <si>
    <t>Sarcophanops samarensis</t>
  </si>
  <si>
    <t>Pittas</t>
  </si>
  <si>
    <t>Pittidae</t>
  </si>
  <si>
    <t>Whiskered Pitta</t>
  </si>
  <si>
    <t>Erythropitta kochi</t>
  </si>
  <si>
    <t>Philippine Pitta</t>
  </si>
  <si>
    <t>Erythropitta erythrogaster</t>
  </si>
  <si>
    <t>Pitta sordida</t>
  </si>
  <si>
    <t>Azure-breasted Pitta</t>
  </si>
  <si>
    <t>Pitta steerii</t>
  </si>
  <si>
    <t>Fairy Pitta</t>
  </si>
  <si>
    <t>Pitta nympha</t>
  </si>
  <si>
    <t>Blue-winged Pitta</t>
  </si>
  <si>
    <t>Pitta moluccensis</t>
  </si>
  <si>
    <t>Australasian Warblers</t>
  </si>
  <si>
    <t>Acanthizidae</t>
  </si>
  <si>
    <t>Golden-bellied Gerygone</t>
  </si>
  <si>
    <t>Gerygone sulphurea</t>
  </si>
  <si>
    <t>Artamidae</t>
  </si>
  <si>
    <t>White-breasted Woodswallow</t>
  </si>
  <si>
    <t>Artamus leucorynchus</t>
  </si>
  <si>
    <t>Ioras</t>
  </si>
  <si>
    <t>Aegithinidae</t>
  </si>
  <si>
    <t>Common Iora</t>
  </si>
  <si>
    <t>Aegithina tiphia</t>
  </si>
  <si>
    <t>Cuckooshrikes</t>
  </si>
  <si>
    <t>Campephagidae</t>
  </si>
  <si>
    <t>Fiery Minivet</t>
  </si>
  <si>
    <t>Pericrocotus igneus</t>
  </si>
  <si>
    <t>Scarlet Minivet</t>
  </si>
  <si>
    <t>Pericrocotus speciosus</t>
  </si>
  <si>
    <t>OR : Himalayas to Indonesia, Philippines</t>
  </si>
  <si>
    <t>Ashy Minivet</t>
  </si>
  <si>
    <t>Pericrocotus divaricatus</t>
  </si>
  <si>
    <t>Bar-bellied Cuckooshrike</t>
  </si>
  <si>
    <t>Coracina striata</t>
  </si>
  <si>
    <t>McGregor's Cuckooshrike</t>
  </si>
  <si>
    <t>Malindangia mcgregori</t>
  </si>
  <si>
    <t>White-winged Cuckooshrike</t>
  </si>
  <si>
    <t>Edolisoma ostentum</t>
  </si>
  <si>
    <t>Blackish Cuckooshrike</t>
  </si>
  <si>
    <t>Edolisoma coerulescens</t>
  </si>
  <si>
    <t>Black-bibbed Cuckooshrike</t>
  </si>
  <si>
    <t>Edolisoma mindanense</t>
  </si>
  <si>
    <t>Black-and-white Triller</t>
  </si>
  <si>
    <t>Lalage melanoleuca</t>
  </si>
  <si>
    <t>Pied Triller</t>
  </si>
  <si>
    <t>Lalage nigra</t>
  </si>
  <si>
    <t>Black-winged Cuckooshrike</t>
  </si>
  <si>
    <t>Lalage melaschistos</t>
  </si>
  <si>
    <t>Pachycephalidae</t>
  </si>
  <si>
    <t>Mangrove Whistler</t>
  </si>
  <si>
    <t>Pachycephala cinerea</t>
  </si>
  <si>
    <t>Green-backed Whistler</t>
  </si>
  <si>
    <t>Pachycephala albiventris</t>
  </si>
  <si>
    <t>White-vented Whistler</t>
  </si>
  <si>
    <t>Pachycephala homeyeri</t>
  </si>
  <si>
    <t>Near endemic: also breeds on Siamil Island and other small islands, Sabah, Malaysia</t>
  </si>
  <si>
    <t>Yellow-bellied Whistler</t>
  </si>
  <si>
    <t>Pachycephala philippinensis</t>
  </si>
  <si>
    <t>Shrikes</t>
  </si>
  <si>
    <t>Laniidae</t>
  </si>
  <si>
    <t>Tiger Shrike</t>
  </si>
  <si>
    <t>Lanius tigrinus</t>
  </si>
  <si>
    <t>Brown Shrike</t>
  </si>
  <si>
    <t>Lanius cristatus</t>
  </si>
  <si>
    <t>Long-tailed Shrike</t>
  </si>
  <si>
    <t>Lanius schach</t>
  </si>
  <si>
    <t>Mountain Shrike</t>
  </si>
  <si>
    <t>Lanius validirostris</t>
  </si>
  <si>
    <t>Oriolidae</t>
  </si>
  <si>
    <t>Dark-throated Oriole</t>
  </si>
  <si>
    <t>Oriolus xanthonotus</t>
  </si>
  <si>
    <t>Philippine Oriole</t>
  </si>
  <si>
    <t>Oriolus steerii</t>
  </si>
  <si>
    <t>White-lored Oriole</t>
  </si>
  <si>
    <t>Oriolus albiloris</t>
  </si>
  <si>
    <t>Isabela Oriole</t>
  </si>
  <si>
    <t>Oriolus isabellae</t>
  </si>
  <si>
    <t>Black-naped Oriole</t>
  </si>
  <si>
    <t>Oriolus chinensis</t>
  </si>
  <si>
    <t>Drongos</t>
  </si>
  <si>
    <t>Dicruridae</t>
  </si>
  <si>
    <t>Black Drongo</t>
  </si>
  <si>
    <t>Dicrurus macrocercus</t>
  </si>
  <si>
    <t>Ashy Drongo</t>
  </si>
  <si>
    <t>Dicrurus leucophaeus</t>
  </si>
  <si>
    <t>Crow-billed Drongo</t>
  </si>
  <si>
    <t>Dicrurus annectens</t>
  </si>
  <si>
    <t>Balicassiao</t>
  </si>
  <si>
    <t>Dicrurus balicassius</t>
  </si>
  <si>
    <t>Hair-crested Drongo</t>
  </si>
  <si>
    <t>Dicrurus hottentottus</t>
  </si>
  <si>
    <t>Tablas Drongo</t>
  </si>
  <si>
    <t>Dicrurus menagei</t>
  </si>
  <si>
    <t>OR : Tablas (c Philippines)</t>
  </si>
  <si>
    <t>Fantails</t>
  </si>
  <si>
    <t>Rhipiduridae</t>
  </si>
  <si>
    <t>Mindanao Blue Fantail</t>
  </si>
  <si>
    <t>Rhipidura superciliaris</t>
  </si>
  <si>
    <t>Visayan Blue Fantail</t>
  </si>
  <si>
    <t>Rhipidura samarensis</t>
  </si>
  <si>
    <t>Blue-headed Fantail</t>
  </si>
  <si>
    <t>Rhipidura cyaniceps</t>
  </si>
  <si>
    <t>Tablas Fantail</t>
  </si>
  <si>
    <t>Rhipidura sauli</t>
  </si>
  <si>
    <t>Visayan Fantail</t>
  </si>
  <si>
    <t>Rhipidura albiventris</t>
  </si>
  <si>
    <t>Philippine Pied Fantail</t>
  </si>
  <si>
    <t>Rhipidura nigritorquis</t>
  </si>
  <si>
    <t>Black-and-cinnamon Fantail</t>
  </si>
  <si>
    <t>Rhipidura nigrocinnamomea</t>
  </si>
  <si>
    <t>Monarchs</t>
  </si>
  <si>
    <t>Monarchidae</t>
  </si>
  <si>
    <t>Black-naped Monarch</t>
  </si>
  <si>
    <t>Hypothymis azurea</t>
  </si>
  <si>
    <t>Short-crested Monarch</t>
  </si>
  <si>
    <t>Hypothymis helenae</t>
  </si>
  <si>
    <t>Celestial Monarch</t>
  </si>
  <si>
    <t>Hypothymis coelestis</t>
  </si>
  <si>
    <t>Amur Paradise Flycatcher</t>
  </si>
  <si>
    <t>Terpsiphone incei</t>
  </si>
  <si>
    <t>OR : c China to ne China, se Russia and North Korea</t>
  </si>
  <si>
    <t>Terpsiphone atrocaudata</t>
  </si>
  <si>
    <t>Blue Paradise Flycatcher</t>
  </si>
  <si>
    <t>Terpsiphone cyanescens</t>
  </si>
  <si>
    <t>Rufous Paradise Flycatcher</t>
  </si>
  <si>
    <t>Terpsiphone cinnamomea</t>
  </si>
  <si>
    <t>Corvidae</t>
  </si>
  <si>
    <t>Slender-billed Crow</t>
  </si>
  <si>
    <t>Corvus enca</t>
  </si>
  <si>
    <t>Large-billed Crow</t>
  </si>
  <si>
    <t>Corvus macrorhynchos</t>
  </si>
  <si>
    <t>Waxwings</t>
  </si>
  <si>
    <t>Bombycillidae</t>
  </si>
  <si>
    <t>Japanese Waxwing</t>
  </si>
  <si>
    <t>Bombycilla japonica</t>
  </si>
  <si>
    <t>Fairy Flycatchers</t>
  </si>
  <si>
    <t>Stenostiridae</t>
  </si>
  <si>
    <t>Citrine Canary-flycatcher</t>
  </si>
  <si>
    <t>Culicicapa helianthea</t>
  </si>
  <si>
    <t>Paridae</t>
  </si>
  <si>
    <t>Elegant Tit</t>
  </si>
  <si>
    <t>Pardaliparus elegans</t>
  </si>
  <si>
    <t>Palawan Tit</t>
  </si>
  <si>
    <t>Pardaliparus amabilis</t>
  </si>
  <si>
    <t>White-fronted Tit</t>
  </si>
  <si>
    <t>Sittiparus semilarvatus</t>
  </si>
  <si>
    <t>Larks</t>
  </si>
  <si>
    <t>Alaudidae</t>
  </si>
  <si>
    <t>Mirafra javanica</t>
  </si>
  <si>
    <t>Oriental Skylark</t>
  </si>
  <si>
    <t>Alauda gulgula</t>
  </si>
  <si>
    <t>OR : widespread, also c Asia</t>
  </si>
  <si>
    <t>Bulbuls</t>
  </si>
  <si>
    <t>Pycnonotidae</t>
  </si>
  <si>
    <t>Black-headed Bulbul</t>
  </si>
  <si>
    <t>Yellow-wattled Bulbul</t>
  </si>
  <si>
    <t>Yellow-vented Bulbul</t>
  </si>
  <si>
    <t>Pycnonotus goiavier</t>
  </si>
  <si>
    <t>Olive-winged Bulbul</t>
  </si>
  <si>
    <t>Pycnonotus plumosus</t>
  </si>
  <si>
    <t>Ashy-fronted Bulbul</t>
  </si>
  <si>
    <t>Pycnonotus cinereifrons</t>
  </si>
  <si>
    <t>Palawan Bulbul</t>
  </si>
  <si>
    <t>Alophoixus frater</t>
  </si>
  <si>
    <t>Sulphur-bellied Bulbul</t>
  </si>
  <si>
    <t>Iole palawanensis</t>
  </si>
  <si>
    <t>Black Bulbul</t>
  </si>
  <si>
    <t>Hypsipetes leucocephalus</t>
  </si>
  <si>
    <t>Philippine Bulbul</t>
  </si>
  <si>
    <t>Hypsipetes philippinus</t>
  </si>
  <si>
    <t>Mindoro Bulbul</t>
  </si>
  <si>
    <t>Hypsipetes mindorensis</t>
  </si>
  <si>
    <t>Visayan Bulbul</t>
  </si>
  <si>
    <t>Hypsipetes guimarasensis</t>
  </si>
  <si>
    <t>Zamboanga Bulbul</t>
  </si>
  <si>
    <t>Hypsipetes rufigularis</t>
  </si>
  <si>
    <t>Streak-breasted Bulbul</t>
  </si>
  <si>
    <t>Hypsipetes siquijorensis</t>
  </si>
  <si>
    <t>Yellowish Bulbul</t>
  </si>
  <si>
    <t>Hypsipetes everetti</t>
  </si>
  <si>
    <t>Brown-eared Bulbul</t>
  </si>
  <si>
    <t>Hypsipetes amaurotis</t>
  </si>
  <si>
    <t>Hirundinidae</t>
  </si>
  <si>
    <t>Grey-throated Martin</t>
  </si>
  <si>
    <t>Riparia chinensis</t>
  </si>
  <si>
    <t>OR : c, e, se Asia</t>
  </si>
  <si>
    <t>Sand Martin</t>
  </si>
  <si>
    <t>Riparia riparia</t>
  </si>
  <si>
    <t>Barn Swallow</t>
  </si>
  <si>
    <t>Hirundo rustica</t>
  </si>
  <si>
    <t>Pacific Swallow</t>
  </si>
  <si>
    <t>Hirundo tahitica</t>
  </si>
  <si>
    <t>Asian House Martin</t>
  </si>
  <si>
    <t>Delichon dasypus</t>
  </si>
  <si>
    <t>Striated Swallow</t>
  </si>
  <si>
    <t>Cecropis striolata</t>
  </si>
  <si>
    <t>Cettiidae</t>
  </si>
  <si>
    <t>Mountain Tailorbird</t>
  </si>
  <si>
    <t>Phyllergates cucullatus</t>
  </si>
  <si>
    <t>Rufous-headed Tailorbird</t>
  </si>
  <si>
    <t>Phyllergates heterolaemus</t>
  </si>
  <si>
    <t>Philippine Bush Warbler</t>
  </si>
  <si>
    <t>Horornis seebohmi</t>
  </si>
  <si>
    <t>Manchurian Bush Warbler</t>
  </si>
  <si>
    <t>Horornis canturians</t>
  </si>
  <si>
    <t>Sunda Bush Warbler</t>
  </si>
  <si>
    <t>Asian Stubtail</t>
  </si>
  <si>
    <t>Urosphena squameiceps</t>
  </si>
  <si>
    <t>Phylloscopidae</t>
  </si>
  <si>
    <t>Yellow-browed Warbler</t>
  </si>
  <si>
    <t>Phylloscopus inornatus</t>
  </si>
  <si>
    <t>Dusky Warbler</t>
  </si>
  <si>
    <t>Phylloscopus fuscatus</t>
  </si>
  <si>
    <t>Willow Warbler</t>
  </si>
  <si>
    <t>Phylloscopus trochilus</t>
  </si>
  <si>
    <t>Ijima's Leaf Warbler</t>
  </si>
  <si>
    <t>Phylloscopus ijimae</t>
  </si>
  <si>
    <t>Philippine Leaf Warbler</t>
  </si>
  <si>
    <t>Phylloscopus olivaceus</t>
  </si>
  <si>
    <t>Lemon-throated Leaf Warbler</t>
  </si>
  <si>
    <t>Phylloscopus cebuensis</t>
  </si>
  <si>
    <t>Japanese Leaf Warbler</t>
  </si>
  <si>
    <t>Phylloscopus xanthodryas</t>
  </si>
  <si>
    <t>Kamchatka Leaf Warbler</t>
  </si>
  <si>
    <t>Phylloscopus examinandus</t>
  </si>
  <si>
    <t>Arctic Warbler</t>
  </si>
  <si>
    <t>Phylloscopus borealis</t>
  </si>
  <si>
    <t>Yellow-breasted Warbler</t>
  </si>
  <si>
    <t>Phylloscopus montis</t>
  </si>
  <si>
    <t>Negros Leaf Warbler</t>
  </si>
  <si>
    <t>Phylloscopus nigrorum</t>
  </si>
  <si>
    <t>Acrocephalidae</t>
  </si>
  <si>
    <t>Oriental Reed Warbler</t>
  </si>
  <si>
    <t>Acrocephalus orientalis</t>
  </si>
  <si>
    <t>Clamorous Reed Warbler</t>
  </si>
  <si>
    <t>Acrocephalus stentoreus</t>
  </si>
  <si>
    <t>Black-browed Reed Warbler</t>
  </si>
  <si>
    <t>Acrocephalus bistrigiceps</t>
  </si>
  <si>
    <t>Speckled Reed Warbler</t>
  </si>
  <si>
    <t>Acrocephalus sorghophilus</t>
  </si>
  <si>
    <t>Locustellidae</t>
  </si>
  <si>
    <t>Cordillera Ground Warbler</t>
  </si>
  <si>
    <t>Robsonius rabori</t>
  </si>
  <si>
    <t>Sierra Madre Ground Warbler</t>
  </si>
  <si>
    <t>Robsonius thompsoni</t>
  </si>
  <si>
    <t>Bicol Ground Warbler</t>
  </si>
  <si>
    <t>Robsonius sorsogonensis</t>
  </si>
  <si>
    <t>Gray's Grasshopper Warbler</t>
  </si>
  <si>
    <t>Helopsaltes fasciolatus</t>
  </si>
  <si>
    <t>Pallas's Grasshopper Warbler</t>
  </si>
  <si>
    <t>Helopsaltes certhiola</t>
  </si>
  <si>
    <t>Middendorff's Grasshopper Warbler</t>
  </si>
  <si>
    <t>Helopsaltes ochotensis</t>
  </si>
  <si>
    <t>Lanceolated Warbler</t>
  </si>
  <si>
    <t>Locustella lanceolata</t>
  </si>
  <si>
    <t>Long-tailed Bush Warbler</t>
  </si>
  <si>
    <t>Locustella caudata</t>
  </si>
  <si>
    <t>Benguet Bush Warbler</t>
  </si>
  <si>
    <t>Locustella seebohmi</t>
  </si>
  <si>
    <t>Tawny Grassbird</t>
  </si>
  <si>
    <t>Cincloramphus timoriensis</t>
  </si>
  <si>
    <t>Striated Grassbird</t>
  </si>
  <si>
    <t>Megalurus palustris</t>
  </si>
  <si>
    <t>Cisticolidae</t>
  </si>
  <si>
    <t>Zitting Cisticola</t>
  </si>
  <si>
    <t>Cisticola juncidis</t>
  </si>
  <si>
    <t>Golden-headed Cisticola</t>
  </si>
  <si>
    <t>Cisticola exilis</t>
  </si>
  <si>
    <t>Timaliidae</t>
  </si>
  <si>
    <t>Visayan Miniature Babbler</t>
  </si>
  <si>
    <t>Micromacronus leytensis</t>
  </si>
  <si>
    <t>Mindanao Miniature Babbler</t>
  </si>
  <si>
    <t>Micromacronus sordidus</t>
  </si>
  <si>
    <t>Philippine Tailorbird</t>
  </si>
  <si>
    <t>Orthotomus castaneiceps</t>
  </si>
  <si>
    <t>Trilling Tailorbird</t>
  </si>
  <si>
    <t>Orthotomus chloronotus</t>
  </si>
  <si>
    <t>Rufous-fronted Tailorbird</t>
  </si>
  <si>
    <t>Orthotomus frontalis</t>
  </si>
  <si>
    <t>Grey-backed Tailorbird</t>
  </si>
  <si>
    <t>Orthotomus derbianus</t>
  </si>
  <si>
    <t>Rufous-tailed Tailorbird</t>
  </si>
  <si>
    <t>Orthotomus sericeus</t>
  </si>
  <si>
    <t>Ashy Tailorbird</t>
  </si>
  <si>
    <t>Orthotomus ruficeps</t>
  </si>
  <si>
    <t>White-eared Tailorbird</t>
  </si>
  <si>
    <t>Orthotomus cinereiceps</t>
  </si>
  <si>
    <t>Black-headed Tailorbird</t>
  </si>
  <si>
    <t>Orthotomus nigriceps</t>
  </si>
  <si>
    <t>Yellow-breasted Tailorbird</t>
  </si>
  <si>
    <t>Orthotomus samarensis</t>
  </si>
  <si>
    <t>Pin-striped Tit-Babbler</t>
  </si>
  <si>
    <t>Bold-striped Tit-Babbler</t>
  </si>
  <si>
    <t>Brown Tit-Babbler</t>
  </si>
  <si>
    <t>Macronus striaticeps</t>
  </si>
  <si>
    <t>Ground Babblers</t>
  </si>
  <si>
    <t>Pellorneidae</t>
  </si>
  <si>
    <t>Striated Wren-Babbler</t>
  </si>
  <si>
    <t>Ptilocichla mindanensis</t>
  </si>
  <si>
    <t>Falcated Wren-Babbler</t>
  </si>
  <si>
    <t>Ptilocichla falcata</t>
  </si>
  <si>
    <t>Ashy-headed Babbler</t>
  </si>
  <si>
    <t>Melodious Babbler</t>
  </si>
  <si>
    <t>Malacopteron palawanense</t>
  </si>
  <si>
    <t>White-eyes</t>
  </si>
  <si>
    <t>Zosteropidae</t>
  </si>
  <si>
    <t>Chestnut-faced Babbler</t>
  </si>
  <si>
    <t>Zosterornis whiteheadi</t>
  </si>
  <si>
    <t>Luzon Striped Babbler</t>
  </si>
  <si>
    <t>Zosterornis striatus</t>
  </si>
  <si>
    <t>Panay Striped Babbler</t>
  </si>
  <si>
    <t>Zosterornis latistriatus</t>
  </si>
  <si>
    <t>Negros Striped Babbler</t>
  </si>
  <si>
    <t>Zosterornis nigrorum</t>
  </si>
  <si>
    <t>Palawan Striped Babbler</t>
  </si>
  <si>
    <t>Zosterornis hypogrammicus</t>
  </si>
  <si>
    <t>Flame-templed Babbler</t>
  </si>
  <si>
    <t>Dasycrotapha speciosa</t>
  </si>
  <si>
    <t>Mindanao Pygmy Babbler</t>
  </si>
  <si>
    <t>Dasycrotapha plateni</t>
  </si>
  <si>
    <t>Visayan Pygmy Babbler</t>
  </si>
  <si>
    <t>Dasycrotapha pygmaea</t>
  </si>
  <si>
    <t>Golden-crowned Babbler</t>
  </si>
  <si>
    <t>Sterrhoptilus dennistouni</t>
  </si>
  <si>
    <t>Black-crowned Babbler</t>
  </si>
  <si>
    <t>Sterrhoptilus nigrocapitatus</t>
  </si>
  <si>
    <t>Rusty-crowned Babbler</t>
  </si>
  <si>
    <t>Sterrhoptilus capitalis</t>
  </si>
  <si>
    <t>Mindanao White-eye</t>
  </si>
  <si>
    <t>Warbling White-eye</t>
  </si>
  <si>
    <t>Zosterops japonicus</t>
  </si>
  <si>
    <t>Lowland White-eye</t>
  </si>
  <si>
    <t>Zosterops meyeni</t>
  </si>
  <si>
    <t>Everett's White-eye</t>
  </si>
  <si>
    <t>Zosterops everetti</t>
  </si>
  <si>
    <t>Near endemic: also breeds onTalaud island, Indonesia</t>
  </si>
  <si>
    <t>Yellowish White-eye</t>
  </si>
  <si>
    <t>Zosterops nigrorum</t>
  </si>
  <si>
    <t>Fairy-bluebirds</t>
  </si>
  <si>
    <t>Irenidae</t>
  </si>
  <si>
    <t>Philippine Fairy-bluebird</t>
  </si>
  <si>
    <t>Irena cyanogastra</t>
  </si>
  <si>
    <t>Nuthatches</t>
  </si>
  <si>
    <t>Sittidae</t>
  </si>
  <si>
    <t>Velvet-fronted Nuthatch</t>
  </si>
  <si>
    <t>Sitta frontalis</t>
  </si>
  <si>
    <t>Sulphur-billed Nuthatch</t>
  </si>
  <si>
    <t>Sitta oenochlamys</t>
  </si>
  <si>
    <t>Sturnidae</t>
  </si>
  <si>
    <t>Asian Glossy Starling</t>
  </si>
  <si>
    <t>Aplonis panayensis</t>
  </si>
  <si>
    <t>Short-tailed Starling</t>
  </si>
  <si>
    <t>Aplonis minor</t>
  </si>
  <si>
    <t>Apo Myna</t>
  </si>
  <si>
    <t>Coleto</t>
  </si>
  <si>
    <t>Sarcops calvus</t>
  </si>
  <si>
    <t>Near endemic: also breeds on Banggi Island, Sabah, Malaysia</t>
  </si>
  <si>
    <t>Common Hill Myna</t>
  </si>
  <si>
    <t>Gracula religiosa</t>
  </si>
  <si>
    <t>Crested Myna</t>
  </si>
  <si>
    <t>Acridotheres cristatellus</t>
  </si>
  <si>
    <t>Introduced around 1850</t>
  </si>
  <si>
    <t>Common Myna</t>
  </si>
  <si>
    <t>Acridotheres tristis</t>
  </si>
  <si>
    <t>Red-billed Starling</t>
  </si>
  <si>
    <t>Spodiopsar sericeus</t>
  </si>
  <si>
    <t>White-cheeked Starling</t>
  </si>
  <si>
    <t>Spodiopsar cineraceus</t>
  </si>
  <si>
    <t>Daurian Starling</t>
  </si>
  <si>
    <t>Agropsar sturninus</t>
  </si>
  <si>
    <t>Chestnut-cheeked Starling</t>
  </si>
  <si>
    <t>Agropsar philippensis</t>
  </si>
  <si>
    <t>White-shouldered Starling</t>
  </si>
  <si>
    <t>Sturnia sinensis</t>
  </si>
  <si>
    <t>OR : s China to Cambodia and Vietnam</t>
  </si>
  <si>
    <t>Rosy Starling</t>
  </si>
  <si>
    <t>Pastor roseus</t>
  </si>
  <si>
    <t>Common Starling</t>
  </si>
  <si>
    <t>Sturnus vulgaris</t>
  </si>
  <si>
    <t>Stripe-headed Rhabdornis</t>
  </si>
  <si>
    <t>Rhabdornis mystacalis</t>
  </si>
  <si>
    <t>Stripe-breasted Rhabdornis</t>
  </si>
  <si>
    <t>Rhabdornis inornatus</t>
  </si>
  <si>
    <t>Grand Rhabdornis</t>
  </si>
  <si>
    <t>Rhabdornis grandis</t>
  </si>
  <si>
    <t>Thrushes</t>
  </si>
  <si>
    <t>Turdidae</t>
  </si>
  <si>
    <t>Chestnut-capped Thrush</t>
  </si>
  <si>
    <t>Geokichla interpres</t>
  </si>
  <si>
    <t>Ashy Thrush</t>
  </si>
  <si>
    <t>Geokichla cinerea</t>
  </si>
  <si>
    <t>Siberian Thrush</t>
  </si>
  <si>
    <t>Geokichla sibirica</t>
  </si>
  <si>
    <t>Sunda Thrush</t>
  </si>
  <si>
    <t>Zoothera andromedae</t>
  </si>
  <si>
    <t>White's Thrush</t>
  </si>
  <si>
    <t>Zoothera aurea</t>
  </si>
  <si>
    <t>Grey-backed Thrush</t>
  </si>
  <si>
    <t>Turdus hortulorum</t>
  </si>
  <si>
    <t>Chinese Blackbird</t>
  </si>
  <si>
    <t>Turdus mandarinus</t>
  </si>
  <si>
    <t>Island Thrush</t>
  </si>
  <si>
    <t>Turdus poliocephalus</t>
  </si>
  <si>
    <t>Eyebrowed Thrush</t>
  </si>
  <si>
    <t>Turdus obscurus</t>
  </si>
  <si>
    <t>Pale Thrush</t>
  </si>
  <si>
    <t>Turdus pallidus</t>
  </si>
  <si>
    <t>Brown-headed Thrush</t>
  </si>
  <si>
    <t>Turdus chrysolaus</t>
  </si>
  <si>
    <t>Naumann's Thrush</t>
  </si>
  <si>
    <t>Turdus naumanni</t>
  </si>
  <si>
    <t>Dusky Thrush</t>
  </si>
  <si>
    <t>Turdus eunomus</t>
  </si>
  <si>
    <t>Muscicapidae</t>
  </si>
  <si>
    <t>Philippine Magpie-Robin</t>
  </si>
  <si>
    <t>Copsychus mindanensis</t>
  </si>
  <si>
    <t>White-browed Shama</t>
  </si>
  <si>
    <t>Copsychus luzoniensis</t>
  </si>
  <si>
    <t>White-vented Shama</t>
  </si>
  <si>
    <t>Copsychus niger</t>
  </si>
  <si>
    <t>Black Shama</t>
  </si>
  <si>
    <t>Copsychus cebuensis</t>
  </si>
  <si>
    <t>Grey-streaked Flycatcher</t>
  </si>
  <si>
    <t>Muscicapa griseisticta</t>
  </si>
  <si>
    <t>Dark-sided Flycatcher</t>
  </si>
  <si>
    <t>Muscicapa sibirica</t>
  </si>
  <si>
    <t>Asian Brown Flycatcher</t>
  </si>
  <si>
    <t>Muscicapa dauurica</t>
  </si>
  <si>
    <t>Ashy-breasted Flycatcher</t>
  </si>
  <si>
    <t>Muscicapa randi</t>
  </si>
  <si>
    <t>Ferruginous Flycatcher</t>
  </si>
  <si>
    <t>Muscicapa ferruginea</t>
  </si>
  <si>
    <t>Blue-breasted Blue Flycatcher</t>
  </si>
  <si>
    <t>Cyornis herioti</t>
  </si>
  <si>
    <t>Palawan Blue Flycatcher</t>
  </si>
  <si>
    <t>Cyornis lemprieri</t>
  </si>
  <si>
    <t>Mangrove Blue Flycatcher</t>
  </si>
  <si>
    <t>Cyornis rufigastra</t>
  </si>
  <si>
    <t>Cyornis ruficauda</t>
  </si>
  <si>
    <t>Blue-and-white Flycatcher</t>
  </si>
  <si>
    <t>Cyanoptila cyanomelana</t>
  </si>
  <si>
    <t>Turquoise Flycatcher</t>
  </si>
  <si>
    <t>Eumyias panayensis</t>
  </si>
  <si>
    <t>Bagobo Babbler</t>
  </si>
  <si>
    <t>Leonardina woodi</t>
  </si>
  <si>
    <t>White-browed Shortwing</t>
  </si>
  <si>
    <t>White-throated Jungle Flycatcher</t>
  </si>
  <si>
    <t>Vauriella albigularis</t>
  </si>
  <si>
    <t>White-browed Jungle Flycatcher</t>
  </si>
  <si>
    <t>Vauriella insignis</t>
  </si>
  <si>
    <t>Slaty-backed Jungle Flycatcher</t>
  </si>
  <si>
    <t>Vauriella goodfellowi</t>
  </si>
  <si>
    <t>Siberian Blue Robin</t>
  </si>
  <si>
    <t>Larvivora cyane</t>
  </si>
  <si>
    <t>Bluethroat</t>
  </si>
  <si>
    <t>Luscinia svecica</t>
  </si>
  <si>
    <t>Siberian Rubythroat</t>
  </si>
  <si>
    <t>Calliope calliope</t>
  </si>
  <si>
    <t>Red-flanked Bluetail</t>
  </si>
  <si>
    <t>Tarsiger cyanurus</t>
  </si>
  <si>
    <t>Yellow-rumped Flycatcher</t>
  </si>
  <si>
    <t>Ficedula zanthopygia</t>
  </si>
  <si>
    <t>Narcissus Flycatcher</t>
  </si>
  <si>
    <t>Ficedula narcissina</t>
  </si>
  <si>
    <t>Mugimaki Flycatcher</t>
  </si>
  <si>
    <t>Ficedula mugimaki</t>
  </si>
  <si>
    <t>Taiga Flycatcher</t>
  </si>
  <si>
    <t>Ficedula albicilla</t>
  </si>
  <si>
    <t>Little Slaty Flycatcher</t>
  </si>
  <si>
    <t>Ficedula basilanica</t>
  </si>
  <si>
    <t>Palawan Flycatcher</t>
  </si>
  <si>
    <t>Ficedula platenae</t>
  </si>
  <si>
    <t>Cryptic Flycatcher</t>
  </si>
  <si>
    <t>Ficedula crypta</t>
  </si>
  <si>
    <t>Bundok Flycatcher</t>
  </si>
  <si>
    <t>Ficedula luzoniensis</t>
  </si>
  <si>
    <t>Furtive Flycatcher</t>
  </si>
  <si>
    <t>Ficedula disposita</t>
  </si>
  <si>
    <t>Little Pied Flycatcher</t>
  </si>
  <si>
    <t>Ficedula westermanni</t>
  </si>
  <si>
    <t>Daurian Redstart</t>
  </si>
  <si>
    <t>Phoenicurus auroreus</t>
  </si>
  <si>
    <t>Luzon Water Redstart</t>
  </si>
  <si>
    <t>Phoenicurus bicolor</t>
  </si>
  <si>
    <t>Blue Rock Thrush</t>
  </si>
  <si>
    <t>Monticola solitarius</t>
  </si>
  <si>
    <t>Saxicola stejnegeri</t>
  </si>
  <si>
    <t>Pied Bush Chat</t>
  </si>
  <si>
    <t>Saxicola caprata</t>
  </si>
  <si>
    <t>Northern Wheatear</t>
  </si>
  <si>
    <t>Oenanthe oenanthe</t>
  </si>
  <si>
    <t>Leafbirds</t>
  </si>
  <si>
    <t>Chloropseidae</t>
  </si>
  <si>
    <t>Philippine Leafbird</t>
  </si>
  <si>
    <t>Chloropsis flavipennis</t>
  </si>
  <si>
    <t>Yellow-throated Leafbird</t>
  </si>
  <si>
    <t>Chloropsis palawanensis</t>
  </si>
  <si>
    <t>Flowerpeckers</t>
  </si>
  <si>
    <t>Dicaeidae</t>
  </si>
  <si>
    <t>Olive-backed Flowerpecker</t>
  </si>
  <si>
    <t>Prionochilus olivaceus</t>
  </si>
  <si>
    <t>Palawan Flowerpecker</t>
  </si>
  <si>
    <t>Prionochilus plateni</t>
  </si>
  <si>
    <t>Striped Flowerpecker</t>
  </si>
  <si>
    <t>Dicaeum aeruginosum</t>
  </si>
  <si>
    <t>Whiskered Flowerpecker</t>
  </si>
  <si>
    <t>Dicaeum proprium</t>
  </si>
  <si>
    <t>Olive-capped Flowerpecker</t>
  </si>
  <si>
    <t>Dicaeum nigrilore</t>
  </si>
  <si>
    <t>Flame-crowned Flowerpecker</t>
  </si>
  <si>
    <t>Dicaeum anthonyi</t>
  </si>
  <si>
    <t>Bicolored Flowerpecker</t>
  </si>
  <si>
    <t>Dicaeum bicolor</t>
  </si>
  <si>
    <t>Red-keeled Flowerpecker</t>
  </si>
  <si>
    <t>Dicaeum australe</t>
  </si>
  <si>
    <t>Black-belted Flowerpecker</t>
  </si>
  <si>
    <t>Dicaeum haematostictum</t>
  </si>
  <si>
    <t>Scarlet-collared Flowerpecker</t>
  </si>
  <si>
    <t>Dicaeum retrocinctum</t>
  </si>
  <si>
    <t>Cebu Flowerpecker</t>
  </si>
  <si>
    <t>Dicaeum quadricolor</t>
  </si>
  <si>
    <t>Orange-bellied Flowerpecker</t>
  </si>
  <si>
    <t>Dicaeum trigonostigma</t>
  </si>
  <si>
    <t>OR : Bangladesh to Borneo and Philippines</t>
  </si>
  <si>
    <t>Buzzing Flowerpecker</t>
  </si>
  <si>
    <t>Dicaeum hypoleucum</t>
  </si>
  <si>
    <t>Pygmy Flowerpecker</t>
  </si>
  <si>
    <t>Dicaeum pygmaeum</t>
  </si>
  <si>
    <t>Fire-breasted Flowerpecker</t>
  </si>
  <si>
    <t>Sunbirds</t>
  </si>
  <si>
    <t>Nectariniidae</t>
  </si>
  <si>
    <t>Brown-throated Sunbird</t>
  </si>
  <si>
    <t>Anthreptes malacensis</t>
  </si>
  <si>
    <t>Grey-throated Sunbird</t>
  </si>
  <si>
    <t>Anthreptes griseigularis</t>
  </si>
  <si>
    <t>Purple-throated Sunbird</t>
  </si>
  <si>
    <t>Leptocoma sperata</t>
  </si>
  <si>
    <t>Copper-throated Sunbird</t>
  </si>
  <si>
    <t>Leptocoma calcostetha</t>
  </si>
  <si>
    <t>Olive-backed Sunbird</t>
  </si>
  <si>
    <t>Cinnyris jugularis</t>
  </si>
  <si>
    <t>Grey-hooded Sunbird</t>
  </si>
  <si>
    <t>Aethopyga primigenia</t>
  </si>
  <si>
    <t>Apo Sunbird</t>
  </si>
  <si>
    <t>Aethopyga boltoni</t>
  </si>
  <si>
    <t>Lina's Sunbird</t>
  </si>
  <si>
    <t>Aethopyga linaraborae</t>
  </si>
  <si>
    <t>Flaming Sunbird</t>
  </si>
  <si>
    <t>Aethopyga flagrans</t>
  </si>
  <si>
    <t>Maroon-naped Sunbird</t>
  </si>
  <si>
    <t>Aethopyga guimarasensis</t>
  </si>
  <si>
    <t>Metallic-winged Sunbird</t>
  </si>
  <si>
    <t>Aethopyga pulcherrima</t>
  </si>
  <si>
    <t>Luzon Sunbird</t>
  </si>
  <si>
    <t>Bohol Sunbird</t>
  </si>
  <si>
    <t>Lovely Sunbird</t>
  </si>
  <si>
    <t>Aethopyga shelleyi</t>
  </si>
  <si>
    <t>Handsome Sunbird</t>
  </si>
  <si>
    <t>Aethopyga bella</t>
  </si>
  <si>
    <t>Magnificent Sunbird</t>
  </si>
  <si>
    <t>Aethopyga magnifica</t>
  </si>
  <si>
    <t>Orange-tufted Spiderhunter</t>
  </si>
  <si>
    <t>Arachnothera flammifera</t>
  </si>
  <si>
    <t>Pale Spiderhunter</t>
  </si>
  <si>
    <t>Arachnothera dilutior</t>
  </si>
  <si>
    <t>Naked-faced Spiderhunter</t>
  </si>
  <si>
    <t>Arachnothera clarae</t>
  </si>
  <si>
    <t>Passeridae</t>
  </si>
  <si>
    <t>Cinnamon Ibon</t>
  </si>
  <si>
    <t>Hypocryptadius cinnamomeus</t>
  </si>
  <si>
    <t>Eurasian Tree Sparrow</t>
  </si>
  <si>
    <t>Passer montanus</t>
  </si>
  <si>
    <t>Estrildidae</t>
  </si>
  <si>
    <t>Tawny-breasted Parrotfinch</t>
  </si>
  <si>
    <t>Erythrura hyperythra</t>
  </si>
  <si>
    <t>Pin-tailed Parrotfinch</t>
  </si>
  <si>
    <t>Erythrura prasina</t>
  </si>
  <si>
    <t>Green-faced Parrotfinch</t>
  </si>
  <si>
    <t>Erythrura viridifacies</t>
  </si>
  <si>
    <t>Red-eared Parrotfinch</t>
  </si>
  <si>
    <t>Erythrura coloria</t>
  </si>
  <si>
    <t>Dusky Munia</t>
  </si>
  <si>
    <t>Lonchura fuscans</t>
  </si>
  <si>
    <t>Scaly-breasted Munia</t>
  </si>
  <si>
    <t>Lonchura punctulata</t>
  </si>
  <si>
    <t>White-bellied Munia</t>
  </si>
  <si>
    <t>Lonchura leucogastra</t>
  </si>
  <si>
    <t>Chestnut Munia</t>
  </si>
  <si>
    <t>Lonchura atricapilla</t>
  </si>
  <si>
    <t>Java Sparrow</t>
  </si>
  <si>
    <t>Lonchura oryzivora</t>
  </si>
  <si>
    <t>Introduced in the Philippines</t>
  </si>
  <si>
    <t>Motacillidae</t>
  </si>
  <si>
    <t>Forest Wagtail</t>
  </si>
  <si>
    <t>Dendronanthus indicus</t>
  </si>
  <si>
    <t>Eastern Yellow Wagtail</t>
  </si>
  <si>
    <t>Motacilla tschutschensis</t>
  </si>
  <si>
    <t>Citrine Wagtail</t>
  </si>
  <si>
    <t>Motacilla citreola</t>
  </si>
  <si>
    <t>Grey Wagtail</t>
  </si>
  <si>
    <t>Motacilla cinerea</t>
  </si>
  <si>
    <t>White Wagtail</t>
  </si>
  <si>
    <t>Motacilla alba</t>
  </si>
  <si>
    <t>Richard's Pipit</t>
  </si>
  <si>
    <t>Anthus richardi</t>
  </si>
  <si>
    <t>Paddyfield Pipit</t>
  </si>
  <si>
    <t>Anthus rufulus</t>
  </si>
  <si>
    <t>Olive-backed Pipit</t>
  </si>
  <si>
    <t>Anthus hodgsoni</t>
  </si>
  <si>
    <t>Pechora Pipit</t>
  </si>
  <si>
    <t>Anthus gustavi</t>
  </si>
  <si>
    <t>Red-throated Pipit</t>
  </si>
  <si>
    <t>Anthus cervinus</t>
  </si>
  <si>
    <t>Buff-bellied Pipit</t>
  </si>
  <si>
    <t>Anthus rubescens</t>
  </si>
  <si>
    <t>Fringillidae</t>
  </si>
  <si>
    <t>Brambling</t>
  </si>
  <si>
    <t>Fringilla montifringilla</t>
  </si>
  <si>
    <t>Hawfinch</t>
  </si>
  <si>
    <t>Coccothraustes coccothraustes</t>
  </si>
  <si>
    <t>Chinese Grosbeak</t>
  </si>
  <si>
    <t>Eophona migratoria</t>
  </si>
  <si>
    <t>Japanese Grosbeak</t>
  </si>
  <si>
    <t>Eophona personata</t>
  </si>
  <si>
    <t>White-cheeked Bullfinch</t>
  </si>
  <si>
    <t>Pyrrhula leucogenis</t>
  </si>
  <si>
    <t>Common Rosefinch</t>
  </si>
  <si>
    <t>Carpodacus erythrinus</t>
  </si>
  <si>
    <t>Red Crossbill</t>
  </si>
  <si>
    <t>Loxia curvirostra</t>
  </si>
  <si>
    <t>Mountain Serin</t>
  </si>
  <si>
    <t>Eurasian Siskin</t>
  </si>
  <si>
    <t>Spinus spinus</t>
  </si>
  <si>
    <t>Buntings</t>
  </si>
  <si>
    <t>Emberizidae</t>
  </si>
  <si>
    <t>Chestnut-eared Bunting</t>
  </si>
  <si>
    <t>Emberiza fucata</t>
  </si>
  <si>
    <t>Little Bunting</t>
  </si>
  <si>
    <t>Emberiza pusilla</t>
  </si>
  <si>
    <t>Yellow-breasted Bunting</t>
  </si>
  <si>
    <t>Emberiza aureola</t>
  </si>
  <si>
    <t>Black-headed Bunting</t>
  </si>
  <si>
    <t>Emberiza melanocephala</t>
  </si>
  <si>
    <t>Yellow Bunting</t>
  </si>
  <si>
    <t>Emberiza sulphurata</t>
  </si>
  <si>
    <t>Black-faced Bunting</t>
  </si>
  <si>
    <t>Emberiza spodocephala</t>
  </si>
  <si>
    <t>Family English</t>
  </si>
  <si>
    <t>Non-Breeding Range IOC</t>
  </si>
  <si>
    <t>Range Clements/eBird</t>
  </si>
  <si>
    <t>Endemicity</t>
  </si>
  <si>
    <t>Review required</t>
  </si>
  <si>
    <t>Code IOC</t>
  </si>
  <si>
    <t>English Name Kennedy</t>
  </si>
  <si>
    <t>English Name Clements/eBird</t>
  </si>
  <si>
    <t>Scientific Name Clements/eBird</t>
  </si>
  <si>
    <t>Scientific Name Kennedy</t>
  </si>
  <si>
    <t>NotesIOC</t>
  </si>
  <si>
    <t>Tabon Scrubfowl</t>
  </si>
  <si>
    <t>Philippine Scrubfowl</t>
  </si>
  <si>
    <t>E Palearctic; winters to SE Asia and e China</t>
  </si>
  <si>
    <t>Blue-breasted Quail</t>
  </si>
  <si>
    <t>Asian Blue Quail</t>
  </si>
  <si>
    <t>Synoicus chinensis</t>
  </si>
  <si>
    <t>Humid forests of Palawan (sw Philippines)</t>
  </si>
  <si>
    <t>Palawan</t>
  </si>
  <si>
    <t>Sulawesi to New Guinea, Bismarck Arch. and s Philippines</t>
  </si>
  <si>
    <t>Not in Kennedy</t>
  </si>
  <si>
    <t>Brant</t>
  </si>
  <si>
    <t>Brent Goose</t>
  </si>
  <si>
    <t>ENG</t>
  </si>
  <si>
    <t>PL, TAX</t>
  </si>
  <si>
    <t>Palearctic region; winters to Near East, India and Myanmar</t>
  </si>
  <si>
    <t>n AF, OR</t>
  </si>
  <si>
    <t>S Mediterranean basin to e Asia</t>
  </si>
  <si>
    <t>se China</t>
  </si>
  <si>
    <t>Wooded ponds, swamps and streams of ne Asia</t>
  </si>
  <si>
    <t>AU</t>
  </si>
  <si>
    <t>breeds in northern and eastern Siberia; winters Japan, Korea, and eastern China</t>
  </si>
  <si>
    <t>Palearctic; winters to s Africa and Australasian region</t>
  </si>
  <si>
    <t>MA, AF, OR</t>
  </si>
  <si>
    <t>Holarctic; winters to Africa, n South America and Malay Arch.</t>
  </si>
  <si>
    <t>MA, AF, n OR</t>
  </si>
  <si>
    <t>E Siberia and Mongolia to n Japan; winters to India</t>
  </si>
  <si>
    <t>AF, n OR</t>
  </si>
  <si>
    <t>N and central Eurasia; winters to Africa and s Asia</t>
  </si>
  <si>
    <t>Philippine Islands</t>
  </si>
  <si>
    <t>Philippines</t>
  </si>
  <si>
    <t>se Asia</t>
  </si>
  <si>
    <t>Breeds ne Asia; winters to s China, Taiwan and Philippines</t>
  </si>
  <si>
    <t>Spot-billed Duck</t>
  </si>
  <si>
    <t>Chinese Spot-billed Duck</t>
  </si>
  <si>
    <t>Palearctic and N America; winters to s Eurasia and n S America</t>
  </si>
  <si>
    <t>SSP</t>
  </si>
  <si>
    <t>Green-winged Teal</t>
  </si>
  <si>
    <t>Palearctic; winters to tropical Africa, India and SE Asia</t>
  </si>
  <si>
    <t>NE Eurasia; winters to India, SE Asia and se China</t>
  </si>
  <si>
    <t>AF</t>
  </si>
  <si>
    <t>Discontinuous Palearctic; winters to India, SE Asia and e China</t>
  </si>
  <si>
    <t>N Palearctic region; winters to n Africa and s Asia</t>
  </si>
  <si>
    <t>Manchuria and extreme se Siberia; winters to s China</t>
  </si>
  <si>
    <t>southwestern Philippines (Palawan and Calamian Islands)</t>
  </si>
  <si>
    <t>Palawan (Greater)</t>
  </si>
  <si>
    <t>AS</t>
  </si>
  <si>
    <t>Javan Frogmouth</t>
  </si>
  <si>
    <t>D</t>
  </si>
  <si>
    <t>Gray Nightjar</t>
  </si>
  <si>
    <t>Caprimulgus jotaka with English name Grey Nightjar is split from C. indicus (Rasmussen &amp; Anderton 2005).</t>
  </si>
  <si>
    <t>Philippine Islands (except Palawan)</t>
  </si>
  <si>
    <t>Gray-rumped Treeswift</t>
  </si>
  <si>
    <t>Glossy Swiftlet</t>
  </si>
  <si>
    <t>Gray-rumped Swiftlet</t>
  </si>
  <si>
    <t>Philippines and Palawan (absent in Sulu Archipelago)</t>
  </si>
  <si>
    <t>Lowlands of Philippine Islands</t>
  </si>
  <si>
    <t>Island Swiflet</t>
  </si>
  <si>
    <t>Edible-nest Swiftlet</t>
  </si>
  <si>
    <t>Philippines (Cebu, Leyte, Mindanao, Negros, Biliran, Samar)</t>
  </si>
  <si>
    <t>Philippine Needletail</t>
  </si>
  <si>
    <t>Philippine Spinetail</t>
  </si>
  <si>
    <t>N Sulawesi and Philippines (absent from Palawan)</t>
  </si>
  <si>
    <t>OR, AU</t>
  </si>
  <si>
    <t>Fork-tailed Swift</t>
  </si>
  <si>
    <t>N Philippines (Luzon, Polillo and Catanduanes)</t>
  </si>
  <si>
    <t>Luzon (Greater)</t>
  </si>
  <si>
    <t>Mindanao (Greater)</t>
  </si>
  <si>
    <t>Forests of Mindoro (n-central Philippines)</t>
  </si>
  <si>
    <t>Mindoro</t>
  </si>
  <si>
    <t>Red-crested Malkoha</t>
  </si>
  <si>
    <t>N Philippines (Luzon, Marinduque and Catanduanes)</t>
  </si>
  <si>
    <t>Lepidogrammus cumingi</t>
  </si>
  <si>
    <t>India to SE Asia; winters to Greater Sundas</t>
  </si>
  <si>
    <t>Pied Cuckoo</t>
  </si>
  <si>
    <t>Common Koel</t>
  </si>
  <si>
    <t>Western Koel</t>
  </si>
  <si>
    <t>TAX</t>
  </si>
  <si>
    <t>Gould's Bronze-Cuckoo</t>
  </si>
  <si>
    <t>Chalcites minutillus</t>
  </si>
  <si>
    <t>Brush Cuckoo</t>
  </si>
  <si>
    <t>Drongo Cuckoo</t>
  </si>
  <si>
    <t>breeds from northern Pakistan to India, southern China, Myanmar, Thailand and Indochina; winters to southern India (Eastern and Western Ghats), Bangladesh, lowlands of the Thai-Malay Peninsula, Sumatra, Java, Bali, the Philippines, Borneo, and Sulawesi</t>
  </si>
  <si>
    <t>Hodgson's Hawk-Cuckoo</t>
  </si>
  <si>
    <t>D - Away from Sablayan, Mindoro and lowland sites in Mindanao and Samar</t>
  </si>
  <si>
    <t>S Himalayas to s China and Taiwan; winters to Indonesia</t>
  </si>
  <si>
    <t>Russia to Siberia, n China, Korea, Japan; winters to Australia</t>
  </si>
  <si>
    <t>Rock Pigeon</t>
  </si>
  <si>
    <t>Streptopelia dusumieri</t>
  </si>
  <si>
    <t>Red Turtle-Dove</t>
  </si>
  <si>
    <t>Red Turtle-dove</t>
  </si>
  <si>
    <t>Eastern Spotted Dove</t>
  </si>
  <si>
    <t>AS, ENG</t>
  </si>
  <si>
    <t>Reddish Cuckoo-Dove</t>
  </si>
  <si>
    <t>Asian Emerald Dove</t>
  </si>
  <si>
    <t>Grey-capped Emerald Dove</t>
  </si>
  <si>
    <t>southern Myanmar through the Thai-Malay Peninsula to Sumatra, Java, and Lombok. Also the Philippines (native or introduced?), and many feral populations, e.g. the Seychelles, the Mascarenes, Indochina, Borneo, Hawaii, and Tahiti, among others</t>
  </si>
  <si>
    <t>Forests of Mindoro (central Philippines). Status unknown</t>
  </si>
  <si>
    <t>Negros and Panay (central Philippines)</t>
  </si>
  <si>
    <t>West Visayas</t>
  </si>
  <si>
    <t>Tawitawi I. (Sulu Archipelago). Known only from two specimens collected in 1891; probably extinct</t>
  </si>
  <si>
    <t>Tawi-Tawi</t>
  </si>
  <si>
    <t>Tawitawi (Sulu Archipelago)</t>
  </si>
  <si>
    <t>Dark-eared Brown-Dove</t>
  </si>
  <si>
    <t>SE Philippines (Mindanao and Basilan)</t>
  </si>
  <si>
    <t>Dark-eared Brown-dove</t>
  </si>
  <si>
    <t>SE Asia to Philippines and Indonesia</t>
  </si>
  <si>
    <t>Pompadour Green-Pigeon</t>
  </si>
  <si>
    <t>Treron axillaris is split from Treron pompadora (Rasmussen &amp; Anderton 2005).</t>
  </si>
  <si>
    <t>Montane forests of Luzon (n Philippines)</t>
  </si>
  <si>
    <t>Luzon</t>
  </si>
  <si>
    <t>Ramphiculus marchei</t>
  </si>
  <si>
    <t>Cream-bellied Fruit-Dove</t>
  </si>
  <si>
    <t>Cream-bellied Fruit-dove</t>
  </si>
  <si>
    <t>Ramphiculus merrilli</t>
  </si>
  <si>
    <t>Ramphiculus occipitalis</t>
  </si>
  <si>
    <t>Ramphiculus leclancheri</t>
  </si>
  <si>
    <t>Negros (known from a 1953 specimen from Mt. Canlaon)</t>
  </si>
  <si>
    <t>Negros</t>
  </si>
  <si>
    <t>Highlands of Philippine Islands</t>
  </si>
  <si>
    <t>Highlands of Mindoro (central Philippines)</t>
  </si>
  <si>
    <t>Gray Imperial-Pigeon</t>
  </si>
  <si>
    <t>Lowlands of SE Asia, Malay Archipelago and Philippines</t>
  </si>
  <si>
    <t>Northern Philippines (Calayan I.)</t>
  </si>
  <si>
    <t>Calayan Isl.</t>
  </si>
  <si>
    <t>Hypotaenidia torquata</t>
  </si>
  <si>
    <t>Hypotaenidia philippensis</t>
  </si>
  <si>
    <t>Lewinia striata</t>
  </si>
  <si>
    <t>Wetlands of Luzon I. (n Philippines). Status unknown</t>
  </si>
  <si>
    <t>Luzon Rail</t>
  </si>
  <si>
    <t>Philippine Bush-hen</t>
  </si>
  <si>
    <t>Zapornia pusilla</t>
  </si>
  <si>
    <t>Zapornia fusca</t>
  </si>
  <si>
    <t>Zapornia tabuensis</t>
  </si>
  <si>
    <t>southern Thailand, Indochina, and the Philippines to coastal northern Australia and southwestern Oceania</t>
  </si>
  <si>
    <t>Amaurornis cinerea</t>
  </si>
  <si>
    <t>Lowlands of s and e Asia and Malay Archipelago</t>
  </si>
  <si>
    <t>Karekelong I. (Talaud Islands) and Philippine Islands</t>
  </si>
  <si>
    <t>Purple Swamphen</t>
  </si>
  <si>
    <t>Eurasian Moorhen</t>
  </si>
  <si>
    <t>n AF</t>
  </si>
  <si>
    <t>Common Coot</t>
  </si>
  <si>
    <t>Palearctic; winters in ne Africa and s Asia</t>
  </si>
  <si>
    <t>PHY, TAX</t>
  </si>
  <si>
    <t>Anthropoides virgo</t>
  </si>
  <si>
    <t>Eared Grebe</t>
  </si>
  <si>
    <t>Small Buttonquail</t>
  </si>
  <si>
    <t>Luzon I. (n Philippines)</t>
  </si>
  <si>
    <t>Luzon Buttonquail</t>
  </si>
  <si>
    <t>Andaman Is. and Malay Pen. to Philippines and Australasia</t>
  </si>
  <si>
    <t>Beach Thick-knee</t>
  </si>
  <si>
    <t>coastal AF, OR</t>
  </si>
  <si>
    <t>Mediterranean and sub-Saharan Africa to SE Asia and Taiwan</t>
  </si>
  <si>
    <t>Indonesia to Australia and New Zealand; winters to Philippines</t>
  </si>
  <si>
    <t>D - Away from Mindanao and Cebu</t>
  </si>
  <si>
    <t>N Africa and Eurasia; winters to South Africa and s Asia</t>
  </si>
  <si>
    <t>Palearctic; winters to n Africa, India, Myanmar and s China</t>
  </si>
  <si>
    <t>OR</t>
  </si>
  <si>
    <t>Breeds ne China and Japan; winters to India and SE Asia</t>
  </si>
  <si>
    <t>Gray-headed Lapwing</t>
  </si>
  <si>
    <t>breeds Siberia and western Alaska; winters from eastern Africa to South Asia (east to southern China) and the Hawaiian Islands, south through Asia and the tropical Paficic to Australia and New Zealand</t>
  </si>
  <si>
    <t>Asian Golden-Plover</t>
  </si>
  <si>
    <t>Holarctic; almost cosmopolitan post-breeding dispersal</t>
  </si>
  <si>
    <t>Black-bellied Plover</t>
  </si>
  <si>
    <t>Sandy coasts of SE Asia to Philippines and Indonesia</t>
  </si>
  <si>
    <t>Malay Plover</t>
  </si>
  <si>
    <t>Siberia to Manchuria and Mongolia; winters to Australasia</t>
  </si>
  <si>
    <t>Locally in Africa, Madagascar and Oriental region</t>
  </si>
  <si>
    <t>Swamps and marshes of India, SE Asia and Philippine Islands</t>
  </si>
  <si>
    <t>Breeds w Alaska; winters Hawaii and Micronesia to Polynesia</t>
  </si>
  <si>
    <t>Siberia; winters to Philippines, Indonesia and n Australia</t>
  </si>
  <si>
    <t>Breeds ne Asia; winters to Philippines, Indonesia and Australia</t>
  </si>
  <si>
    <t>NE Siberia; winters to India, SE Asia, Philippines and Australia</t>
  </si>
  <si>
    <t>Breeds n Palearctic; winters to s Africa, s Asia and Australia</t>
  </si>
  <si>
    <t>Breeds ne Siberia; winters in Australasia and Polynesia</t>
  </si>
  <si>
    <t>Arctic Siberia; winters to s Africa, SE Asia and Australasia</t>
  </si>
  <si>
    <t>N Palearctic; winters to Africa, Indonesia and Philippines</t>
  </si>
  <si>
    <t>NE Palearctic; winters SE Asia to Philippines and Australia</t>
  </si>
  <si>
    <t>Breeds Siberia and Alaska; disperses to s Asia and Australasia</t>
  </si>
  <si>
    <t>Rufous-necked Stint</t>
  </si>
  <si>
    <t>N Palearctic; winters to Africa and Indian subcontinent</t>
  </si>
  <si>
    <t>Arctic N America and Siberia; winters to s S America, Australia</t>
  </si>
  <si>
    <t>Siberia and Manchuria; winters to s Asia and n Australia</t>
  </si>
  <si>
    <t>Breeds Siberia and Alaska; winters s US to Panama</t>
  </si>
  <si>
    <t>Philippines (central and n Luzon and mts. of Mindanao)</t>
  </si>
  <si>
    <t>OR, AF</t>
  </si>
  <si>
    <t>Scandinavia to Siberia; winters tropical Africa and SE Asia</t>
  </si>
  <si>
    <t>Sakhalin and Japan; winters e Australia, Tasmania, New Guinea</t>
  </si>
  <si>
    <t>Siberia; winters India to SE Asia, Indonesia and Philippines</t>
  </si>
  <si>
    <t>Pintail Snipe</t>
  </si>
  <si>
    <t>Siberia; winters India to SE Asia, Philippines and n Australia</t>
  </si>
  <si>
    <t>N Eurasia; winters to s Africa, s Asia, Philippines, n Australia</t>
  </si>
  <si>
    <t>Holarctic circumpolar; winters at sea in southern hemisphere</t>
  </si>
  <si>
    <t>Palearctic; winters to s Africa, c Asia, Philippines and Australia</t>
  </si>
  <si>
    <t>N Eurasia; winters to s Africa, s Asia, Philippines and Australia</t>
  </si>
  <si>
    <t>Mountains of Siberia; winters to SE Asia and Australasia</t>
  </si>
  <si>
    <t>TAX, SEQ</t>
  </si>
  <si>
    <t>Gray-tailed Tattler</t>
  </si>
  <si>
    <t>Palearctic; winters to s Africa, s Asia and Australasia</t>
  </si>
  <si>
    <t>Breeds n Eurasia; winters to s Africa, s Asia and Australia</t>
  </si>
  <si>
    <t>Breeds n Eurasia; winters Mediterranean region to SE Asia</t>
  </si>
  <si>
    <t>Palearctic; winters to s Africa, s Asia, Philippines and Australia</t>
  </si>
  <si>
    <t>E Siberia; winters SE Asia to Philippines and Indonesia</t>
  </si>
  <si>
    <t>Spotted Greenshank</t>
  </si>
  <si>
    <t>E Asia; winters India to SE Asia, Philippines and Australasia</t>
  </si>
  <si>
    <t>PHY, ENG</t>
  </si>
  <si>
    <t>Common White Tern</t>
  </si>
  <si>
    <t>N Palearctic; winters to Africa, s Asia and e North America</t>
  </si>
  <si>
    <t>Larus ridibundus</t>
  </si>
  <si>
    <t>Coastal e China; winters South Korea and s Japan to n Vietnam</t>
  </si>
  <si>
    <t>Saundersilarus saundersi</t>
  </si>
  <si>
    <t>Larus atricilla</t>
  </si>
  <si>
    <t>W-central N America; winters Pacific coasts of S America</t>
  </si>
  <si>
    <t>Larus pipixcan</t>
  </si>
  <si>
    <t>Coastal Siberia, Kuril Islands, Korea, China and Japan</t>
  </si>
  <si>
    <t>Herring Gull</t>
  </si>
  <si>
    <t>*Larus argentatus</t>
  </si>
  <si>
    <t>Breeds ne Siberia to Japan; winters south to Taiwan</t>
  </si>
  <si>
    <t>Common Gull-billed Tern</t>
  </si>
  <si>
    <t>Cosmopolitan—wide distribution worldwide</t>
  </si>
  <si>
    <t>Great Crested Tern</t>
  </si>
  <si>
    <t>Coastal e China; winters to Thailand, Borneo and Moluccas</t>
  </si>
  <si>
    <t>Alaska and Siberia; winters to Singapore and Indonesia</t>
  </si>
  <si>
    <t>IO, s PO</t>
  </si>
  <si>
    <t>Palearctic; winters to Africa, s Asia and Australasia</t>
  </si>
  <si>
    <t>Circumpolar Arctic tundra; winters at sea in southern oceans</t>
  </si>
  <si>
    <t>Arctic Jaeger</t>
  </si>
  <si>
    <t>Breeds w Hawaiian and Revillagigedo islands; ranges n Pacific</t>
  </si>
  <si>
    <t>Breeds islands off Japan; disperses to n Indian Ocean</t>
  </si>
  <si>
    <t>Hydrobates monorhis</t>
  </si>
  <si>
    <t>Hydrobates leucorhous</t>
  </si>
  <si>
    <t>Hawaiian Islands; ranges south to Polynesia</t>
  </si>
  <si>
    <t>PHY</t>
  </si>
  <si>
    <t>Dark-rumped Petrel</t>
  </si>
  <si>
    <t>Volcano, Bonin and w Hawaiian islands; ranges to Polynesia</t>
  </si>
  <si>
    <t>Breeds coastal islands off Japan and China; ranges to s Pacific</t>
  </si>
  <si>
    <t>S Australia and Tasmania; winters to n Pacific</t>
  </si>
  <si>
    <t>Azores to Cape Verde, Johnston and nw Hawaiian islands</t>
  </si>
  <si>
    <t>Central and s Eurasia; s Africa; winters to c Africa and India</t>
  </si>
  <si>
    <t>Asian Woollyneck</t>
  </si>
  <si>
    <t>Siberia, Manchuria and Korea; winters to s China and n India</t>
  </si>
  <si>
    <t>Christmas I.; ranges to s China Sea and Australia</t>
  </si>
  <si>
    <t>D - Non-adult</t>
  </si>
  <si>
    <t>Christmas Frigatebird</t>
  </si>
  <si>
    <t>India to SE Asia, Malay Archipelago and Philippine Islands</t>
  </si>
  <si>
    <t>Darter</t>
  </si>
  <si>
    <t>India to SE Asia; winters to e China, Sumatra and Philippines</t>
  </si>
  <si>
    <t>Locally in e N and s S America, Africa, Eurasia to Australasia</t>
  </si>
  <si>
    <t>Breeds ne China and Korea; winters to SE Asia</t>
  </si>
  <si>
    <t>Great Bittern</t>
  </si>
  <si>
    <t>S Asia, Malay Archipelago, New Guinea region and s Oceania</t>
  </si>
  <si>
    <t>E Asia; winters to SE Asia, Philippines and Greater Sundas</t>
  </si>
  <si>
    <t>Schrenck's Bittern</t>
  </si>
  <si>
    <t>India to SE Asia, Philippines and Indonesia</t>
  </si>
  <si>
    <t>Ixobrychus flavicollis</t>
  </si>
  <si>
    <t>S Japan; winters se China to Ryukyu Islands and Indonesia</t>
  </si>
  <si>
    <t>Malay Night-heron</t>
  </si>
  <si>
    <t>Rufous Night-Heron</t>
  </si>
  <si>
    <t>Nankeen Night Heron</t>
  </si>
  <si>
    <t>Rufous Night-heron</t>
  </si>
  <si>
    <t>Little Heron</t>
  </si>
  <si>
    <t>Lowlands of s Asia; winters to Greater Sundas</t>
  </si>
  <si>
    <t>Cattle Egret</t>
  </si>
  <si>
    <t>Eastern Cattle Egret</t>
  </si>
  <si>
    <t>Gray Heron</t>
  </si>
  <si>
    <t>PS</t>
  </si>
  <si>
    <t>Great White Egret</t>
  </si>
  <si>
    <t>PHY, TAX, ENG</t>
  </si>
  <si>
    <t>Eastern Reef-Egret</t>
  </si>
  <si>
    <t>Pacific Reef-egret</t>
  </si>
  <si>
    <t>E Asia; winters to SE Asia, Philippines and Indonesia</t>
  </si>
  <si>
    <t>Lowlands of India to SE Asia and Philippines</t>
  </si>
  <si>
    <t>Breeds s Eurasia; winters to India</t>
  </si>
  <si>
    <t>Australia and Tasmania; winters to New Guinea region</t>
  </si>
  <si>
    <t>Osprey</t>
  </si>
  <si>
    <t>Black-shouldered Kite</t>
  </si>
  <si>
    <t>Oriental Honeybuzzard</t>
  </si>
  <si>
    <t>Oriental Honey-buzzard</t>
  </si>
  <si>
    <t>n AF, India, China and se Asia</t>
  </si>
  <si>
    <t>Mediterranean basin environs to e Asia</t>
  </si>
  <si>
    <t>Crested Serpent-Eagle</t>
  </si>
  <si>
    <t>Forests of larger Philippine Islands (except Palawan)</t>
  </si>
  <si>
    <t>Philippines (Luzon, Leyte, Samar and Mindanao)</t>
  </si>
  <si>
    <t>Luzon (Philippine Islands)</t>
  </si>
  <si>
    <t>North Philippine Hawk-eagle</t>
  </si>
  <si>
    <t>Negros, Samar, Mindanao, Bohol, Biliran, Basilan, and Siquijor (Philippine Islands)</t>
  </si>
  <si>
    <t>South Philippine Hawk-eagle</t>
  </si>
  <si>
    <t>e OR</t>
  </si>
  <si>
    <t>China and Korea; winters to SE Asia, Philippines and Indonesia</t>
  </si>
  <si>
    <t>Chinese Goshawk</t>
  </si>
  <si>
    <t>OR, ne AF</t>
  </si>
  <si>
    <t>E Asia; winters to s Asia, Philippines and Greater Sundas</t>
  </si>
  <si>
    <t>Coasts and islands of s Asia to Philippines and Australia</t>
  </si>
  <si>
    <t>Lowlands of India to SE Asia, Borneo, Java and Philippines</t>
  </si>
  <si>
    <t>Gray-headed Fish-Eagle</t>
  </si>
  <si>
    <t>Icthyophaga ichthyaetus</t>
  </si>
  <si>
    <t>NE Asia; winters SE Asia to Philippines and Indonesia</t>
  </si>
  <si>
    <t>Gray-faced Buzzard</t>
  </si>
  <si>
    <t>Common Buzzard</t>
  </si>
  <si>
    <t>Japanese Buzzard</t>
  </si>
  <si>
    <t>Grass Owl</t>
  </si>
  <si>
    <t>Australasian Grass-Owl</t>
  </si>
  <si>
    <t>S Philippines (Mindanao, Dinagat and Siargao)</t>
  </si>
  <si>
    <t>PHY, TAX, SEQ</t>
  </si>
  <si>
    <t>Palawan (sw Philippines)</t>
  </si>
  <si>
    <t>Philippines (Luzon, Catanduanes and Marinduque)</t>
  </si>
  <si>
    <t>Philippine Scops-Owl</t>
  </si>
  <si>
    <t>Luzon Lowland Scops-owl</t>
  </si>
  <si>
    <t>Mindanao Lowland Scops-owl</t>
  </si>
  <si>
    <t>Philippines (Panay and Negros)</t>
  </si>
  <si>
    <t>Visayan Scops-owl</t>
  </si>
  <si>
    <t>Montane rainforests of Mindanao (s Philippines)</t>
  </si>
  <si>
    <t>Mindanao</t>
  </si>
  <si>
    <t>Mindanao Highland Scops-owl</t>
  </si>
  <si>
    <t>Luzon Highland Scops-owl</t>
  </si>
  <si>
    <t>Montane forests of Mindoro (Philippines)</t>
  </si>
  <si>
    <t>Brown Boobook</t>
  </si>
  <si>
    <t>Philippine Islands, Sulu Archipelago and Talaud Archipelago</t>
  </si>
  <si>
    <t>TAX, ENG</t>
  </si>
  <si>
    <t>Philippine Hawk-Owl</t>
  </si>
  <si>
    <t>Luzon Boobook</t>
  </si>
  <si>
    <t>Philippines (Basilan, Mindanao, Siargao and Dinagat)</t>
  </si>
  <si>
    <t>Mindanao Boobook</t>
  </si>
  <si>
    <t>Philippines (Mindoro)</t>
  </si>
  <si>
    <t>Mindoro Boobook</t>
  </si>
  <si>
    <t>Romblon (Greater)</t>
  </si>
  <si>
    <t>Romblon Boobook</t>
  </si>
  <si>
    <t>Philippines (Cebu)</t>
  </si>
  <si>
    <t>Cebu</t>
  </si>
  <si>
    <t>NEW</t>
  </si>
  <si>
    <t>Cebu Boobook</t>
  </si>
  <si>
    <t>Philippines (Camiguin Sur)</t>
  </si>
  <si>
    <t>Camiguin Sur</t>
  </si>
  <si>
    <t>Camiguin Boobook</t>
  </si>
  <si>
    <t>Philippines (Sulu Archipelago on Sulu, Siasi, Tawi Tawi, and Sibutu)</t>
  </si>
  <si>
    <t>Sulu (Greater)</t>
  </si>
  <si>
    <t>Sulu Boobook</t>
  </si>
  <si>
    <t>Hoopoe</t>
  </si>
  <si>
    <t>Northern Rufous Hornbill</t>
  </si>
  <si>
    <t>SW Philippines (Palawan, Balabac, Busuanga and Calauit)</t>
  </si>
  <si>
    <t>Sulu Archipelago (Jolo, Tawitawi and Sanga Sanga)</t>
  </si>
  <si>
    <t>Central Philippines (Panay, Guimaras and Negros)</t>
  </si>
  <si>
    <t>Writhe-billed Hornbill</t>
  </si>
  <si>
    <t>Rufous-headed Hornbill</t>
  </si>
  <si>
    <t>S Philippines (Camiguin, Dinagat and Mindanao)</t>
  </si>
  <si>
    <t>Philippines (Luzon, Marinduque and Catanduanes)`</t>
  </si>
  <si>
    <t>Tarictic Hornbill</t>
  </si>
  <si>
    <t>Mindoro (central Philippines)</t>
  </si>
  <si>
    <t>Philippines (Samar, Leyte, Calicoan and Bohol)</t>
  </si>
  <si>
    <t>Revise English name of Penelopides panini to avoid confusion since all members of the genus have been called "Tarictic" Hornbills; geographical name conforms to other species.</t>
  </si>
  <si>
    <t>Dollarbird</t>
  </si>
  <si>
    <t>Spotted Kingfisher</t>
  </si>
  <si>
    <t>Forests of Mindanao (s Philippines)</t>
  </si>
  <si>
    <t>Blue-capped Wood-Kingfisher</t>
  </si>
  <si>
    <t>Blue-capped Kingfisher</t>
  </si>
  <si>
    <t>Hombron's Kingfisher</t>
  </si>
  <si>
    <t>Halcyon gularis</t>
  </si>
  <si>
    <t>Manchuria, Korea and China to s India, Malaya and Sulu Arch.</t>
  </si>
  <si>
    <t>Winchell's Kingfisher</t>
  </si>
  <si>
    <t>AS, PS</t>
  </si>
  <si>
    <t>White-collared Kingfisher</t>
  </si>
  <si>
    <t>Ceyx rufidorsa</t>
  </si>
  <si>
    <t>North Philippine Dwarf-kingfisher</t>
  </si>
  <si>
    <t>Central and s Philippines</t>
  </si>
  <si>
    <t>Variable Dwarf-Kingfisher</t>
  </si>
  <si>
    <t>Northern Indigo-banded Kingfisher</t>
  </si>
  <si>
    <t>S Philippines (Basilan, Dinagat and Mindanao)</t>
  </si>
  <si>
    <t>Silvery Kingfisher</t>
  </si>
  <si>
    <t>Central Philippines (Bohol, Samar and Leyte)</t>
  </si>
  <si>
    <t>to Thai-Malay Pen., Greater Sundas and Timor</t>
  </si>
  <si>
    <t>India to s China, SE Asia, New Guinea and Indonesia</t>
  </si>
  <si>
    <t>Rufous-crowned Bee-eater</t>
  </si>
  <si>
    <t>Merops americanus</t>
  </si>
  <si>
    <t>Picoides maculatus</t>
  </si>
  <si>
    <t>Sulu Arch. (Bongao, Jolo, Tawitawi, Sanga Sanga and Sibutu)</t>
  </si>
  <si>
    <t>AS, SSP</t>
  </si>
  <si>
    <t>Picoides ramsayi</t>
  </si>
  <si>
    <t>S Philippines (Balabac, Palawan and Calamian Islands)</t>
  </si>
  <si>
    <t>Common Flameback</t>
  </si>
  <si>
    <t>Greater Flameback</t>
  </si>
  <si>
    <t>N Philippines (Luzon, Polillo, Catanduanes and Marinduque)</t>
  </si>
  <si>
    <t>Philippines (Negros, Guimaras, Panay, Masbate and Ticao)</t>
  </si>
  <si>
    <t>Philippines (Balabac, Palawan, Busuanga and Calamian Is.)</t>
  </si>
  <si>
    <t>Northern Sooty Woodpecker</t>
  </si>
  <si>
    <t>Eurasian Kestrel</t>
  </si>
  <si>
    <t>Steppes of ne Asia; winters from Malawi to South Africa</t>
  </si>
  <si>
    <t>n OR, n LA</t>
  </si>
  <si>
    <t>s AF, n OR</t>
  </si>
  <si>
    <t>S Asia, Malay Arch. and New Guinea region; winters to s India</t>
  </si>
  <si>
    <t>Forests and scrub of Philippine Islands and Palawan</t>
  </si>
  <si>
    <t>Philippine Cockatoo</t>
  </si>
  <si>
    <t>Mountains of Mindanao (s Philippines)</t>
  </si>
  <si>
    <t>Montane Racquet-tail</t>
  </si>
  <si>
    <t>Mindanao Racquet-tail</t>
  </si>
  <si>
    <t>Mountains of Luzon (n Philippines)</t>
  </si>
  <si>
    <t>Luzon Racquet-tail</t>
  </si>
  <si>
    <t>S Philippines (Balabac, Palawan, Calamian and adj. islands)</t>
  </si>
  <si>
    <t>Blue-headed Racquet-tail</t>
  </si>
  <si>
    <t>Mindoro (n-central Philippines)</t>
  </si>
  <si>
    <t>Blue-crowned Racquet-tail</t>
  </si>
  <si>
    <t>Mindoro Racquet-tail</t>
  </si>
  <si>
    <t>Sulu Archipelago</t>
  </si>
  <si>
    <t>Blue-winged Racquet-tail</t>
  </si>
  <si>
    <t>Sulu Racquet-tail</t>
  </si>
  <si>
    <t>N Philippines (lowlands of Luzon and Marinduque)</t>
  </si>
  <si>
    <t>Green Racquet-tail</t>
  </si>
  <si>
    <t>Montane forests of Mindanao (s Philippines)</t>
  </si>
  <si>
    <t>Colasisi</t>
  </si>
  <si>
    <t>Philippine Hanging Parrot</t>
  </si>
  <si>
    <t>Camiguin (Philippines)</t>
  </si>
  <si>
    <t>Mindanao Wattled Broadbill</t>
  </si>
  <si>
    <t>C Philippines (Leyte, Samar and Bohol)</t>
  </si>
  <si>
    <t>Visayan Wattled Broadbill</t>
  </si>
  <si>
    <t>Mountains of n Luzon (n Philippines)</t>
  </si>
  <si>
    <t>Red-bellied Pitta</t>
  </si>
  <si>
    <t>Western Hooded Pitta</t>
  </si>
  <si>
    <t>Steere's Pitta</t>
  </si>
  <si>
    <t>S Japan to Korea and se China; winters to SE Asia and Borneo</t>
  </si>
  <si>
    <t>SE Asia to Borneo; winters to Gr. Sundas; vagrant to nw Australia</t>
  </si>
  <si>
    <t>Golden-bellied Flyeater</t>
  </si>
  <si>
    <t>Small Minivet</t>
  </si>
  <si>
    <t>Pericrocotus flammeus</t>
  </si>
  <si>
    <t>Pericrocotus speciosus is split from P. flammeus (Rasmussen &amp; Anderton 2005).</t>
  </si>
  <si>
    <t>NE Asia; &gt;Philippines and Indonesia</t>
  </si>
  <si>
    <t>Mts. of Mindanao (s Philippines)</t>
  </si>
  <si>
    <t>C Philippines (Guimaras, Negros and Panay)</t>
  </si>
  <si>
    <t>White-winged Cicadabird</t>
  </si>
  <si>
    <t>Analisoma ostenta</t>
  </si>
  <si>
    <t>Blackish Cicadabird</t>
  </si>
  <si>
    <t>Analisoma coerulescens</t>
  </si>
  <si>
    <t>Black-bibbed Cuckoo-shrike</t>
  </si>
  <si>
    <t>Black-bibbed Cicadabird</t>
  </si>
  <si>
    <t>Northern Black-and-white Triller</t>
  </si>
  <si>
    <t>N Philippines (Luzon and Mindoro)</t>
  </si>
  <si>
    <t>NE Asia; &gt; to SE Asia, Greater Sundas and Philippines</t>
  </si>
  <si>
    <t>N Philippines (montane forests of Luzon)</t>
  </si>
  <si>
    <t>N Philippines (mountains of n Luzon)</t>
  </si>
  <si>
    <t>E Himalayas to s China; &gt; to SE Asia and Greater Sundas</t>
  </si>
  <si>
    <t>Spangled Drongo</t>
  </si>
  <si>
    <t>Philippines (Tablas)</t>
  </si>
  <si>
    <t>Tablas</t>
  </si>
  <si>
    <t>Blue Fantail</t>
  </si>
  <si>
    <t>Philippines (Bohol, Leyte and Samar)</t>
  </si>
  <si>
    <t>Philippines (Guimaras, Masbate, Negros, Panay and Ticao)</t>
  </si>
  <si>
    <t>Philippine Islands and Sulu Archipelago</t>
  </si>
  <si>
    <t>Pied Fantail</t>
  </si>
  <si>
    <t>breeds China, Manchuria and Japan; winters to Thailand, Indochina, the Thai-Malay Peninsula, and Sumatra</t>
  </si>
  <si>
    <t>Chinese Paradise-flycatcher</t>
  </si>
  <si>
    <t>se Asia and Philippines</t>
  </si>
  <si>
    <t>SW Philippines (Calamian Group and Palawan)</t>
  </si>
  <si>
    <t>Southern Rufous Paradise-flycatcher</t>
  </si>
  <si>
    <t>SE Siberia and n Manchuria; winters to s China and Ryukyu Is.</t>
  </si>
  <si>
    <t>Periparus elegans</t>
  </si>
  <si>
    <t>SW Philippines (Balabac, Calauit and Palawan)</t>
  </si>
  <si>
    <t>Periparus amabilis</t>
  </si>
  <si>
    <t>Australasian Bushlark</t>
  </si>
  <si>
    <t>Brachypodius atriceps</t>
  </si>
  <si>
    <t>Poliolophus urostictus</t>
  </si>
  <si>
    <t>SW Philippines (Palawan, Culion and Busuanga)</t>
  </si>
  <si>
    <t>SW Philippines (Balabac, Busuanga, Calamianes and Palawan)</t>
  </si>
  <si>
    <t>Grey-cheeked Bulbul</t>
  </si>
  <si>
    <t>Gray-throated Bulbul</t>
  </si>
  <si>
    <t>Mts. of Palawan (sw Philippines)</t>
  </si>
  <si>
    <t>Philippines (Mindoro and Semirara)</t>
  </si>
  <si>
    <t>Mindoro (Greater)</t>
  </si>
  <si>
    <t>Philippines (Guimaras, Masbate, Panay, Negros, Ticao, Verde)</t>
  </si>
  <si>
    <t>S Philippines (Basilan and Zamboanga Pen. of w Mindanao)</t>
  </si>
  <si>
    <t>Chestnut-eared Bulbul</t>
  </si>
  <si>
    <t>Plain Martin</t>
  </si>
  <si>
    <t>Gray-throated Martin</t>
  </si>
  <si>
    <t>Asian Plain Martin</t>
  </si>
  <si>
    <t>Riparia chinensis is split from R. paludicola (Rasmussen &amp; Anderton 2005).</t>
  </si>
  <si>
    <t>Bank Swallow</t>
  </si>
  <si>
    <t>Collared Sand Martin</t>
  </si>
  <si>
    <t>House Swallow</t>
  </si>
  <si>
    <t>Hirundo javanica</t>
  </si>
  <si>
    <t>Red-rumped Swallow</t>
  </si>
  <si>
    <t>Montane forests of n Luzon (n Philippines)</t>
  </si>
  <si>
    <t>Luzon Bush-Warbler</t>
  </si>
  <si>
    <t>SSP, TAX</t>
  </si>
  <si>
    <t>Oriental Bush-Warbler</t>
  </si>
  <si>
    <t>Korean Bush-warbler</t>
  </si>
  <si>
    <t>Breeds ne Asia; winters to SE Asia and Taiwan</t>
  </si>
  <si>
    <t>Breeds Ural Mountains east to Sea of Okhotsk, Mongolia, and Manchuria (and possibly northern Korea); winters from Nepal and Bangladesh east to southern China, Hainan, Andaman Islands, Thailand, Mayala, and southeast Asia</t>
  </si>
  <si>
    <t>Izu Islands (s Japanese Archipelago); &gt; n Philippines</t>
  </si>
  <si>
    <t>S Philippines (Samar, Leyte, Mindanao, Negros) and Sulu Arch.</t>
  </si>
  <si>
    <t>Incompletely known. Breeds Japan (Honshu, Shikoku, Kyushu); winter range uncertain</t>
  </si>
  <si>
    <t>Incompletely known. Breeds s Kamchatka, Sakhalin, Kurile Is, ne Hokkaido; winters at least to Indonesia</t>
  </si>
  <si>
    <t>breeds from northern Scandanvia east Siberia (excluding the Kamchatka Peninsula) and western Alaska, south to south central Siberia, northern Mongolia, and northeastern China (northeastern Nei Mongol and Heilongjiang); winters from southeast Asia (Myanmar east to Vietnam), southeastern China (Fujian, northern Guangdong) and Taiwan south to the Philippines and Wallacea</t>
  </si>
  <si>
    <t>Mountain Leaf-Warbler</t>
  </si>
  <si>
    <t>SE Siberia to n China; winters s Asia, n Australia and Philippines</t>
  </si>
  <si>
    <t>E Siberia to n China and n Manchuria; winters to s Asia</t>
  </si>
  <si>
    <t>Breeds ne China (Liaoning to Hubei); winters in Philippines</t>
  </si>
  <si>
    <t>Streaked Reed-Warbler</t>
  </si>
  <si>
    <t>Streaked Reed Warbler</t>
  </si>
  <si>
    <t>Streaked Reed-warbler</t>
  </si>
  <si>
    <t>northern Luzon (northernmost Ilocos Norte Province), Philippines</t>
  </si>
  <si>
    <t>Rabor's Wren-Babbler</t>
  </si>
  <si>
    <t>northeastern Luzon (Philippines)</t>
  </si>
  <si>
    <t>southeastern Luzon and Catanduanes, Philippines</t>
  </si>
  <si>
    <t>TAX, AS</t>
  </si>
  <si>
    <t>Robsonius sorsogonensis is split from R. rabori (Collar 2006a). Change English name from Grey-banded Babbler to Bicol Ground Warbler (Hosner et al. 2013).</t>
  </si>
  <si>
    <t>NE Asia; winters to Philippines, Indonesia and w New Guinea</t>
  </si>
  <si>
    <t>Locustella fasciolata</t>
  </si>
  <si>
    <t>Locustella certhiola</t>
  </si>
  <si>
    <t>Locustella ochotensis</t>
  </si>
  <si>
    <t>E Palearctic; winters to s Asia, Greater Sundas and Philippines</t>
  </si>
  <si>
    <t>Long-tailed Ground-Warbler</t>
  </si>
  <si>
    <t>Long-tailed Grasshopper-warbler</t>
  </si>
  <si>
    <t>Benguet Grasshopper-warbler</t>
  </si>
  <si>
    <t>*Bradypterus seebohmi</t>
  </si>
  <si>
    <t>Bright-capped Cisticola</t>
  </si>
  <si>
    <t>S Philippines (Leyte and Samar)</t>
  </si>
  <si>
    <t>Miniature Tit-Babbler</t>
  </si>
  <si>
    <t>Leyte Plumed-Warbler</t>
  </si>
  <si>
    <t>S Philippines (Mindanao)</t>
  </si>
  <si>
    <t>Mindanao Plumed-Warbler</t>
  </si>
  <si>
    <t>Visayan Tailorbird</t>
  </si>
  <si>
    <t>Chestnut-crowned Tailorbird</t>
  </si>
  <si>
    <t>northern and central Luzon (Philippines)</t>
  </si>
  <si>
    <t>Green-backed Tailorbird</t>
  </si>
  <si>
    <t>Gray-backed Tailorbird</t>
  </si>
  <si>
    <t>White-browed Tailorbird</t>
  </si>
  <si>
    <t>Striped Tit-Babbler</t>
  </si>
  <si>
    <t>Mixornis gularis</t>
  </si>
  <si>
    <t>PL</t>
  </si>
  <si>
    <t>Mixornis bornensis</t>
  </si>
  <si>
    <t>Streaked Ground-Babbler</t>
  </si>
  <si>
    <t>SW Philippines (Balabac and Palawan)</t>
  </si>
  <si>
    <t>Falcated Ground-Babbler</t>
  </si>
  <si>
    <t>S Philippines (Balabac and Palawan)</t>
  </si>
  <si>
    <t>Pellorneum cinereiceps</t>
  </si>
  <si>
    <t>Trichastoma cinereiceps</t>
  </si>
  <si>
    <t>Palawan Babbler</t>
  </si>
  <si>
    <t>N Philippines (n Luzon)</t>
  </si>
  <si>
    <t>Central Philippines (montane forests of Panay)</t>
  </si>
  <si>
    <t>Panay</t>
  </si>
  <si>
    <t>Philippines (montane forests of Negros)</t>
  </si>
  <si>
    <t>SW Philippines (montane forests of Palawan)</t>
  </si>
  <si>
    <t>Negros and Panay, c Philippines; population on Panay may be an undescribed subspecies</t>
  </si>
  <si>
    <t>TAX, PHY</t>
  </si>
  <si>
    <t>ENG, PHY</t>
  </si>
  <si>
    <t>Pygmy Babbler</t>
  </si>
  <si>
    <t>Philippines (Leyte and Samar)</t>
  </si>
  <si>
    <t>AS, PHY</t>
  </si>
  <si>
    <t>N Philippines (Sierra Madre Mountains of n Luzon)</t>
  </si>
  <si>
    <t>Black-masked White-eye</t>
  </si>
  <si>
    <t>Heleia goodfellowi</t>
  </si>
  <si>
    <t>ENG, AL</t>
  </si>
  <si>
    <t>Mountain White-eye</t>
  </si>
  <si>
    <t>Palawan Fairy-bluebird</t>
  </si>
  <si>
    <t>Irena tweeddalii</t>
  </si>
  <si>
    <t>Sulawesi, Java, Bali, Lesser Sundas and s Philippines (Mindanao)</t>
  </si>
  <si>
    <t>Short-tailed Glossy Starling</t>
  </si>
  <si>
    <t>Goodfellowia miranda</t>
  </si>
  <si>
    <t>Hill Myna</t>
  </si>
  <si>
    <t>Lowlands of s-central China; winters to SE Asia and Philippines</t>
  </si>
  <si>
    <t>Silky Starling</t>
  </si>
  <si>
    <t>NE Asia; winters in s China and Philippines</t>
  </si>
  <si>
    <t>Grey Starling</t>
  </si>
  <si>
    <t>SE Siberia to n Mongolia and n Korea; winters to SE Asia</t>
  </si>
  <si>
    <t>Purple-backed Starling</t>
  </si>
  <si>
    <t>S Sakhalin, Kuril Is. and n Japan; winters to Philippines, e Indies</t>
  </si>
  <si>
    <t>S China to Indochina; winters to SE Asia and n Philippines</t>
  </si>
  <si>
    <t>S-central Europe; winters primarily India and se Arabian Pen.</t>
  </si>
  <si>
    <t>European Starling</t>
  </si>
  <si>
    <t>Stripe-sided Rhabdornis</t>
  </si>
  <si>
    <t>Long-billed Rhabdornis</t>
  </si>
  <si>
    <t>Thai-Malay Peninsula, Sumatra, Java, Borneo, southwestern Philippines (Sulu Archipelago), and Lesser Sundas (Lombok, Sumbawa, and Flores)</t>
  </si>
  <si>
    <t>Chestnut-capped Ground-Thrush</t>
  </si>
  <si>
    <t>Ashy Ground-Thrush</t>
  </si>
  <si>
    <t>Patchily distributed Philippines to Sumatra, Java, Lesser Sundas</t>
  </si>
  <si>
    <t>Sunda Ground-Thrush</t>
  </si>
  <si>
    <t>Scaly Ground-Thrush</t>
  </si>
  <si>
    <t>Breeds e Siberia, Manchuria and n Korea; winters to SE Asia</t>
  </si>
  <si>
    <t>Gray-backed Thrush</t>
  </si>
  <si>
    <t>Siberia, Mongolia and Japan; winters to Indonesia and Philippines</t>
  </si>
  <si>
    <t>Japan, Taiwan and se China</t>
  </si>
  <si>
    <t>NE Siberia to Kuril Is. and Japan; winters to SE Asia and Sumatra</t>
  </si>
  <si>
    <t>se Russia and e China</t>
  </si>
  <si>
    <t>C Siberia to n Manchuria, Amurland, Sakhalin; winters to Korea</t>
  </si>
  <si>
    <t>India to Japan</t>
  </si>
  <si>
    <t>N Siberia to Kamchatka; winters to Japan, s China and Myanmar</t>
  </si>
  <si>
    <t>Philippines (except Palawan)</t>
  </si>
  <si>
    <t>Oriental Magpie-Robin</t>
  </si>
  <si>
    <t>Kittacincla luzoniensis</t>
  </si>
  <si>
    <t>S Philippines (Balabac, Busuanga, Culion, Bantac and Palawan)</t>
  </si>
  <si>
    <t>Kittacincla nigra</t>
  </si>
  <si>
    <t>Cebu (s-central Philippines)</t>
  </si>
  <si>
    <t>Kittacincla cebuensis</t>
  </si>
  <si>
    <t>SE Siberia to ne China; &gt; to New Guinea and Philippines</t>
  </si>
  <si>
    <t>Gray-streaked Flycatcher</t>
  </si>
  <si>
    <t>N Philippines (Luzon and Negros)</t>
  </si>
  <si>
    <t>Nepal to n India, s China and Taiwan; &gt; to Indochina</t>
  </si>
  <si>
    <t>Blue-breasted Flycatcher</t>
  </si>
  <si>
    <t>SW Philippines (Balabac, Calamian and Palawan)</t>
  </si>
  <si>
    <t>Mountain Verditer-Flycatcher</t>
  </si>
  <si>
    <t>S Philippines (montane forests of Mindanao)</t>
  </si>
  <si>
    <t>PHY, SEQ</t>
  </si>
  <si>
    <t>Bagobo Robin</t>
  </si>
  <si>
    <t>Philippine Shortwing</t>
  </si>
  <si>
    <t>Philippines (lowlands of Negros and Guimaras)</t>
  </si>
  <si>
    <t>Luzon Jungle-Flycatcher</t>
  </si>
  <si>
    <t>Montane forests of Mt. Apo on Mindanao (s Philippines)</t>
  </si>
  <si>
    <t>Goodfellow's Jungle-Flycatcher</t>
  </si>
  <si>
    <t>OR, n AF</t>
  </si>
  <si>
    <t>Cyanecula svecica</t>
  </si>
  <si>
    <t>Siberia to Japan; &gt; to SE Asia, Philippines and Palau Is.</t>
  </si>
  <si>
    <t>se Asia, Japan, Taiwan</t>
  </si>
  <si>
    <t>Orange-flanked Bush-robin</t>
  </si>
  <si>
    <t>Mountains of ne Asia; &gt; in SE Asia and Greater Sundas</t>
  </si>
  <si>
    <t>SE Siberia, Sakhalin and ne China; &gt; to SE Asia, Indonesia</t>
  </si>
  <si>
    <t>Siberia to Kamchatka Pen. and n Mongolia; &gt; to Borneo</t>
  </si>
  <si>
    <t>Red-breasted Flycatcher</t>
  </si>
  <si>
    <t>Red-throated Flycatcher</t>
  </si>
  <si>
    <t>Lowlands of Palawan (sw Philippines)</t>
  </si>
  <si>
    <t>Submontane forests of Mindanao (s Philippines)</t>
  </si>
  <si>
    <t>Snowy-browed Flycatcher</t>
  </si>
  <si>
    <t>Thicket Flycatcher</t>
  </si>
  <si>
    <t>Submontane forests of Luzon (n Philippines)</t>
  </si>
  <si>
    <t>Rocky streams of n Luzon (n Philippines)</t>
  </si>
  <si>
    <t>Luzon Redstart</t>
  </si>
  <si>
    <t>Philippines (Cebu, Leyte and Mindanao)</t>
  </si>
  <si>
    <t>Philippines (Balabac, Busuanga, Palawan and Calamian)</t>
  </si>
  <si>
    <t>Yellow-crowned Flowerpecker</t>
  </si>
  <si>
    <t>Bicoloured Flowerpecker</t>
  </si>
  <si>
    <t>Widespread throughout Philippine Islands</t>
  </si>
  <si>
    <t>Philippines (Panay and Negros); probably extinct on Guimaras</t>
  </si>
  <si>
    <t>N Philippines (Mindoro); vagrant to Panay and Negros</t>
  </si>
  <si>
    <t>Philippines (rediscovered 1992 after 85-year absence on Cebu)</t>
  </si>
  <si>
    <t>White-bellied Flowerpecker</t>
  </si>
  <si>
    <t>Fire-throated Flowerpecker</t>
  </si>
  <si>
    <t>Dicaeum luzoniense</t>
  </si>
  <si>
    <t>Plain-throated Sunbird</t>
  </si>
  <si>
    <t>Gray-throated Sunbird</t>
  </si>
  <si>
    <t>Mangroves and scrub of SE Asia, Palawan and Greater Sundas</t>
  </si>
  <si>
    <t>Gray-hooded Sunbird</t>
  </si>
  <si>
    <t>S Philippines (montane forests of e Mindanao)</t>
  </si>
  <si>
    <t>Basilan, Dinagat, Siargo, Biliran, Samar, Leyte and Mindanao</t>
  </si>
  <si>
    <t>N Philippines (Luzon)</t>
  </si>
  <si>
    <t>Philippines (Bohol)</t>
  </si>
  <si>
    <t>Bohol</t>
  </si>
  <si>
    <t>S Philippines (Balabac, Busuanga, Culion and Palawan)</t>
  </si>
  <si>
    <t>Philippines (Cebu, Negros, Panay, Sibuyan and Tablas)</t>
  </si>
  <si>
    <t>Crimson Sunbird</t>
  </si>
  <si>
    <t>Little Spiderhunter</t>
  </si>
  <si>
    <t>SW Philippines (Palawan)</t>
  </si>
  <si>
    <t>Palawan Spiderhunter</t>
  </si>
  <si>
    <t>S Philippines (Mts. of Mindanao)</t>
  </si>
  <si>
    <t>S Philippines (Mt. Katanglad and Mt. Apo on Mindanao)</t>
  </si>
  <si>
    <t>Borneo, Natuna, Banggi, Cagayan and Sulu islands</t>
  </si>
  <si>
    <t>Java, Bali, Lombok, Sumbawa, Kangean Is.; introd. Christmas I.</t>
  </si>
  <si>
    <t>Russian Far East to se China and s Japan; &gt;s and SE Asia</t>
  </si>
  <si>
    <t>Yellow Wagtail</t>
  </si>
  <si>
    <t>Gray Wagtail</t>
  </si>
  <si>
    <t>Olive Tree-Pipit</t>
  </si>
  <si>
    <t>Philippines to Lesser Sundas</t>
  </si>
  <si>
    <t>Tundra of n Palearctic, Alaska; &gt;Africa and Indonesia</t>
  </si>
  <si>
    <t>s USA, MA, OR</t>
  </si>
  <si>
    <t>American Pipit</t>
  </si>
  <si>
    <t>N Eurasia; winters Mediterranean region and s Asia</t>
  </si>
  <si>
    <t>Yellow-billed Grosbeak</t>
  </si>
  <si>
    <t>Mindanao Serin</t>
  </si>
  <si>
    <t>Chrysocorythus mindanensis</t>
  </si>
  <si>
    <t>N Palearctic; winters Mediterranean region, China and Ryukyu Is.</t>
  </si>
  <si>
    <t>Taiga of n Eurasia; &gt; to India, SE Asia and Philippines</t>
  </si>
  <si>
    <t>S-central Eurasia; &gt; to India</t>
  </si>
  <si>
    <t>Honshu (Japan); &gt; e China, n Philippines and Taiwan</t>
  </si>
  <si>
    <t>Rank</t>
  </si>
  <si>
    <t>SubSpecies Scientific Name</t>
  </si>
  <si>
    <t>Species</t>
  </si>
  <si>
    <t>ssp</t>
  </si>
  <si>
    <t>cumingii</t>
  </si>
  <si>
    <t>dillwyni</t>
  </si>
  <si>
    <t>pusillus</t>
  </si>
  <si>
    <t>tabon</t>
  </si>
  <si>
    <t>2_1</t>
  </si>
  <si>
    <t>pintadeanus</t>
  </si>
  <si>
    <t>3_1</t>
  </si>
  <si>
    <t>dauurica</t>
  </si>
  <si>
    <t>suschkini</t>
  </si>
  <si>
    <t>chinensis</t>
  </si>
  <si>
    <t>gallus</t>
  </si>
  <si>
    <t>arcuata</t>
  </si>
  <si>
    <t>nigricans</t>
  </si>
  <si>
    <t>middendorffii</t>
  </si>
  <si>
    <t>serrirostris</t>
  </si>
  <si>
    <t>gambelli</t>
  </si>
  <si>
    <t>bewickii</t>
  </si>
  <si>
    <t>coromandelianus</t>
  </si>
  <si>
    <t>strepera</t>
  </si>
  <si>
    <t>platyrhynchos</t>
  </si>
  <si>
    <t>marila</t>
  </si>
  <si>
    <t>microrhynchus</t>
  </si>
  <si>
    <t>menagei</t>
  </si>
  <si>
    <t>septimus</t>
  </si>
  <si>
    <t>macrotis</t>
  </si>
  <si>
    <t>jotaka</t>
  </si>
  <si>
    <t>salvadorii</t>
  </si>
  <si>
    <t>johnsoni</t>
  </si>
  <si>
    <t>affinis</t>
  </si>
  <si>
    <t>griseatus</t>
  </si>
  <si>
    <t>mindanensis</t>
  </si>
  <si>
    <t>harterti</t>
  </si>
  <si>
    <t>longipennis</t>
  </si>
  <si>
    <t>44_1</t>
  </si>
  <si>
    <t>major</t>
  </si>
  <si>
    <t>septentrionalis</t>
  </si>
  <si>
    <t>marginata</t>
  </si>
  <si>
    <t>46_1</t>
  </si>
  <si>
    <t>isonota</t>
  </si>
  <si>
    <t>bagobo</t>
  </si>
  <si>
    <t>whiteheadi</t>
  </si>
  <si>
    <t>origenis</t>
  </si>
  <si>
    <t>maratua</t>
  </si>
  <si>
    <t>salangana</t>
  </si>
  <si>
    <t>amelis</t>
  </si>
  <si>
    <t>palawanensis</t>
  </si>
  <si>
    <t>52_1</t>
  </si>
  <si>
    <t>52_2</t>
  </si>
  <si>
    <t>lowi</t>
  </si>
  <si>
    <t>germani</t>
  </si>
  <si>
    <t>caudacutus</t>
  </si>
  <si>
    <t>56_1</t>
  </si>
  <si>
    <t>giganteus</t>
  </si>
  <si>
    <t>pallidior</t>
  </si>
  <si>
    <t>pacificus</t>
  </si>
  <si>
    <t>kanoi</t>
  </si>
  <si>
    <t>nipalensis</t>
  </si>
  <si>
    <t>subfurcatus</t>
  </si>
  <si>
    <t>sinensis</t>
  </si>
  <si>
    <t>intermedius</t>
  </si>
  <si>
    <t>bubutus</t>
  </si>
  <si>
    <t>anonymus</t>
  </si>
  <si>
    <t>viridis</t>
  </si>
  <si>
    <t>mindorensis</t>
  </si>
  <si>
    <t>carpenteri</t>
  </si>
  <si>
    <t>bengalensis</t>
  </si>
  <si>
    <t>javanensis</t>
  </si>
  <si>
    <t>philippinensis</t>
  </si>
  <si>
    <t>Sulawesi and Lesser Sundas</t>
  </si>
  <si>
    <t>67_4</t>
  </si>
  <si>
    <t>harringtoni</t>
  </si>
  <si>
    <t>cagayanensis</t>
  </si>
  <si>
    <t>superciliosus</t>
  </si>
  <si>
    <t>serratus</t>
  </si>
  <si>
    <t>jacobinus</t>
  </si>
  <si>
    <t>fordi</t>
  </si>
  <si>
    <t>xanthorhynchus</t>
  </si>
  <si>
    <t>amethystinus</t>
  </si>
  <si>
    <t>75_2</t>
  </si>
  <si>
    <t>aheneus</t>
  </si>
  <si>
    <t>fasciolatus</t>
  </si>
  <si>
    <t>merulinus</t>
  </si>
  <si>
    <t>sepulcralis</t>
  </si>
  <si>
    <t>everetti</t>
  </si>
  <si>
    <t>chalybaeus</t>
  </si>
  <si>
    <t>velutinus</t>
  </si>
  <si>
    <t>suluensis</t>
  </si>
  <si>
    <t>brachyurus</t>
  </si>
  <si>
    <t>lugubris</t>
  </si>
  <si>
    <t>micropterus</t>
  </si>
  <si>
    <t>neglecta</t>
  </si>
  <si>
    <t>intermedia</t>
  </si>
  <si>
    <t>griseogularis</t>
  </si>
  <si>
    <t>anthracina</t>
  </si>
  <si>
    <t>castaneiceps</t>
  </si>
  <si>
    <t>orientalis</t>
  </si>
  <si>
    <t>humilis</t>
  </si>
  <si>
    <t>tigrina</t>
  </si>
  <si>
    <t>phaea</t>
  </si>
  <si>
    <t>tenuirostris</t>
  </si>
  <si>
    <t>93_1</t>
  </si>
  <si>
    <t>indica</t>
  </si>
  <si>
    <t>nicobarica</t>
  </si>
  <si>
    <t>96_1</t>
  </si>
  <si>
    <t>griseolateralis</t>
  </si>
  <si>
    <t>luzonica</t>
  </si>
  <si>
    <t>rubiventris</t>
  </si>
  <si>
    <t>leytensis</t>
  </si>
  <si>
    <t>crinigera</t>
  </si>
  <si>
    <t>bartletti</t>
  </si>
  <si>
    <t>leucotis</t>
  </si>
  <si>
    <t>nigrorum</t>
  </si>
  <si>
    <t>Buff-eared Brown-dove</t>
  </si>
  <si>
    <t>Phapitreron nigrorum</t>
  </si>
  <si>
    <t>brevirostris</t>
  </si>
  <si>
    <t>Short-billed Brown-dove</t>
  </si>
  <si>
    <t>Phapitreron brevirostris</t>
  </si>
  <si>
    <t>occipitalis</t>
  </si>
  <si>
    <t>imeldae</t>
  </si>
  <si>
    <t>maculipectus</t>
  </si>
  <si>
    <t>Grey-breasted Brown-dove</t>
  </si>
  <si>
    <t>Phapitreron maculipectus</t>
  </si>
  <si>
    <t>frontalis</t>
  </si>
  <si>
    <t>Cebu Brown-dove</t>
  </si>
  <si>
    <t>Phapitreron frontalis</t>
  </si>
  <si>
    <t>amadoni</t>
  </si>
  <si>
    <t>axillaris</t>
  </si>
  <si>
    <t>canescens</t>
  </si>
  <si>
    <t>erimacrus</t>
  </si>
  <si>
    <t>filipinus</t>
  </si>
  <si>
    <t>faustinoi</t>
  </si>
  <si>
    <t>merrilli</t>
  </si>
  <si>
    <t>111_2</t>
  </si>
  <si>
    <t>incognitus</t>
  </si>
  <si>
    <t>longialis</t>
  </si>
  <si>
    <t>leclancheri</t>
  </si>
  <si>
    <t>gironieri</t>
  </si>
  <si>
    <t>temminckii</t>
  </si>
  <si>
    <t>113_2</t>
  </si>
  <si>
    <t>114_1</t>
  </si>
  <si>
    <t>bangueyensis</t>
  </si>
  <si>
    <t>carola</t>
  </si>
  <si>
    <t>pusilla</t>
  </si>
  <si>
    <t>fugaensis</t>
  </si>
  <si>
    <t>nuchalis</t>
  </si>
  <si>
    <t>aenea</t>
  </si>
  <si>
    <t>alvarezi</t>
  </si>
  <si>
    <t>formosana</t>
  </si>
  <si>
    <t>eurizonoides</t>
  </si>
  <si>
    <t>philippensis</t>
  </si>
  <si>
    <t>assimilis</t>
  </si>
  <si>
    <t>obscurior</t>
  </si>
  <si>
    <t>jouyi</t>
  </si>
  <si>
    <t>gularis</t>
  </si>
  <si>
    <t>striatus</t>
  </si>
  <si>
    <t>phoenicurus</t>
  </si>
  <si>
    <t>131_1</t>
  </si>
  <si>
    <t>mayri</t>
  </si>
  <si>
    <t>fusca</t>
  </si>
  <si>
    <t>chloropus</t>
  </si>
  <si>
    <t>meridionalis</t>
  </si>
  <si>
    <t>atra</t>
  </si>
  <si>
    <t>sharpii</t>
  </si>
  <si>
    <t>albescens</t>
  </si>
  <si>
    <t>cotabato</t>
  </si>
  <si>
    <t>nigricollis</t>
  </si>
  <si>
    <t>celestinoi</t>
  </si>
  <si>
    <t>benguetensis</t>
  </si>
  <si>
    <t>ocellatus</t>
  </si>
  <si>
    <t>145_6</t>
  </si>
  <si>
    <t>145_7</t>
  </si>
  <si>
    <t>pallescens</t>
  </si>
  <si>
    <t>haynaldi</t>
  </si>
  <si>
    <t>fasciatus</t>
  </si>
  <si>
    <t>nigrescens</t>
  </si>
  <si>
    <t>osculans</t>
  </si>
  <si>
    <t>squatarola</t>
  </si>
  <si>
    <t>tomkovichi</t>
  </si>
  <si>
    <t>tundrae</t>
  </si>
  <si>
    <t>curonicus</t>
  </si>
  <si>
    <t>dubius</t>
  </si>
  <si>
    <t>alexandrinus</t>
  </si>
  <si>
    <t>nihonensis</t>
  </si>
  <si>
    <t>mongolus</t>
  </si>
  <si>
    <t>leschenaultii</t>
  </si>
  <si>
    <t>variegatus</t>
  </si>
  <si>
    <t>menzbieri</t>
  </si>
  <si>
    <t>baueri</t>
  </si>
  <si>
    <t>melanuroides</t>
  </si>
  <si>
    <t>interpres</t>
  </si>
  <si>
    <t>canutus</t>
  </si>
  <si>
    <t>sibirica</t>
  </si>
  <si>
    <t>alba</t>
  </si>
  <si>
    <t>centralis</t>
  </si>
  <si>
    <t>sakhalina</t>
  </si>
  <si>
    <t>gallinago</t>
  </si>
  <si>
    <t>eurhina</t>
  </si>
  <si>
    <t>pileatus</t>
  </si>
  <si>
    <t>worcesteri</t>
  </si>
  <si>
    <t>candida</t>
  </si>
  <si>
    <t>megalopterus</t>
  </si>
  <si>
    <t>kamtschatschensis</t>
  </si>
  <si>
    <t>vegae</t>
  </si>
  <si>
    <t>heuglini</t>
  </si>
  <si>
    <t>thalassinus</t>
  </si>
  <si>
    <t>cristatus</t>
  </si>
  <si>
    <t>anaethetus</t>
  </si>
  <si>
    <t>fuscatus</t>
  </si>
  <si>
    <t>nubilosus</t>
  </si>
  <si>
    <t>oahuensis</t>
  </si>
  <si>
    <t>crissalis</t>
  </si>
  <si>
    <t>bangsi</t>
  </si>
  <si>
    <t>gracilis</t>
  </si>
  <si>
    <t>sumatrana</t>
  </si>
  <si>
    <t>hybrida</t>
  </si>
  <si>
    <t>javanicus</t>
  </si>
  <si>
    <t>melanorhynchos</t>
  </si>
  <si>
    <t>dorotheae</t>
  </si>
  <si>
    <t>rostrata</t>
  </si>
  <si>
    <t>episcopus</t>
  </si>
  <si>
    <t>minor</t>
  </si>
  <si>
    <t>palmerstoni</t>
  </si>
  <si>
    <t>ariel</t>
  </si>
  <si>
    <t>personata</t>
  </si>
  <si>
    <t>rubripes</t>
  </si>
  <si>
    <t>plotus</t>
  </si>
  <si>
    <t>leucorodia</t>
  </si>
  <si>
    <t>stellaris</t>
  </si>
  <si>
    <t>flavicollis</t>
  </si>
  <si>
    <t>nycticorax</t>
  </si>
  <si>
    <t>manillensis</t>
  </si>
  <si>
    <t>mandibularis</t>
  </si>
  <si>
    <t>striata</t>
  </si>
  <si>
    <t>rhizophorae</t>
  </si>
  <si>
    <t>amurensis</t>
  </si>
  <si>
    <t>javanica</t>
  </si>
  <si>
    <t>speciosa</t>
  </si>
  <si>
    <t>cinerea</t>
  </si>
  <si>
    <t>manilensis</t>
  </si>
  <si>
    <t>modesta</t>
  </si>
  <si>
    <t>garzetta</t>
  </si>
  <si>
    <t>sacra</t>
  </si>
  <si>
    <t>haliaetus</t>
  </si>
  <si>
    <t>hypoleucus</t>
  </si>
  <si>
    <t>winkleri</t>
  </si>
  <si>
    <t>steerei</t>
  </si>
  <si>
    <t>magnirostris</t>
  </si>
  <si>
    <t>richmondi</t>
  </si>
  <si>
    <t>limnaeetus</t>
  </si>
  <si>
    <t>formosus</t>
  </si>
  <si>
    <t>palawanus</t>
  </si>
  <si>
    <t>castroi</t>
  </si>
  <si>
    <t>extimus</t>
  </si>
  <si>
    <t>besra</t>
  </si>
  <si>
    <t>confusus</t>
  </si>
  <si>
    <t>quagga</t>
  </si>
  <si>
    <t>nisosimilis</t>
  </si>
  <si>
    <t>lineatus</t>
  </si>
  <si>
    <t>japonicus</t>
  </si>
  <si>
    <t>amauronota</t>
  </si>
  <si>
    <t>stictonotus</t>
  </si>
  <si>
    <t>mantananensis</t>
  </si>
  <si>
    <t>cuyensis</t>
  </si>
  <si>
    <t>romblonis</t>
  </si>
  <si>
    <t>sibutuensis</t>
  </si>
  <si>
    <t>elegans</t>
  </si>
  <si>
    <t>calayensis</t>
  </si>
  <si>
    <t>wiepkeni</t>
  </si>
  <si>
    <t>florensis</t>
  </si>
  <si>
    <t>japonica</t>
  </si>
  <si>
    <t>totogo</t>
  </si>
  <si>
    <t>ticaoensis</t>
  </si>
  <si>
    <t>spilonotus</t>
  </si>
  <si>
    <t>fisheri</t>
  </si>
  <si>
    <t>flammeus</t>
  </si>
  <si>
    <t>herberti</t>
  </si>
  <si>
    <t>luzoniensis</t>
  </si>
  <si>
    <t>linae</t>
  </si>
  <si>
    <t>ardens</t>
  </si>
  <si>
    <t>epops</t>
  </si>
  <si>
    <t>hydrocorax</t>
  </si>
  <si>
    <t>semigaleatus</t>
  </si>
  <si>
    <t>Southern Rufous Hornbill</t>
  </si>
  <si>
    <t>Buceros mindanensis</t>
  </si>
  <si>
    <t>manillae</t>
  </si>
  <si>
    <t>subniger</t>
  </si>
  <si>
    <t>basilanicus</t>
  </si>
  <si>
    <t>ticaensis</t>
  </si>
  <si>
    <t>panini</t>
  </si>
  <si>
    <t>cyanocollis</t>
  </si>
  <si>
    <t>lindsayi</t>
  </si>
  <si>
    <t>moseleyi</t>
  </si>
  <si>
    <t>malaccensis</t>
  </si>
  <si>
    <t>gouldi</t>
  </si>
  <si>
    <t>gigantea</t>
  </si>
  <si>
    <t>claudiae</t>
  </si>
  <si>
    <t>saturatior</t>
  </si>
  <si>
    <t>nesydrionetes</t>
  </si>
  <si>
    <t>winchelli</t>
  </si>
  <si>
    <t>alfredi</t>
  </si>
  <si>
    <t>collaris</t>
  </si>
  <si>
    <t>sanctus</t>
  </si>
  <si>
    <t>meninting</t>
  </si>
  <si>
    <t>melanurus</t>
  </si>
  <si>
    <t>samarensis</t>
  </si>
  <si>
    <t>South Philippine Dwarf-kingfisher</t>
  </si>
  <si>
    <t>Ceyx mindanensis</t>
  </si>
  <si>
    <t>cyanopectus</t>
  </si>
  <si>
    <t>nigrirostris</t>
  </si>
  <si>
    <t>Southern Indigo-banded Kingfisher</t>
  </si>
  <si>
    <t>Ceyx nigrirostris</t>
  </si>
  <si>
    <t>haemacephalus</t>
  </si>
  <si>
    <t>cebuensis</t>
  </si>
  <si>
    <t>homochroa</t>
  </si>
  <si>
    <t>validirostris</t>
  </si>
  <si>
    <t>fulvifasciatus</t>
  </si>
  <si>
    <t>maculatus</t>
  </si>
  <si>
    <t>hargitti</t>
  </si>
  <si>
    <t>esthloterus</t>
  </si>
  <si>
    <t>pectoralis</t>
  </si>
  <si>
    <t>multilunatus</t>
  </si>
  <si>
    <t>rufopunctatus</t>
  </si>
  <si>
    <t>montanus</t>
  </si>
  <si>
    <t>lucidus</t>
  </si>
  <si>
    <t>funebris</t>
  </si>
  <si>
    <t>Southern Sooty Woodpecker</t>
  </si>
  <si>
    <t>Mulleripicus fuliginosus</t>
  </si>
  <si>
    <t>pulverulentus</t>
  </si>
  <si>
    <t>erythrogenys</t>
  </si>
  <si>
    <t>interstinctus</t>
  </si>
  <si>
    <t>microbalius</t>
  </si>
  <si>
    <t>subbuteo</t>
  </si>
  <si>
    <t>calidus</t>
  </si>
  <si>
    <t>ernesti</t>
  </si>
  <si>
    <t>malindangensis</t>
  </si>
  <si>
    <t>waterstradti</t>
  </si>
  <si>
    <t>discurus</t>
  </si>
  <si>
    <t>megalorynchos</t>
  </si>
  <si>
    <t>lucionensis</t>
  </si>
  <si>
    <t>hybridus</t>
  </si>
  <si>
    <t>duponti</t>
  </si>
  <si>
    <t>freeri</t>
  </si>
  <si>
    <t>burbidgii</t>
  </si>
  <si>
    <t>borealis</t>
  </si>
  <si>
    <t>lunulatus</t>
  </si>
  <si>
    <t>callainipictus</t>
  </si>
  <si>
    <t>bournsi</t>
  </si>
  <si>
    <t>regulus</t>
  </si>
  <si>
    <t>chrysonotus</t>
  </si>
  <si>
    <t>siquijorensis</t>
  </si>
  <si>
    <t>apicalis</t>
  </si>
  <si>
    <t>dohertyi</t>
  </si>
  <si>
    <t>erythrogaster</t>
  </si>
  <si>
    <t>propinqua</t>
  </si>
  <si>
    <t>yairocho</t>
  </si>
  <si>
    <t>mulleri</t>
  </si>
  <si>
    <t>sordida</t>
  </si>
  <si>
    <t>goodfellowi</t>
  </si>
  <si>
    <t>coelestis</t>
  </si>
  <si>
    <t>steerii</t>
  </si>
  <si>
    <t>simplex</t>
  </si>
  <si>
    <t>leucorynchus</t>
  </si>
  <si>
    <t>aequanimis</t>
  </si>
  <si>
    <t>igneus</t>
  </si>
  <si>
    <t>novus</t>
  </si>
  <si>
    <t>johnstoniae</t>
  </si>
  <si>
    <t>gonzalesi</t>
  </si>
  <si>
    <t>nigroluteus</t>
  </si>
  <si>
    <t>marchesae</t>
  </si>
  <si>
    <t>difficilis</t>
  </si>
  <si>
    <t>panayensis</t>
  </si>
  <si>
    <t>Visayan Cuckooshrike</t>
  </si>
  <si>
    <t>Coracina panayensis</t>
  </si>
  <si>
    <t>boholensis</t>
  </si>
  <si>
    <t>kochii</t>
  </si>
  <si>
    <t>guillemardi</t>
  </si>
  <si>
    <t>coerulescens</t>
  </si>
  <si>
    <t>deschauenseei</t>
  </si>
  <si>
    <t>alterum</t>
  </si>
  <si>
    <t>lecroyae</t>
  </si>
  <si>
    <t>elusum</t>
  </si>
  <si>
    <t>ripleyi</t>
  </si>
  <si>
    <t>mindanense</t>
  </si>
  <si>
    <t>melanoleuca</t>
  </si>
  <si>
    <t>Southern Black-and-white Triller</t>
  </si>
  <si>
    <t>Lalage minor</t>
  </si>
  <si>
    <t>nigra</t>
  </si>
  <si>
    <t>saturata</t>
  </si>
  <si>
    <t>plateni</t>
  </si>
  <si>
    <t>albiventris</t>
  </si>
  <si>
    <t>homeyeri</t>
  </si>
  <si>
    <t>fallax</t>
  </si>
  <si>
    <t>illex</t>
  </si>
  <si>
    <t>apoensis</t>
  </si>
  <si>
    <t>basilanica</t>
  </si>
  <si>
    <t>nasutus</t>
  </si>
  <si>
    <t>tertius</t>
  </si>
  <si>
    <t>hachisuka</t>
  </si>
  <si>
    <t>persuasus</t>
  </si>
  <si>
    <t>cinereogenys</t>
  </si>
  <si>
    <t>yamamurae</t>
  </si>
  <si>
    <t>cathoecus</t>
  </si>
  <si>
    <t>leucogenis</t>
  </si>
  <si>
    <t>salangensis</t>
  </si>
  <si>
    <t>innexus</t>
  </si>
  <si>
    <t>leucophaeus</t>
  </si>
  <si>
    <t>abraensis</t>
  </si>
  <si>
    <t>balicassius</t>
  </si>
  <si>
    <t>mirabilis</t>
  </si>
  <si>
    <t>Short-tailed Drongo</t>
  </si>
  <si>
    <t>Dicrurus striatus</t>
  </si>
  <si>
    <t>apo</t>
  </si>
  <si>
    <t>superciliaris</t>
  </si>
  <si>
    <t>pinicola</t>
  </si>
  <si>
    <t>cyaniceps</t>
  </si>
  <si>
    <t>hutchinsoni</t>
  </si>
  <si>
    <t>nigrocinnamomea</t>
  </si>
  <si>
    <t>azurea</t>
  </si>
  <si>
    <t>catarmanensis</t>
  </si>
  <si>
    <t>agusanae</t>
  </si>
  <si>
    <t>helenae</t>
  </si>
  <si>
    <t>rabori</t>
  </si>
  <si>
    <t>periophthalmica</t>
  </si>
  <si>
    <t>unirufa</t>
  </si>
  <si>
    <t>Northern Rufous Paradise-flycatcher</t>
  </si>
  <si>
    <t>Terpsiphone unirufa</t>
  </si>
  <si>
    <t>cinnamomea</t>
  </si>
  <si>
    <t>sierramadrensis</t>
  </si>
  <si>
    <t>philippinus</t>
  </si>
  <si>
    <t>zimmeri</t>
  </si>
  <si>
    <t>edithae</t>
  </si>
  <si>
    <t>montigenus</t>
  </si>
  <si>
    <t>gilliardi</t>
  </si>
  <si>
    <t>visayanus</t>
  </si>
  <si>
    <t>bongaoensis</t>
  </si>
  <si>
    <t>snowi</t>
  </si>
  <si>
    <t>semilarvatus</t>
  </si>
  <si>
    <t>nehrkorni</t>
  </si>
  <si>
    <t>wattersi</t>
  </si>
  <si>
    <t>ilokensis</t>
  </si>
  <si>
    <t>urostictus</t>
  </si>
  <si>
    <t>atricaudatus</t>
  </si>
  <si>
    <t>goiavier</t>
  </si>
  <si>
    <t>hachisukae</t>
  </si>
  <si>
    <t>nigerrimus</t>
  </si>
  <si>
    <t>parkesi</t>
  </si>
  <si>
    <t>cinereiceps</t>
  </si>
  <si>
    <t>monticola</t>
  </si>
  <si>
    <t>Camiguin Bulbul</t>
  </si>
  <si>
    <t>Hypsipetes catarmanensis</t>
  </si>
  <si>
    <t>Sulu Bulbul</t>
  </si>
  <si>
    <t>Hypsipetes haynaldi</t>
  </si>
  <si>
    <t>amaurotis</t>
  </si>
  <si>
    <t>batanensis</t>
  </si>
  <si>
    <t>fugensis</t>
  </si>
  <si>
    <t>camiguinensis</t>
  </si>
  <si>
    <t>tantilla</t>
  </si>
  <si>
    <t>ijimae</t>
  </si>
  <si>
    <t>gutturalis</t>
  </si>
  <si>
    <t>dasypus</t>
  </si>
  <si>
    <t>striolata</t>
  </si>
  <si>
    <t>viridicollis</t>
  </si>
  <si>
    <t>canturians</t>
  </si>
  <si>
    <t>trochilus</t>
  </si>
  <si>
    <t>yakutensis</t>
  </si>
  <si>
    <t>luzonensis</t>
  </si>
  <si>
    <t>sorsogonensis</t>
  </si>
  <si>
    <t>xanthopygius</t>
  </si>
  <si>
    <t>peterseni</t>
  </si>
  <si>
    <t>diuatae</t>
  </si>
  <si>
    <t>flavostriatus</t>
  </si>
  <si>
    <t>certhiola</t>
  </si>
  <si>
    <t>lanceolata</t>
  </si>
  <si>
    <t>caudata</t>
  </si>
  <si>
    <t>unicolor</t>
  </si>
  <si>
    <t>tweeddalei</t>
  </si>
  <si>
    <t>alopex</t>
  </si>
  <si>
    <t>crex</t>
  </si>
  <si>
    <t>forbesi</t>
  </si>
  <si>
    <t>brunniceps</t>
  </si>
  <si>
    <t>tinnabulans</t>
  </si>
  <si>
    <t>nigrostriatus</t>
  </si>
  <si>
    <t>semirufus</t>
  </si>
  <si>
    <t>mearnsi</t>
  </si>
  <si>
    <t>derbianus</t>
  </si>
  <si>
    <t>nilesi</t>
  </si>
  <si>
    <t>sericeus</t>
  </si>
  <si>
    <t>woodi</t>
  </si>
  <si>
    <t>alcasidi</t>
  </si>
  <si>
    <t>striaticeps</t>
  </si>
  <si>
    <t>kettlewelli</t>
  </si>
  <si>
    <t>minuta</t>
  </si>
  <si>
    <t>fortichi</t>
  </si>
  <si>
    <t>nigrocapitatus</t>
  </si>
  <si>
    <t>capitalis</t>
  </si>
  <si>
    <t>euroaustralis</t>
  </si>
  <si>
    <t>isabelae</t>
  </si>
  <si>
    <t>vulcani</t>
  </si>
  <si>
    <t>halconensis</t>
  </si>
  <si>
    <t>batanis</t>
  </si>
  <si>
    <t>meyeni</t>
  </si>
  <si>
    <t>meyleri</t>
  </si>
  <si>
    <t>aureiloris</t>
  </si>
  <si>
    <t>innominatus</t>
  </si>
  <si>
    <t>luzonicus</t>
  </si>
  <si>
    <t>cyanogastra</t>
  </si>
  <si>
    <t>ellae</t>
  </si>
  <si>
    <t>hoogstraali</t>
  </si>
  <si>
    <t>melanochlamys</t>
  </si>
  <si>
    <t>palawana</t>
  </si>
  <si>
    <t>mesoleuca</t>
  </si>
  <si>
    <t>isarog</t>
  </si>
  <si>
    <t>lilacea</t>
  </si>
  <si>
    <t>zamboanga</t>
  </si>
  <si>
    <t>oenochlamys</t>
  </si>
  <si>
    <t>todayensis</t>
  </si>
  <si>
    <t>calvus</t>
  </si>
  <si>
    <t>melanonotus</t>
  </si>
  <si>
    <t>lowii</t>
  </si>
  <si>
    <t>570_1</t>
  </si>
  <si>
    <t>cristatellus</t>
  </si>
  <si>
    <t>570_2</t>
  </si>
  <si>
    <t>570_3</t>
  </si>
  <si>
    <t>tristis</t>
  </si>
  <si>
    <t>mystacalis</t>
  </si>
  <si>
    <t>inornatus</t>
  </si>
  <si>
    <t>Visayan Rhabdornis</t>
  </si>
  <si>
    <t>Rhabdornis rabori</t>
  </si>
  <si>
    <t>alaris</t>
  </si>
  <si>
    <t>aurea</t>
  </si>
  <si>
    <t>mandarinus</t>
  </si>
  <si>
    <t>thomassoni</t>
  </si>
  <si>
    <t>mayonensis</t>
  </si>
  <si>
    <t>katanglad</t>
  </si>
  <si>
    <t>kelleri</t>
  </si>
  <si>
    <t>chrysolaus</t>
  </si>
  <si>
    <t>parvimaculatus</t>
  </si>
  <si>
    <t>shemleyi</t>
  </si>
  <si>
    <t>Visayan Shama</t>
  </si>
  <si>
    <t>Kittacincla superciliaris</t>
  </si>
  <si>
    <t>Cyornis camarinensis</t>
  </si>
  <si>
    <t>marinduquensis</t>
  </si>
  <si>
    <t>ruficauda</t>
  </si>
  <si>
    <t>ocularis</t>
  </si>
  <si>
    <t>cyanomelana</t>
  </si>
  <si>
    <t>nigrimentalis</t>
  </si>
  <si>
    <t>nigriloris</t>
  </si>
  <si>
    <t>sillimani</t>
  </si>
  <si>
    <t>poliogyna</t>
  </si>
  <si>
    <t>andersoni</t>
  </si>
  <si>
    <t>brunneiceps</t>
  </si>
  <si>
    <t>bochaiensis</t>
  </si>
  <si>
    <t>svecica</t>
  </si>
  <si>
    <t>camtschatkensis</t>
  </si>
  <si>
    <t>rara</t>
  </si>
  <si>
    <t>montigena</t>
  </si>
  <si>
    <t>matutumensis</t>
  </si>
  <si>
    <t>daggayana</t>
  </si>
  <si>
    <t>westermanni</t>
  </si>
  <si>
    <t>auroreus</t>
  </si>
  <si>
    <t>pandoo</t>
  </si>
  <si>
    <t>bicolor</t>
  </si>
  <si>
    <t>caprata</t>
  </si>
  <si>
    <t>randi</t>
  </si>
  <si>
    <t>anderseni</t>
  </si>
  <si>
    <t>oenanthe</t>
  </si>
  <si>
    <t>parsonsi</t>
  </si>
  <si>
    <t>olivaceus</t>
  </si>
  <si>
    <t>culionensis</t>
  </si>
  <si>
    <t>striatissimum</t>
  </si>
  <si>
    <t>aeruginosum</t>
  </si>
  <si>
    <t>affine</t>
  </si>
  <si>
    <t>nigrilore</t>
  </si>
  <si>
    <t>masawan</t>
  </si>
  <si>
    <t>kampalili</t>
  </si>
  <si>
    <t>Dicaeum kampalili</t>
  </si>
  <si>
    <t>inexpectatum</t>
  </si>
  <si>
    <t>viridissimum</t>
  </si>
  <si>
    <t>xanthopygium</t>
  </si>
  <si>
    <t>intermedium</t>
  </si>
  <si>
    <t>cnecolaemum</t>
  </si>
  <si>
    <t>sibuyanicum</t>
  </si>
  <si>
    <t>dorsale</t>
  </si>
  <si>
    <t>besti</t>
  </si>
  <si>
    <t>pallidius</t>
  </si>
  <si>
    <t>cinereigulare</t>
  </si>
  <si>
    <t>isidroi</t>
  </si>
  <si>
    <t>assimile</t>
  </si>
  <si>
    <t>sibutuense</t>
  </si>
  <si>
    <t>cagayanense</t>
  </si>
  <si>
    <t>obscurum</t>
  </si>
  <si>
    <t>pontifex</t>
  </si>
  <si>
    <t>hypoleucum</t>
  </si>
  <si>
    <t>palawanorum</t>
  </si>
  <si>
    <t>fugaense</t>
  </si>
  <si>
    <t>salomonseni</t>
  </si>
  <si>
    <t>pygmaeum</t>
  </si>
  <si>
    <t>davao</t>
  </si>
  <si>
    <t>luzoniense</t>
  </si>
  <si>
    <t>bonga</t>
  </si>
  <si>
    <t>paraguae</t>
  </si>
  <si>
    <t>heliolusius</t>
  </si>
  <si>
    <t>wiglesworthi</t>
  </si>
  <si>
    <t>iris</t>
  </si>
  <si>
    <t>chlorigaster</t>
  </si>
  <si>
    <t>birgitae</t>
  </si>
  <si>
    <t>griseigularis</t>
  </si>
  <si>
    <t>henkei</t>
  </si>
  <si>
    <t>sperata</t>
  </si>
  <si>
    <t>juliae</t>
  </si>
  <si>
    <t>Orange-lined Sunbird</t>
  </si>
  <si>
    <t>Leptocoma juliae</t>
  </si>
  <si>
    <t>jugularis</t>
  </si>
  <si>
    <t>primigenia</t>
  </si>
  <si>
    <t>boltoni</t>
  </si>
  <si>
    <t>tibolii</t>
  </si>
  <si>
    <t>guimarasensis</t>
  </si>
  <si>
    <t>daphoenonota</t>
  </si>
  <si>
    <t>flavipectus</t>
  </si>
  <si>
    <t>rubrinota</t>
  </si>
  <si>
    <t>bella</t>
  </si>
  <si>
    <t>bonita</t>
  </si>
  <si>
    <t>arolasi</t>
  </si>
  <si>
    <t>flammifera</t>
  </si>
  <si>
    <t>clarae</t>
  </si>
  <si>
    <t>saturatus</t>
  </si>
  <si>
    <t>brunneiventris</t>
  </si>
  <si>
    <t>coelica</t>
  </si>
  <si>
    <t>yunnanensis</t>
  </si>
  <si>
    <t>topela</t>
  </si>
  <si>
    <t>cabanisi</t>
  </si>
  <si>
    <t>nisoria</t>
  </si>
  <si>
    <t>manueli</t>
  </si>
  <si>
    <t>jagori</t>
  </si>
  <si>
    <t>tschutschensis</t>
  </si>
  <si>
    <t>macronyx</t>
  </si>
  <si>
    <t>taivana</t>
  </si>
  <si>
    <t>citreola</t>
  </si>
  <si>
    <t>baicalensis</t>
  </si>
  <si>
    <t>lugens</t>
  </si>
  <si>
    <t>leucopsis</t>
  </si>
  <si>
    <t>hodgsoni</t>
  </si>
  <si>
    <t>gustavi</t>
  </si>
  <si>
    <t>migratoria</t>
  </si>
  <si>
    <t>aureola</t>
  </si>
  <si>
    <t>spodocephala</t>
  </si>
  <si>
    <t>Range</t>
  </si>
  <si>
    <t>Resident</t>
  </si>
  <si>
    <t>Birds with resident populations in the Philippines</t>
  </si>
  <si>
    <t>Residents that do not migrate</t>
  </si>
  <si>
    <t>Endemic</t>
  </si>
  <si>
    <t>Residents that are endemic</t>
  </si>
  <si>
    <t>Near Endemic</t>
  </si>
  <si>
    <t>Residents that are near-endemic</t>
  </si>
  <si>
    <t>Introduced</t>
  </si>
  <si>
    <t>Residents that were introduced to the Philippines</t>
  </si>
  <si>
    <t>Residents that perhaps also migrate</t>
  </si>
  <si>
    <t>Migrant</t>
  </si>
  <si>
    <t>Migratory birds recorded in the Philippines</t>
  </si>
  <si>
    <t>Migrants that do not stay year-round</t>
  </si>
  <si>
    <t>Accidental</t>
  </si>
  <si>
    <t>Migrants that have been recorded less then 20 times</t>
  </si>
  <si>
    <t>Migrants that perhaps also have resident populations</t>
  </si>
  <si>
    <t>Residents and Migrants</t>
  </si>
  <si>
    <t>Birds with resident as well as migrant populations</t>
  </si>
  <si>
    <t>Extirpated</t>
  </si>
  <si>
    <t>Birds that have been extirpated</t>
  </si>
  <si>
    <t>Status unknown</t>
  </si>
  <si>
    <t>Birds of which the status is unknown</t>
  </si>
  <si>
    <t>Total</t>
  </si>
  <si>
    <t>Conservation Status</t>
  </si>
  <si>
    <t>Subtotal</t>
  </si>
  <si>
    <t>Not Evaluated</t>
  </si>
  <si>
    <t>Data Deficient</t>
  </si>
  <si>
    <t>LC/OWS</t>
  </si>
  <si>
    <t>Least Concern / Other Wildlife Species</t>
  </si>
  <si>
    <t>NT/OTS</t>
  </si>
  <si>
    <t>Near Threatened/Other Threatened Species</t>
  </si>
  <si>
    <t>Vulnerable</t>
  </si>
  <si>
    <t>Endangered</t>
  </si>
  <si>
    <t>Critically Endangered</t>
  </si>
  <si>
    <t>*Bubulcus ibis</t>
  </si>
  <si>
    <t>Eurasian Whimbrel</t>
  </si>
  <si>
    <t>Shikra</t>
  </si>
  <si>
    <t>Accipiter badius</t>
  </si>
  <si>
    <t>Light-vented Bulbul</t>
  </si>
  <si>
    <t>Pycnonotus sinensis</t>
  </si>
  <si>
    <t>OR : c, s China, n Vietnam, Taiwan</t>
  </si>
  <si>
    <t>poliopsis</t>
  </si>
  <si>
    <t>660_2</t>
  </si>
  <si>
    <t>Blue</t>
  </si>
  <si>
    <t>Red</t>
  </si>
  <si>
    <t>Introduced species</t>
  </si>
  <si>
    <t>Bold</t>
  </si>
  <si>
    <t>Underlined</t>
  </si>
  <si>
    <t>Species whose records require review by the WBCP Rarities Committee</t>
  </si>
  <si>
    <t>Department of Environment and Natural Resources</t>
  </si>
  <si>
    <t>International Union for Conservation of Nature</t>
  </si>
  <si>
    <t>IOC</t>
  </si>
  <si>
    <t>International Ornithologists’ Union (formerly International Ornithological Committee)</t>
  </si>
  <si>
    <t>KEN</t>
  </si>
  <si>
    <t>WBCP</t>
  </si>
  <si>
    <t>Wild Bird Club of the Philippines</t>
  </si>
  <si>
    <t>Near Threatened</t>
  </si>
  <si>
    <t>OWS</t>
  </si>
  <si>
    <t>Other Wildlife Species</t>
  </si>
  <si>
    <t>Other Threatened Species</t>
  </si>
  <si>
    <t>Status Unknown</t>
  </si>
  <si>
    <t>Not evaluated</t>
  </si>
  <si>
    <t>Allen, D., Espanola, C., Broad, G., Oliveros, C. and Gonzalez, J.C.T. (2006). New bird records for the Babuyan islands, Philippines, including two first records for the Philippines. Forktail 22: 57-70</t>
  </si>
  <si>
    <t>Allen, D., Oliveros, C., Espanola, C.,Broad, G. and Gonzalez, J.C.T. (2004). A new species of Gallirallus from Calayan island, Philippines. Forktail20: 1-7</t>
  </si>
  <si>
    <t>Curio, E., Hornbuckle, J., de Soye, Y., Aston, P. and  Lastimoza, L.L. (2001).  New bird records for the island of Panay, Philippines, including the first record of the Asian Stubtail Urosphena sqameiceps for the Philippines. Bull. B.O.C. 2001: 121-123.</t>
  </si>
  <si>
    <t xml:space="preserve">Custodio, C. (2009) Dalmatian Pelican Pelecanus crispus found on Leyte island, the Philippines. BirdingASIA 11: 125.  </t>
  </si>
  <si>
    <t>DENR (2019). DENR Administrative Order No. 2019-09.  Updated national list of threatened Philippine fauna and their categories</t>
  </si>
  <si>
    <t>Dickinson, E. C., Kennedy, R. S. and Parkes, K.C. (1991).  The Birds of the Philippines. An annotated check-list. B.O.U. Check-list No. 12. British Ornithologists' Union, 1991.</t>
  </si>
  <si>
    <t>Hosner, P.A., Boggess,  N.C., Alviola, P., Sánchez-González, L.A.,Oliveros, C.H,Urriza, R. and Moyle, R.G. 2013. Phylogeography of the Robsonius Ground-Warblers (Passeriformes: Locustellidae) Reveals an Undescribed Species from Northeastern Luzon, Philippines. The Condor 115 (3) : 630-639.</t>
  </si>
  <si>
    <t>Jensen, A.E.  and Tan, J.M.L. (2010). First observation and subsequent records of Christmas Island Frigatebird Fregata andrewsii in the Philippines with notes on its occurrence and distribution. BirdingASIA 13: 68-70.</t>
  </si>
  <si>
    <t>Jensen, A.E., Fisher, T. and Hutchinson, R. (2015). New Records of Accidental Birds to the Philippines (2015). Forktail 31: 24–36.</t>
  </si>
  <si>
    <t xml:space="preserve">Kennedy, R. S., Gonzales, P.C., Dickinson, E.C., Miranda, Jr., H.C. and Fisher, T.H. (2000). A Guide to the Bird of the Philippines. Oxford University Press. </t>
  </si>
  <si>
    <t>Kennedy, R.S., Fisher, T.H., Harrap, S.C.B, Diesmos, A.C. and Manamtam, A.S. (2001). A new species of woodcock (Aves: Scolopacidae) from the Philippines and a re-evaluation of other Asian/Papuasian woodcock. Forktail 17: 1-12.</t>
  </si>
  <si>
    <t>Oliveros, C., Townsend Peterson, A and Villa, M.J. C. (2008): Birds, Babuyan Islands, Province of Cagayan, Northern Philippines: New island distribution records. Check List 4(2): 137–141.</t>
  </si>
  <si>
    <t>Oliveros, C.H. and Layusa, C.A.A. (2010). First record of Demoiselle Crane Grus virgofor the Philippines. Forktail 26: 139.</t>
  </si>
  <si>
    <t xml:space="preserve">Round, P.D. and  Fisher, T.H. (2009). Records of Black-browed Reed Warbler Acrocephalus bistrigiceps from Luzon, Philippines. Forktail 25: 159-160. </t>
  </si>
  <si>
    <t>Shigeta, Y., Hiraoka, T. and Gonzalez , J. C. T. (2002). The First Authentic Record of the Latham's Snipe Gallinago hardwickii for the Philippines. Journal of the Yamashina Institute for Ornithology 34: 240-244.</t>
  </si>
  <si>
    <t xml:space="preserve">van der Ploeg, J. and Minter, T.(2004). Cinereous Vulture Aegypius monachus: first record for the Philippines. Forktail 20:109-110. </t>
  </si>
  <si>
    <t>van Weerd, M. and van der Ploeg, J. (2004). Surveys of wetlands and waterbirds in Cagayan valley, Luzon, Philipppines. Forktail 20: 33-39.</t>
  </si>
  <si>
    <t>First record: Holotype taken at Magsidel, Calayan Island, Cagayan on 11 May 2004 (Allen et al. 2004)</t>
  </si>
  <si>
    <t>Holotype collected in Mt. Kitanglad Range Natural Park 22 January 1995 (Kennedy et al. 2001).</t>
  </si>
  <si>
    <t>First record: May 1995: First records of two individuals at Bancoran Island, Tawi-tawi photo-documented by Jose Ma. Lorenzo Tan (Jensen and Tan 2010)</t>
  </si>
  <si>
    <t>Near endemic: also recorded on Talaud Island, Indonesia (King 2002)</t>
  </si>
  <si>
    <t>New species (Rasmussen et al. 2012).</t>
  </si>
  <si>
    <t>New species (Tello et al. 2006).</t>
  </si>
  <si>
    <t>New species (Hosner et al. 2013).</t>
  </si>
  <si>
    <t>Verditer Flycatcher</t>
  </si>
  <si>
    <t>Eumyias thalassinus</t>
  </si>
  <si>
    <t>685_2</t>
  </si>
  <si>
    <t>*Collocalia esculenta</t>
  </si>
  <si>
    <t>Japanese Snipe</t>
  </si>
  <si>
    <t>First Date</t>
  </si>
  <si>
    <r>
      <t>Key</t>
    </r>
    <r>
      <rPr>
        <sz val="9"/>
        <rFont val="Arial"/>
        <family val="2"/>
      </rPr>
      <t xml:space="preserve"> (Basic List)</t>
    </r>
    <r>
      <rPr>
        <b/>
        <sz val="9"/>
        <rFont val="Arial"/>
        <family val="2"/>
      </rPr>
      <t>:</t>
    </r>
  </si>
  <si>
    <r>
      <t xml:space="preserve">Direct links </t>
    </r>
    <r>
      <rPr>
        <sz val="9"/>
        <color indexed="8"/>
        <rFont val="Arial"/>
        <family val="2"/>
      </rPr>
      <t>(Basic List: columns A-F, internet connection required)</t>
    </r>
    <r>
      <rPr>
        <b/>
        <sz val="9"/>
        <color indexed="8"/>
        <rFont val="Arial"/>
        <family val="2"/>
      </rPr>
      <t>:</t>
    </r>
  </si>
  <si>
    <r>
      <rPr>
        <b/>
        <sz val="9"/>
        <rFont val="Arial"/>
        <family val="2"/>
      </rPr>
      <t>Review Required</t>
    </r>
    <r>
      <rPr>
        <sz val="9"/>
        <rFont val="Arial"/>
        <family val="2"/>
      </rPr>
      <t xml:space="preserve"> (Expanded List: column N):</t>
    </r>
  </si>
  <si>
    <t>Accidental species (fewer than 20 published/documented records)</t>
  </si>
  <si>
    <t>B</t>
  </si>
  <si>
    <t>Critically Endangered, Endangered or Data Deficient species</t>
  </si>
  <si>
    <t>C</t>
  </si>
  <si>
    <t>Species not reported annually and/or considered rare or extirpated</t>
  </si>
  <si>
    <t>Species difficult to separate in the field from similar looking species</t>
  </si>
  <si>
    <t>Other categories</t>
  </si>
  <si>
    <r>
      <rPr>
        <b/>
        <sz val="9"/>
        <rFont val="Arial"/>
        <family val="2"/>
      </rPr>
      <t>Philippine subspecies</t>
    </r>
    <r>
      <rPr>
        <sz val="9"/>
        <rFont val="Arial"/>
        <family val="2"/>
      </rPr>
      <t xml:space="preserve"> (Subspecies List: column G):</t>
    </r>
  </si>
  <si>
    <t>&gt; 0</t>
  </si>
  <si>
    <t>Subspecies recorded for the Philippines</t>
  </si>
  <si>
    <t>Subspecies not yet recorded for the Philippines</t>
  </si>
  <si>
    <t>B - Away from Sablayan, Mindoro</t>
  </si>
  <si>
    <t>B - Away from Compostela Valley and Hilong Hilong</t>
  </si>
  <si>
    <t>C - Away from Barat, Sultan Kudarat</t>
  </si>
  <si>
    <t>B - Away from Panay Island</t>
  </si>
  <si>
    <t>B - Away from Palawan, Bohol and Tawi Tawi</t>
  </si>
  <si>
    <t>B - Away from Baggao, Cagayan and San Mariano, Isabela</t>
  </si>
  <si>
    <t>B - Away from Samar Island Natural Park</t>
  </si>
  <si>
    <t>B - Away from Mt Apo, Mt Matutum and Lake Holon</t>
  </si>
  <si>
    <t>B - Away from Mount Talinis</t>
  </si>
  <si>
    <t>Col B: Search google images for the species on the selected row, just click</t>
  </si>
  <si>
    <t>Col C: Go to the xeno-canto sound database for the species, just click</t>
  </si>
  <si>
    <t>Col D: Show the relevant species page on eBird.org, just click</t>
  </si>
  <si>
    <t>Kennedy</t>
  </si>
  <si>
    <t>Amadon, D. (1952) A bird new to Palawan. Phil. J. Sci. 81:139</t>
  </si>
  <si>
    <t>Collar, N.J., Mallari A.D. and Tabaranza B.R. (1999). Threatened birds of the Philippines: the Haribon Foundation/BirdLife InternatIonal Red Data Book. Bookmark.</t>
  </si>
  <si>
    <t>Collar, N.J. A third Philippine specimen of Chinese Crested-tern Sterna bernsteini. Forktail 19:151</t>
  </si>
  <si>
    <t>Erritzoe, J. (1994) First record of the Dunlin from the Philippines. Bulletin of the British Ornithologists´ Club 114(2): 128-129</t>
  </si>
  <si>
    <t>Glass et al. (1979) Aythya baeri, a new species record for the Philippines. Kalikasan Phil. J. Biol. 8: 173-174</t>
  </si>
  <si>
    <t>Gonzales, P. C. and Kennedy, R.S. (1989) Notes on Philippine birds, 14. Additional records for the island of Palawan. Bull. Brit. Orn. Club 109:126-130</t>
  </si>
  <si>
    <t>Hachisuka, M. (1931) The Birds of the Philippine Islands, with notes on the mammal fauna. Vol. 1. Part 1. London, Witherby, pp 1-168.  Dickinson et al (1998): Skin not traceable</t>
  </si>
  <si>
    <t>Harrisson, T. (1962) Hoopoe Upupa epops in the Philippines. Ibis 104: 417-418.</t>
  </si>
  <si>
    <t>Hartlaub, G. (1899). Ein betrag zur Avifauna er Insel Mindoro. Abh. Naturwiss. Ver. Bremen 16: 25-270</t>
  </si>
  <si>
    <t>Hornskov, J. (1996) Recent observations of birds in the Philippines Archipelago. Forktail 11: 1-10</t>
  </si>
  <si>
    <t>Jespersen, P. (1933) Observations on the oceanic birds of the Pacific and adjacent waters. Vidensk.. Medd. Dan. Naturhist. Foren. 94:187-221</t>
  </si>
  <si>
    <t>See Kennedy, R. S. and Dickinson, E.C. (1980) First record of the Gadwall from the Philippines. Auk 97:902</t>
  </si>
  <si>
    <t>Kennedy, R.S. (1990) Notes on Philippine Birds, 16. First records of the Red-tailed Tropicbird Phaeton rubricauda and Merlin Falco columbarius from the Philippines. Bull. Brit.Orn. Club 110:107-109</t>
  </si>
  <si>
    <t>Magsalay P. and R. S. Kennedy (2000) First record of the Eurasian Oystercatcher Haematopus ostralegus from the Philippines. FORKTAIL 16:175</t>
  </si>
  <si>
    <t xml:space="preserve">McGregor, R.C. (1904)  Birds of Calayan and Fuga, Babyan Group. Bull. Phil. Mus. 4: 3-34 </t>
  </si>
  <si>
    <t>McGregor, R.C. (1905) Notes on four birds from Luzon and on a species of doubtful occurrence in the Phillipines. Phil. J. Sci. 1:765-766</t>
  </si>
  <si>
    <t>McGregor, R.C. (1905) Notes on three rare Luzon birds. Bull. Bur. Govt. Labs., Manila 34:29</t>
  </si>
  <si>
    <t>McGregor, R.C. (1907). The occurrence of Blyh's Wattled Lapwing and the Scaup Duck in the Philippine Islands. Phil. J. Sci. 2: 279-298</t>
  </si>
  <si>
    <t>McGregor, R.C. (1909-1910). A Manual of Philippine Birds. Bur. Sci. Manila. No. 2</t>
  </si>
  <si>
    <t>McGregor, R.C. (1918) New or noteworthy Philippine birds, Phi. J. Sci. 13:1-19</t>
  </si>
  <si>
    <t>McGregor, R.C. and Manuel, C.G. (1936) Birds new and rare in the Philippines. Phil. J. Sci. 59: 317-326</t>
  </si>
  <si>
    <t>Meyer de Schauensee (1957). Notes on Philippine Birds. Not. Nat (Phila.)303: 12pp</t>
  </si>
  <si>
    <t>See Nakamura, K. and Tanaka, Y.  (1976) A record of the Kermadec Petrel Pterodroma neglecta. Yamashina Institute of Ornithology 8: 108-112</t>
  </si>
  <si>
    <t>Rabor et al. (1970) A list of land vertebrates of Negros Island, Philippines.  Siliman Journal: 17: 297-316</t>
  </si>
  <si>
    <t>Redman, N. (1993) Two new species of birds for the Philippines and other notable records. Forktail: 119-124</t>
  </si>
  <si>
    <t>Whitehead, J. (1899) (189(6)4) Field-notes on bird collected in the Philippine Islands in 1893-6 Ibis (7) 5:81-111, 210-246, 381-399, and 485-501</t>
  </si>
  <si>
    <t>Images</t>
  </si>
  <si>
    <t>Sounds</t>
  </si>
  <si>
    <t>https://www.google.com/search?q=Dendrocygna guttata&amp;tbm=isch</t>
  </si>
  <si>
    <t>Vagrant and possible resident (Jolo Is, Basilan, Mindanao).</t>
  </si>
  <si>
    <t>Since the last published record 29 Oct 1945 in Zamboanga (Lint and Scott 1948: Notes on Birds of the Philippines, Auk 65), there are there are claimed but unverified records by local communities in Ebpanan Marsh, Ligawasan Marshes, Maguindanao in 2010 (Laurie et al. 2011)</t>
  </si>
  <si>
    <t>https://www.google.com/search?q=Dendrocygna arcuata&amp;tbm=isch</t>
  </si>
  <si>
    <t>Common to abundant and widespread resident.</t>
  </si>
  <si>
    <t>https://www.google.com/search?q=Branta bernicla&amp;tbm=isch</t>
  </si>
  <si>
    <t>Vagrant (Panay).</t>
  </si>
  <si>
    <t>https://www.google.com/search?q=Anser indicus&amp;tbm=isch</t>
  </si>
  <si>
    <t>Bar-headed Goose</t>
  </si>
  <si>
    <t>Anser indicus</t>
  </si>
  <si>
    <t>Vagrant (Batanes).</t>
  </si>
  <si>
    <t>https://www.google.com/search?q=Anser fabalis&amp;tbm=isch</t>
  </si>
  <si>
    <t>https://www.google.com/search?q=Anser serrirostris&amp;tbm=isch</t>
  </si>
  <si>
    <t>Vagrant (Luzon, Batanes).</t>
  </si>
  <si>
    <t>https://www.google.com/search?q=Anser albifrons&amp;tbm=isch</t>
  </si>
  <si>
    <t>Vagrant (Luzon).</t>
  </si>
  <si>
    <t>https://www.google.com/search?q=Cygnus columbianus&amp;tbm=isch</t>
  </si>
  <si>
    <t>https://www.google.com/search?q=Tadorna tadorna&amp;tbm=isch</t>
  </si>
  <si>
    <t>Vagrant (Luzon, Palawan).</t>
  </si>
  <si>
    <t>https://www.google.com/search?q=Tadorna ferruginea&amp;tbm=isch</t>
  </si>
  <si>
    <t>https://www.google.com/search?q=Aix galericulata&amp;tbm=isch</t>
  </si>
  <si>
    <t>https://www.google.com/search?q=Nettapus coromandelianus&amp;tbm=isch</t>
  </si>
  <si>
    <t>Formerly rare winter visitor; possibly former breeder (Luzon).</t>
  </si>
  <si>
    <t>https://www.google.com/search?q=Sibirionetta formosa&amp;tbm=isch</t>
  </si>
  <si>
    <t>https://www.google.com/search?q=Spatula querquedula&amp;tbm=isch</t>
  </si>
  <si>
    <t>Uncommon and local winter visitor (Luzon, Mindoro, Palawan, Mindanao).</t>
  </si>
  <si>
    <t>https://www.google.com/search?q=Spatula clypeata&amp;tbm=isch</t>
  </si>
  <si>
    <t>Scarce and local winter visitor.</t>
  </si>
  <si>
    <t>https://www.google.com/search?q=Mareca strepera&amp;tbm=isch</t>
  </si>
  <si>
    <t>Rare winter visitor (Luzon, Mindanao).</t>
  </si>
  <si>
    <t>https://www.google.com/search?q=Mareca falcata&amp;tbm=isch</t>
  </si>
  <si>
    <t>https://www.google.com/search?q=Mareca penelope&amp;tbm=isch</t>
  </si>
  <si>
    <t>https://www.google.com/search?q=Anas luzonica&amp;tbm=isch</t>
  </si>
  <si>
    <t>Common and widespread.</t>
  </si>
  <si>
    <t>https://www.google.com/search?q=Anas zonorhyncha&amp;tbm=isch</t>
  </si>
  <si>
    <t>Rare winter visitor (Batanes, Babuyans, Luzon, Mindanao).</t>
  </si>
  <si>
    <t>https://www.google.com/search?q=Anas platyrhynchos&amp;tbm=isch</t>
  </si>
  <si>
    <t>Rare winter visitor (Batanes, Luzon).</t>
  </si>
  <si>
    <t>https://www.google.com/search?q=Anas acuta&amp;tbm=isch</t>
  </si>
  <si>
    <t>Uncommon and local winter visitor (Batanes, Luzon, Mindanao, Palawan).</t>
  </si>
  <si>
    <t>https://www.google.com/search?q=Anas crecca&amp;tbm=isch</t>
  </si>
  <si>
    <t>Uncommon and local winter visitor (Batanes, Luzon, Negros).</t>
  </si>
  <si>
    <t>https://www.google.com/search?q=Aythya ferina&amp;tbm=isch</t>
  </si>
  <si>
    <t>Scarce winter visitor (mainly Luzon).</t>
  </si>
  <si>
    <t>https://www.google.com/search?q=Aythya baeri&amp;tbm=isch</t>
  </si>
  <si>
    <t>https://www.google.com/search?q=Aythya nyroca&amp;tbm=isch</t>
  </si>
  <si>
    <t>https://www.google.com/search?q=Aythya fuligula&amp;tbm=isch</t>
  </si>
  <si>
    <t>https://www.google.com/search?q=Aythya marila&amp;tbm=isch</t>
  </si>
  <si>
    <t>https://www.google.com/search?q=Mergus squamatus&amp;tbm=isch</t>
  </si>
  <si>
    <t>https://www.google.com/search?q=Megapodius cumingii&amp;tbm=isch</t>
  </si>
  <si>
    <t>Widespread resident, locally common on very small islands.</t>
  </si>
  <si>
    <t>https://www.google.com/search?q=Francolinus pintadeanus&amp;tbm=isch</t>
  </si>
  <si>
    <t>Rare introduced resident, possibly extinct (Luzon).</t>
  </si>
  <si>
    <t>https://www.google.com/search?q=Perdix dauurica&amp;tbm=isch</t>
  </si>
  <si>
    <t>Introduced resident in Manila area, probably extinct (Luzon).</t>
  </si>
  <si>
    <t>https://www.google.com/search?q=Coturnix japonica&amp;tbm=isch</t>
  </si>
  <si>
    <t>Vagrant but possibly regular (Luzon).</t>
  </si>
  <si>
    <t>Fairly common and widespread resident.</t>
  </si>
  <si>
    <t>https://www.google.com/search?q=Gallus gallus&amp;tbm=isch</t>
  </si>
  <si>
    <t>Widespread resident.</t>
  </si>
  <si>
    <t>https://www.google.com/search?q=Polyplectron napoleonis&amp;tbm=isch</t>
  </si>
  <si>
    <t>Scarce resident (Palawan).</t>
  </si>
  <si>
    <t>https://www.google.com/search?q=Batrachostomus septimus&amp;tbm=isch</t>
  </si>
  <si>
    <t>Fairly common resident (absent Palawan).</t>
  </si>
  <si>
    <t>https://www.google.com/search?q=Batrachostomus chaseni&amp;tbm=isch</t>
  </si>
  <si>
    <t>Blyth's Frogmouth</t>
  </si>
  <si>
    <t>Uncommon resident (Palawan).</t>
  </si>
  <si>
    <t>https://www.google.com/search?q=Lyncornis macrotis&amp;tbm=isch</t>
  </si>
  <si>
    <t>Fairly common resident (absent W Visayas, Cebu, Palawan, Sulu archipelago).</t>
  </si>
  <si>
    <t>https://www.google.com/search?q=Caprimulgus jotaka&amp;tbm=isch</t>
  </si>
  <si>
    <t>Rare winter visitor (Calayan, Palawan, Mindanao?, Luzon, Negros, Mindoro?, Tawi Tawi).</t>
  </si>
  <si>
    <t>https://www.google.com/search?q=Caprimulgus macrurus&amp;tbm=isch</t>
  </si>
  <si>
    <t>Fairly common resident (Palawan).</t>
  </si>
  <si>
    <t>https://www.google.com/search?q=Caprimulgus manillensis&amp;tbm=isch</t>
  </si>
  <si>
    <t>Fairly common and widespread resident (absent Palawan).</t>
  </si>
  <si>
    <t>Widespread and locally common resident.</t>
  </si>
  <si>
    <t>https://www.google.com/search?q=Hemiprocne longipennis&amp;tbm=isch</t>
  </si>
  <si>
    <t>Rare resident (Sulu archipelago).</t>
  </si>
  <si>
    <t>https://www.google.com/search?q=Hemiprocne comata&amp;tbm=isch</t>
  </si>
  <si>
    <t>Locally common resident (absent Palawan).</t>
  </si>
  <si>
    <t>https://www.google.com/search?q=Collocalia marginata&amp;tbm=isch</t>
  </si>
  <si>
    <t>Philippine Glossy Swiftlet</t>
  </si>
  <si>
    <t>Widespread and common resident.</t>
  </si>
  <si>
    <t>https://www.google.com/search?q=Collocalia isonota&amp;tbm=isch</t>
  </si>
  <si>
    <t>https://www.google.com/search?q=Collocalia troglodytes&amp;tbm=isch</t>
  </si>
  <si>
    <t>Widespread and fairly common resident.</t>
  </si>
  <si>
    <t>https://www.google.com/search?q=Aerodramus mearnsi&amp;tbm=isch</t>
  </si>
  <si>
    <t>Fairly common and widespread resident (absent Samar, Leyte?).</t>
  </si>
  <si>
    <t>https://www.google.com/search?q=Aerodramus whiteheadi&amp;tbm=isch</t>
  </si>
  <si>
    <t>Rare and very local resident (Luzon, Negros, Mindanao).</t>
  </si>
  <si>
    <t>https://www.google.com/search?q=Aerodramus salangana&amp;tbm=isch</t>
  </si>
  <si>
    <t>Vagrant (Basilan).</t>
  </si>
  <si>
    <t>https://www.google.com/search?q=Aerodramus amelis&amp;tbm=isch</t>
  </si>
  <si>
    <t>Grey Swiftlet</t>
  </si>
  <si>
    <t>amelis: Fairly common resident (Greater Luzon, Mindoro, Cebu, Bohol, Mindanao, Cagayancillo, Dinagat, Camiguin Sur).
palawanensis: Fairly common resident (Palawan).</t>
  </si>
  <si>
    <t>https://www.google.com/search?q=Aerodramus maximus&amp;tbm=isch</t>
  </si>
  <si>
    <t>Vagrant (Palawan).</t>
  </si>
  <si>
    <t>https://www.google.com/search?q=Aerodramus germani&amp;tbm=isch</t>
  </si>
  <si>
    <t>Uncommon resident (Palawan, Calamianes, Panay), introduced (Mindanao).</t>
  </si>
  <si>
    <t>https://www.google.com/search?q=Mearnsia picina&amp;tbm=isch</t>
  </si>
  <si>
    <t>Locally common resident (Mindanao, E Visayas, Negros, Panay, Cebu, Tawi Tawi).</t>
  </si>
  <si>
    <t>https://www.google.com/search?q=Hirundapus caudacutus&amp;tbm=isch</t>
  </si>
  <si>
    <t>Vagrant (Luzon, Mindanao, Palawan).</t>
  </si>
  <si>
    <t>https://www.google.com/search?q=Hirundapus giganteus&amp;tbm=isch</t>
  </si>
  <si>
    <t>Local resident (Calamianes and Palawan).</t>
  </si>
  <si>
    <t>https://www.google.com/search?q=Hirundapus celebensis&amp;tbm=isch</t>
  </si>
  <si>
    <t>Widespread but probably scarce resident (absent Palawan).</t>
  </si>
  <si>
    <t>https://www.google.com/search?q=Cypsiurus balasiensis&amp;tbm=isch</t>
  </si>
  <si>
    <t>Fairly common and widespread resident (absent Palawan and Sulu archipelago).</t>
  </si>
  <si>
    <t>https://www.google.com/search?q=Apus pacificus&amp;tbm=isch</t>
  </si>
  <si>
    <t>Uncommon winter visitor, possibly breeds on Didicas Rocks, Babuyans and Batanes.</t>
  </si>
  <si>
    <t>https://www.google.com/search?q=Apus nipalensis&amp;tbm=isch</t>
  </si>
  <si>
    <t>Locally common resident (Luzon, Camiguin Norte, Cebu, Leyte, Mindanao, Mindoro, Negros).</t>
  </si>
  <si>
    <t>https://www.google.com/search?q=Centropus unirufus&amp;tbm=isch</t>
  </si>
  <si>
    <t>Uncommon resident (Luzon, Polillo and Catanduanes).</t>
  </si>
  <si>
    <t>https://www.google.com/search?q=Centropus melanops&amp;tbm=isch</t>
  </si>
  <si>
    <t>Uncommon resident (Greater Mindanao, E Visayas).</t>
  </si>
  <si>
    <t>https://www.google.com/search?q=Centropus steerii&amp;tbm=isch</t>
  </si>
  <si>
    <t>Rare and local resident (Mindoro).</t>
  </si>
  <si>
    <t>https://www.google.com/search?q=Centropus sinensis&amp;tbm=isch</t>
  </si>
  <si>
    <t>Fairly common resident (Palawan, Basilan, Sulu archipelago).</t>
  </si>
  <si>
    <t>https://www.google.com/search?q=Centropus viridis&amp;tbm=isch</t>
  </si>
  <si>
    <t>Widespread and common resident (absent Palawan).</t>
  </si>
  <si>
    <t>https://www.google.com/search?q=Centropus bengalensis&amp;tbm=isch</t>
  </si>
  <si>
    <t>https://www.google.com/search?q=Phaenicophaeus curvirostris&amp;tbm=isch</t>
  </si>
  <si>
    <t>Fairly common resident (Greater Palawan).</t>
  </si>
  <si>
    <t>https://www.google.com/search?q=Dasylophus superciliosus&amp;tbm=isch</t>
  </si>
  <si>
    <t>Fairly common resident (Greater Luzon).</t>
  </si>
  <si>
    <t>https://www.google.com/search?q=Dasylophus cumingi&amp;tbm=isch</t>
  </si>
  <si>
    <t>https://www.google.com/search?q=Clamator coromandus&amp;tbm=isch</t>
  </si>
  <si>
    <t>Widespread but scarce winter visitor.</t>
  </si>
  <si>
    <t>https://www.google.com/search?q=Clamator jacobinus&amp;tbm=isch</t>
  </si>
  <si>
    <t>Vagrant (Babuyan Is).</t>
  </si>
  <si>
    <t>https://www.google.com/search?q=Eudynamys scolopaceus&amp;tbm=isch</t>
  </si>
  <si>
    <t>https://www.google.com/search?q=Scythrops novaehollandiae&amp;tbm=isch</t>
  </si>
  <si>
    <t>Vagrant (Mindanao, Palawan, Jolo).</t>
  </si>
  <si>
    <t>https://www.google.com/search?q=Chrysococcyx xanthorhynchus&amp;tbm=isch</t>
  </si>
  <si>
    <t>Uncommon resident (absent W Visayas).</t>
  </si>
  <si>
    <t>https://www.google.com/search?q=Chrysococcyx minutillus&amp;tbm=isch</t>
  </si>
  <si>
    <t>Fairly common resident (Mindanao, Panay, Negros, Cebu, Basilan, Bohol, Leyte, Tawi Tawi, Palawan).</t>
  </si>
  <si>
    <t>https://www.google.com/search?q=Cacomantis sonneratii&amp;tbm=isch</t>
  </si>
  <si>
    <t>Rare resident (Palawan).</t>
  </si>
  <si>
    <t>https://www.google.com/search?q=Cacomantis merulinus&amp;tbm=isch</t>
  </si>
  <si>
    <t>https://www.google.com/search?q=Cacomantis sepulcralis&amp;tbm=isch</t>
  </si>
  <si>
    <t>https://www.google.com/search?q=Surniculus velutinus&amp;tbm=isch</t>
  </si>
  <si>
    <t>Widespread and locally common resident (absent Palawan).</t>
  </si>
  <si>
    <t>https://www.google.com/search?q=Surniculus lugubris&amp;tbm=isch</t>
  </si>
  <si>
    <t>Locally common resident (SW Philippines).</t>
  </si>
  <si>
    <t>https://www.google.com/search?q=Hierococcyx sparverioides&amp;tbm=isch</t>
  </si>
  <si>
    <t>Scarce winter visitor.</t>
  </si>
  <si>
    <t>https://www.google.com/search?q=Hierococcyx pectoralis&amp;tbm=isch</t>
  </si>
  <si>
    <t>https://www.google.com/search?q=Cuculus micropterus&amp;tbm=isch</t>
  </si>
  <si>
    <t>https://www.google.com/search?q=Cuculus saturatus&amp;tbm=isch</t>
  </si>
  <si>
    <t>Fairly common winter visitor.</t>
  </si>
  <si>
    <t>https://www.google.com/search?q=Cuculus optatus&amp;tbm=isch</t>
  </si>
  <si>
    <t>https://www.google.com/search?q=Columba livia&amp;tbm=isch</t>
  </si>
  <si>
    <t>Locally common and widespread resident.</t>
  </si>
  <si>
    <t>https://www.google.com/search?q=Columba vitiensis&amp;tbm=isch</t>
  </si>
  <si>
    <t>Scarce but fairly widespread resident.</t>
  </si>
  <si>
    <t>https://www.google.com/search?q=Streptopelia orientalis&amp;tbm=isch</t>
  </si>
  <si>
    <t>Widespread but now scarce and declining resident.</t>
  </si>
  <si>
    <t>https://www.google.com/search?q=Streptopelia tranquebarica&amp;tbm=isch</t>
  </si>
  <si>
    <t>Red Collared Dove</t>
  </si>
  <si>
    <t>Common resident.</t>
  </si>
  <si>
    <t>https://www.google.com/search?q=Spilopelia chinensis&amp;tbm=isch</t>
  </si>
  <si>
    <t>Common and widespread resident.</t>
  </si>
  <si>
    <t>https://www.google.com/search?q=Macropygia tenuirostris&amp;tbm=isch</t>
  </si>
  <si>
    <t>https://www.google.com/search?q=Chalcophaps indica&amp;tbm=isch</t>
  </si>
  <si>
    <t>https://www.google.com/search?q=Geopelia striata&amp;tbm=isch</t>
  </si>
  <si>
    <t>Abundant and widespread resident.</t>
  </si>
  <si>
    <t>https://www.google.com/search?q=Caloenas nicobarica&amp;tbm=isch</t>
  </si>
  <si>
    <t>Rare and local resident, and seasonal migrant (small islands in W &amp; SW Philippines).</t>
  </si>
  <si>
    <t>https://www.google.com/search?q=Gallicolumba luzonica&amp;tbm=isch</t>
  </si>
  <si>
    <t>Uncommon resident (Luzon, Polillo, Catanduanes).</t>
  </si>
  <si>
    <t>https://www.google.com/search?q=Gallicolumba crinigera&amp;tbm=isch</t>
  </si>
  <si>
    <t>https://www.google.com/search?q=Gallicolumba platenae&amp;tbm=isch</t>
  </si>
  <si>
    <t>https://www.google.com/search?q=Gallicolumba keayi&amp;tbm=isch</t>
  </si>
  <si>
    <t>Rare and local resident (Negros, Panay).</t>
  </si>
  <si>
    <t>https://www.google.com/search?q=Gallicolumba menagei&amp;tbm=isch</t>
  </si>
  <si>
    <t>Possibly extinct resident (Tawi Tawi).</t>
  </si>
  <si>
    <t>https://www.google.com/search?q=Phapitreron leucotis&amp;tbm=isch</t>
  </si>
  <si>
    <t>https://www.google.com/search?q=Phapitreron amethystinus&amp;tbm=isch</t>
  </si>
  <si>
    <t>https://www.google.com/search?q=Phapitreron cinereiceps&amp;tbm=isch</t>
  </si>
  <si>
    <t>Locally common resident (main island of Tawi Tawi, in S Sulu archipelago).</t>
  </si>
  <si>
    <t>https://www.google.com/search?q=Phapitreron brunneiceps&amp;tbm=isch</t>
  </si>
  <si>
    <t>Scarce and local resident (Mindanao, Basilan).</t>
  </si>
  <si>
    <t>https://www.google.com/search?q=Treron vernans&amp;tbm=isch</t>
  </si>
  <si>
    <t>https://www.google.com/search?q=Treron axillaris&amp;tbm=isch</t>
  </si>
  <si>
    <t>Widespread but now scarce resident (absent Greater Palawan).</t>
  </si>
  <si>
    <t>https://www.google.com/search?q=Treron curvirostra&amp;tbm=isch</t>
  </si>
  <si>
    <t>Scarce resident (Palawan, Balabac, Busuanga, Mindoro).</t>
  </si>
  <si>
    <t>https://www.google.com/search?q=Treron formosae&amp;tbm=isch</t>
  </si>
  <si>
    <t>Common resident or probably seasonal migrant (Babuyans, Batanes).</t>
  </si>
  <si>
    <t>https://www.google.com/search?q=Ptilinopus marchei&amp;tbm=isch</t>
  </si>
  <si>
    <t>Locally common resident (N Luzon).</t>
  </si>
  <si>
    <t>https://www.google.com/search?q=Ptilinopus merrilli&amp;tbm=isch</t>
  </si>
  <si>
    <t>faustinoi: Uncommon resident (NE Luzon).
merrilli: Uncommon resident (E &amp; SE Luzon, Catanduanes, Polillo).</t>
  </si>
  <si>
    <t>https://www.google.com/search?q=Ptilinopus occipitalis&amp;tbm=isch</t>
  </si>
  <si>
    <t>Fairly common and widespread resident (absent from Palawan and Sulu archipelago).</t>
  </si>
  <si>
    <t>https://www.google.com/search?q=Ptilinopus leclancheri&amp;tbm=isch</t>
  </si>
  <si>
    <t>https://www.google.com/search?q=Ptilinopus superbus&amp;tbm=isch</t>
  </si>
  <si>
    <t>Western Superb Fruit-dove</t>
  </si>
  <si>
    <t>Vagrant (Sulu archipelago).</t>
  </si>
  <si>
    <t>https://www.google.com/search?q=Ptilinopus melanospilus&amp;tbm=isch</t>
  </si>
  <si>
    <t>Fairly common resident (small islands in Sulu Sea).</t>
  </si>
  <si>
    <t>https://www.google.com/search?q=Ptilinopus arcanus&amp;tbm=isch</t>
  </si>
  <si>
    <t>Probably extinct (Negros).</t>
  </si>
  <si>
    <t>https://www.google.com/search?q=Ducula poliocephala&amp;tbm=isch</t>
  </si>
  <si>
    <t>Widespread but now very scarce resident (absent Greater Palawan).</t>
  </si>
  <si>
    <t>https://www.google.com/search?q=Ducula mindorensis&amp;tbm=isch</t>
  </si>
  <si>
    <t>Scarce and local resident (Mindoro).</t>
  </si>
  <si>
    <t>https://www.google.com/search?q=Ducula carola&amp;tbm=isch</t>
  </si>
  <si>
    <t>https://www.google.com/search?q=Ducula aenea&amp;tbm=isch</t>
  </si>
  <si>
    <t>Widespread but now scarce and local resident.</t>
  </si>
  <si>
    <t>https://www.google.com/search?q=Ducula pickeringii&amp;tbm=isch</t>
  </si>
  <si>
    <t>Locally common resident (very small islands in Sulu Sea).</t>
  </si>
  <si>
    <t>https://www.google.com/search?q=Ducula bicolor&amp;tbm=isch</t>
  </si>
  <si>
    <t>Widespread but now local resident.</t>
  </si>
  <si>
    <t>https://www.google.com/search?q=Lewinia striata&amp;tbm=isch</t>
  </si>
  <si>
    <t>https://www.google.com/search?q=Lewinia mirifica&amp;tbm=isch</t>
  </si>
  <si>
    <t>Scarce and local resident (Luzon).</t>
  </si>
  <si>
    <t>Local resident (Calayan).</t>
  </si>
  <si>
    <t>https://www.google.com/search?q=Hypotaenidia torquata&amp;tbm=isch</t>
  </si>
  <si>
    <t>Widespread and common resident, probably present on all inhabited islands.</t>
  </si>
  <si>
    <t>https://www.google.com/search?q=Hypotaenidia philippensis&amp;tbm=isch</t>
  </si>
  <si>
    <t>Locally common resident (Batanes, Luzon, Mindoro, Cebu, Samar, Mindanao, Coron, Tubbataha Reefs).</t>
  </si>
  <si>
    <t>https://www.google.com/search?q=Gallinula chloropus&amp;tbm=isch</t>
  </si>
  <si>
    <t>Common and widespread resident, probable winter visitor.</t>
  </si>
  <si>
    <t>https://www.google.com/search?q=Fulica atra&amp;tbm=isch</t>
  </si>
  <si>
    <t>https://www.google.com/search?q=Porphyrio pulverulentus&amp;tbm=isch</t>
  </si>
  <si>
    <t>Uncommon and declining resident (Luzon, Mindoro, Panay, Bohol, Leyte, Mindanao, Basilan).</t>
  </si>
  <si>
    <t>https://www.google.com/search?q=Zapornia fusca&amp;tbm=isch</t>
  </si>
  <si>
    <t>Widespread but uncommon resident (not recorded Greater Palawan, Sulu archipelago).</t>
  </si>
  <si>
    <t>https://www.google.com/search?q=Zapornia pusilla&amp;tbm=isch</t>
  </si>
  <si>
    <t>Scarce visitor and/or resident, perhaps breeds occasionally.</t>
  </si>
  <si>
    <t>https://www.google.com/search?q=Zapornia tabuensis&amp;tbm=isch</t>
  </si>
  <si>
    <t>Rare and local presumed resident (Luzon, Mindoro).</t>
  </si>
  <si>
    <t>https://www.google.com/search?q=Rallina eurizonoides&amp;tbm=isch</t>
  </si>
  <si>
    <t>Common resident (absent Palawan).</t>
  </si>
  <si>
    <t>https://www.google.com/search?q=Rallina fasciata&amp;tbm=isch</t>
  </si>
  <si>
    <t>Rare resident (Greater Palawan), status unknown (Luzon, Mindanao, Mindoro, Panay, Basilan), passage migrant (Tubbataha Reefs).</t>
  </si>
  <si>
    <t>https://www.google.com/search?q=Poliolimnas cinereus&amp;tbm=isch</t>
  </si>
  <si>
    <t>Poliolimnas cinereus</t>
  </si>
  <si>
    <t>https://www.google.com/search?q=Gallicrex cinerea&amp;tbm=isch</t>
  </si>
  <si>
    <t>Now uncommon but widespread resident, potential winter visitor/vagrant.</t>
  </si>
  <si>
    <t>https://www.google.com/search?q=Amaurornis phoenicurus&amp;tbm=isch</t>
  </si>
  <si>
    <t>Very common and widespread resident.</t>
  </si>
  <si>
    <t>https://www.google.com/search?q=Amaurornis olivacea&amp;tbm=isch</t>
  </si>
  <si>
    <t>Widespread and common resident (absent Palawan and apparently from most of Sulu archipelago).</t>
  </si>
  <si>
    <t>https://www.google.com/search?q=Antigone antigone&amp;tbm=isch</t>
  </si>
  <si>
    <t>Extinct (N &amp; C Luzon).</t>
  </si>
  <si>
    <t>https://www.google.com/search?q=Grus virgo&amp;tbm=isch</t>
  </si>
  <si>
    <t>https://www.google.com/search?q=Grus monacha&amp;tbm=isch</t>
  </si>
  <si>
    <t>Hooded Crane</t>
  </si>
  <si>
    <t>Grus monacha</t>
  </si>
  <si>
    <t>Vagrant (Siargao).</t>
  </si>
  <si>
    <t>https://www.google.com/search?q=Tachybaptus ruficollis&amp;tbm=isch</t>
  </si>
  <si>
    <t>Uncommon but widespread resident.</t>
  </si>
  <si>
    <t>https://www.google.com/search?q=Podiceps nigricollis&amp;tbm=isch</t>
  </si>
  <si>
    <t>https://www.google.com/search?q=Turnix sylvaticus&amp;tbm=isch</t>
  </si>
  <si>
    <t>Apparently rare resident (Luzon, Negros, Bohol, Mindanao, Sulu archipelago).</t>
  </si>
  <si>
    <t>https://www.google.com/search?q=Turnix ocellatus&amp;tbm=isch</t>
  </si>
  <si>
    <t>Fairly common resident (Luzon).</t>
  </si>
  <si>
    <t>https://www.google.com/search?q=Turnix suscitator&amp;tbm=isch</t>
  </si>
  <si>
    <t>Common resident (N &amp; W Philippines).</t>
  </si>
  <si>
    <t>https://www.google.com/search?q=Turnix worcesteri&amp;tbm=isch</t>
  </si>
  <si>
    <t>Apparently rare resident (Luzon).</t>
  </si>
  <si>
    <t>https://www.google.com/search?q=Esacus magnirostris&amp;tbm=isch</t>
  </si>
  <si>
    <t>Very local and scarce resident on dog-free offshore islets (Palawan, Negros,</t>
  </si>
  <si>
    <t>https://www.google.com/search?q=Haematopus ostralegus&amp;tbm=isch</t>
  </si>
  <si>
    <t>Vagrant (Cuyo, Negros, Olango).</t>
  </si>
  <si>
    <t>https://www.google.com/search?q=Himantopus himantopus&amp;tbm=isch</t>
  </si>
  <si>
    <t>Common winter visitor (Batanes, Cebu, Luzon, Mindoro, Negros and Palawan;</t>
  </si>
  <si>
    <t>https://www.google.com/search?q=Himantopus leucocephalus&amp;tbm=isch</t>
  </si>
  <si>
    <t>Common to rare winter visitor (at least Luzon, Mindanao and Negros, but probably rather widespread at this season, as mapped), uncommon to rare</t>
  </si>
  <si>
    <t>Breeding records include Cebu (May 2013) by Tateo Osawa and Pagadian Airport (2019) by Arne Jensen.</t>
  </si>
  <si>
    <t>https://www.google.com/search?q=Recurvirostra avosetta&amp;tbm=isch</t>
  </si>
  <si>
    <t>https://www.google.com/search?q=Vanellus vanellus&amp;tbm=isch</t>
  </si>
  <si>
    <t>Vagrant (Batanes, Calayan, Luzon, Panay).</t>
  </si>
  <si>
    <t>https://www.google.com/search?q=Vanellus cinereus&amp;tbm=isch</t>
  </si>
  <si>
    <t>Vagrant or very rare winter visitor (Babuyans, Batanes, Luzon, Palawan).</t>
  </si>
  <si>
    <t>https://www.google.com/search?q=Pluvialis fulva&amp;tbm=isch</t>
  </si>
  <si>
    <t>Common and widespread winter visitor.</t>
  </si>
  <si>
    <t>https://www.google.com/search?q=Pluvialis squatarola&amp;tbm=isch</t>
  </si>
  <si>
    <t>Fairly common but local winter visitor.</t>
  </si>
  <si>
    <t>https://www.google.com/search?q=Charadrius hiaticula&amp;tbm=isch</t>
  </si>
  <si>
    <t>https://www.google.com/search?q=Charadrius dubius&amp;tbm=isch</t>
  </si>
  <si>
    <t>Common and widespread winter visitor and resident.</t>
  </si>
  <si>
    <t>Scarce and local but widespread resident.</t>
  </si>
  <si>
    <t>Vagrant (Luzon, Mindoro, Palawan, Sibutu).</t>
  </si>
  <si>
    <t>https://www.google.com/search?q=Rostratula benghalensis&amp;tbm=isch</t>
  </si>
  <si>
    <t>https://www.google.com/search?q=Irediparra gallinacea&amp;tbm=isch</t>
  </si>
  <si>
    <t>Rare and local resident (Mindanao).</t>
  </si>
  <si>
    <t>Since last published record from 1946 - 1947, at least 18 confirmed  February 9, 2019 at Liguasan Marsh and further observed during several other visits March and April 2019. There are also claimed but unverified records from  Ligawasan Marshes: Salipada K. Pendatun Municipality, Maguindanao 1971-2006 (Pendalay 2006), Ebpanan Marsh or Libungan Marsh, Mindanao in 2001 by Renato Fernandez and Blaz Tabaranza (Tabaranza 2004) and by local communities in Ebpanan Marsh, Maguindanao in 2010 (Laurie 2011).</t>
  </si>
  <si>
    <t>https://www.google.com/search?q=Hydrophasianus chirurgus&amp;tbm=isch</t>
  </si>
  <si>
    <t>Very locally common resident (Luzon, Mindanao), scarce migrant and winter</t>
  </si>
  <si>
    <t>https://www.google.com/search?q=Numenius tahitiensis&amp;tbm=isch</t>
  </si>
  <si>
    <t>https://www.google.com/search?q=Numenius phaeopus&amp;tbm=isch</t>
  </si>
  <si>
    <t>https://www.google.com/search?q=Numenius minutus&amp;tbm=isch</t>
  </si>
  <si>
    <t>Rare winter visitor and passage migrant.</t>
  </si>
  <si>
    <t>https://www.google.com/search?q=Numenius madagascariensis&amp;tbm=isch</t>
  </si>
  <si>
    <t>Uncommon and local winter visitor.</t>
  </si>
  <si>
    <t>https://www.google.com/search?q=Numenius arquata&amp;tbm=isch</t>
  </si>
  <si>
    <t>Uncommon but fairly widespread winter visitor.</t>
  </si>
  <si>
    <t>https://www.google.com/search?q=Limosa lapponica&amp;tbm=isch</t>
  </si>
  <si>
    <t>https://www.google.com/search?q=Limosa limosa&amp;tbm=isch</t>
  </si>
  <si>
    <t>https://www.google.com/search?q=Arenaria interpres&amp;tbm=isch</t>
  </si>
  <si>
    <t>https://www.google.com/search?q=Calidris tenuirostris&amp;tbm=isch</t>
  </si>
  <si>
    <t>Scarce winter visitor and passage migrant.</t>
  </si>
  <si>
    <t>https://www.google.com/search?q=Calidris canutus&amp;tbm=isch</t>
  </si>
  <si>
    <t>https://www.google.com/search?q=Calidris pugnax&amp;tbm=isch</t>
  </si>
  <si>
    <t>Scarce winter visitor (Cebu, Luzon, Mindoro, Negros, Panay, Mindanao, Palawan).</t>
  </si>
  <si>
    <t>https://www.google.com/search?q=Calidris falcinellus&amp;tbm=isch</t>
  </si>
  <si>
    <t>Uncommon but fairly widespread winter visitor and passage migrant.</t>
  </si>
  <si>
    <t>https://www.google.com/search?q=Calidris acuminata&amp;tbm=isch</t>
  </si>
  <si>
    <t>https://www.google.com/search?q=Calidris ferruginea&amp;tbm=isch</t>
  </si>
  <si>
    <t>https://www.google.com/search?q=Calidris temminckii&amp;tbm=isch</t>
  </si>
  <si>
    <t>Rare winter visitor (Luzon, Mindoro, Panay, Palawan).</t>
  </si>
  <si>
    <t>https://www.google.com/search?q=Calidris subminuta&amp;tbm=isch</t>
  </si>
  <si>
    <t>https://www.google.com/search?q=Calidris ruficollis&amp;tbm=isch</t>
  </si>
  <si>
    <t>Common winter visitor.</t>
  </si>
  <si>
    <t>https://www.google.com/search?q=Calidris alba&amp;tbm=isch</t>
  </si>
  <si>
    <t>Uncommon winter visitor and passage migrant.</t>
  </si>
  <si>
    <t>https://www.google.com/search?q=Calidris alpina&amp;tbm=isch</t>
  </si>
  <si>
    <t>Vagrant (Luzon, Panay).</t>
  </si>
  <si>
    <t>https://www.google.com/search?q=Calidris minuta&amp;tbm=isch</t>
  </si>
  <si>
    <t>https://www.google.com/search?q=Calidris melanotos&amp;tbm=isch</t>
  </si>
  <si>
    <t>https://www.google.com/search?q=Limnodromus semipalmatus&amp;tbm=isch</t>
  </si>
  <si>
    <t>Rare and local winter visitor (Cebu, Luzon, Negros, Olango, Mindanao, Palawan, Simunul).</t>
  </si>
  <si>
    <t>https://www.google.com/search?q=Limnodromus scolopaceus&amp;tbm=isch</t>
  </si>
  <si>
    <t>https://www.google.com/search?q=Scolopax rusticola&amp;tbm=isch</t>
  </si>
  <si>
    <t>Eurasian Woodcock</t>
  </si>
  <si>
    <t>Scolopax rusticola</t>
  </si>
  <si>
    <t>https://www.google.com/search?q=Scolopax bukidnonensis&amp;tbm=isch</t>
  </si>
  <si>
    <t>Fairly common but local resident (Mindanao, Luzon, Calayan, Babuyan Claro).</t>
  </si>
  <si>
    <t>https://www.google.com/search?q=Lymnocryptes minimus&amp;tbm=isch</t>
  </si>
  <si>
    <t>https://www.google.com/search?q=Gallinago hardwickii&amp;tbm=isch</t>
  </si>
  <si>
    <t>https://www.google.com/search?q=Gallinago stenura&amp;tbm=isch</t>
  </si>
  <si>
    <t>Rare winter visitor (Calayan, Luzon, Mindanao, Palawan).</t>
  </si>
  <si>
    <t>https://www.google.com/search?q=Gallinago megala&amp;tbm=isch</t>
  </si>
  <si>
    <t>https://www.google.com/search?q=Gallinago gallinago&amp;tbm=isch</t>
  </si>
  <si>
    <t>Common and fairly widespread winter visitor.</t>
  </si>
  <si>
    <t>https://www.google.com/search?q=Xenus cinereus&amp;tbm=isch</t>
  </si>
  <si>
    <t>https://www.google.com/search?q=Phalaropus lobatus&amp;tbm=isch</t>
  </si>
  <si>
    <t>Fairly common and widespread passage migrant.</t>
  </si>
  <si>
    <t>https://www.google.com/search?q=Phalaropus fulicarius&amp;tbm=isch</t>
  </si>
  <si>
    <t>Vagrant? (Luzon).</t>
  </si>
  <si>
    <t>https://www.google.com/search?q=Actitis hypoleucos&amp;tbm=isch</t>
  </si>
  <si>
    <t>Common and very widespread winter visitor.</t>
  </si>
  <si>
    <t>https://www.google.com/search?q=Tringa ochropus&amp;tbm=isch</t>
  </si>
  <si>
    <t>Scarce but fairly widespread winter visitor.</t>
  </si>
  <si>
    <t>https://www.google.com/search?q=Tringa brevipes&amp;tbm=isch</t>
  </si>
  <si>
    <t>https://www.google.com/search?q=Tringa totanus&amp;tbm=isch</t>
  </si>
  <si>
    <t>https://www.google.com/search?q=Tringa stagnatilis&amp;tbm=isch</t>
  </si>
  <si>
    <t>https://www.google.com/search?q=Tringa glareola&amp;tbm=isch</t>
  </si>
  <si>
    <t>https://www.google.com/search?q=Tringa erythropus&amp;tbm=isch</t>
  </si>
  <si>
    <t>Vagrant (Luzon, Mindanao).</t>
  </si>
  <si>
    <t>https://www.google.com/search?q=Tringa nebularia&amp;tbm=isch</t>
  </si>
  <si>
    <t>https://www.google.com/search?q=Tringa guttifer&amp;tbm=isch</t>
  </si>
  <si>
    <t>https://www.google.com/search?q=Glareola maldivarum&amp;tbm=isch</t>
  </si>
  <si>
    <t>Common and fairly widespread presumed breeding visitor.</t>
  </si>
  <si>
    <t>https://www.google.com/search?q=Anous stolidus&amp;tbm=isch</t>
  </si>
  <si>
    <t>Locally common resident (Sulu Sea).</t>
  </si>
  <si>
    <t>https://www.google.com/search?q=Anous minutus&amp;tbm=isch</t>
  </si>
  <si>
    <t>Summer visitor (Sulu Sea).</t>
  </si>
  <si>
    <t>https://www.google.com/search?q=Gygis alba&amp;tbm=isch</t>
  </si>
  <si>
    <t>Vagrant (S Philippines).</t>
  </si>
  <si>
    <t>https://www.google.com/search?q=Chroicocephalus ridibundus&amp;tbm=isch</t>
  </si>
  <si>
    <t>Fairly common winter visitor (Cebu, Luzon, Mindanao, Mindoro, Olango, Palawan, Batanes, Polillo, Apo Reef, Negros, Leyte, Dinagat).</t>
  </si>
  <si>
    <t>https://www.google.com/search?q=Leucophaeus atricilla&amp;tbm=isch</t>
  </si>
  <si>
    <t>https://www.google.com/search?q=Leucophaeus pipixcan&amp;tbm=isch</t>
  </si>
  <si>
    <t>Vagrant (Mindanao).</t>
  </si>
  <si>
    <t>https://www.google.com/search?q=Larus crassirostris&amp;tbm=isch</t>
  </si>
  <si>
    <t>Scarce winter visitor (Batanes, Luzon, Mindanao, Olango, Palawan, Samar).</t>
  </si>
  <si>
    <t>https://www.google.com/search?q=Larus canus&amp;tbm=isch</t>
  </si>
  <si>
    <t>https://www.google.com/search?q=Larus vegae&amp;tbm=isch</t>
  </si>
  <si>
    <t>Vega Herring Gull</t>
  </si>
  <si>
    <t>https://www.google.com/search?q=Larus schistisagus&amp;tbm=isch</t>
  </si>
  <si>
    <t>Vagrant (Babuyan Is, Leyte, Luzon, Mindanao).</t>
  </si>
  <si>
    <t>https://www.google.com/search?q=Larus fuscus&amp;tbm=isch</t>
  </si>
  <si>
    <t>Vagrant (Luzon, Negros, Palawan).</t>
  </si>
  <si>
    <t>https://www.google.com/search?q=Gelochelidon nilotica&amp;tbm=isch</t>
  </si>
  <si>
    <t>Uncommon but widespread winter visitor and migrant.</t>
  </si>
  <si>
    <t>https://www.google.com/search?q=Hydroprogne caspia&amp;tbm=isch</t>
  </si>
  <si>
    <t>https://www.google.com/search?q=Thalasseus bergii&amp;tbm=isch</t>
  </si>
  <si>
    <t>https://www.google.com/search?q=Thalasseus bernsteini&amp;tbm=isch</t>
  </si>
  <si>
    <t>Vagrant or very rare winter visitor and passage migrant (Luzon, Mindanao).</t>
  </si>
  <si>
    <t>https://www.google.com/search?q=Sternula albifrons&amp;tbm=isch</t>
  </si>
  <si>
    <t>Very local resident, widespread but uncommon winter visitor and migrant.</t>
  </si>
  <si>
    <t>https://www.google.com/search?q=Onychoprion aleuticus&amp;tbm=isch</t>
  </si>
  <si>
    <t>https://www.google.com/search?q=Onychoprion anaethetus&amp;tbm=isch</t>
  </si>
  <si>
    <t>https://www.google.com/search?q=Onychoprion fuscatus&amp;tbm=isch</t>
  </si>
  <si>
    <t>Very local resident, scarce winter visitor.</t>
  </si>
  <si>
    <t>https://www.google.com/search?q=Sterna dougallii&amp;tbm=isch</t>
  </si>
  <si>
    <t>Passage migrant, possibly rare breeding visitor but no evidence.</t>
  </si>
  <si>
    <t>https://www.google.com/search?q=Sterna sumatrana&amp;tbm=isch</t>
  </si>
  <si>
    <t>https://www.google.com/search?q=Sterna hirundo&amp;tbm=isch</t>
  </si>
  <si>
    <t>Scarce winter visitor, common and widespread passage migrant.</t>
  </si>
  <si>
    <t>https://www.google.com/search?q=Chlidonias hybrida&amp;tbm=isch</t>
  </si>
  <si>
    <t>Abundant and widespread winter visitor.</t>
  </si>
  <si>
    <t>https://www.google.com/search?q=Chlidonias leucopterus&amp;tbm=isch</t>
  </si>
  <si>
    <t>https://www.google.com/search?q=Stercorarius pomarinus&amp;tbm=isch</t>
  </si>
  <si>
    <t>Rare winter visitor (Bohol, Cebu, Luzon, Mindanao, Palawan, Siargao, Sulu, Tawi Tawi).</t>
  </si>
  <si>
    <t>https://www.google.com/search?q=Stercorarius parasiticus&amp;tbm=isch</t>
  </si>
  <si>
    <t>https://www.google.com/search?q=Stercorarius longicaudus&amp;tbm=isch</t>
  </si>
  <si>
    <t>Vagrant (Babuyans, Luzon, Sulu archipelago).</t>
  </si>
  <si>
    <t>https://www.google.com/search?q=Phaethon rubricauda&amp;tbm=isch</t>
  </si>
  <si>
    <t>Vagrant (Luzon, Bucas Grande, Palawan, Negros, Sulu Sea).</t>
  </si>
  <si>
    <t>https://www.google.com/search?q=Phaethon lepturus&amp;tbm=isch</t>
  </si>
  <si>
    <t>Vagrant (Babuyans, Luzon, Mindanao, Negros, Palawan, Panay, Siargao).</t>
  </si>
  <si>
    <t>https://www.google.com/search?q=Phoebastria immutabilis&amp;tbm=isch</t>
  </si>
  <si>
    <t>Vagrant (Philippine Sea).</t>
  </si>
  <si>
    <t>https://www.google.com/search?q=Pterodroma neglecta&amp;tbm=isch</t>
  </si>
  <si>
    <t>https://www.google.com/search?q=Pterodroma sandwichensis&amp;tbm=isch</t>
  </si>
  <si>
    <t>Vagrant (Negros).</t>
  </si>
  <si>
    <t>https://www.google.com/search?q=Pterodroma nigripennis&amp;tbm=isch</t>
  </si>
  <si>
    <t>Black-winged Petrel</t>
  </si>
  <si>
    <t>Pterodroma nigripennis</t>
  </si>
  <si>
    <t>https://www.google.com/search?q=Pterodroma hypoleuca&amp;tbm=isch</t>
  </si>
  <si>
    <t>https://www.google.com/search?q=Pseudobulweria rostrata&amp;tbm=isch</t>
  </si>
  <si>
    <t>Vagrant (Luzon, Negros, Babuyan Is).</t>
  </si>
  <si>
    <t>https://www.google.com/search?q=Calonectris leucomelas&amp;tbm=isch</t>
  </si>
  <si>
    <t>Scarce winter visitor (throughout).</t>
  </si>
  <si>
    <t>https://www.google.com/search?q=Ardenna pacifica&amp;tbm=isch</t>
  </si>
  <si>
    <t>https://www.google.com/search?q=Ardenna tenuirostris&amp;tbm=isch</t>
  </si>
  <si>
    <t>Vagrant (Palawan, Luzon).</t>
  </si>
  <si>
    <t>https://www.google.com/search?q=Bulweria bulwerii&amp;tbm=isch</t>
  </si>
  <si>
    <t>Vagrant (throughout).</t>
  </si>
  <si>
    <t>https://www.google.com/search?q=Ciconia nigra&amp;tbm=isch</t>
  </si>
  <si>
    <t>https://www.google.com/search?q=Ciconia episcopus&amp;tbm=isch</t>
  </si>
  <si>
    <t>Formerly widespread but now probably extirpated.</t>
  </si>
  <si>
    <t>https://www.google.com/search?q=Ciconia boyciana&amp;tbm=isch</t>
  </si>
  <si>
    <t>https://www.google.com/search?q=Fregata andrewsi&amp;tbm=isch</t>
  </si>
  <si>
    <t>Non-breeding visitor to offshore and coastal areas.</t>
  </si>
  <si>
    <t>https://www.google.com/search?q=Fregata minor&amp;tbm=isch</t>
  </si>
  <si>
    <t>Very local resident on offshore islets, non-breeding visitor.</t>
  </si>
  <si>
    <t>https://www.google.com/search?q=Fregata ariel&amp;tbm=isch</t>
  </si>
  <si>
    <t>https://www.google.com/search?q=Sula dactylatra&amp;tbm=isch</t>
  </si>
  <si>
    <t>https://www.google.com/search?q=Sula sula&amp;tbm=isch</t>
  </si>
  <si>
    <t>Very local resident on offshore islets (mainly C Sulu Sea).</t>
  </si>
  <si>
    <t>https://www.google.com/search?q=Sula leucogaster&amp;tbm=isch</t>
  </si>
  <si>
    <t>https://www.google.com/search?q=Anhinga melanogaster&amp;tbm=isch</t>
  </si>
  <si>
    <t>Very rare resident (Mindanao, Jolo).</t>
  </si>
  <si>
    <t>https://www.google.com/search?q=Phalacrocorax carbo&amp;tbm=isch</t>
  </si>
  <si>
    <t>Scarce winter visitor (mostly N Philippines).</t>
  </si>
  <si>
    <t>https://www.google.com/search?q=Threskiornis melanocephalus&amp;tbm=isch</t>
  </si>
  <si>
    <t>Vagrant (Luzon, Mindoro).</t>
  </si>
  <si>
    <t>https://www.google.com/search?q=Plegadis falcinellus&amp;tbm=isch</t>
  </si>
  <si>
    <t>Local and rare resident (Mindanao), vagrant (Luzon).</t>
  </si>
  <si>
    <t>https://www.google.com/search?q=Platalea leucorodia&amp;tbm=isch</t>
  </si>
  <si>
    <t>https://www.google.com/search?q=Platalea minor&amp;tbm=isch</t>
  </si>
  <si>
    <t>Rare winter visitor.</t>
  </si>
  <si>
    <t>https://www.google.com/search?q=Botaurus stellaris&amp;tbm=isch</t>
  </si>
  <si>
    <t>https://www.google.com/search?q=Ixobrychus sinensis&amp;tbm=isch</t>
  </si>
  <si>
    <t>https://www.google.com/search?q=Ixobrychus eurhythmus&amp;tbm=isch</t>
  </si>
  <si>
    <t>Uncommon but widespread winter visitor.</t>
  </si>
  <si>
    <t>https://www.google.com/search?q=Ixobrychus cinnamomeus&amp;tbm=isch</t>
  </si>
  <si>
    <t>https://www.google.com/search?q=Ixobrychus flavicollis&amp;tbm=isch</t>
  </si>
  <si>
    <t>Uncommon resident and perhaps winter visitor (Batan, Luzon, Catanduanes,</t>
  </si>
  <si>
    <t>https://www.google.com/search?q=Gorsachius goisagi&amp;tbm=isch</t>
  </si>
  <si>
    <t>Rare winter visitor (Leyte, Luzon, Mindanao, Negros, Palawan, Panay, Semirara,</t>
  </si>
  <si>
    <t>https://www.google.com/search?q=Gorsachius melanolophus&amp;tbm=isch</t>
  </si>
  <si>
    <t>Local and rare resident (Batan, Luzon, Negros?, Semirara, Palawan).</t>
  </si>
  <si>
    <t>https://www.google.com/search?q=Nycticorax nycticorax&amp;tbm=isch</t>
  </si>
  <si>
    <t>Widespread and common resident and winter visitor.</t>
  </si>
  <si>
    <t>First documented breeding record from Baras Bird Sanctuary, Sultan Kudarat (1996). In the Manila area first found breeding in Paranaque (2003); in Valenzuela there is an old breeding colony (2003) claimed to have been established earlier. Has since spread and breeds e.g in Luzon e.g. in Bulacan, Pampanga and Pangasinan</t>
  </si>
  <si>
    <t>https://www.google.com/search?q=Nycticorax caledonicus&amp;tbm=isch</t>
  </si>
  <si>
    <t>https://www.google.com/search?q=Butorides striata&amp;tbm=isch</t>
  </si>
  <si>
    <t>https://www.google.com/search?q=Ardeola bacchus&amp;tbm=isch</t>
  </si>
  <si>
    <t>Scarce winter visitor (Batan, Babuyan Claro, Pag-asa Is, Luzon, Mindoro, Negros,</t>
  </si>
  <si>
    <t>https://www.google.com/search?q=Ardeola speciosa&amp;tbm=isch</t>
  </si>
  <si>
    <t>Fairly common resident (Luzon, Catanduanes?, Mindanao, E &amp; W Visayas),</t>
  </si>
  <si>
    <t>https://www.google.com/search?q=Bubulcus coromandus&amp;tbm=isch</t>
  </si>
  <si>
    <t>https://www.google.com/search?q=Ardea cinerea&amp;tbm=isch</t>
  </si>
  <si>
    <t>https://www.google.com/search?q=Ardea sumatrana&amp;tbm=isch</t>
  </si>
  <si>
    <t>Local and scarce resident (Palawan, Sulu archipelago; apparently extirpated</t>
  </si>
  <si>
    <t>https://www.google.com/search?q=Ardea purpurea&amp;tbm=isch</t>
  </si>
  <si>
    <t>https://www.google.com/search?q=Ardea alba&amp;tbm=isch</t>
  </si>
  <si>
    <t>Common winter visitor (widespread), rare resident (Mindanao).</t>
  </si>
  <si>
    <t>https://www.google.com/search?q=Ardea intermedia&amp;tbm=isch</t>
  </si>
  <si>
    <t>First breeding record is from Baras Bird Sanctuary, Tacurong, Sultan Kudarat in May 2017 by Felix Servita</t>
  </si>
  <si>
    <t>https://www.google.com/search?q=Egretta garzetta&amp;tbm=isch</t>
  </si>
  <si>
    <t>https://www.google.com/search?q=Egretta sacra&amp;tbm=isch</t>
  </si>
  <si>
    <t>Widespread but uncommon resident.</t>
  </si>
  <si>
    <t>https://www.google.com/search?q=Egretta eulophotes&amp;tbm=isch</t>
  </si>
  <si>
    <t>Widespread but local winter visitor.</t>
  </si>
  <si>
    <t>https://www.google.com/search?q=Pelecanus philippensis&amp;tbm=isch</t>
  </si>
  <si>
    <t>Extinct (formerly Luzon, Mindanao).</t>
  </si>
  <si>
    <t>Extirpated. No documented records since 1940. Last claimed, but undocumented  record is from 1972: Municipality of General Salipada K. Pendatun,  Ligawasan Marsh, Maguindanao reported by Abonawas Pendaliday (Pendaliday 2006).</t>
  </si>
  <si>
    <t>https://www.google.com/search?q=Pelecanus crispus&amp;tbm=isch</t>
  </si>
  <si>
    <t>Vagrant (E Visayas).</t>
  </si>
  <si>
    <t>https://www.google.com/search?q=Pelecanus conspicillatus&amp;tbm=isch</t>
  </si>
  <si>
    <t>https://www.google.com/search?q=Pandion haliaetus&amp;tbm=isch</t>
  </si>
  <si>
    <t>Widespread winter visitor, may oversummer.</t>
  </si>
  <si>
    <t>https://www.google.com/search?q=Elanus caeruleus&amp;tbm=isch</t>
  </si>
  <si>
    <t>Scarce but widespread resident, now extirpated from most islands.</t>
  </si>
  <si>
    <t>https://www.google.com/search?q=Pernis ptilorhynchus&amp;tbm=isch</t>
  </si>
  <si>
    <t>https://www.google.com/search?q=Pernis steerei&amp;tbm=isch</t>
  </si>
  <si>
    <t>Scarce but widespread resident (absent Palawan).</t>
  </si>
  <si>
    <t>https://www.google.com/search?q=Aviceda jerdoni&amp;tbm=isch</t>
  </si>
  <si>
    <t>Very local and rare resident (Mindanao, Palawan, Leyte?, Samar).</t>
  </si>
  <si>
    <t>https://www.google.com/search?q=Aegypius monachus&amp;tbm=isch</t>
  </si>
  <si>
    <t>https://www.google.com/search?q=Spilornis cheela&amp;tbm=isch</t>
  </si>
  <si>
    <t>Uncommon resident (Balabac, Calamian Is, Palawan).</t>
  </si>
  <si>
    <t>https://www.google.com/search?q=Spilornis holospilus&amp;tbm=isch</t>
  </si>
  <si>
    <t>Common and widespread resident (absent Palawan).</t>
  </si>
  <si>
    <t>https://www.google.com/search?q=Pithecophaga jefferyi&amp;tbm=isch</t>
  </si>
  <si>
    <t>Rare and local resident (Leyte, Luzon, Mindanao, Samar).</t>
  </si>
  <si>
    <t>https://www.google.com/search?q=Nisaetus cirrhatus&amp;tbm=isch</t>
  </si>
  <si>
    <t>Uncommon resident (Luzon?, Mindanao, Mindoro, Palawan).</t>
  </si>
  <si>
    <t>https://www.google.com/search?q=Nisaetus philippensis&amp;tbm=isch</t>
  </si>
  <si>
    <t>Uncommon to rare resident (Luzon, Mindoro).</t>
  </si>
  <si>
    <t>https://www.google.com/search?q=Nisaetus pinskeri&amp;tbm=isch</t>
  </si>
  <si>
    <t>Uncommon resident (Basilan, Mindanao, Bohol, Samar, Leyte, Biliran, Negros).</t>
  </si>
  <si>
    <t>https://www.google.com/search?q=Lophotriorchis kienerii&amp;tbm=isch</t>
  </si>
  <si>
    <t>Scarce but widespread resident (all larger islands except Cebu, Masbate, Basilan, Sulu archipelago).</t>
  </si>
  <si>
    <t>https://www.google.com/search?q=Accipiter trivirgatus&amp;tbm=isch</t>
  </si>
  <si>
    <t>Scarce resident (Mindanao, E &amp; W Visayas, Palawan).</t>
  </si>
  <si>
    <t>https://www.google.com/search?q=Accipiter badius&amp;tbm=isch</t>
  </si>
  <si>
    <t>https://www.google.com/search?q=Accipiter soloensis&amp;tbm=isch</t>
  </si>
  <si>
    <t>Common and widespread passage migrant and winter visitor.</t>
  </si>
  <si>
    <t>https://www.google.com/search?q=Accipiter gularis&amp;tbm=isch</t>
  </si>
  <si>
    <t>Rare but widespread passage migrant and winter visitor.</t>
  </si>
  <si>
    <t>https://www.google.com/search?q=Accipiter virgatus&amp;tbm=isch</t>
  </si>
  <si>
    <t>https://www.google.com/search?q=Accipiter nisus&amp;tbm=isch</t>
  </si>
  <si>
    <t>https://www.google.com/search?q=Circus spilonotus&amp;tbm=isch</t>
  </si>
  <si>
    <t>https://www.google.com/search?q=Circus melanoleucos&amp;tbm=isch</t>
  </si>
  <si>
    <t>Uncommon winter visitor (widespread), rare resident (Luzon).</t>
  </si>
  <si>
    <t>https://www.google.com/search?q=Milvus migrans&amp;tbm=isch</t>
  </si>
  <si>
    <t>https://www.google.com/search?q=Haliastur indus&amp;tbm=isch</t>
  </si>
  <si>
    <t>Rare and local resident (Luzon, Calamianes, Mindanao, historical records on Tawi Tawi, Basilan, Mindoro, Negros, Samar).</t>
  </si>
  <si>
    <t>https://www.google.com/search?q=Butastur indicus&amp;tbm=isch</t>
  </si>
  <si>
    <t>https://www.google.com/search?q=Buteo japonicus&amp;tbm=isch</t>
  </si>
  <si>
    <t>Very local resident (Cordillera Region, NW Luzon), rare winter visitor.</t>
  </si>
  <si>
    <t>https://www.google.com/search?q=Tyto longimembris&amp;tbm=isch</t>
  </si>
  <si>
    <t>https://www.google.com/search?q=Ninox japonica&amp;tbm=isch</t>
  </si>
  <si>
    <t>Common winter visitor (widespread), status unclear (Babuyans, Batanes).</t>
  </si>
  <si>
    <t>https://www.google.com/search?q=Ninox scutulata&amp;tbm=isch</t>
  </si>
  <si>
    <t>Fairy common resident (Palawan).</t>
  </si>
  <si>
    <t>https://www.google.com/search?q=Ninox randi&amp;tbm=isch</t>
  </si>
  <si>
    <t>Fairly common and widespread resident (Bohol, Luzon, Marinduque, Mindoro, Negros, Cebu, Siquijor, Mindanao, Basilan, Dalupiri, Camiguin Norte, Calayan).</t>
  </si>
  <si>
    <t>https://www.google.com/search?q=Ninox philippensis&amp;tbm=isch</t>
  </si>
  <si>
    <t>Fairly common resident (Greater Luzon, E &amp; W Visayas).</t>
  </si>
  <si>
    <t>https://www.google.com/search?q=Ninox spilocephala&amp;tbm=isch</t>
  </si>
  <si>
    <t>Uncommon resident (Greater Mindanao).</t>
  </si>
  <si>
    <t>https://www.google.com/search?q=Ninox leventisi&amp;tbm=isch</t>
  </si>
  <si>
    <t>Uncommon to rare resident (Camiguin Sur).</t>
  </si>
  <si>
    <t>https://www.google.com/search?q=Ninox reyi&amp;tbm=isch</t>
  </si>
  <si>
    <t>Local resident (Sulu archipelago).</t>
  </si>
  <si>
    <t>https://www.google.com/search?q=Ninox rumseyi&amp;tbm=isch</t>
  </si>
  <si>
    <t>Scarce and local resident (Cebu).</t>
  </si>
  <si>
    <t>https://www.google.com/search?q=Ninox spilonotus&amp;tbm=isch</t>
  </si>
  <si>
    <t>Scarce and local resident (Sibuyan, Tablas, Romblon?).</t>
  </si>
  <si>
    <t>https://www.google.com/search?q=Ninox mindorensis&amp;tbm=isch</t>
  </si>
  <si>
    <t>https://www.google.com/search?q=Otus gurneyi&amp;tbm=isch</t>
  </si>
  <si>
    <t>Uncommon resident (Mindanao, Dinagat, Siargao, Samar).</t>
  </si>
  <si>
    <t>https://www.google.com/search?q=Otus mirus&amp;tbm=isch</t>
  </si>
  <si>
    <t>Local and uncommon resident (Mindanao).</t>
  </si>
  <si>
    <t>https://www.google.com/search?q=Otus longicornis&amp;tbm=isch</t>
  </si>
  <si>
    <t>Local and uncommon resident (Luzon).</t>
  </si>
  <si>
    <t>https://www.google.com/search?q=Otus mindorensis&amp;tbm=isch</t>
  </si>
  <si>
    <t>Very local resident (Mindoro).</t>
  </si>
  <si>
    <t>https://www.google.com/search?q=Otus sunia&amp;tbm=isch</t>
  </si>
  <si>
    <t>Vagrant (off Palawan).</t>
  </si>
  <si>
    <t>https://www.google.com/search?q=Otus elegans&amp;tbm=isch</t>
  </si>
  <si>
    <t>Fairly common but local resident (Babuyans and Batanes).</t>
  </si>
  <si>
    <t>https://www.google.com/search?q=Otus mantananensis&amp;tbm=isch</t>
  </si>
  <si>
    <t>Fairly common but local resident (small islands off Mindoro, Palawan, Tawi Tawi).</t>
  </si>
  <si>
    <t>https://www.google.com/search?q=Otus megalotis&amp;tbm=isch</t>
  </si>
  <si>
    <t>Common and widespread resident (Catanduanes, Luzon, Marinduque).</t>
  </si>
  <si>
    <t>https://www.google.com/search?q=Otus nigrorum&amp;tbm=isch</t>
  </si>
  <si>
    <t>Scarce resident (Negros, Panay).</t>
  </si>
  <si>
    <t>https://www.google.com/search?q=Otus everetti&amp;tbm=isch</t>
  </si>
  <si>
    <t>Uncommon resident (E Visayas, Greater Mindanao).</t>
  </si>
  <si>
    <t>https://www.google.com/search?q=Otus fuliginosus&amp;tbm=isch</t>
  </si>
  <si>
    <t>https://www.google.com/search?q=Asio flammeus&amp;tbm=isch</t>
  </si>
  <si>
    <t>Vagrant (Luzon, Mindanao, Mindoro, Olango, Panay, Palawan).</t>
  </si>
  <si>
    <t>Uncommon but widespread resident (absent Palawan, W Visayas).</t>
  </si>
  <si>
    <t>https://www.google.com/search?q=Strix seloputo&amp;tbm=isch</t>
  </si>
  <si>
    <t>Uncommon resident (Calamian Is, Palawan).</t>
  </si>
  <si>
    <t>https://www.google.com/search?q=Harpactes ardens&amp;tbm=isch</t>
  </si>
  <si>
    <t>Fairly common resident (Luzon, E Visayas, Mindanao).</t>
  </si>
  <si>
    <t>https://www.google.com/search?q=Upupa epops&amp;tbm=isch</t>
  </si>
  <si>
    <t>Vagrant (Batanes, Catanduanes, Luzon, Palawan, Romblon).</t>
  </si>
  <si>
    <t>https://www.google.com/search?q=Buceros hydrocorax&amp;tbm=isch</t>
  </si>
  <si>
    <t>hydrocorax: Local resident (Luzon, Marinduque).
semigaleatus: Local resident (E Visayas, Mindanao).</t>
  </si>
  <si>
    <t>https://www.google.com/search?q=Anthracoceros marchei&amp;tbm=isch</t>
  </si>
  <si>
    <t>Uncommon resident (Palawan, Calamianes).</t>
  </si>
  <si>
    <t>https://www.google.com/search?q=Anthracoceros montani&amp;tbm=isch</t>
  </si>
  <si>
    <t>Local and scarce resident (Tawi Tawi).</t>
  </si>
  <si>
    <t>https://www.google.com/search?q=Rhabdotorrhinus waldeni&amp;tbm=isch</t>
  </si>
  <si>
    <t>Local and very scarce resident (Negros and Panay, formerly Guimaras).</t>
  </si>
  <si>
    <t>https://www.google.com/search?q=Rhabdotorrhinus leucocephalus&amp;tbm=isch</t>
  </si>
  <si>
    <t>Uncommon resident (Camiguin Sur, Dinagat, Siargao, Mindanao).</t>
  </si>
  <si>
    <t>https://www.google.com/search?q=Penelopides manillae&amp;tbm=isch</t>
  </si>
  <si>
    <t>Uncommon resident (Greater Luzon).</t>
  </si>
  <si>
    <t>https://www.google.com/search?q=Penelopides mindorensis&amp;tbm=isch</t>
  </si>
  <si>
    <t>Scarce resident (Mindoro).</t>
  </si>
  <si>
    <t>https://www.google.com/search?q=Penelopides affinis&amp;tbm=isch</t>
  </si>
  <si>
    <t>https://www.google.com/search?q=Penelopides samarensis&amp;tbm=isch</t>
  </si>
  <si>
    <t>Uncommon resident (E Visayas).</t>
  </si>
  <si>
    <t>https://www.google.com/search?q=Penelopides panini&amp;tbm=isch</t>
  </si>
  <si>
    <t>Local and scarce resident (W Visayas).</t>
  </si>
  <si>
    <t>https://www.google.com/search?q=Eurystomus orientalis&amp;tbm=isch</t>
  </si>
  <si>
    <t>Fairly common and widespread resident, also winter visitor?</t>
  </si>
  <si>
    <t>https://www.google.com/search?q=Actenoides lindsayi&amp;tbm=isch</t>
  </si>
  <si>
    <t>lindsayi: Common resident (Catanduanes, Luzon, Marinduque).
moseleyi: Common resident (Negros, Panay).</t>
  </si>
  <si>
    <t>https://www.google.com/search?q=Actenoides hombroni&amp;tbm=isch</t>
  </si>
  <si>
    <t>Uncommon resident (Mindanao).</t>
  </si>
  <si>
    <t>https://www.google.com/search?q=Pelargopsis capensis&amp;tbm=isch</t>
  </si>
  <si>
    <t>Scarce but widespread resident.</t>
  </si>
  <si>
    <t>https://www.google.com/search?q=Halcyon coromanda&amp;tbm=isch</t>
  </si>
  <si>
    <t>Scarce but widespread winter visitor, local resident (Palawan area, Tawi Tawi).</t>
  </si>
  <si>
    <t>Fairly common and widespread resident (absent Palawan, Sulu archipelago).</t>
  </si>
  <si>
    <t>https://www.google.com/search?q=Halcyon pileata&amp;tbm=isch</t>
  </si>
  <si>
    <t>Vagrant (Balabac, Basilan, Mindanao, Palawan, Sibutu, Tawi Tawi).</t>
  </si>
  <si>
    <t>https://www.google.com/search?q=Todiramphus winchelli&amp;tbm=isch</t>
  </si>
  <si>
    <t>Uncommon resident (Mindanao, Basilan, Sulu archipelago, Camiguin Sur, Visayas, Romblon).</t>
  </si>
  <si>
    <t>https://www.google.com/search?q=Todiramphus chloris&amp;tbm=isch</t>
  </si>
  <si>
    <t>https://www.google.com/search?q=Todiramphus sanctus&amp;tbm=isch</t>
  </si>
  <si>
    <t>https://www.google.com/search?q=Alcedo meninting&amp;tbm=isch</t>
  </si>
  <si>
    <t>Local resident (Palawan, Calamianes, Sulu archipelago).</t>
  </si>
  <si>
    <t>https://www.google.com/search?q=Alcedo atthis&amp;tbm=isch</t>
  </si>
  <si>
    <t>Common and widespread winter visitor, very rare breeder (Negros).</t>
  </si>
  <si>
    <t>Uncommon resident (Lubang and Mindoro to Palawan, Tawi Tawi), vagrant (Calayan, Palawan).</t>
  </si>
  <si>
    <t>https://www.google.com/search?q=Ceyx melanurus&amp;tbm=isch</t>
  </si>
  <si>
    <t>https://www.google.com/search?q=Ceyx margarethae&amp;tbm=isch</t>
  </si>
  <si>
    <t>Local resident, common on small islands (Mindanao, Basilan, Sulu archipelago, Tablas, Romblon, Sibuyan, Negros, Panay, Siquijor, Semirara, Cebu, Camiguin Sur).</t>
  </si>
  <si>
    <t>https://www.google.com/search?q=Ceyx cyanopectus&amp;tbm=isch</t>
  </si>
  <si>
    <t>cyanopectus: Fairly common resident (Luzon, Mindoro, Lubang, Catanduanes, Marinduque, Masbate, Polillo, Sibuyan, Ticao).
nigrirostris: Local resident (Negros, Panay).</t>
  </si>
  <si>
    <t>https://www.google.com/search?q=Ceyx argentatus&amp;tbm=isch</t>
  </si>
  <si>
    <t>Local and uncommon resident (Greater Mindanao).</t>
  </si>
  <si>
    <t>https://www.google.com/search?q=Ceyx flumenicola&amp;tbm=isch</t>
  </si>
  <si>
    <t>Local and uncommon resident (Bohol, Leyte, Samar).</t>
  </si>
  <si>
    <t>https://www.google.com/search?q=Merops philippinus&amp;tbm=isch</t>
  </si>
  <si>
    <t>https://www.google.com/search?q=Psilopogon haemacephalus&amp;tbm=isch</t>
  </si>
  <si>
    <t>https://www.google.com/search?q=Yungipicus maculatus&amp;tbm=isch</t>
  </si>
  <si>
    <t>https://www.google.com/search?q=Yungipicus ramsayi&amp;tbm=isch</t>
  </si>
  <si>
    <t>Scarce resident (Sulu archipelago).</t>
  </si>
  <si>
    <t>https://www.google.com/search?q=Dryocopus javensis&amp;tbm=isch</t>
  </si>
  <si>
    <t>https://www.google.com/search?q=Dinopium everetti&amp;tbm=isch</t>
  </si>
  <si>
    <t>Uncommon and local resident (Greater Palawan).</t>
  </si>
  <si>
    <t>https://www.google.com/search?q=Chrysocolaptes lucidus&amp;tbm=isch</t>
  </si>
  <si>
    <t>Local resident (Greater Mindanao and E Visayas).</t>
  </si>
  <si>
    <t>https://www.google.com/search?q=Chrysocolaptes haematribon&amp;tbm=isch</t>
  </si>
  <si>
    <t>Local resident (Catanduanes, Luzon, Marinduque, Polillo).</t>
  </si>
  <si>
    <t>https://www.google.com/search?q=Chrysocolaptes xanthocephalus&amp;tbm=isch</t>
  </si>
  <si>
    <t>Rare resident (W Visayas: Negros, Panay, extinct Guimaras, and probably extinct Masbate and Ticao).</t>
  </si>
  <si>
    <t>https://www.google.com/search?q=Chrysocolaptes erythrocephalus&amp;tbm=isch</t>
  </si>
  <si>
    <t>Uncommon resident (Palawan, Calamianes, Balabac).</t>
  </si>
  <si>
    <t>https://www.google.com/search?q=Mulleripicus funebris&amp;tbm=isch</t>
  </si>
  <si>
    <t>https://www.google.com/search?q=Mulleripicus pulverulentus&amp;tbm=isch</t>
  </si>
  <si>
    <t>Scarce resident (Balabac, Palawan).</t>
  </si>
  <si>
    <t>https://www.google.com/search?q=Microhierax erythrogenys&amp;tbm=isch</t>
  </si>
  <si>
    <t>Fairly common and widespread resident on larger islands (absent Palawan and Sulu archipelago).</t>
  </si>
  <si>
    <t>https://www.google.com/search?q=Falco tinnunculus&amp;tbm=isch</t>
  </si>
  <si>
    <t>Scarce winter visitor (Batanes, Calayan, Busuanga, Fuga, Leyte, Luzon, Mindoro, Mindanao, Palawan, Polillo).</t>
  </si>
  <si>
    <t>https://www.google.com/search?q=Falco moluccensis&amp;tbm=isch</t>
  </si>
  <si>
    <t>https://www.google.com/search?q=Falco amurensis&amp;tbm=isch</t>
  </si>
  <si>
    <t>https://www.google.com/search?q=Falco columbarius&amp;tbm=isch</t>
  </si>
  <si>
    <t>Vagrant (Batanes, Luzon).</t>
  </si>
  <si>
    <t>https://www.google.com/search?q=Falco subbuteo&amp;tbm=isch</t>
  </si>
  <si>
    <t>Vagrant (Batanes, Luzon, Palawan, Tawi Tawi).</t>
  </si>
  <si>
    <t>https://www.google.com/search?q=Falco severus&amp;tbm=isch</t>
  </si>
  <si>
    <t>Very local resident, though formerly widespread (Luzon, Mindanao, Mindoro, Negros?, Palawan).</t>
  </si>
  <si>
    <t>https://www.google.com/search?q=Falco peregrinus&amp;tbm=isch</t>
  </si>
  <si>
    <t>Widespread but uncommon and local resident and winter visitor.</t>
  </si>
  <si>
    <t>https://www.google.com/search?q=Cacatua haematuropygia&amp;tbm=isch</t>
  </si>
  <si>
    <t>Rare and local resident, formerly widespread (Bohol, Palawan, Polillo?, Sulu archipelago).</t>
  </si>
  <si>
    <t>https://www.google.com/search?q=Prioniturus waterstradti&amp;tbm=isch</t>
  </si>
  <si>
    <t>https://www.google.com/search?q=Prioniturus montanus&amp;tbm=isch</t>
  </si>
  <si>
    <t>Uncommon resident (Luzon).</t>
  </si>
  <si>
    <t>https://www.google.com/search?q=Prioniturus platenae&amp;tbm=isch</t>
  </si>
  <si>
    <t>Uncommon resident (Greater Palawan).</t>
  </si>
  <si>
    <t>https://www.google.com/search?q=Prioniturus mindorensis&amp;tbm=isch</t>
  </si>
  <si>
    <t>Uncommon resident (Mindoro).</t>
  </si>
  <si>
    <t>https://www.google.com/search?q=Prioniturus verticalis&amp;tbm=isch</t>
  </si>
  <si>
    <t>Very scarce resident (Tawi Tawi).</t>
  </si>
  <si>
    <t>https://www.google.com/search?q=Prioniturus luconensis&amp;tbm=isch</t>
  </si>
  <si>
    <t>Rare and very local resident (Luzon).</t>
  </si>
  <si>
    <t>https://www.google.com/search?q=Prioniturus discurus&amp;tbm=isch</t>
  </si>
  <si>
    <t>Uncommon but fairly widespread resident.</t>
  </si>
  <si>
    <t>https://www.google.com/search?q=Tanygnathus megalorynchos&amp;tbm=isch</t>
  </si>
  <si>
    <t>Formerly rare and local resident, apparently extirpated (Balut and Sarangani, off S Mindanao).</t>
  </si>
  <si>
    <t>May have been introduced to the Philippines. Found to be present in small numbers in a remaining forest at Tamanao, Sarangani Island, Davao del Sur  in 1978 (Tabaranza, Jr. and Alcopatch). Now possibly extirpated, e.g. on Balut Island, Davao del Sur</t>
  </si>
  <si>
    <t>https://www.google.com/search?q=Tanygnathus lucionensis&amp;tbm=isch</t>
  </si>
  <si>
    <t>Now rare and local resident, formerly widespread.</t>
  </si>
  <si>
    <t>Very rare and local resident, formerly known from many larger islands (except Palawan and Mindoro).</t>
  </si>
  <si>
    <t>https://www.google.com/search?q=Psittacula krameri&amp;tbm=isch</t>
  </si>
  <si>
    <t>Locally common resident (Luzon).</t>
  </si>
  <si>
    <t>Population established in Metro Manila since at least 1994: American War Cemetery, Taguig. Breeds also in Alabang Hills, Muntinlupa City and recorded from Quezon City and from Cavite</t>
  </si>
  <si>
    <t>https://www.google.com/search?q=Bolbopsittacus lunulatus&amp;tbm=isch</t>
  </si>
  <si>
    <t>https://www.google.com/search?q=Loriculus philippensis&amp;tbm=isch</t>
  </si>
  <si>
    <t>https://www.google.com/search?q=Loriculus camiguinensis&amp;tbm=isch</t>
  </si>
  <si>
    <t>Now scarce resident (Camiguin Sur).</t>
  </si>
  <si>
    <t>https://www.google.com/search?q=Sarcophanops samarensis&amp;tbm=isch</t>
  </si>
  <si>
    <t>Scarce resident (E Visayas).</t>
  </si>
  <si>
    <t>https://www.google.com/search?q=Sarcophanops steerii&amp;tbm=isch</t>
  </si>
  <si>
    <t>Scarce resident (Greater Mindanao).</t>
  </si>
  <si>
    <t>https://www.google.com/search?q=Erythropitta kochi&amp;tbm=isch</t>
  </si>
  <si>
    <t>https://www.google.com/search?q=Erythropitta erythrogaster&amp;tbm=isch</t>
  </si>
  <si>
    <t>https://www.google.com/search?q=Pitta moluccensis&amp;tbm=isch</t>
  </si>
  <si>
    <t>Vagrant (Basilan, Negros, Mindanao, Palawan).</t>
  </si>
  <si>
    <t>https://www.google.com/search?q=Pitta sordida&amp;tbm=isch</t>
  </si>
  <si>
    <t>https://www.google.com/search?q=Pitta nympha&amp;tbm=isch</t>
  </si>
  <si>
    <t>https://www.google.com/search?q=Pitta steerii&amp;tbm=isch</t>
  </si>
  <si>
    <t>Uncommon resident (Mindanao, E Visayas).</t>
  </si>
  <si>
    <t>https://www.google.com/search?q=Gerygone sulphurea&amp;tbm=isch</t>
  </si>
  <si>
    <t>https://www.google.com/search?q=Artamus leucorynchus&amp;tbm=isch</t>
  </si>
  <si>
    <t>https://www.google.com/search?q=Aegithina tiphia&amp;tbm=isch</t>
  </si>
  <si>
    <t>Fairly common resident (Balabac, Dumaran, Palawan).</t>
  </si>
  <si>
    <t>https://www.google.com/search?q=Pericrocotus igneus&amp;tbm=isch</t>
  </si>
  <si>
    <t>Fairly common (Palawan).</t>
  </si>
  <si>
    <t>https://www.google.com/search?q=Pericrocotus speciosus&amp;tbm=isch</t>
  </si>
  <si>
    <t>Uncommon resident (Luzon, Negros, E Visayas, Mindanao, Jolo Is).</t>
  </si>
  <si>
    <t>https://www.google.com/search?q=Pericrocotus divaricatus&amp;tbm=isch</t>
  </si>
  <si>
    <t>Uncommon winter visitor (N Philippines), vagrant or rare visitor (elsewhere).</t>
  </si>
  <si>
    <t>https://www.google.com/search?q=Coracina striata&amp;tbm=isch</t>
  </si>
  <si>
    <t>Scarce resident (W Visayas).</t>
  </si>
  <si>
    <t>https://www.google.com/search?q=Malindangia mcgregori&amp;tbm=isch</t>
  </si>
  <si>
    <t>Locally common resident (Mindanao).</t>
  </si>
  <si>
    <t>https://www.google.com/search?q=Edolisoma ostentum&amp;tbm=isch</t>
  </si>
  <si>
    <t>Scarce resident (Negros, Panay, extinct Guimaras).</t>
  </si>
  <si>
    <t>https://www.google.com/search?q=Edolisoma coerulescens&amp;tbm=isch</t>
  </si>
  <si>
    <t>Locally common resident (Luzon, Catanduanes, Marinduque, Cebu).</t>
  </si>
  <si>
    <t>https://www.google.com/search?q=Edolisoma mindanense&amp;tbm=isch</t>
  </si>
  <si>
    <t>Scarce but widespread resident (absent W Visayas, Palawan).</t>
  </si>
  <si>
    <t>https://www.google.com/search?q=Lalage melanoleuca&amp;tbm=isch</t>
  </si>
  <si>
    <t>melanoleuca: Uncommon resident (Luzon, Mindoro).
minor: Rare resident (Mindanao, Samar, Leyte).</t>
  </si>
  <si>
    <t>https://www.google.com/search?q=Lalage nigra&amp;tbm=isch</t>
  </si>
  <si>
    <t>https://www.google.com/search?q=Lalage melaschistos&amp;tbm=isch</t>
  </si>
  <si>
    <t>Vagrant (Batanes, Luzon, Palawan).</t>
  </si>
  <si>
    <t>https://www.google.com/search?q=Pachycephala cinerea&amp;tbm=isch</t>
  </si>
  <si>
    <t>https://www.google.com/search?q=Pachycephala albiventris&amp;tbm=isch</t>
  </si>
  <si>
    <t>Common resident (Luzon, Mindoro).</t>
  </si>
  <si>
    <t>https://www.google.com/search?q=Pachycephala homeyeri&amp;tbm=isch</t>
  </si>
  <si>
    <t>Common to very local resident (Sulu archipelago, Cebu, W Visayas, Tablas and Sibuyan; perhaps W Mindanao).</t>
  </si>
  <si>
    <t>https://www.google.com/search?q=Pachycephala philippinensis&amp;tbm=isch</t>
  </si>
  <si>
    <t>Fairly common resident (Greater Luzon, Calayan, Camiguin Norte, E Visayas, Greater Mindanao).</t>
  </si>
  <si>
    <t>https://www.google.com/search?q=Lanius tigrinus&amp;tbm=isch</t>
  </si>
  <si>
    <t>Vagrant (Baguan, Lawak, Mindanao, Palawan, Sulu archipelago).</t>
  </si>
  <si>
    <t>https://www.google.com/search?q=Lanius cristatus&amp;tbm=isch</t>
  </si>
  <si>
    <t>https://www.google.com/search?q=Lanius schach&amp;tbm=isch</t>
  </si>
  <si>
    <t>https://www.google.com/search?q=Lanius validirostris&amp;tbm=isch</t>
  </si>
  <si>
    <t>Uncommon resident (Luzon, Mindoro, Mindanao).</t>
  </si>
  <si>
    <t>https://www.google.com/search?q=Oriolus isabellae&amp;tbm=isch</t>
  </si>
  <si>
    <t>Very rare and local resident (Luzon).</t>
  </si>
  <si>
    <t>Fairly common resident (Culion, Palawan).</t>
  </si>
  <si>
    <t>https://www.google.com/search?q=Oriolus steerii&amp;tbm=isch</t>
  </si>
  <si>
    <t>Scarce resident (Greater Mindanao, Tawi Tawi, Visayas).</t>
  </si>
  <si>
    <t>https://www.google.com/search?q=Oriolus albiloris&amp;tbm=isch</t>
  </si>
  <si>
    <t>Scarce resident (Luzon).</t>
  </si>
  <si>
    <t>https://www.google.com/search?q=Oriolus chinensis&amp;tbm=isch</t>
  </si>
  <si>
    <t>https://www.google.com/search?q=Dicrurus annectens&amp;tbm=isch</t>
  </si>
  <si>
    <t>https://www.google.com/search?q=Dicrurus hottentottus&amp;tbm=isch</t>
  </si>
  <si>
    <t>Sulu Drongo</t>
  </si>
  <si>
    <t>Fairly common resident (Jolo, Lapac, Tawi Tawi, Simunul and Sibutu, Sulu archipelago).</t>
  </si>
  <si>
    <t>https://www.google.com/search?q=Dicrurus menagei&amp;tbm=isch</t>
  </si>
  <si>
    <t>Very rare and local resident (Tablas).</t>
  </si>
  <si>
    <t>https://www.google.com/search?q=Dicrurus palawanensis&amp;tbm=isch</t>
  </si>
  <si>
    <t>Palawan Drongo</t>
  </si>
  <si>
    <t>Dicrurus palawanensis</t>
  </si>
  <si>
    <t>palawanensis: Common resident (Palawan, Busuanga, Culion, Tara, Balabac and Mapun).
cuyensis: Uncommon resident (Cuyo, Pamalican, Semirara).</t>
  </si>
  <si>
    <t>https://www.google.com/search?q=Dicrurus balicassius&amp;tbm=isch</t>
  </si>
  <si>
    <t>https://www.google.com/search?q=Dicrurus leucophaeus&amp;tbm=isch</t>
  </si>
  <si>
    <t>https://www.google.com/search?q=Dicrurus macrocercus&amp;tbm=isch</t>
  </si>
  <si>
    <t>Vagrant (mostly Luzon).</t>
  </si>
  <si>
    <t>https://www.google.com/search?q=Rhipidura superciliaris&amp;tbm=isch</t>
  </si>
  <si>
    <t>Scarce resident (Mindanao and Basilan).</t>
  </si>
  <si>
    <t>https://www.google.com/search?q=Rhipidura samarensis&amp;tbm=isch</t>
  </si>
  <si>
    <t>https://www.google.com/search?q=Rhipidura cyaniceps&amp;tbm=isch</t>
  </si>
  <si>
    <t>Fairly common resident (Luzon and Catanduanes).</t>
  </si>
  <si>
    <t>https://www.google.com/search?q=Rhipidura sauli&amp;tbm=isch</t>
  </si>
  <si>
    <t>Fairly common resident (Tablas).</t>
  </si>
  <si>
    <t>https://www.google.com/search?q=Rhipidura albiventris&amp;tbm=isch</t>
  </si>
  <si>
    <t>Locally common resident (W Visayas).</t>
  </si>
  <si>
    <t>https://www.google.com/search?q=Rhipidura nigritorquis&amp;tbm=isch</t>
  </si>
  <si>
    <t>https://www.google.com/search?q=Rhipidura nigrocinnamomea&amp;tbm=isch</t>
  </si>
  <si>
    <t>Fairly common resident (Mindanao).</t>
  </si>
  <si>
    <t>https://www.google.com/search?q=Hypothymis azurea&amp;tbm=isch</t>
  </si>
  <si>
    <t>https://www.google.com/search?q=Hypothymis helenae&amp;tbm=isch</t>
  </si>
  <si>
    <t>Rare resident (Camiguin Norte, Greater Luzon, Mindanao, Samar, Dinagat, Siargao).</t>
  </si>
  <si>
    <t>https://www.google.com/search?q=Hypothymis coelestis&amp;tbm=isch</t>
  </si>
  <si>
    <t>Rare resident (Luzon, Samar, Sibuyan, Dinagat, Basilan, Mindanao, Tawi Tawi).</t>
  </si>
  <si>
    <t>https://www.google.com/search?q=Terpsiphone incei&amp;tbm=isch</t>
  </si>
  <si>
    <t>https://www.google.com/search?q=Terpsiphone atrocaudata&amp;tbm=isch</t>
  </si>
  <si>
    <t>Common breeding visitor (Batanes), rare winter visitor (Luzon, Mindoro, Mindanao, Palawan).</t>
  </si>
  <si>
    <t>https://www.google.com/search?q=Terpsiphone cyanescens&amp;tbm=isch</t>
  </si>
  <si>
    <t>Uncommon resident (Calamian Is and Palawan).</t>
  </si>
  <si>
    <t>https://www.google.com/search?q=Terpsiphone cinnamomea&amp;tbm=isch</t>
  </si>
  <si>
    <t>unirufa: Uncommon resident (Greater Luzon to W Visayas).
cinnamomea: Uncommon resident (Greater Mindanao, Samar, Sulu archipelago).</t>
  </si>
  <si>
    <t>https://www.google.com/search?q=Corvus macrorhynchos&amp;tbm=isch</t>
  </si>
  <si>
    <t>https://www.google.com/search?q=Bombycilla japonica&amp;tbm=isch</t>
  </si>
  <si>
    <t>https://www.google.com/search?q=Culicicapa helianthea&amp;tbm=isch</t>
  </si>
  <si>
    <t>Locally fairly common and widespread resident.</t>
  </si>
  <si>
    <t>https://www.google.com/search?q=Pardaliparus elegans&amp;tbm=isch</t>
  </si>
  <si>
    <t>Fairly common and widespread resident (absent Marinduque, Romblon, Bohol, Basilan, Palawan).</t>
  </si>
  <si>
    <t>https://www.google.com/search?q=Pardaliparus amabilis&amp;tbm=isch</t>
  </si>
  <si>
    <t>https://www.google.com/search?q=Sittiparus semilarvatus&amp;tbm=isch</t>
  </si>
  <si>
    <t>Rare and local resident (Luzon, Mindanao).</t>
  </si>
  <si>
    <t>https://www.google.com/search?q=Mirafra javanica&amp;tbm=isch</t>
  </si>
  <si>
    <t>https://www.google.com/search?q=Alauda gulgula&amp;tbm=isch</t>
  </si>
  <si>
    <t>Uncommon but widespread resident (absent Palawan, Sulu archipelago).</t>
  </si>
  <si>
    <t>https://www.google.com/search?q=Alauda arvensis&amp;tbm=isch</t>
  </si>
  <si>
    <t>Eurasian Skylark</t>
  </si>
  <si>
    <t>Alauda arvensis</t>
  </si>
  <si>
    <t>https://www.google.com/search?q=Alophoixus frater&amp;tbm=isch</t>
  </si>
  <si>
    <t>Fairly common resident (Palawan, Calamianes, Balabac).</t>
  </si>
  <si>
    <t>https://www.google.com/search?q=Iole palawanensis&amp;tbm=isch</t>
  </si>
  <si>
    <t>https://www.google.com/search?q=Hypsipetes philippinus&amp;tbm=isch</t>
  </si>
  <si>
    <t>Common resident (absent W Visayas, Romblon group, Mindoro, Semirara, Palawan, Sulu archipelago).</t>
  </si>
  <si>
    <t>https://www.google.com/search?q=Hypsipetes mindorensis&amp;tbm=isch</t>
  </si>
  <si>
    <t>Common resident (Mindoro, Semirara).</t>
  </si>
  <si>
    <t>https://www.google.com/search?q=Hypsipetes siquijorensis&amp;tbm=isch</t>
  </si>
  <si>
    <t>cinereiceps: Locally common resident (Tablas, Romblon).
monticola: Rare and local resident (Cebu).
siquijorensis: Very common resident (Siquijor).</t>
  </si>
  <si>
    <t>https://www.google.com/search?q=Hypsipetes guimarasensis&amp;tbm=isch</t>
  </si>
  <si>
    <t>Common resident (W Visayas, absent Romblon group).</t>
  </si>
  <si>
    <t>https://www.google.com/search?q=Hypsipetes everetti&amp;tbm=isch</t>
  </si>
  <si>
    <t>https://www.google.com/search?q=Hypsipetes rufigularis&amp;tbm=isch</t>
  </si>
  <si>
    <t>Fairly common resident (W Mindanao, Basilan).</t>
  </si>
  <si>
    <t>https://www.google.com/search?q=Hypsipetes amaurotis&amp;tbm=isch</t>
  </si>
  <si>
    <t>Common resident (Babuyans, Batanes), vagrant, perhaps regular winter visitor (also Cagayan, Luzon).</t>
  </si>
  <si>
    <t>https://www.google.com/search?q=Hypsipetes leucocephalus&amp;tbm=isch</t>
  </si>
  <si>
    <t>Vagrant (Mindoro).</t>
  </si>
  <si>
    <t>https://www.google.com/search?q=Poliolophus urostictus&amp;tbm=isch</t>
  </si>
  <si>
    <t>Locally common resident (Greater Luzon, E Visayas, Negros, Greater Mindanao).</t>
  </si>
  <si>
    <t>https://www.google.com/search?q=Brachypodius melanocephalos&amp;tbm=isch</t>
  </si>
  <si>
    <t>Brachypodius melanocephalos</t>
  </si>
  <si>
    <t>Fairly common resident (Calauit, Dumaran, Palawan).</t>
  </si>
  <si>
    <t>https://www.google.com/search?q=Pycnonotus plumosus&amp;tbm=isch</t>
  </si>
  <si>
    <t>Very local resident (Mapun).</t>
  </si>
  <si>
    <t>https://www.google.com/search?q=Pycnonotus cinereifrons&amp;tbm=isch</t>
  </si>
  <si>
    <t>Fairly common resident (Busuanga, Culion, Palawan).</t>
  </si>
  <si>
    <t>https://www.google.com/search?q=Pycnonotus sinensis&amp;tbm=isch</t>
  </si>
  <si>
    <t>https://www.google.com/search?q=Pycnonotus goiavier&amp;tbm=isch</t>
  </si>
  <si>
    <t>Common and widespread resident (absent Siquijor; apparently a recent arrival Palawan).</t>
  </si>
  <si>
    <t>https://www.google.com/search?q=Riparia chinensis&amp;tbm=isch</t>
  </si>
  <si>
    <t>Uncommon resident (N &amp; C Luzon, Mindoro).</t>
  </si>
  <si>
    <t>https://www.google.com/search?q=Riparia riparia&amp;tbm=isch</t>
  </si>
  <si>
    <t>Scarce winter visitor and passage migrant?</t>
  </si>
  <si>
    <t>https://www.google.com/search?q=Hirundo rustica&amp;tbm=isch</t>
  </si>
  <si>
    <t>https://www.google.com/search?q=Hirundo tahitica&amp;tbm=isch</t>
  </si>
  <si>
    <t>https://www.google.com/search?q=Delichon dasypus&amp;tbm=isch</t>
  </si>
  <si>
    <t>Vagrant (Batanes, Babuyans, Luzon, Negros, Palawan).</t>
  </si>
  <si>
    <t>https://www.google.com/search?q=Cecropis striolata&amp;tbm=isch</t>
  </si>
  <si>
    <t>Locally common resident (Luzon, Mindoro, Palawan, Negros, Panay, Cebu, Bohol, Mindanao, Leyte, Samar, Camiguin Sur, Siargao, Catanduanes, Batanes, Babuyans).</t>
  </si>
  <si>
    <t>https://www.google.com/search?q=Phyllergates cucullatus&amp;tbm=isch</t>
  </si>
  <si>
    <t>Common resident (Luzon, Palawan).</t>
  </si>
  <si>
    <t>https://www.google.com/search?q=Phyllergates heterolaemus&amp;tbm=isch</t>
  </si>
  <si>
    <t>https://www.google.com/search?q=Horornis seebohmi&amp;tbm=isch</t>
  </si>
  <si>
    <t>Common resident (NW &amp; W? Luzon).</t>
  </si>
  <si>
    <t>https://www.google.com/search?q=Horornis canturians&amp;tbm=isch</t>
  </si>
  <si>
    <t>canturians: Scarce winter visitor (Batanes, Babuyans, Luzon, Apo Reef, possibly Negros).
borealis: Vagrant? (Batan, Luzon).</t>
  </si>
  <si>
    <t>Resident (Palawan).</t>
  </si>
  <si>
    <t>https://www.google.com/search?q=Urosphena squameiceps&amp;tbm=isch</t>
  </si>
  <si>
    <t>Vagrant (Babuyans, Panay).</t>
  </si>
  <si>
    <t>https://www.google.com/search?q=Phylloscopus inornatus&amp;tbm=isch</t>
  </si>
  <si>
    <t>https://www.google.com/search?q=Phylloscopus fuscatus&amp;tbm=isch</t>
  </si>
  <si>
    <t>Vagrant (Batanes, Luzon, Mindoro).</t>
  </si>
  <si>
    <t>https://www.google.com/search?q=Phylloscopus trochilus&amp;tbm=isch</t>
  </si>
  <si>
    <t>https://www.google.com/search?q=Phylloscopus ijimae&amp;tbm=isch</t>
  </si>
  <si>
    <t>Regular winter visitor or vagrant (Luzon).</t>
  </si>
  <si>
    <t>https://www.google.com/search?q=Phylloscopus olivaceus&amp;tbm=isch</t>
  </si>
  <si>
    <t>Locally common resident (Negros, E Visayas, Greater Mindanao, Sulu archipelago).</t>
  </si>
  <si>
    <t>https://www.google.com/search?q=Phylloscopus cebuensis&amp;tbm=isch</t>
  </si>
  <si>
    <t>Locally common resident (Luzon, Negros, Cebu).</t>
  </si>
  <si>
    <t>https://www.google.com/search?q=Phylloscopus xanthodryas&amp;tbm=isch</t>
  </si>
  <si>
    <t>Apparently scarce winter visitor.</t>
  </si>
  <si>
    <t>https://www.google.com/search?q=Phylloscopus examinandus&amp;tbm=isch</t>
  </si>
  <si>
    <t>Common winter visitor/passage migrant.</t>
  </si>
  <si>
    <t>https://www.google.com/search?q=Phylloscopus borealis&amp;tbm=isch</t>
  </si>
  <si>
    <t>https://www.google.com/search?q=Phylloscopus montis&amp;tbm=isch</t>
  </si>
  <si>
    <t>https://www.google.com/search?q=Phylloscopus nigrorum&amp;tbm=isch</t>
  </si>
  <si>
    <t>Philippine Mountain Warbler</t>
  </si>
  <si>
    <t>Locally common resident (Luzon, Mindoro, Palawan, Panay, Negros, Camiguin Sur, Mindanao).</t>
  </si>
  <si>
    <t>https://www.google.com/search?q=Acrocephalus orientalis&amp;tbm=isch</t>
  </si>
  <si>
    <t>https://www.google.com/search?q=Acrocephalus stentoreus&amp;tbm=isch</t>
  </si>
  <si>
    <t>Australasian Reed-warbler</t>
  </si>
  <si>
    <t>Common and fairly widespread resident (Bohol, Leyte, Luzon, Mindanao, Mindoro, Negros, Panay).</t>
  </si>
  <si>
    <t>https://www.google.com/search?q=Acrocephalus bistrigiceps&amp;tbm=isch</t>
  </si>
  <si>
    <t>https://www.google.com/search?q=Acrocephalus sorghophilus&amp;tbm=isch</t>
  </si>
  <si>
    <t>Very rare winter visitor (Luzon, Negros and Bohol).</t>
  </si>
  <si>
    <t>https://www.google.com/search?q=Robsonius rabori&amp;tbm=isch</t>
  </si>
  <si>
    <t>Scarce resident (NW Luzon).</t>
  </si>
  <si>
    <t>https://www.google.com/search?q=Robsonius thompsoni&amp;tbm=isch</t>
  </si>
  <si>
    <t>Scarce resident (NE Luzon).</t>
  </si>
  <si>
    <t>https://www.google.com/search?q=Robsonius sorsogonensis&amp;tbm=isch</t>
  </si>
  <si>
    <t>Scarce resident (EC &amp; S Luzon, Catanduanes).</t>
  </si>
  <si>
    <t>https://www.google.com/search?q=Helopsaltes fasciolatus&amp;tbm=isch</t>
  </si>
  <si>
    <t>Scarce winter visitor and common passage migrant.</t>
  </si>
  <si>
    <t>https://www.google.com/search?q=Helopsaltes certhiola&amp;tbm=isch</t>
  </si>
  <si>
    <t>Vagrant (Batanes, Palawan).</t>
  </si>
  <si>
    <t>https://www.google.com/search?q=Helopsaltes ochotensis&amp;tbm=isch</t>
  </si>
  <si>
    <t>https://www.google.com/search?q=Locustella lanceolata&amp;tbm=isch</t>
  </si>
  <si>
    <t>Common winter visitor (Babuyans, Luzon, Mindoro, Negros, Bohol, Mindanao, Palawan, Tubbataha Reefs).</t>
  </si>
  <si>
    <t>https://www.google.com/search?q=Locustella caudata&amp;tbm=isch</t>
  </si>
  <si>
    <t>Locally common resident (Luzon, Mindanao).</t>
  </si>
  <si>
    <t>https://www.google.com/search?q=Locustella seebohmi&amp;tbm=isch</t>
  </si>
  <si>
    <t>Locally common resident (NW Luzon).</t>
  </si>
  <si>
    <t>https://www.google.com/search?q=Cincloramphus timoriensis&amp;tbm=isch</t>
  </si>
  <si>
    <t>https://www.google.com/search?q=Megalurus palustris&amp;tbm=isch</t>
  </si>
  <si>
    <t>https://www.google.com/search?q=Cisticola juncidis&amp;tbm=isch</t>
  </si>
  <si>
    <t>https://www.google.com/search?q=Cisticola exilis&amp;tbm=isch</t>
  </si>
  <si>
    <t>https://www.google.com/search?q=Micromacronus leytensis&amp;tbm=isch</t>
  </si>
  <si>
    <t>Rare and local resident (Samar and Leyte).</t>
  </si>
  <si>
    <t>https://www.google.com/search?q=Micromacronus sordidus&amp;tbm=isch</t>
  </si>
  <si>
    <t>https://www.google.com/search?q=Orthotomus castaneiceps&amp;tbm=isch</t>
  </si>
  <si>
    <t>Common resident (W Visayas).</t>
  </si>
  <si>
    <t>https://www.google.com/search?q=Orthotomus chloronotus&amp;tbm=isch</t>
  </si>
  <si>
    <t>Common resident (N &amp; C Luzon).</t>
  </si>
  <si>
    <t>https://www.google.com/search?q=Orthotomus frontalis&amp;tbm=isch</t>
  </si>
  <si>
    <t>Fairly common resident (Greater Mindanao, E Visayas).</t>
  </si>
  <si>
    <t>https://www.google.com/search?q=Orthotomus derbianus&amp;tbm=isch</t>
  </si>
  <si>
    <t>Common resident (Luzon, Catanduanes).</t>
  </si>
  <si>
    <t>https://www.google.com/search?q=Orthotomus sericeus&amp;tbm=isch</t>
  </si>
  <si>
    <t>Common resident (Balabac, Busuanga, Culion and Palawan).</t>
  </si>
  <si>
    <t>https://www.google.com/search?q=Orthotomus ruficeps&amp;tbm=isch</t>
  </si>
  <si>
    <t>Fairly common but local resident (Mapun).</t>
  </si>
  <si>
    <t>https://www.google.com/search?q=Orthotomus cinereiceps&amp;tbm=isch</t>
  </si>
  <si>
    <t>Uncommon resident (W &amp; C Mindanao, Basilan).</t>
  </si>
  <si>
    <t>https://www.google.com/search?q=Orthotomus nigriceps&amp;tbm=isch</t>
  </si>
  <si>
    <t>Uncommon resident (E Greater Mindanao).</t>
  </si>
  <si>
    <t>https://www.google.com/search?q=Orthotomus samarensis&amp;tbm=isch</t>
  </si>
  <si>
    <t>https://www.google.com/search?q=Dasycrotapha speciosa&amp;tbm=isch</t>
  </si>
  <si>
    <t>Uncommon resident (Panay, Negros).</t>
  </si>
  <si>
    <t>https://www.google.com/search?q=Dasycrotapha pygmaea&amp;tbm=isch</t>
  </si>
  <si>
    <t>Uncommon resident (Samar, Leyte).</t>
  </si>
  <si>
    <t>https://www.google.com/search?q=Dasycrotapha plateni&amp;tbm=isch</t>
  </si>
  <si>
    <t>https://www.google.com/search?q=Sterrhoptilus capitalis&amp;tbm=isch</t>
  </si>
  <si>
    <t>https://www.google.com/search?q=Sterrhoptilus dennistouni&amp;tbm=isch</t>
  </si>
  <si>
    <t>https://www.google.com/search?q=Sterrhoptilus nigrocapitatus&amp;tbm=isch</t>
  </si>
  <si>
    <t>Uncommon resident (Catanduanes, C &amp; S Luzon, E Visayas).</t>
  </si>
  <si>
    <t>https://www.google.com/search?q=Zosterornis hypogrammicus&amp;tbm=isch</t>
  </si>
  <si>
    <t>Locally common resident (Palawan).</t>
  </si>
  <si>
    <t>https://www.google.com/search?q=Zosterornis striatus&amp;tbm=isch</t>
  </si>
  <si>
    <t>Uncommon and local resident (Luzon).</t>
  </si>
  <si>
    <t>https://www.google.com/search?q=Zosterornis whiteheadi&amp;tbm=isch</t>
  </si>
  <si>
    <t>https://www.google.com/search?q=Zosterornis latistriatus&amp;tbm=isch</t>
  </si>
  <si>
    <t>Locally common resident (Panay).</t>
  </si>
  <si>
    <t>https://www.google.com/search?q=Zosterornis nigrorum&amp;tbm=isch</t>
  </si>
  <si>
    <t>Rare and local resident (Negros).</t>
  </si>
  <si>
    <t>https://www.google.com/search?q=Heleia goodfellowi&amp;tbm=isch</t>
  </si>
  <si>
    <t>https://www.google.com/search?q=Zosterops nigrorum&amp;tbm=isch</t>
  </si>
  <si>
    <t>Locally common resident (Camiguin Norte, Luzon, Catanduanes, Mindoro, W Visayas, Camiguin Sur, Cagayancillo).</t>
  </si>
  <si>
    <t>https://www.google.com/search?q=Zosterops japonicus&amp;tbm=isch</t>
  </si>
  <si>
    <t>Locally common resident (Luzon, Mindoro, Palawan, Sibuyan, Panay, Negros, Mindanao).</t>
  </si>
  <si>
    <t>https://www.google.com/search?q=Zosterops meyeni&amp;tbm=isch</t>
  </si>
  <si>
    <t>Common resident (Luzon and nearby small islands, Mindoro, Batanes, Calayan, Lubang, Leyte).</t>
  </si>
  <si>
    <t>https://www.google.com/search?q=Zosterops everetti&amp;tbm=isch</t>
  </si>
  <si>
    <t>Common resident (E Visayas, Cebu, Greater Mindanao, Siquijor, Sulu archipelago).</t>
  </si>
  <si>
    <t>https://www.google.com/search?q=Mixornis gularis&amp;tbm=isch</t>
  </si>
  <si>
    <t>Common resident (Balabac and Palawan).</t>
  </si>
  <si>
    <t>https://www.google.com/search?q=Mixornis bornensis&amp;tbm=isch</t>
  </si>
  <si>
    <t>Common resident (Mapun).</t>
  </si>
  <si>
    <t>https://www.google.com/search?q=Macronus striaticeps&amp;tbm=isch</t>
  </si>
  <si>
    <t>https://www.google.com/search?q=Malacopteron palawanense&amp;tbm=isch</t>
  </si>
  <si>
    <t>Uncommon resident (Balabac and Palawan).</t>
  </si>
  <si>
    <t>https://www.google.com/search?q=Pellorneum cinereiceps&amp;tbm=isch</t>
  </si>
  <si>
    <t>Fairly common resident (Balabac and Palawan).</t>
  </si>
  <si>
    <t>https://www.google.com/search?q=Ptilocichla mindanensis&amp;tbm=isch</t>
  </si>
  <si>
    <t>Uncommon resident (E Visayas, Mindanao, Basilan).</t>
  </si>
  <si>
    <t>https://www.google.com/search?q=Ptilocichla falcata&amp;tbm=isch</t>
  </si>
  <si>
    <t>Uncommon resident (Balabac, where probably extinct, Palawan).</t>
  </si>
  <si>
    <t>Fairly common resident (Balabac, Calamianes, Palawan).</t>
  </si>
  <si>
    <t>https://www.google.com/search?q=Irena cyanogastra&amp;tbm=isch</t>
  </si>
  <si>
    <t>Locally common resident (Greater Luzon, E Visayas, Greater Mindanao).</t>
  </si>
  <si>
    <t>https://www.google.com/search?q=Sitta frontalis&amp;tbm=isch</t>
  </si>
  <si>
    <t>Fairly common resident (Balabac, Palawan).</t>
  </si>
  <si>
    <t>https://www.google.com/search?q=Sitta oenochlamys&amp;tbm=isch</t>
  </si>
  <si>
    <t>Fairly common resident (Luzon, E &amp; W Visayas, Mindanao, Basilan).</t>
  </si>
  <si>
    <t>https://www.google.com/search?q=Aplonis panayensis&amp;tbm=isch</t>
  </si>
  <si>
    <t>https://www.google.com/search?q=Aplonis minor&amp;tbm=isch</t>
  </si>
  <si>
    <t>https://www.google.com/search?q=Sarcops calvus&amp;tbm=isch</t>
  </si>
  <si>
    <t>https://www.google.com/search?q=Gracula religiosa&amp;tbm=isch</t>
  </si>
  <si>
    <t>Now scarce resident (Balabac, Calamianes, Palawan).</t>
  </si>
  <si>
    <t>https://www.google.com/search?q=Acridotheres cristatellus&amp;tbm=isch</t>
  </si>
  <si>
    <t>Introduced, locally common resident (Batan, Babuyans, Luzon, Leyte, Negros, Mindanao).</t>
  </si>
  <si>
    <t>https://www.google.com/search?q=Acridotheres tristis&amp;tbm=isch</t>
  </si>
  <si>
    <t>Vagrant (Batan).</t>
  </si>
  <si>
    <t>https://www.google.com/search?q=Spodiopsar sericeus&amp;tbm=isch</t>
  </si>
  <si>
    <t>Very scarce winter visitor (Batanes, Babuyans, Dinagat, Luzon, Apo Reef, Palawan).</t>
  </si>
  <si>
    <t>https://www.google.com/search?q=Spodiopsar cineraceus&amp;tbm=isch</t>
  </si>
  <si>
    <t>https://www.google.com/search?q=Agropsar sturninus&amp;tbm=isch</t>
  </si>
  <si>
    <t>Vagrant (Cebu, Lawak, Luzon, Palawan, Tubbataha Reefs).</t>
  </si>
  <si>
    <t>https://www.google.com/search?q=Agropsar philippensis&amp;tbm=isch</t>
  </si>
  <si>
    <t>Fairly common winter visitor and passage migrant.</t>
  </si>
  <si>
    <t>https://www.google.com/search?q=Sturnia sinensis&amp;tbm=isch</t>
  </si>
  <si>
    <t>Scarce winter visitor (Batanes, Babuyans, N Luzon, once Negros).</t>
  </si>
  <si>
    <t>https://www.google.com/search?q=Pastor roseus&amp;tbm=isch</t>
  </si>
  <si>
    <t>Vagrant (Luzon, Negros, Panay, Palawan).</t>
  </si>
  <si>
    <t>https://www.google.com/search?q=Sturnus vulgaris&amp;tbm=isch</t>
  </si>
  <si>
    <t>Vagrant (Batanes, Catanduanes, Luzon, Palawan).</t>
  </si>
  <si>
    <t>https://www.google.com/search?q=Rhabdornis mystacalis&amp;tbm=isch</t>
  </si>
  <si>
    <t>Fairly common and widespread resident (absent Mindoro, Palawan, Cebu, Sulu archipelago).</t>
  </si>
  <si>
    <t>https://www.google.com/search?q=Rhabdornis inornatus&amp;tbm=isch</t>
  </si>
  <si>
    <t>Scarce and local resident (Negros, Panay).</t>
  </si>
  <si>
    <t>https://www.google.com/search?q=Rhabdornis grandis&amp;tbm=isch</t>
  </si>
  <si>
    <t>Uncommon and local resident (N &amp; EC Luzon).</t>
  </si>
  <si>
    <t>https://www.google.com/search?q=Geokichla interpres&amp;tbm=isch</t>
  </si>
  <si>
    <t>https://www.google.com/search?q=Geokichla cinerea&amp;tbm=isch</t>
  </si>
  <si>
    <t>Uncommon resident (Lubang, Luzon, Mindoro).</t>
  </si>
  <si>
    <t>https://www.google.com/search?q=Geokichla sibirica&amp;tbm=isch</t>
  </si>
  <si>
    <t>https://www.google.com/search?q=Zoothera andromedae&amp;tbm=isch</t>
  </si>
  <si>
    <t>Rare and local resident (Luzon, Mindoro, Negros, Panay, Mindanao, Camiguin Sur).</t>
  </si>
  <si>
    <t>https://www.google.com/search?q=Zoothera aurea&amp;tbm=isch</t>
  </si>
  <si>
    <t>Locally common winter visitor (Batanes, Babuyans, Luzon, Mindoro, Palawan, Marinduque, Sibuyan, Panay and Catanduanes).</t>
  </si>
  <si>
    <t>https://www.google.com/search?q=Turdus hortulorum&amp;tbm=isch</t>
  </si>
  <si>
    <t>https://www.google.com/search?q=Turdus mandarinus&amp;tbm=isch</t>
  </si>
  <si>
    <t>Vagrant (Palawan, Batanes).</t>
  </si>
  <si>
    <t>https://www.google.com/search?q=Turdus poliocephalus&amp;tbm=isch</t>
  </si>
  <si>
    <t>Locally common resident (Luzon, Mindoro, Panay, Negros, Mindanao, Sibuyan).</t>
  </si>
  <si>
    <t>https://www.google.com/search?q=Turdus obscurus&amp;tbm=isch</t>
  </si>
  <si>
    <t>Uncommon winter visitor.</t>
  </si>
  <si>
    <t>https://www.google.com/search?q=Turdus pallidus&amp;tbm=isch</t>
  </si>
  <si>
    <t>Rare winter visitor (Batanes, Babuyans, Luzon, Apo Reef off Mindoro).</t>
  </si>
  <si>
    <t>https://www.google.com/search?q=Turdus chrysolaus&amp;tbm=isch</t>
  </si>
  <si>
    <t>https://www.google.com/search?q=Turdus naumanni&amp;tbm=isch</t>
  </si>
  <si>
    <t>https://www.google.com/search?q=Turdus eunomus&amp;tbm=isch</t>
  </si>
  <si>
    <t>https://www.google.com/search?q=Copsychus mindanensis&amp;tbm=isch</t>
  </si>
  <si>
    <t>Common and widespread resident (absent Palawan area, also Catanduanes).</t>
  </si>
  <si>
    <t>https://www.google.com/search?q=Copsychus luzoniensis&amp;tbm=isch</t>
  </si>
  <si>
    <t>Local resident (W Visayas).</t>
  </si>
  <si>
    <t>https://www.google.com/search?q=Copsychus niger&amp;tbm=isch</t>
  </si>
  <si>
    <t>Uncommon resident (Palawan area, also Catanduanes).</t>
  </si>
  <si>
    <t>https://www.google.com/search?q=Copsychus cebuensis&amp;tbm=isch</t>
  </si>
  <si>
    <t>Uncommon and local resident (Cebu).</t>
  </si>
  <si>
    <t>https://www.google.com/search?q=Muscicapa griseisticta&amp;tbm=isch</t>
  </si>
  <si>
    <t>https://www.google.com/search?q=Muscicapa sibirica&amp;tbm=isch</t>
  </si>
  <si>
    <t>https://www.google.com/search?q=Muscicapa dauurica&amp;tbm=isch</t>
  </si>
  <si>
    <t>Scarce but widespread winter visitor, probably throughout.</t>
  </si>
  <si>
    <t>https://www.google.com/search?q=Muscicapa randi&amp;tbm=isch</t>
  </si>
  <si>
    <t>Scarce and local resident (Luzon, Negros).</t>
  </si>
  <si>
    <t>https://www.google.com/search?q=Muscicapa ferruginea&amp;tbm=isch</t>
  </si>
  <si>
    <t>Scarce winter visitor (N &amp; C Luzon, Palawan), vagrant elsewhere?</t>
  </si>
  <si>
    <t>https://www.google.com/search?q=Cyornis herioti&amp;tbm=isch</t>
  </si>
  <si>
    <t>https://www.google.com/search?q=Cyornis lemprieri&amp;tbm=isch</t>
  </si>
  <si>
    <t>Uncommon resident (Calauit, Busuanga, Culion, Palawan and Balabac).</t>
  </si>
  <si>
    <t>https://www.google.com/search?q=Cyornis rufigastra&amp;tbm=isch</t>
  </si>
  <si>
    <t>https://www.google.com/search?q=Cyornis ruficauda&amp;tbm=isch</t>
  </si>
  <si>
    <t>https://www.google.com/search?q=Cyanoptila cyanomelana&amp;tbm=isch</t>
  </si>
  <si>
    <t>https://www.google.com/search?q=Eumyias thalassinus&amp;tbm=isch</t>
  </si>
  <si>
    <t>https://www.google.com/search?q=Eumyias panayensis&amp;tbm=isch</t>
  </si>
  <si>
    <t>Fairly common resident.</t>
  </si>
  <si>
    <t>https://www.google.com/search?q=Leonardina woodi&amp;tbm=isch</t>
  </si>
  <si>
    <t>Uncommon and local resident (Mindanao).</t>
  </si>
  <si>
    <t>https://www.google.com/search?q=Vauriella albigularis&amp;tbm=isch</t>
  </si>
  <si>
    <t>Scarce and local resident (Panay, Negros).</t>
  </si>
  <si>
    <t>https://www.google.com/search?q=Vauriella insignis&amp;tbm=isch</t>
  </si>
  <si>
    <t>Scarce and local resident (N Luzon).</t>
  </si>
  <si>
    <t>https://www.google.com/search?q=Vauriella goodfellowi&amp;tbm=isch</t>
  </si>
  <si>
    <t>Scarce and local resident (Mindanao).</t>
  </si>
  <si>
    <t>https://www.google.com/search?q=Larvivora cyane&amp;tbm=isch</t>
  </si>
  <si>
    <t>Vagrant (Mindanao, Palawan, Sulu archipelago).</t>
  </si>
  <si>
    <t>https://www.google.com/search?q=Luscinia svecica&amp;tbm=isch</t>
  </si>
  <si>
    <t>https://www.google.com/search?q=Calliope calliope&amp;tbm=isch</t>
  </si>
  <si>
    <t>Common winter visitor (Luzon, vagrant to other islands?).</t>
  </si>
  <si>
    <t>https://www.google.com/search?q=Tarsiger cyanurus&amp;tbm=isch</t>
  </si>
  <si>
    <t>Vagrant (Babuyans).</t>
  </si>
  <si>
    <t>https://www.google.com/search?q=Ficedula zanthopygia&amp;tbm=isch</t>
  </si>
  <si>
    <t>https://www.google.com/search?q=Ficedula narcissina&amp;tbm=isch</t>
  </si>
  <si>
    <t>https://www.google.com/search?q=Ficedula mugimaki&amp;tbm=isch</t>
  </si>
  <si>
    <t>https://www.google.com/search?q=Ficedula westermanni&amp;tbm=isch</t>
  </si>
  <si>
    <t>Fairly common but local resident (Luzon, Mindoro, Palawan, Panay, Negros, Mindanao, Camiguin Sur).</t>
  </si>
  <si>
    <t>https://www.google.com/search?q=Ficedula albicilla&amp;tbm=isch</t>
  </si>
  <si>
    <t>https://www.google.com/search?q=Ficedula disposita&amp;tbm=isch</t>
  </si>
  <si>
    <t>https://www.google.com/search?q=Ficedula platenae&amp;tbm=isch</t>
  </si>
  <si>
    <t>Uncommon and local resident (Palawan).</t>
  </si>
  <si>
    <t>https://www.google.com/search?q=Ficedula basilanica&amp;tbm=isch</t>
  </si>
  <si>
    <t>Scarce resident (Samar, Leyte, Greater Mindanao).</t>
  </si>
  <si>
    <t>https://www.google.com/search?q=Ficedula crypta&amp;tbm=isch</t>
  </si>
  <si>
    <t>https://www.google.com/search?q=Ficedula luzoniensis&amp;tbm=isch</t>
  </si>
  <si>
    <t>Locally common resident (Calayan, Luzon, Mindoro, Palawan, Panay, Negros, Mindanao).</t>
  </si>
  <si>
    <t>https://www.google.com/search?q=Phoenicurus auroreus&amp;tbm=isch</t>
  </si>
  <si>
    <t>https://www.google.com/search?q=Phoenicurus bicolor&amp;tbm=isch</t>
  </si>
  <si>
    <t>Locally common resident (N Luzon, Mindoro).</t>
  </si>
  <si>
    <t>https://www.google.com/search?q=Monticola solitarius&amp;tbm=isch</t>
  </si>
  <si>
    <t>Common and widespread winter visitor (Sept–May), locally common resident (Batanes).</t>
  </si>
  <si>
    <t>https://www.google.com/search?q=Saxicola stejnegeri&amp;tbm=isch</t>
  </si>
  <si>
    <t>Japanese Stonechat</t>
  </si>
  <si>
    <t>https://www.google.com/search?q=Saxicola caprata&amp;tbm=isch</t>
  </si>
  <si>
    <t>Common and widespread resident (absent Palawan, Sulu archipelago, Samar?).</t>
  </si>
  <si>
    <t>https://www.google.com/search?q=Oenanthe oenanthe&amp;tbm=isch</t>
  </si>
  <si>
    <t>https://www.google.com/search?q=Chloropsis flavipennis&amp;tbm=isch</t>
  </si>
  <si>
    <t>Uncommon resident (Cebu, Leyte, Mindanao).</t>
  </si>
  <si>
    <t>https://www.google.com/search?q=Chloropsis palawanensis&amp;tbm=isch</t>
  </si>
  <si>
    <t>Fairly common resident (Balabac, Calamianes, Dumaran, Palawan).</t>
  </si>
  <si>
    <t>https://www.google.com/search?q=Prionochilus olivaceus&amp;tbm=isch</t>
  </si>
  <si>
    <t>Uncommon resident (Luzon, Catanduanes, E Visayas, Greater Mindanao).</t>
  </si>
  <si>
    <t>https://www.google.com/search?q=Prionochilus plateni&amp;tbm=isch</t>
  </si>
  <si>
    <t>Common resident (Balabac, Calamianes, Palawan).</t>
  </si>
  <si>
    <t>https://www.google.com/search?q=Dicaeum aeruginosum&amp;tbm=isch</t>
  </si>
  <si>
    <t>Uncommon resident (Luzon, Lubang, Catanduanes, Romblon, Sibuyan, Mindoro, Panay, Negros, Cebu, Mindanao, Palawan).</t>
  </si>
  <si>
    <t>https://www.google.com/search?q=Dicaeum proprium&amp;tbm=isch</t>
  </si>
  <si>
    <t>Very local resident (Mindanao).</t>
  </si>
  <si>
    <t>https://www.google.com/search?q=Dicaeum nigrilore&amp;tbm=isch</t>
  </si>
  <si>
    <t>https://www.google.com/search?q=Dicaeum anthonyi&amp;tbm=isch</t>
  </si>
  <si>
    <t>https://www.google.com/search?q=Dicaeum bicolor&amp;tbm=isch</t>
  </si>
  <si>
    <t>Fairly common resident (Catanduanes, Luzon, Mindoro, Negros, Panay, Guimaras, E Visayas, Dinagat, Mindanao).</t>
  </si>
  <si>
    <t>https://www.google.com/search?q=Dicaeum australe&amp;tbm=isch</t>
  </si>
  <si>
    <t>Fairly common and widespread resident (absent Palawan, Romblon province, Mindoro, Negros, Guimaras, Panay, Sulu archipelago).</t>
  </si>
  <si>
    <t>https://www.google.com/search?q=Dicaeum haematostictum&amp;tbm=isch</t>
  </si>
  <si>
    <t>Uncommon resident (Negros, Guimaras, Panay).</t>
  </si>
  <si>
    <t>https://www.google.com/search?q=Dicaeum retrocinctum&amp;tbm=isch</t>
  </si>
  <si>
    <t>Fairly common resident (Mindoro).</t>
  </si>
  <si>
    <t>https://www.google.com/search?q=Dicaeum quadricolor&amp;tbm=isch</t>
  </si>
  <si>
    <t>Very rare and local resident (Cebu).</t>
  </si>
  <si>
    <t>https://www.google.com/search?q=Dicaeum trigonostigma&amp;tbm=isch</t>
  </si>
  <si>
    <t>https://www.google.com/search?q=Dicaeum hypoleucum&amp;tbm=isch</t>
  </si>
  <si>
    <t>https://www.google.com/search?q=Dicaeum pygmaeum&amp;tbm=isch</t>
  </si>
  <si>
    <t>Common and widespread resident (absent many smaller islands, Basilan, Sulu archipelago).</t>
  </si>
  <si>
    <t>Uncommon resident (Luzon, Panay, Negros, Samar, Mindanao).</t>
  </si>
  <si>
    <t>https://www.google.com/search?q=Anthreptes malacensis&amp;tbm=isch</t>
  </si>
  <si>
    <t>Fairly common and widespread resident (absent Greater Luzon, Mindoro, E Visayas, E Mindanao).</t>
  </si>
  <si>
    <t>https://www.google.com/search?q=Anthreptes griseigularis&amp;tbm=isch</t>
  </si>
  <si>
    <t>Fairly common and widespread resident (Greater Luzon, E Visayas, E Mindanao, Dinagat, Siargao).</t>
  </si>
  <si>
    <t>https://www.google.com/search?q=Leptocoma sperata&amp;tbm=isch</t>
  </si>
  <si>
    <t>Common resident (W Mindanao, Basilan, Sulu archipelago).</t>
  </si>
  <si>
    <t>https://www.google.com/search?q=Leptocoma calcostetha&amp;tbm=isch</t>
  </si>
  <si>
    <t>Common resident (Balabac, Palawan).</t>
  </si>
  <si>
    <t>https://www.google.com/search?q=Cinnyris jugularis&amp;tbm=isch</t>
  </si>
  <si>
    <t>https://www.google.com/search?q=Aethopyga primigenia&amp;tbm=isch</t>
  </si>
  <si>
    <t>https://www.google.com/search?q=Aethopyga boltoni&amp;tbm=isch</t>
  </si>
  <si>
    <t>https://www.google.com/search?q=Aethopyga linaraborae&amp;tbm=isch</t>
  </si>
  <si>
    <t>Locally common resident (E Mindanao).</t>
  </si>
  <si>
    <t>https://www.google.com/search?q=Aethopyga flagrans&amp;tbm=isch</t>
  </si>
  <si>
    <t>Locally common resident (Luzon, Catanduanes).</t>
  </si>
  <si>
    <t>https://www.google.com/search?q=Aethopyga guimarasensis&amp;tbm=isch</t>
  </si>
  <si>
    <t>https://www.google.com/search?q=Aethopyga pulcherrima&amp;tbm=isch</t>
  </si>
  <si>
    <t>Mindanao Sunbird</t>
  </si>
  <si>
    <t>Locally common resident (Samar, Biliran, Leyte, Dinagat, Siargao, Mindanao, Basilan).</t>
  </si>
  <si>
    <t>Scarce resident (Bohol).</t>
  </si>
  <si>
    <t>https://www.google.com/search?q=Aethopyga shelleyi&amp;tbm=isch</t>
  </si>
  <si>
    <t>Locally common resident (Balabac, Calamianes, Palawan).</t>
  </si>
  <si>
    <t>https://www.google.com/search?q=Aethopyga bella&amp;tbm=isch</t>
  </si>
  <si>
    <t>Locally common and widespread resident (absent Palawan).</t>
  </si>
  <si>
    <t>https://www.google.com/search?q=Aethopyga magnifica&amp;tbm=isch</t>
  </si>
  <si>
    <t>Locally common resident (Cebu, Negros, Panay, Romblon, Sibuyan, Tablas).</t>
  </si>
  <si>
    <t>https://www.google.com/search?q=Arachnothera flammifera&amp;tbm=isch</t>
  </si>
  <si>
    <t>https://www.google.com/search?q=Arachnothera dilutior&amp;tbm=isch</t>
  </si>
  <si>
    <t>https://www.google.com/search?q=Arachnothera clarae&amp;tbm=isch</t>
  </si>
  <si>
    <t>Uncommon resident (Luzon, E Visayas, Mindanao, Basilan).</t>
  </si>
  <si>
    <t>https://www.google.com/search?q=Hypocryptadius cinnamomeus&amp;tbm=isch</t>
  </si>
  <si>
    <t>https://www.google.com/search?q=Passer montanus&amp;tbm=isch</t>
  </si>
  <si>
    <t>Introduced (possibly also from natural vagrancy), very common and widespread resident.</t>
  </si>
  <si>
    <t>Introduced, locally common resident (Luzon, W Visayas, Siquijor, Tablas, Cebu, Samar, Mindanao).</t>
  </si>
  <si>
    <t>https://www.google.com/search?q=Lonchura punctulata&amp;tbm=isch</t>
  </si>
  <si>
    <t>https://www.google.com/search?q=Lonchura fuscans&amp;tbm=isch</t>
  </si>
  <si>
    <t>https://www.google.com/search?q=Lonchura leucogastra&amp;tbm=isch</t>
  </si>
  <si>
    <t>https://www.google.com/search?q=Lonchura atricapilla&amp;tbm=isch</t>
  </si>
  <si>
    <t>https://www.google.com/search?q=Erythrura prasina&amp;tbm=isch</t>
  </si>
  <si>
    <t>Vagrant or very local resident (Palawan).</t>
  </si>
  <si>
    <t>https://www.google.com/search?q=Erythrura viridifacies&amp;tbm=isch</t>
  </si>
  <si>
    <t>Rare to locally common resident (Luzon, Mindoro, Negros, Panay, Cebu).</t>
  </si>
  <si>
    <t>https://www.google.com/search?q=Erythrura hyperythra&amp;tbm=isch</t>
  </si>
  <si>
    <t>Rare resident (Luzon, Mindoro, Palawan, Panay).</t>
  </si>
  <si>
    <t>https://www.google.com/search?q=Erythrura coloria&amp;tbm=isch</t>
  </si>
  <si>
    <t>https://www.google.com/search?q=Dendronanthus indicus&amp;tbm=isch</t>
  </si>
  <si>
    <t>https://www.google.com/search?q=Motacilla tschutschensis&amp;tbm=isch</t>
  </si>
  <si>
    <t>https://www.google.com/search?q=Motacilla citreola&amp;tbm=isch</t>
  </si>
  <si>
    <t>https://www.google.com/search?q=Motacilla cinerea&amp;tbm=isch</t>
  </si>
  <si>
    <t>https://www.google.com/search?q=Motacilla alba&amp;tbm=isch</t>
  </si>
  <si>
    <t>https://www.google.com/search?q=Anthus richardi&amp;tbm=isch</t>
  </si>
  <si>
    <t>https://www.google.com/search?q=Anthus rufulus&amp;tbm=isch</t>
  </si>
  <si>
    <t>Common and widespread resident, potential winter visitor.</t>
  </si>
  <si>
    <t>https://www.google.com/search?q=Anthus hodgsoni&amp;tbm=isch</t>
  </si>
  <si>
    <t>Locally common winter visitor (mostly N Luzon).</t>
  </si>
  <si>
    <t>https://www.google.com/search?q=Anthus gustavi&amp;tbm=isch</t>
  </si>
  <si>
    <t>gustavi: Uncommon winter visitor.
menzbieri: Presumed winter visitor.</t>
  </si>
  <si>
    <t>https://www.google.com/search?q=Anthus cervinus&amp;tbm=isch</t>
  </si>
  <si>
    <t>Rare winter visitor (Batan, Calayan, Fuga, Luzon, Mindanao, Mindoro, Palawan, Tawi Tawi).</t>
  </si>
  <si>
    <t>https://www.google.com/search?q=Anthus rubescens&amp;tbm=isch</t>
  </si>
  <si>
    <t>https://www.google.com/search?q=Fringilla montifringilla&amp;tbm=isch</t>
  </si>
  <si>
    <t>Vagrant (Babuyans, Batanes, Luzon).</t>
  </si>
  <si>
    <t>https://www.google.com/search?q=Coccothraustes coccothraustes&amp;tbm=isch</t>
  </si>
  <si>
    <t>https://www.google.com/search?q=Eophona migratoria&amp;tbm=isch</t>
  </si>
  <si>
    <t>https://www.google.com/search?q=Eophona personata&amp;tbm=isch</t>
  </si>
  <si>
    <t>https://www.google.com/search?q=Pyrrhula leucogenis&amp;tbm=isch</t>
  </si>
  <si>
    <t>Rather scarce and local resident (Luzon, Panay, Mindanao).</t>
  </si>
  <si>
    <t>https://www.google.com/search?q=Carpodacus erythrinus&amp;tbm=isch</t>
  </si>
  <si>
    <t>https://www.google.com/search?q=Loxia curvirostra&amp;tbm=isch</t>
  </si>
  <si>
    <t>Rare resident (Mindanao).</t>
  </si>
  <si>
    <t>https://www.google.com/search?q=Spinus spinus&amp;tbm=isch</t>
  </si>
  <si>
    <t>https://www.google.com/search?q=Emberiza fucata&amp;tbm=isch</t>
  </si>
  <si>
    <t>https://www.google.com/search?q=Emberiza pusilla&amp;tbm=isch</t>
  </si>
  <si>
    <t>Vagrant (Batanes, N Luzon).</t>
  </si>
  <si>
    <t>https://www.google.com/search?q=Emberiza aureola&amp;tbm=isch</t>
  </si>
  <si>
    <t>Vagrant (Batanes, Catanduanes).</t>
  </si>
  <si>
    <t>https://www.google.com/search?q=Emberiza melanocephala&amp;tbm=isch</t>
  </si>
  <si>
    <t>https://www.google.com/search?q=Emberiza sulphurata&amp;tbm=isch</t>
  </si>
  <si>
    <t>Scarce and local winter visitor (N Luzon, also recorded Batan, Calayan, Mindoro, Mindanao).</t>
  </si>
  <si>
    <t>https://www.google.com/search?q=Emberiza spodocephala&amp;tbm=isch</t>
  </si>
  <si>
    <t>Page</t>
  </si>
  <si>
    <t>Status</t>
  </si>
  <si>
    <t>n India</t>
  </si>
  <si>
    <t>Alpine lakes in central Asia; winters to India and Myanmar</t>
  </si>
  <si>
    <t>se China and c Europe</t>
  </si>
  <si>
    <t>Change English name Anser fabalis to Taiga Bean Goose with split of A. serrirostris (AOU 2007).</t>
  </si>
  <si>
    <t>Tundra Swan was formerly treated as two species: the North American race with at most a small yellow spot at the base of the bill, as Whistling Swan, Cygnus columbianus; and the Eurasian race, with a large yellow patch at the base of the bill, as Bewick’s Swan, C. bewickii. Currently treated as conspecific (AOU 1983).</t>
  </si>
  <si>
    <t>n AF, n India and s China</t>
  </si>
  <si>
    <t>se China and Japan</t>
  </si>
  <si>
    <t>n India to s, e China, s Korean Pen. and Japan</t>
  </si>
  <si>
    <t>AF and n OR</t>
  </si>
  <si>
    <t>OR : China and se Asia</t>
  </si>
  <si>
    <t>Mexico, n AF, AU and n OR</t>
  </si>
  <si>
    <t>MA, OR and AF</t>
  </si>
  <si>
    <t>c, s Europe, n Africa and c, s, e Asia</t>
  </si>
  <si>
    <t>Anas (crecca) crecca</t>
  </si>
  <si>
    <t>Includes nimia; variation clinal so treat as monotypic (Sangster et al. 2001; Carboneras et al. 2017).</t>
  </si>
  <si>
    <t>s China and se Asia</t>
  </si>
  <si>
    <t>OR : se Asia</t>
  </si>
  <si>
    <t>OR : India and se Asia</t>
  </si>
  <si>
    <t>Batrachostomus (javensis) affinis</t>
  </si>
  <si>
    <t>Palawan Frogmouth is split from Javan Frogmouth B. javensis (Cleere 2010).</t>
  </si>
  <si>
    <t>OR : Malay Pen., Sumatra, Borneo and Philippines</t>
  </si>
  <si>
    <t>Collocalia (esculenta) marginata</t>
  </si>
  <si>
    <t>Grey-rumped Swiftlet C. marginata is split from Glossy Swiftlet C. esculenta (Rheindt et al. 2017).</t>
  </si>
  <si>
    <t>Ridgetop Swiftlet C. isonota is split from Glossy Swiftlet C. esculenta (Rheindt et al. 2017).</t>
  </si>
  <si>
    <t>OR : Sumatra, Java and Borneo</t>
  </si>
  <si>
    <t>Ameline Swiftlet is split from Uniform Swiftlet (Price et al. 2004; H&amp;M 4; see Appendix 2.6 re suggested relationship to Philippine Swiftlet A. mearnsi).</t>
  </si>
  <si>
    <t>OR : Malay Pen. and Greater Sundas</t>
  </si>
  <si>
    <t>Aerodramus (fuciphagus) germani</t>
  </si>
  <si>
    <t>Apus (pacificus) pacificus</t>
  </si>
  <si>
    <t>Change English name of Apus pacificus to Pacific Swift; reserve Fork-tailed Swift for species group (Leader 2011).</t>
  </si>
  <si>
    <t>Includes banken; treat as monotypic (Payne 2005).</t>
  </si>
  <si>
    <t>OR : widespread; also Lesser Sundas</t>
  </si>
  <si>
    <t>Little Bronze Cuckoo C. minutillus includes C. russatus, C. rufomerus and  C. crassirostris (Dickinson 2003; Payne 2005; Collar 2007); further work needed to define species limits (Christidis &amp; Boles 2008).</t>
  </si>
  <si>
    <t>Cacomantis (variolosus) sepulcralis</t>
  </si>
  <si>
    <t>Surniculus velutinus is split from S. lugubris following Dickinson (2003) and Payne (2005).</t>
  </si>
  <si>
    <t>Change English name of Surniculus lugubris to Square-tailed Drongo-Cuckoo with splits of S. dicruroides and D. musschenbroeki. Subspecific taxonomy, nomenclature and ranges of this species and Fork-tailed Drongo-Cuckoo are tentative and based primarily on Payne (2005) modified by Rasmussen &amp; Anderton (2005). For alternate treatments see Erritzøe et al. (2012) and Dickinson &amp; Remsen (2013).</t>
  </si>
  <si>
    <t>Cuculus (saturatus) saturatus</t>
  </si>
  <si>
    <t>Change English name of Cuculus saturatus from Oriental Cuckoo to Himalayan Cuckoo  with splits of C. optatus and C. lepidus (King 2005; Payne 2005).</t>
  </si>
  <si>
    <t>Cuculus (saturatus) optatus</t>
  </si>
  <si>
    <t>Cuculus optatus is split from C. saturatus (King 2005; Payne 2005); BLI and AOU recognize. Assumes English name of Oriental Cuckoo. See also Xia et al. (2016).</t>
  </si>
  <si>
    <t>Philippines and Sulu Archipelago; vagrant to n Borneo. Introduced to northern Marianas (Guam n to Saipan)</t>
  </si>
  <si>
    <t>Change of English name from Red Turtle Dove to Red Collared Dove follows Rasmussen &amp; Anderton (2012) and other major world bird lists.</t>
  </si>
  <si>
    <t>Macropygia tenuirostris is split from M. amboinensis (Dickinson 2003; Ng et al. 2016). Retain English name Philippine Cuckoo-Dove to avoid confusion with historical name of amboinensis and to await firm inclusion of borneensis in this species.</t>
  </si>
  <si>
    <t>For authorship, see Bruce et al. (2016).</t>
  </si>
  <si>
    <t>Change English name of Phapitreron cinereiceps from Dark-eared Brown Dove to Tawitawi Brown Dove to follow BLI; with split of P. brunneiceps.</t>
  </si>
  <si>
    <t>Phapitreron brunneiceps is split from P. cinereiceps (Collar et al. 1999; BLI).</t>
  </si>
  <si>
    <t>09-May-1883</t>
  </si>
  <si>
    <t>Treat as monotypic; includes melanura of uncertain taxonomic status (Beehler &amp; Pratt 2016).</t>
  </si>
  <si>
    <t>Move to Lewinia. Formerly in Gallirallus but sister to other species within Lewinia (Kirchman 2012; Dickinson &amp; Remsen 2013). Note gender.</t>
  </si>
  <si>
    <t>Formerly in Gallirallus. Move to Hypotaenidia (Kirchman 2012; Dickinson &amp; Remsen 2013). Note gender.</t>
  </si>
  <si>
    <t>Porphyrio (porphyrio) pulverulentus</t>
  </si>
  <si>
    <t>Philippine Swamphen is split from Western [Purple] Swamphen P. porphyrio (Sangster 1998; Garcia-R &amp; Trewick 2015).</t>
  </si>
  <si>
    <t>Move from genus Porzana to Zapornia (Slikas et al. 2002; Dickinson &amp; Remsen 2013).</t>
  </si>
  <si>
    <t>Formerly placed in Porzana. More recently included by some in Amaurornis but recent studies show it to be close to Megacrex. Place in the monotypic genus Poliolimnas (Garcia-R et al. 2020). Note gender.</t>
  </si>
  <si>
    <t>Subspecies taxonomy unsettled. Treatment here follows Ripley (1977).</t>
  </si>
  <si>
    <t>OR, AU : n India, se Asia and n Australia</t>
  </si>
  <si>
    <t>The status of the extinct Philippine population A. a. luzonica Hachisuka, 1941 is unsettled. Usually treated as synonymous with A. a. sharpii, but recent genetic analyses suggest that it may be subspecifically distinct (Nevard et al. 2020).</t>
  </si>
  <si>
    <t>c AF and India</t>
  </si>
  <si>
    <t>Siberia and nw Manchuria; winters to e China, Korea, and Japan</t>
  </si>
  <si>
    <t>Tachybaptus (ruficollis) ruficollis</t>
  </si>
  <si>
    <t>Change English name of Turnix sylvaticus, a widespread species, from Kurrichane Buttonquail to Common Buttonquail, as in HBW and Dickinson (2003).</t>
  </si>
  <si>
    <t>Turnix (suscitator) suscitator</t>
  </si>
  <si>
    <t>Correct species name of Beach Stone-curlew from neglectus to magnirostris (Dickinson 2003; Christidis &amp; Boles 2008).</t>
  </si>
  <si>
    <t>Himantopus (himantopus) himantopus</t>
  </si>
  <si>
    <t>Himantopus (himantopus) leucocephalus</t>
  </si>
  <si>
    <t>Change 8.1 English name of Himantopus leucocephalus from White-headed Stilt to consensus name Pied Stilt (BirdLife Australia; HBW).</t>
  </si>
  <si>
    <t>Kentish Plover is specifically distinct from Snowy Plover, and more closely related to the White-fronted Plover (Küpper et al. 2009; NACC 2010-A-1).</t>
  </si>
  <si>
    <t>12-Sep-1887</t>
  </si>
  <si>
    <t>C - Away from Liguasan Marshes</t>
  </si>
  <si>
    <t>Treat as monotypic; includes novaeguineae and novaehollandiae (Mees 1982; Beehler &amp; Pratt 2016).</t>
  </si>
  <si>
    <t>Numenius (phaeopus) phaeopus</t>
  </si>
  <si>
    <t>Change (10.1) of English to Eurasian Whimbrel follows split of Hudsonian Whimbrel.</t>
  </si>
  <si>
    <t>Change English name to Far Eastern Curlew to reduce confusion with the eastern race of Eurasian Curlew, and to align IOC with H&amp;M; BLI; HBW; Clements.</t>
  </si>
  <si>
    <t>Ruff is moved from monotypic Philomachus to Calidris (Gibson &amp; Baker 2012; Banks 2012).</t>
  </si>
  <si>
    <t>Broad-billed Sandpiper is moved from monotypic Limicola to Calidris (Gibson &amp; Baker 2012; Banks 2012).</t>
  </si>
  <si>
    <t>04-Feb-1888</t>
  </si>
  <si>
    <t>Locally in moist woodlands and bogs of Eurasia</t>
  </si>
  <si>
    <t>Move tattlers from Heteroscelus to Tringa (Pereira &amp; Baker 2005; NACC 2006); note gender agreement.</t>
  </si>
  <si>
    <t>Gygis may be a basal noddy (Baker et al. 2007; Ödeen et al. 2010; Cibois et al. 2016); so "White Noddy" if confirmed? See Yeung et al. (2009) re taxonomy of Pacific Ocean subspecies.</t>
  </si>
  <si>
    <t>English name of Chroicocephalus (Larus) ridibundus reverts to Black-headed Gull with adoption of Pallas's Gull for Larus ichthyaetus.</t>
  </si>
  <si>
    <t>01-Jan-1896</t>
  </si>
  <si>
    <t>Vega Gull includes Mongolian Gull L. mongolicus as ssp. following Collinson et al. (2008); Yésou (2002).</t>
  </si>
  <si>
    <t>See Comments for G. macrotarsa.</t>
  </si>
  <si>
    <t>Change English name of Thalasseus bergii to preferred Greater Crested Tern (2.9).</t>
  </si>
  <si>
    <t>01-Jan-1886</t>
  </si>
  <si>
    <t>Restore English name Pomarine Jaeger for consistency; genetic relationship to larger skuas requires confirmation.</t>
  </si>
  <si>
    <t>Many prefer  "skua"  to German "jaeger" for three small Stercorarius species.</t>
  </si>
  <si>
    <t>See Welch et al. (2011) re genetic differentiation between Hawaiian Petrel and Galapagos Petrel.</t>
  </si>
  <si>
    <t>Breeds sw Pacific; ranges s-central Pacific Ocean</t>
  </si>
  <si>
    <t>Treated as monotypic; includes chlororhyncha (Brooke 2004).</t>
  </si>
  <si>
    <t>n, e Africa, s Asia</t>
  </si>
  <si>
    <t>C - Outside of Tubbataha Reefs Natural Park</t>
  </si>
  <si>
    <t>Change  English name of Anhinga melanogaster from Darter to Oriental Darter with split of A. rufa and A. novaehollandiae.</t>
  </si>
  <si>
    <t>The phylogenies of Kennedy &amp; Spencer (2014) and Kennedy et al. (2020) suggest that P. carbo may be paraphyletic with respect to P. lucidus and P. capillatus, with P. c. sinensis and presumably P. c. hanedae in a clade with P. lucidus, while P. capillatus is sister to other taxa of P. carbo. However, P. capillatus is sister to both P. c. carbo and P. c. sinensis in the phylogeographic study of Marion &amp; Le Gentil (2006).</t>
  </si>
  <si>
    <t>Black Bittern Dupetor Heine &amp; Reichenow, 1890 is embedded within Ixobrychus (Chang et al. 2003; Päckert et al. 2014; Zhou et al. 2014, 2016).</t>
  </si>
  <si>
    <t>Change English name of Nycticorax caledonicus to Nankeen Night Heron, preferred name in AU region and correct original color reference (Lecroy, pers. comm.).</t>
  </si>
  <si>
    <t>Butorides (striata) striata</t>
  </si>
  <si>
    <t>OR : s, e Asia and Australasia</t>
  </si>
  <si>
    <t>Bubulcus (ibis) coromandus</t>
  </si>
  <si>
    <t>Bubulcus coromandus is split from B. ibis (Payne &amp; Risley 1976; McAllan &amp; Bruce 1989; Rasmussen &amp; Anderton 2005). Status under discussion (Christidis &amp; Boles 2008; Ahmed 2011; HBW).</t>
  </si>
  <si>
    <t>See Pratt (2011) re potential split of Great Egret A. alba vs. American Egret A. egretta.</t>
  </si>
  <si>
    <t>Pandion (haliaetus) haliaetus</t>
  </si>
  <si>
    <t>Pernis steerei is split from P. celebensis (Gamauf &amp; Haring 2005; Collar 2007).</t>
  </si>
  <si>
    <t>Philippine Eagle is distantly related to serpent eagles, not harpy eagles as previously thought (McGrady et al. 2010).</t>
  </si>
  <si>
    <t>OR : Himalayas, c, s India and Sri Lanka to Greater Sundas and Philippines</t>
  </si>
  <si>
    <t>Nisaetus pinskeri is split from N. philippensis (Haring et al. 2007; Gamauf et al. 2005ab; cf. BLI).</t>
  </si>
  <si>
    <t>Correct English name of Lophotriorchis kienerii to Rufous-bellied Eagle from Rufous-bellied Hawk-Eagle (Lerner et al. 2017; other world lists).</t>
  </si>
  <si>
    <t>OR : c, s Siberia, Mongolia, ne China and Japan</t>
  </si>
  <si>
    <t>Buteo japonicus is split from B. buteo (Rasmussen &amp; Anderton 2005; Lerner et al. 2008).</t>
  </si>
  <si>
    <t>OR : Russian Far East to Korean Pen., Japan and Taiwan</t>
  </si>
  <si>
    <t>Ninox japonica, including florensis and totogo, is split from N. scutulata (King 2002).</t>
  </si>
  <si>
    <t>Ninox randi is split from N. scutulata (King 2002).</t>
  </si>
  <si>
    <t>OR : n, c Philippines</t>
  </si>
  <si>
    <t>OR : Basilan, Mindanao, Siargao and Dinagat Is. (s Philippines)</t>
  </si>
  <si>
    <t>OR : Mindoro (wc Philippines)</t>
  </si>
  <si>
    <t>OR : Mindanao (s Philippines)</t>
  </si>
  <si>
    <t>OR : Luzon (n Philippines)</t>
  </si>
  <si>
    <t>OR : Mindoro (nc Philippines)</t>
  </si>
  <si>
    <t>Negros Scops Owl is split from Philippine Scops Owl (Miranda et al. 2011).</t>
  </si>
  <si>
    <t>Everett's Scops Owl is split from Philippine Scops Owl (Miranda et al. 2011).</t>
  </si>
  <si>
    <t>Upupa (epops) epops</t>
  </si>
  <si>
    <t>Penelopides manillae is split from P. panini (Kemp 1995; Inskipp et al. 1996; BLI; cf. Dickinson 2003).</t>
  </si>
  <si>
    <t>OR : Mindoro (Philippines)</t>
  </si>
  <si>
    <t>Penelopides mindorensis is split from P. panini (Kemp 1995; Inskipp et al. 1996 cf. Dickinson 2003); BLI recognizes.</t>
  </si>
  <si>
    <t>Penelopides (affinis) affinis</t>
  </si>
  <si>
    <t>Penelopides affinis is split from P. panini (Kemp 1995; Inskipp et al. 1996; BLI; cf. Dickinson 2003).</t>
  </si>
  <si>
    <t>Penelopides (affinis) samarensis</t>
  </si>
  <si>
    <t>Penelopides samarensis is split from P. panini (Kemp 1995; cf. Inskipp et al. 1996; Dickinson 2003).</t>
  </si>
  <si>
    <t>Brown-breasted Kingfisher</t>
  </si>
  <si>
    <t>OR : India through Myanmar and China to Korean Pen.</t>
  </si>
  <si>
    <t>OR, AU : widespread from South Asia through Malaysia to Lesser Sundas; also ne AF and Arabian Pen.</t>
  </si>
  <si>
    <t>Collared Kingfisher species complex includes Torresian Kingfisher, Islet Kingfisher, Pacific Kingfisher, Mariana Kingfisher, Melanesian Kingfisher (Andersen et al. 2015; Clements 2015).</t>
  </si>
  <si>
    <t>Split from Moluccan (Variable) Dwarf Kingfisher (Andersen et al. 2013).</t>
  </si>
  <si>
    <t>Move cyanopecta, argentata, azurea, websteri, and pusilla from Alcedo to Ceyx (Moyle et al. 2007; Christidis &amp;  Boles 2008).</t>
  </si>
  <si>
    <t>OR : Mindanao, Basilan, Dinagat and Siargao (s Philippines)</t>
  </si>
  <si>
    <t>OR : Bohol, Leyte and Samar (ec Philippines)</t>
  </si>
  <si>
    <t>Northern Silvery Kingfisher split from [Southern] Silvery Kingfisher (Collar 2011b; Andersen et al. 2013d). Gender invariable (H&amp;M 4:338).</t>
  </si>
  <si>
    <t>Includes javanicus, celebensis and salvadorii; treat as monotypic (Fry 2001a; Beehler &amp; Pratt 2016).</t>
  </si>
  <si>
    <t>Dendrocopos ramsayi is split from D. maculatus (Collar et al. 1999). Treat species as monotypic; includes siasiensis (Christie &amp; Winkler 2002).</t>
  </si>
  <si>
    <t>Split Spot-throated Flameback D. everetti from Common Flameback D. javanense (Mees 1966; Collar 2011).</t>
  </si>
  <si>
    <t>Change "Goldenback" to "Flameback" established for these species; Change to Buff-spotted Flameback for C. lucidus with split of widespread guttacristatus, which takes English name Greater Flameback.</t>
  </si>
  <si>
    <t>Chrysocolaptes haematribon is split from Buff-spotted [Greater] Flameback C. lucidus.</t>
  </si>
  <si>
    <t>Chrysocolaptes xanthocephalus is split from Buff-spotted [Greater] Flameback C. lucidus.</t>
  </si>
  <si>
    <t>Chrysocolaptes erythrocephalus is split from Buff-spotted [Greater] Flameback C. lucidus.</t>
  </si>
  <si>
    <t>se AF and s Asia</t>
  </si>
  <si>
    <t>Includes papuanus; treat as monotypic (Beehler &amp; Pratt 2016).</t>
  </si>
  <si>
    <t>Also known as Philippine Cockatoo (H&amp;M 4; HBW Alive).</t>
  </si>
  <si>
    <t>Prioniturus waterstradti is split from P. montanus (Juniper &amp; Parr 1998); recognized by BLI.</t>
  </si>
  <si>
    <t>Prioniturus mindorensis is split from Blue-crowned Racket-tail P. discurus (Schweitzer et al. 2012; H&amp;M 4) based on its position in a different clade.</t>
  </si>
  <si>
    <t>B - Away from Tawi Tawi</t>
  </si>
  <si>
    <t>Loriculus (philippensis) camiguinensis</t>
  </si>
  <si>
    <t>Loriculus camiguinensis is a newly described species (Tello et al. 2006); status uncertain (Collar 2011a).</t>
  </si>
  <si>
    <t>01-Jan-1898</t>
  </si>
  <si>
    <t>OR : Malay Pen. to Philippines</t>
  </si>
  <si>
    <t>OR : Himalayas through se Asia</t>
  </si>
  <si>
    <t>Moved from Coracina to Lalage following Jønsson et al. (2010); H&amp;M 4.</t>
  </si>
  <si>
    <t>Correct scientific name of the Mangrove Whistler from Pachycephala grisola to P. cinerea (Walters 2003; Dickinson 2003 corrigenda 7).</t>
  </si>
  <si>
    <t>se Asia to the Greater Sundas</t>
  </si>
  <si>
    <t>08-Apr-1887</t>
  </si>
  <si>
    <t>Oriolus isabellae is named after the Philippine province of Isabela (Peter Vercruijsse).</t>
  </si>
  <si>
    <t>Philippine Oriole subspecies are genetically divergent and potential candidates for species status (Jønsson et al. 2019).</t>
  </si>
  <si>
    <t>Black-naped Oriole is paraphyletic with respect to Eurasian Golden Oriole O. oriolus and Indian Golden Oriole O. kundoo (Jønsson et al. 2010; but see Jønsson et al. 2019).</t>
  </si>
  <si>
    <t>30-Sep-1891</t>
  </si>
  <si>
    <t>Original spelling annectans is an incorrectly spelled Latin word and must be emended (Dickinson &amp; Christidis 2014; HBW).</t>
  </si>
  <si>
    <t>Tablas Drongo Dicrurus menagei is split from Hair-crested Drongo species complex D. hottentottus (Allen 2006; Rheindt &amp; Hutchinson 2007; Rocamora &amp; Yeatman-Berthelot 2009; BLI 4; Rheindt et al. 2010). Suggested as a possible subspecies of D. palawanensis by Shakya et al. (2020).</t>
  </si>
  <si>
    <t>Split D. palawanensis from D. hottentottus (Shakya et al. 2020).</t>
  </si>
  <si>
    <t>Change English name of Rhipidura superciliaris to Mindanao Fantail with split of Visayan Fantail (Sánchez-González &amp; Moyle 2011).</t>
  </si>
  <si>
    <t>Split Visayan Blue Fantail R. samarensis from [Mindanao] Blue Fantail R. superciliaris (Sánchez-González &amp; Moyle 2011).</t>
  </si>
  <si>
    <t>Split Tablas Fantail R. sauli from Blue-headed Fantail (Sánchez-González &amp; Moyle 2011).</t>
  </si>
  <si>
    <t>Split Visayan Fantail R. albiventris from Blue-headed Fantail (Sánchez-González &amp; Moyle 2011).</t>
  </si>
  <si>
    <t>Split Philippine Pied Fantail R. nigritorquis from [Malaysian] Pied Fantail (Sánchez-González &amp; Moyle 2011).</t>
  </si>
  <si>
    <t>Amur Paradise Flycatcher is split from Indian [Asian] Paradise Flycatcher (Fabre et al. 2012; Andersen et al. 2015; H&amp;M 4; Clements et al. 2015).</t>
  </si>
  <si>
    <t>Palawan Bulbul is split from Grey-cheeked Bulbul (Oliveros &amp; Moyle 2010).</t>
  </si>
  <si>
    <t>Hypsipetes (philippinus) philippinus</t>
  </si>
  <si>
    <t>MOVE Philippine Bulbul from Ixos to Hypsipetes (Oliveros &amp; Moyle 2010).</t>
  </si>
  <si>
    <t>Hypsipetes (philippinus) mindorensis</t>
  </si>
  <si>
    <t>Mindoro Bulbul is split from Philippine Bulbul (Oliveros &amp; Moyle 2010).</t>
  </si>
  <si>
    <t>MOVE Streak-breasted Bulbul from Ixos to Hypsipetes (Oliveros &amp; Moyle 2010).</t>
  </si>
  <si>
    <t>Hypsipetes (philippinus) guimarasensis</t>
  </si>
  <si>
    <t>Visayan Bulbul is split from Philippine Bulbul (Oliveros &amp; Moyle 2010).</t>
  </si>
  <si>
    <t>MOVE Yellowish Bulbul from Ixos to Hypsipetes (Oliveros &amp; Moyle 2010).</t>
  </si>
  <si>
    <t>MOVE Zamboanga Bulbul from Ixos to Hypsipetes (Oliveros &amp; Moyle 2010).</t>
  </si>
  <si>
    <t>MOVE Brown-eared Bulbul from Microscelis to Hypsipetes (Oliveros &amp; Moyle 2010).</t>
  </si>
  <si>
    <t>Move from Pycnonotus to the monotypic genus Poliolophus (Oliveros &amp; Moyle 2010; Dickinson &amp; Christidis 2014; Shakya &amp; Sheldon 2017).</t>
  </si>
  <si>
    <t>Move from Pycnonotus to the genus Brachypodius (Oliveros &amp; Moyle 2010; Dickinson &amp; Christidis 2014; Shakya &amp; Sheldon 2017). Long treated as B. [Pycnonotus] atriceps (Temminck, 1822), but melanocephalos (Gmelin, 1788) has priority, cannot be regarded as a homonym of Lanius collurio, var. ε melanocephalus Gmelin, 1788 (contra Oberholser 1917), and has been used since 1899 (L. Raty, BirdForum 2018; R. Schodde and F. Rheindt, in litt.).</t>
  </si>
  <si>
    <t>OR : s Myanmar and s Thailand, Malay Pen., Greater Sundas</t>
  </si>
  <si>
    <t>Ashy-fronted Bulbul is split from Olive-winged Bulbul (Oliveros &amp; Moyle 2010).</t>
  </si>
  <si>
    <t>Cecropis (daurica) striolata</t>
  </si>
  <si>
    <t>Phyllergates (Orthotomus) heterolaemus is split from P. cucullatus (Ryan et al. 2006; Collar 2007).</t>
  </si>
  <si>
    <t>D - Away from Batanes and far north Luzon</t>
  </si>
  <si>
    <t>Unsettled taxonomy (Alström et al. 2011b). Manchurian Bush Warbler was previously restricted to H. borealis; canturians was treated provisionally as a subspecies of H. diphone. New genetic data support original split of Manchurian Bush Warbler, including canturians and borealis, from H. diphone (Rasmussen &amp; Anderton 2005; BLI; Kennerley &amp; Pearson 2010; Alström et al. unpubl). Species epithet canturians has priority over borealis.</t>
  </si>
  <si>
    <t>Phylloscopus xanthodryas is split from P. borealis (Saitoh et al. 2010; Alström et al. 2011).</t>
  </si>
  <si>
    <t>Phylloscopus examinandus is split from P. borealis (Saitoh et al. 2010; Alström et al. 2011).</t>
  </si>
  <si>
    <t>Includes kennicotti; treat as monotypic (Alström et al. 2011).</t>
  </si>
  <si>
    <t>Phylloscopus (trivirgatus) nigrorum</t>
  </si>
  <si>
    <t>Phylloscopus nigrorum is split from P. trivirgatus (Collar 2007). English name provisional.</t>
  </si>
  <si>
    <t>Acrocephalus australis</t>
  </si>
  <si>
    <t>Change Napothera rabori to Robsonius rabori, and Rabor's Wren-Babbler/Rusty-faced Babbler to Cordillera Ground Warbler (Hosner et al. 2013; see also Collar 2006a; Oliveros et al. 2012).</t>
  </si>
  <si>
    <t>Sierra Madre Ground Warbler is a newly described species: Hosner et al., 2013, separated from Cordillera Ground Warbler R. rabori, with revisions of the Robsonius species complex (Hosner et al. 2013).</t>
  </si>
  <si>
    <t>OR : s Luzon (Philippines)</t>
  </si>
  <si>
    <t>Consider shortening name to Gray's Warbler (Clements 6.5).</t>
  </si>
  <si>
    <t>Includes subcerthiola; treat as monotypic (Pearson 2006).</t>
  </si>
  <si>
    <t>Tawny Grassbird moved (8.2) from Megalurus to Cincloramphus (Alström 2011a; Alström et al. 2018).</t>
  </si>
  <si>
    <t>Change English name of Micromacronus leytensis from Miniature Babbler to Visayan Miniature Babbler with split of M. sordidus.</t>
  </si>
  <si>
    <t>Micromacronus sordidus is split from M. leytensis (Collar 2006a; BLI).</t>
  </si>
  <si>
    <t>Orthotomus chloronotus is split from O. castaneiceps (Sheldon et al. 2012).</t>
  </si>
  <si>
    <t>Orthotomus frontalis is split from O. castaneiceps (Ryan et al. 2006).</t>
  </si>
  <si>
    <t>Separate Flame-templed Babbler from Stachyris to Dasycrotapha (Collar &amp; Robson 2007; BLI); move to Zosteropidae (Moyle et al. 2009).</t>
  </si>
  <si>
    <t>Stachyris pygmaea is split from S. plateni (Collar 2006a; BLI 1.0). Reclassify Stachyris pygmaea to Dasycrotapha in the Zosteropidae (Cibois 2003; Moyle et al. 2009).</t>
  </si>
  <si>
    <t>Change English name of Stachyris plateni from Pygmy Babbler to Mindanao Pygmy Babbler with split of S. pygmaea (Collar 2006a). Reclassify Stachyris plateni to Dasycrotapha in the Zosteropidae (Cibois 2003; Moyle et al. 2009).</t>
  </si>
  <si>
    <t>Reclassify Stachyris capitalis to Sterrhoptilus in the Zosteropidae (Cibois 2003; Moyle et al. 2009).</t>
  </si>
  <si>
    <t>Reclassify Stachyris dennistouni to Sterrhoptilus in the Zosteropidae (Cibois 2003; Moyle et al. 2009).</t>
  </si>
  <si>
    <t>Separate 5 species of Philippine Stachyris babblers to Zosterornis in the Zosteropidae (Moyle et al. 2009).</t>
  </si>
  <si>
    <t>ENG, TAX, PHY</t>
  </si>
  <si>
    <t>Formerly attributed to Lophozosterops.</t>
  </si>
  <si>
    <t>Everett's White-eye becomes a Philippine near-endemic with assignment of subspecies tahaensis and wetmorei to Z. auriventer.</t>
  </si>
  <si>
    <t>Move from Macronus to Mixornis (Dickinson &amp; Christidis 2014; Cai et al. 2019). Change English name of Mixornis gularis from Striped Tit-Babbler to Pin-striped Tit-Babbler with split of M. bornensis.</t>
  </si>
  <si>
    <t>Transfer from genus Malacocincla to Pellorneum (Cai et al. 2019).</t>
  </si>
  <si>
    <t>OR : s China to se Asia</t>
  </si>
  <si>
    <t>OR : s, se China</t>
  </si>
  <si>
    <t>Philippines, Sulawesi and Borneo</t>
  </si>
  <si>
    <t>India and Sri Lanka</t>
  </si>
  <si>
    <t>Change English name of Rhabdornis species from "creeper" to "rhabdornis" to update to current usage.</t>
  </si>
  <si>
    <t>Change English name of Rhabdornis grandis to Grand Rhabdornis adopted in Kennedy (2000) and HBW.</t>
  </si>
  <si>
    <t>Taiwan and se Asia</t>
  </si>
  <si>
    <t>Zoothera (aurea) aurea</t>
  </si>
  <si>
    <t>OR : e, c China</t>
  </si>
  <si>
    <t>Chinese Blackbird T. mandarinus including sowerbyi, but not intermedius, is split from Common/Eurasian Blackbird (Rasmussen &amp; Anderton 2005; Collar 2005; Robson 2008; Nylander et al. 2008; H&amp;M 4).</t>
  </si>
  <si>
    <t>Philippine Magpie-Robin C. mindanensis is split from Oriental Magpie-Robin C. saularis (Sheldon et al. 2011).</t>
  </si>
  <si>
    <t>10-Sep-1887</t>
  </si>
  <si>
    <t>Muscicapa (dauurica) dauurica</t>
  </si>
  <si>
    <t>OR : Himalayas to c China and Taiwan</t>
  </si>
  <si>
    <t>Genus Leonardina transferred from Pellorneidae to Muscicapidae/Saxicolinae (Sangster et al. 2010; Zuccon &amp; Ericson 2010).</t>
  </si>
  <si>
    <t>B - Away from Northwest Panay, Gawahon Eco Park and Dumaguete area</t>
  </si>
  <si>
    <t>24-Feb-1898</t>
  </si>
  <si>
    <t>se Asia through Borneo</t>
  </si>
  <si>
    <t>Bundok Flycatcher is split from distantly related Snowy-browed Flycatcher F. hyperythra (Moyle et al. 2015).</t>
  </si>
  <si>
    <t>s China and ne India</t>
  </si>
  <si>
    <t>Saxicola (torquatus) stejnegeri</t>
  </si>
  <si>
    <t>Dicaeum (agile) aeruginosum</t>
  </si>
  <si>
    <t>Anthreptes griseigularis is split from Anthreptes malacensis (Cheke &amp; Mann 2008).</t>
  </si>
  <si>
    <t>OR : Luzon and Catanduanes (n Philippines)</t>
  </si>
  <si>
    <t>Here treated as monotypic; includes decolor which is weakly differentiated and perhaps not separable (Cheke &amp; Mann 2001, 2008; Hosner et al. 2013).</t>
  </si>
  <si>
    <t>Maroon-naped Sunbird A. guimarasensis, including daphoenonota, is split from Flaming Sunbird A. flagrans (Hosner et al. 2013).</t>
  </si>
  <si>
    <t>Aethopyga (pulcherrima) pulcherrima</t>
  </si>
  <si>
    <t>Aethopyga (pulcherrima) jefferyi</t>
  </si>
  <si>
    <t>Aethopyga (pulcherrima) decorosa</t>
  </si>
  <si>
    <t>Magnificent Sunbird A. magnifica is split from Crimson Sunbird A. siparaja (Hosner et al. 2013).</t>
  </si>
  <si>
    <t>Orange-tufted Spiderhunter is split from Little Spiderhunter (Lohman et al. 2010; Rahman et al. 2010).</t>
  </si>
  <si>
    <t>Pale Spiderhunter of Palawan is split from Little Spiderhunter (Lohman et al. 2010; Rahman et al. 2010).</t>
  </si>
  <si>
    <t>Cinnamon Ibon is not a white-eye, but instead an ancient lineage (subfamily) of Old World sparrows (Passeridae) (Moyle et al. 2009; Fjeldså et al. 2010).</t>
  </si>
  <si>
    <t>Chestnut Munia is split from Tricolored Munia L. malacca (Restall 1997; Rasmussen &amp; Anderton 2005).</t>
  </si>
  <si>
    <t>Motacilla (tschutschensis) tschutschensis</t>
  </si>
  <si>
    <t>Subspecies follow Alström &amp; Mild (2003).</t>
  </si>
  <si>
    <t>Treated as monotypic following Alström &amp; Mild (2003).</t>
  </si>
  <si>
    <t>Change English name of Eophona migratoria from Yellow-billed Grosbeak to Chinese Grosbeak.</t>
  </si>
  <si>
    <t>B - Away from high areas of Mount Apo and Mt Kitanglad</t>
  </si>
  <si>
    <t>26-Feb-1894</t>
  </si>
  <si>
    <t>24-Sep-1894</t>
  </si>
  <si>
    <t>Black-bellied Brent Goose</t>
  </si>
  <si>
    <t>Branta (bernicla) nigricans</t>
  </si>
  <si>
    <t>Anser (fabalis) fabalis</t>
  </si>
  <si>
    <t>Anser (fabalis) serrirostris</t>
  </si>
  <si>
    <t>Bewick's Swan</t>
  </si>
  <si>
    <t>Cygnus (columbianus) bewickii</t>
  </si>
  <si>
    <t>30_1</t>
  </si>
  <si>
    <t>37_3</t>
  </si>
  <si>
    <t>47_2</t>
  </si>
  <si>
    <t>Fairly common resident (Greater Luzon, Mindoro, Cebu, Bohol, Mindanao, Cagayancillo, Dinagat, Camiguin Sur).</t>
  </si>
  <si>
    <t>Aerodramus (vanikorensis) amelis</t>
  </si>
  <si>
    <t>Palawan Swiftlet</t>
  </si>
  <si>
    <t>Aerodramus (vanikorensis) palawanensis</t>
  </si>
  <si>
    <t>54_1</t>
  </si>
  <si>
    <t>Hirundapus (caudacutus) caudacutus</t>
  </si>
  <si>
    <t>Gould's Bronze-cuckoo</t>
  </si>
  <si>
    <t>Chalcites (minutillus) poecilurus</t>
  </si>
  <si>
    <t>81_2</t>
  </si>
  <si>
    <t>98_1</t>
  </si>
  <si>
    <t>Rare (Samar, Leyte and Bohol, CE Philippines).</t>
  </si>
  <si>
    <t>Leyte Bleeding-heart</t>
  </si>
  <si>
    <t>Gallicolumba (crinigera) leytensis</t>
  </si>
  <si>
    <t>Widespread but scarce resident (Basilan, Dinagat, Mindanao, Jolo?).</t>
  </si>
  <si>
    <t>Gallicolumba (crinigera) crinigera</t>
  </si>
  <si>
    <t>Fairly common resident (W Visayas, Tablas, Sibuyan and Cebu).</t>
  </si>
  <si>
    <t>Common resident (S &amp; SE Philippines).</t>
  </si>
  <si>
    <t>Very rare resident (Negros, Panay).</t>
  </si>
  <si>
    <t>Probably extinct resident (Cebu).</t>
  </si>
  <si>
    <t>Uncommon resident (NE Luzon).</t>
  </si>
  <si>
    <t>Northern Cream-bellied Fruit-dove</t>
  </si>
  <si>
    <t>Ramphiculus (merrilli) faustinoi</t>
  </si>
  <si>
    <t>Uncommon resident (E &amp; SE Luzon, Catanduanes, Polillo).</t>
  </si>
  <si>
    <t>Southern Cream-bellied Fruit-dove</t>
  </si>
  <si>
    <t>Ramphiculus (merrilli) merrilli</t>
  </si>
  <si>
    <t>Ptilinopus temminckii</t>
  </si>
  <si>
    <t>Scarce resident (Luzon and Mindoro, possibly extirpated on Sibuyan).</t>
  </si>
  <si>
    <t>Ducula (carola) carola</t>
  </si>
  <si>
    <t>Scarce resident (Mindanao, extirpated W Visayas).</t>
  </si>
  <si>
    <t>Black-breasted Imperial-pigeon</t>
  </si>
  <si>
    <t>Ducula (carola) nigrorum</t>
  </si>
  <si>
    <t>torquata</t>
  </si>
  <si>
    <t>128_1</t>
  </si>
  <si>
    <t>Eastern Baillon's Crake</t>
  </si>
  <si>
    <t>Zapornia (pusilla) pusilla</t>
  </si>
  <si>
    <t>146_1</t>
  </si>
  <si>
    <t>159_1</t>
  </si>
  <si>
    <t>Mongolian Sandplover</t>
  </si>
  <si>
    <t>Eastern Black-tailed Godwit</t>
  </si>
  <si>
    <t>Limosa (limosa) melanuroides</t>
  </si>
  <si>
    <t>Kamchatka Gull</t>
  </si>
  <si>
    <t>Larus (canus) camtschatchensis</t>
  </si>
  <si>
    <t>Larus (smithsonianus) vegae</t>
  </si>
  <si>
    <t>Heuglin's Gull</t>
  </si>
  <si>
    <t>Larus (fuscus) heuglini</t>
  </si>
  <si>
    <t>Common Great Cormorant</t>
  </si>
  <si>
    <t>Phalacrocorax (carbo) carbo</t>
  </si>
  <si>
    <t>Ardea (cinerea) cinerea</t>
  </si>
  <si>
    <t>Ardea (purpurea) purpurea</t>
  </si>
  <si>
    <t>Eastern Great Egret</t>
  </si>
  <si>
    <t>Ardea (alba) modesta</t>
  </si>
  <si>
    <t>Uncommon winter visitor (mainly Palawan and Mindanao, also Jolo, Luzon, Mindoro, Negros, Semirara, Sulu archipelago).</t>
  </si>
  <si>
    <t>Eastern Honey-buzzard</t>
  </si>
  <si>
    <t>Pernis (ptilorhynchus) orientalis</t>
  </si>
  <si>
    <t>Uncommon to fairly common and widespread resident (larger islands).</t>
  </si>
  <si>
    <t>Indomalayan Honey-buzzard</t>
  </si>
  <si>
    <t>Pernis (ptilorhynchus) ptilorhynchus</t>
  </si>
  <si>
    <t>Spilornis (cheela) cheela</t>
  </si>
  <si>
    <t>Nisaetus (cirrhatus) limnaeetus</t>
  </si>
  <si>
    <t>Black-eared Kite</t>
  </si>
  <si>
    <t>Milvus (migrans) lineatus</t>
  </si>
  <si>
    <t>Otus (sunia) sunia</t>
  </si>
  <si>
    <t>Common Short-eared Owl</t>
  </si>
  <si>
    <t>Asio (flammeus) flammeus</t>
  </si>
  <si>
    <t>Local resident (Luzon, Marinduque).</t>
  </si>
  <si>
    <t>Local resident (E Visayas, Mindanao).</t>
  </si>
  <si>
    <t>Common resident (Catanduanes, Luzon, Marinduque).</t>
  </si>
  <si>
    <t>Luzon Spotted Kingfisher</t>
  </si>
  <si>
    <t>Actenoides (lindsayi) lindsayi</t>
  </si>
  <si>
    <t>Common resident (Negros, Panay).</t>
  </si>
  <si>
    <t>Negros Spotted Kingfisher</t>
  </si>
  <si>
    <t>Actenoides (lindsayi) moseleyi</t>
  </si>
  <si>
    <t>Alcedo (atthis) atthis</t>
  </si>
  <si>
    <t>Local and uncommon resident (Greater Luzon, Samar, Leyte).</t>
  </si>
  <si>
    <t>Local and uncommon resident (Mindanao, Basilan).</t>
  </si>
  <si>
    <t>Fairly common resident (Luzon, Mindoro, Lubang, Catanduanes, Marinduque, Masbate, Polillo, Sibuyan, Ticao).</t>
  </si>
  <si>
    <t>Local resident (Negros, Panay).</t>
  </si>
  <si>
    <t>Rare and local resident (Mindanao, Samar, Leyte, Biliran).</t>
  </si>
  <si>
    <t>Falco (tinnunculus) tinnunculus</t>
  </si>
  <si>
    <t>Common and widespread resident (absent Palawan, Sulu archipelago).</t>
  </si>
  <si>
    <t>Fairly common resident (Sulu archipelago).</t>
  </si>
  <si>
    <t>Loriculus (philippensis) bonapartei</t>
  </si>
  <si>
    <t>Pitta (sordida) sordida</t>
  </si>
  <si>
    <t>Pericrocotus (flammeus) speciosus</t>
  </si>
  <si>
    <t>Uncommon resident (Luzon, Mindoro).</t>
  </si>
  <si>
    <t>Rare resident (Mindanao, Samar, Leyte).</t>
  </si>
  <si>
    <t>438_1</t>
  </si>
  <si>
    <t>Northern Brown Shrike</t>
  </si>
  <si>
    <t>Lanius (cristatus) cristatus</t>
  </si>
  <si>
    <t>438_2</t>
  </si>
  <si>
    <t>Philippine Brown Shrike</t>
  </si>
  <si>
    <t>Lanius (cristatus) lucionensis</t>
  </si>
  <si>
    <t>Philippine Long-tailed Shrike</t>
  </si>
  <si>
    <t>Lanius (schach) nasutus</t>
  </si>
  <si>
    <t>Philippine Black-naped Oriole</t>
  </si>
  <si>
    <t>Oriolus (chinensis) chinensis</t>
  </si>
  <si>
    <t>Dicrurus (hottentottus) suluensis</t>
  </si>
  <si>
    <t>Common resident (Palawan, Busuanga, Culion, Tara, Balabac and Mapun).</t>
  </si>
  <si>
    <t>Dicrurus (hottentottus) palawanensis</t>
  </si>
  <si>
    <t>Uncommon resident (Cuyo, Pamalican, Semirara).</t>
  </si>
  <si>
    <t>Cuyo Drongo</t>
  </si>
  <si>
    <t>Dicrurus (hottentottus) cuyensis</t>
  </si>
  <si>
    <t>Fairly common resident (Greater Luzon, Mindoro).</t>
  </si>
  <si>
    <t>Dicrurus (balicassius) balicassius</t>
  </si>
  <si>
    <t>Locally common resident (Ticao, Masbate, Panay, Guimaras, Negros, Bantayan, Cebu).</t>
  </si>
  <si>
    <t>Visayan Drongo</t>
  </si>
  <si>
    <t>Dicrurus (balicassius) mirabilis</t>
  </si>
  <si>
    <t>Fairly common resident (E Visayas, Greater Mindanao).</t>
  </si>
  <si>
    <t>Chinese White-faced Drongo</t>
  </si>
  <si>
    <t>Dicrurus (leucophaeus) innexus</t>
  </si>
  <si>
    <t>Sooty Drongo</t>
  </si>
  <si>
    <t>Dicrurus (leucophaeus) leucophaeus</t>
  </si>
  <si>
    <t>Lanyu Paradise-flycatcher</t>
  </si>
  <si>
    <t>Terpsiphone (atrocaudata) periophthalmica</t>
  </si>
  <si>
    <t>Uncommon resident (Greater Luzon to W Visayas).</t>
  </si>
  <si>
    <t>Uncommon resident (Greater Mindanao, Samar, Sulu archipelago).</t>
  </si>
  <si>
    <t>Locally common resident (Mindoro, Calamian Is, Palawan, nearby Dadagican and Balabac).</t>
  </si>
  <si>
    <t>Palawan Crow</t>
  </si>
  <si>
    <t>Rare and local resident (Luzon).</t>
  </si>
  <si>
    <t>Sierra Madre Crow</t>
  </si>
  <si>
    <t>Corvus (enca) sierramadrensis</t>
  </si>
  <si>
    <t>Rare and local resident (Samar, Mindanao).</t>
  </si>
  <si>
    <t>Samar Crow</t>
  </si>
  <si>
    <t>Corvus (enca) samarensis</t>
  </si>
  <si>
    <t>Philippine Jungle Crow</t>
  </si>
  <si>
    <t>Corvus (macrorhynchos) philippinus</t>
  </si>
  <si>
    <t>Mirafra (javanica) javanica</t>
  </si>
  <si>
    <t>Locally common resident (Tablas, Romblon).</t>
  </si>
  <si>
    <t>Tablas Streak-breasted Bulbul</t>
  </si>
  <si>
    <t>Hypsipetes (siquijorensis) cinereiceps</t>
  </si>
  <si>
    <t>Rare and local resident (Cebu).</t>
  </si>
  <si>
    <t>Cebu Streak-breasted Bulbul</t>
  </si>
  <si>
    <t>Hypsipetes (siquijorensis) monticola</t>
  </si>
  <si>
    <t>Very common resident (Siquijor).</t>
  </si>
  <si>
    <t>Siquijor Streak-breasted Bulbul</t>
  </si>
  <si>
    <t>Hypsipetes (siquijorensis) siquijorensis</t>
  </si>
  <si>
    <t>Locally common resident (E Visayas, N &amp; E Greater Mindanao).</t>
  </si>
  <si>
    <t>Common resident (Camiguin Sur).</t>
  </si>
  <si>
    <t>melanocephalos</t>
  </si>
  <si>
    <t>Philippine Yellow-vented Bulbul</t>
  </si>
  <si>
    <t>Pycnonotus (goiavier) goiavier</t>
  </si>
  <si>
    <t>Very common winter visitor throughout.</t>
  </si>
  <si>
    <t>Eurasian Barn Swallow</t>
  </si>
  <si>
    <t>Hirundo (rustica) rustica</t>
  </si>
  <si>
    <t>Hirundo (javanica) javanica</t>
  </si>
  <si>
    <t>Scarce winter visitor (Batanes, Babuyans, Luzon, Apo Reef, possibly Negros).</t>
  </si>
  <si>
    <t>Chinese Bush-warbler</t>
  </si>
  <si>
    <t>Horornis (canturians) canturians</t>
  </si>
  <si>
    <t>Vagrant? (Batan, Luzon).</t>
  </si>
  <si>
    <t>Horornis (canturians) borealis</t>
  </si>
  <si>
    <t>Philippine Tawny Grassbird</t>
  </si>
  <si>
    <t>Cincloramphus (timoriensis) tweeddalei</t>
  </si>
  <si>
    <t>Common resident (Batanes).</t>
  </si>
  <si>
    <t>Japanese Zitting Cisticola</t>
  </si>
  <si>
    <t>Cisticola (juncidis) brunniceps</t>
  </si>
  <si>
    <t>Common and widespread resident (absent Batanes, Sulu archipelago).</t>
  </si>
  <si>
    <t>Double Zitting Cisticola</t>
  </si>
  <si>
    <t>Cisticola (juncidis) tinnabulans</t>
  </si>
  <si>
    <t>Palawan Tit-babbler</t>
  </si>
  <si>
    <t>Mixornis (gularis) woodi</t>
  </si>
  <si>
    <t>Stripe-headed Tit-babbler</t>
  </si>
  <si>
    <t>Macronus (striaticeps) striaticeps</t>
  </si>
  <si>
    <t>Uncommon resident (Sulu archipelago).</t>
  </si>
  <si>
    <t>Sulu Tit-babbler</t>
  </si>
  <si>
    <t>Macronus (striaticeps) kettlewelli</t>
  </si>
  <si>
    <t>Geokichla (sibirica) sibirica</t>
  </si>
  <si>
    <t>Siberian Flycatcher</t>
  </si>
  <si>
    <t>Muscicapa (sibirica) sibirica</t>
  </si>
  <si>
    <t>Scarce and local resident (N &amp; C Luzon).</t>
  </si>
  <si>
    <t>Scarce and local resident (S Luzon, Catanduanes).</t>
  </si>
  <si>
    <t>Philippine Blue-flycatcher</t>
  </si>
  <si>
    <t>Cyornis (rufigastra) simplex</t>
  </si>
  <si>
    <t>Scarce resident (E Visayas, Greater Mindanao).</t>
  </si>
  <si>
    <t>Rare resident (Pangamian, Jolo, Tawi Tawi).</t>
  </si>
  <si>
    <t>Cyornis (ruficauda) ocularis</t>
  </si>
  <si>
    <t>Locally common resident (Luzon, Mindoro, Palawan, Negros, Panay, Mindanao).</t>
  </si>
  <si>
    <t>Red-spotted Bluethroat</t>
  </si>
  <si>
    <t>Cyanecula (svecica) svecica</t>
  </si>
  <si>
    <t>Eastern Blue Rock-thrush</t>
  </si>
  <si>
    <t>Monticola (solitarius) philippensis</t>
  </si>
  <si>
    <t>Uncommon resident (N Luzon).</t>
  </si>
  <si>
    <t>Fairly common resident (Luzon, Marinduque, Polillo, Mindoro, W Visayas).</t>
  </si>
  <si>
    <t>Orange-breasted Flowerpecker</t>
  </si>
  <si>
    <t>Dicaeum (trigonostigma) dorsale</t>
  </si>
  <si>
    <t>Locally common resident (Romblon province).</t>
  </si>
  <si>
    <t>Sibuyan Flowerpecker</t>
  </si>
  <si>
    <t>Dicaeum (trigonostigma) sibuyanicum</t>
  </si>
  <si>
    <t>Locally common resident (Cebu, E Visayas, Greater Mindanao, Siquijor, Camiguin Sur).</t>
  </si>
  <si>
    <t>Grey-throated Flowerpecker</t>
  </si>
  <si>
    <t>Dicaeum (trigonostigma) cinereigulare</t>
  </si>
  <si>
    <t>Locally common resident (Sulu archipelago).</t>
  </si>
  <si>
    <t>Sulu Flowerpecker</t>
  </si>
  <si>
    <t>Dicaeum (trigonostigma) sibutuense</t>
  </si>
  <si>
    <t>Fairly common resident (Luzon, Catanduanes).</t>
  </si>
  <si>
    <t>Northern Buzzing Flowerpecker</t>
  </si>
  <si>
    <t>Dicaeum (hypoleucum) obscurum</t>
  </si>
  <si>
    <t>Fairly common resident (E Visayas, Greater Mindanao, Sulu archipelago).</t>
  </si>
  <si>
    <t>Southern Buzzing Flowerpecker</t>
  </si>
  <si>
    <t>Dicaeum (hypoleucum) hypoleucum</t>
  </si>
  <si>
    <t>Garden Sunbird</t>
  </si>
  <si>
    <t>Aethopyga (boltoni) boltoni</t>
  </si>
  <si>
    <t>Locally common resident (SW Mindanao).</t>
  </si>
  <si>
    <t>Tiboli Sunbird</t>
  </si>
  <si>
    <t>Aethopyga (boltoni) tibolii</t>
  </si>
  <si>
    <t>Lonchura (punctulata) nisoria</t>
  </si>
  <si>
    <t>Green-headed Wagtail</t>
  </si>
  <si>
    <t>Motacilla (tschutschensis) taivana</t>
  </si>
  <si>
    <t>Northern Citrine Wagtail</t>
  </si>
  <si>
    <t>Motacilla (citreola) citreola</t>
  </si>
  <si>
    <t>Baikal Wagtail</t>
  </si>
  <si>
    <t>Motacilla (alba) baicalensis</t>
  </si>
  <si>
    <t>Uncommon winter visitor (N islets, Luzon), rare or vagrant (elsewhere).</t>
  </si>
  <si>
    <t>Siberian Wagtail</t>
  </si>
  <si>
    <t>Motacilla (alba) ocularis</t>
  </si>
  <si>
    <t>Rare winter visitor (Batanes, Calayan, Luzon).</t>
  </si>
  <si>
    <t>Black-backed Wagtail</t>
  </si>
  <si>
    <t>Motacilla (alba) lugens</t>
  </si>
  <si>
    <t>Chinese Wagtail</t>
  </si>
  <si>
    <t>Motacilla (alba) leucopsis</t>
  </si>
  <si>
    <t>Anthus (gustavi) gustavi</t>
  </si>
  <si>
    <t>Presumed winter visitor.</t>
  </si>
  <si>
    <t>Menzbier's Pipit</t>
  </si>
  <si>
    <t>Anthus (gustavi) menzbieri</t>
  </si>
  <si>
    <t>Anthus (rubescens) japonicus</t>
  </si>
  <si>
    <t xml:space="preserve">Kennedy et all (2000). A Guide to the Bird of the Philippines </t>
  </si>
  <si>
    <t>Allen</t>
  </si>
  <si>
    <t>Allen D. (2020), Birds of the Philippines</t>
  </si>
  <si>
    <t>English Name Allen</t>
  </si>
  <si>
    <t>Range Allen</t>
  </si>
  <si>
    <t>Northern Rufous Hornbill
Southern Rufous Hornbill</t>
  </si>
  <si>
    <t>North Philippine Dwarf-kingfisher
South Philippine Dwarf-kingfisher</t>
  </si>
  <si>
    <t>Northern Indigo-banded Kingfisher
Southern Indigo-banded Kingfisher</t>
  </si>
  <si>
    <t>Northern Black-and-white Triller
Southern Black-and-white Triller</t>
  </si>
  <si>
    <t>Northern Rufous Paradise-flycatcher
Southern Rufous Paradise-flycatcher</t>
  </si>
  <si>
    <t>Scientific Name Allen</t>
  </si>
  <si>
    <t>wandering whistling duck</t>
  </si>
  <si>
    <t>brant goose</t>
  </si>
  <si>
    <t>taiga bean goose</t>
  </si>
  <si>
    <t>tundra bean goose</t>
  </si>
  <si>
    <t>greater white-fronted goose</t>
  </si>
  <si>
    <t>tundra swan</t>
  </si>
  <si>
    <t>cotton pygmy goose</t>
  </si>
  <si>
    <t>gadwall</t>
  </si>
  <si>
    <t>mallard</t>
  </si>
  <si>
    <t>greater scaup</t>
  </si>
  <si>
    <t>philippine megapode</t>
  </si>
  <si>
    <t>chinese francolin</t>
  </si>
  <si>
    <t>daurian partridge</t>
  </si>
  <si>
    <t>king quail</t>
  </si>
  <si>
    <t>red junglefowl</t>
  </si>
  <si>
    <t>philippine frogmouth</t>
  </si>
  <si>
    <t>great eared nightjar</t>
  </si>
  <si>
    <t>grey nightjar</t>
  </si>
  <si>
    <t>large-tailed nightjar</t>
  </si>
  <si>
    <t>grey-rumped treeswift</t>
  </si>
  <si>
    <t>whiskered treeswift</t>
  </si>
  <si>
    <t>grey-rumped swiftlet</t>
  </si>
  <si>
    <t>ridgetop swiftlet</t>
  </si>
  <si>
    <t>whitehead's swiftlet</t>
  </si>
  <si>
    <t>mossy-nest swiftlet</t>
  </si>
  <si>
    <t>ameline swiftlet</t>
  </si>
  <si>
    <t>black-nest swiftlet</t>
  </si>
  <si>
    <t>germain's swiftlet</t>
  </si>
  <si>
    <t>white-throated needletail</t>
  </si>
  <si>
    <t>brown-backed needletail</t>
  </si>
  <si>
    <t>asian palm swift</t>
  </si>
  <si>
    <t>pacific swift</t>
  </si>
  <si>
    <t>house swift</t>
  </si>
  <si>
    <t>greater coucal</t>
  </si>
  <si>
    <t>philippine coucal</t>
  </si>
  <si>
    <t>lesser coucal</t>
  </si>
  <si>
    <t>chestnut-breasted malkoha</t>
  </si>
  <si>
    <t>rough-crested malkoha</t>
  </si>
  <si>
    <t>jacobin cuckoo</t>
  </si>
  <si>
    <t>asian koel</t>
  </si>
  <si>
    <t>channel-billed cuckoo</t>
  </si>
  <si>
    <t>violet cuckoo</t>
  </si>
  <si>
    <t>little bronze cuckoo</t>
  </si>
  <si>
    <t>banded bay cuckoo</t>
  </si>
  <si>
    <t>plaintive cuckoo</t>
  </si>
  <si>
    <t>rusty-breasted cuckoo</t>
  </si>
  <si>
    <t>philippine drongo-cuckoo</t>
  </si>
  <si>
    <t>square-tailed drongo-cuckoo</t>
  </si>
  <si>
    <t>indian cuckoo</t>
  </si>
  <si>
    <t>metallic pigeon</t>
  </si>
  <si>
    <t>oriental turtle dove</t>
  </si>
  <si>
    <t>red collared dove</t>
  </si>
  <si>
    <t>spotted dove</t>
  </si>
  <si>
    <t>philippine cuckoo-dove</t>
  </si>
  <si>
    <t>common emerald dove</t>
  </si>
  <si>
    <t>nicobar pigeon</t>
  </si>
  <si>
    <t>luzon bleeding-heart</t>
  </si>
  <si>
    <t>mindanao bleeding-heart</t>
  </si>
  <si>
    <t>white-eared brown dove</t>
  </si>
  <si>
    <t>amethyst brown dove</t>
  </si>
  <si>
    <t>philippine green pigeon</t>
  </si>
  <si>
    <t>thick-billed green pigeon</t>
  </si>
  <si>
    <t>cream-breasted fruit dove</t>
  </si>
  <si>
    <t>yellow-breasted fruit dove</t>
  </si>
  <si>
    <t>black-chinned fruit dove</t>
  </si>
  <si>
    <t>superb fruit dove</t>
  </si>
  <si>
    <t>black-naped fruit dove</t>
  </si>
  <si>
    <t>spotted imperial pigeon</t>
  </si>
  <si>
    <t>green imperial pigeon</t>
  </si>
  <si>
    <t>slaty-breasted rail</t>
  </si>
  <si>
    <t>barred rail</t>
  </si>
  <si>
    <t>buff-banded rail</t>
  </si>
  <si>
    <t>common moorhen</t>
  </si>
  <si>
    <t>eurasian coot</t>
  </si>
  <si>
    <t>ruddy-breasted crake</t>
  </si>
  <si>
    <t>baillon's crake</t>
  </si>
  <si>
    <t>slaty-legged crake</t>
  </si>
  <si>
    <t>white-breasted waterhen</t>
  </si>
  <si>
    <t>sarus crane</t>
  </si>
  <si>
    <t>little grebe</t>
  </si>
  <si>
    <t>black-necked grebe</t>
  </si>
  <si>
    <t>common buttonquail</t>
  </si>
  <si>
    <t>spotted buttonquail</t>
  </si>
  <si>
    <t>barred buttonquail</t>
  </si>
  <si>
    <t>eurasian oystercatcher</t>
  </si>
  <si>
    <t>grey plover</t>
  </si>
  <si>
    <t>common ringed plover</t>
  </si>
  <si>
    <t>little ringed plover</t>
  </si>
  <si>
    <t>kentish plover</t>
  </si>
  <si>
    <t>greater sand plover</t>
  </si>
  <si>
    <t>eurasian whimbrel</t>
  </si>
  <si>
    <t>eurasian curlew</t>
  </si>
  <si>
    <t>bar-tailed godwit</t>
  </si>
  <si>
    <t>black-tailed godwit</t>
  </si>
  <si>
    <t>ruddy turnstone</t>
  </si>
  <si>
    <t>red knot</t>
  </si>
  <si>
    <t>broad-billed sandpiper</t>
  </si>
  <si>
    <t>sanderling</t>
  </si>
  <si>
    <t>dunlin</t>
  </si>
  <si>
    <t>common snipe</t>
  </si>
  <si>
    <t>common redshank</t>
  </si>
  <si>
    <t>brown noddy</t>
  </si>
  <si>
    <t>black noddy</t>
  </si>
  <si>
    <t>white tern</t>
  </si>
  <si>
    <t>laughing gull</t>
  </si>
  <si>
    <t>vega gull</t>
  </si>
  <si>
    <t>lesser black-backed gull</t>
  </si>
  <si>
    <t>gull-billed tern</t>
  </si>
  <si>
    <t>greater crested tern</t>
  </si>
  <si>
    <t>little tern</t>
  </si>
  <si>
    <t>bridled tern</t>
  </si>
  <si>
    <t>sooty tern</t>
  </si>
  <si>
    <t>roseate tern</t>
  </si>
  <si>
    <t>black-naped tern</t>
  </si>
  <si>
    <t>common tern</t>
  </si>
  <si>
    <t>whiskered tern</t>
  </si>
  <si>
    <t>long-tailed jaeger</t>
  </si>
  <si>
    <t>red-tailed tropicbird</t>
  </si>
  <si>
    <t>white-tailed tropicbird</t>
  </si>
  <si>
    <t>leach's storm petrel</t>
  </si>
  <si>
    <t>kermadec petrel</t>
  </si>
  <si>
    <t>tahiti petrel</t>
  </si>
  <si>
    <t>great frigatebird</t>
  </si>
  <si>
    <t>lesser frigatebird</t>
  </si>
  <si>
    <t>masked booby</t>
  </si>
  <si>
    <t>red-footed booby</t>
  </si>
  <si>
    <t>brown booby</t>
  </si>
  <si>
    <t>great cormorant</t>
  </si>
  <si>
    <t>eurasian spoonbill</t>
  </si>
  <si>
    <t>eurasian bittern</t>
  </si>
  <si>
    <t>black bittern</t>
  </si>
  <si>
    <t>black-crowned night heron</t>
  </si>
  <si>
    <t>nankeen night heron</t>
  </si>
  <si>
    <t>striated heron</t>
  </si>
  <si>
    <t>javan pond heron</t>
  </si>
  <si>
    <t>grey heron</t>
  </si>
  <si>
    <t>purple heron</t>
  </si>
  <si>
    <t>great egret</t>
  </si>
  <si>
    <t>little egret</t>
  </si>
  <si>
    <t>pacific reef heron</t>
  </si>
  <si>
    <t>black-winged kite</t>
  </si>
  <si>
    <t>crested honey buzzard</t>
  </si>
  <si>
    <t>philippine honey buzzard</t>
  </si>
  <si>
    <t>jerdon's baza</t>
  </si>
  <si>
    <t>crested serpent eagle</t>
  </si>
  <si>
    <t>changeable hawk-eagle</t>
  </si>
  <si>
    <t>rufous-bellied eagle</t>
  </si>
  <si>
    <t>crested goshawk</t>
  </si>
  <si>
    <t>shikra</t>
  </si>
  <si>
    <t>japanese sparrowhawk</t>
  </si>
  <si>
    <t>eurasian sparrowhawk</t>
  </si>
  <si>
    <t>black kite</t>
  </si>
  <si>
    <t>brahminy kite</t>
  </si>
  <si>
    <t>eastern buzzard</t>
  </si>
  <si>
    <t>eastern grass owl</t>
  </si>
  <si>
    <t>northern boobook</t>
  </si>
  <si>
    <t>oriental scops owl</t>
  </si>
  <si>
    <t>ryukyu scops owl</t>
  </si>
  <si>
    <t>mantanani scops owl</t>
  </si>
  <si>
    <t>short-eared owl</t>
  </si>
  <si>
    <t>philippine eagle-owl</t>
  </si>
  <si>
    <t>spotted wood owl</t>
  </si>
  <si>
    <t>philippine trogon</t>
  </si>
  <si>
    <t>eurasian hoopoe</t>
  </si>
  <si>
    <t>rufous hornbill</t>
  </si>
  <si>
    <t>luzon hornbill</t>
  </si>
  <si>
    <t>mindanao hornbill</t>
  </si>
  <si>
    <t>visayan hornbill</t>
  </si>
  <si>
    <t>oriental dollarbird</t>
  </si>
  <si>
    <t>spotted wood kingfisher</t>
  </si>
  <si>
    <t>stork-billed kingfisher</t>
  </si>
  <si>
    <t>ruddy kingfisher</t>
  </si>
  <si>
    <t>winchell's kingfisher</t>
  </si>
  <si>
    <t>collared kingfisher</t>
  </si>
  <si>
    <t>sacred kingfisher</t>
  </si>
  <si>
    <t>blue-eared kingfisher</t>
  </si>
  <si>
    <t>common kingfisher</t>
  </si>
  <si>
    <t>philippine dwarf kingfisher</t>
  </si>
  <si>
    <t>indigo-banded kingfisher</t>
  </si>
  <si>
    <t>coppersmith barbet</t>
  </si>
  <si>
    <t>philippine pygmy woodpecker</t>
  </si>
  <si>
    <t>white-bellied woodpecker</t>
  </si>
  <si>
    <t>buff-spotted flameback</t>
  </si>
  <si>
    <t>great slaty woodpecker</t>
  </si>
  <si>
    <t>philippine falconet</t>
  </si>
  <si>
    <t>common kestrel</t>
  </si>
  <si>
    <t>spotted kestrel</t>
  </si>
  <si>
    <t>merlin</t>
  </si>
  <si>
    <t>eurasian hobby</t>
  </si>
  <si>
    <t>peregrine falcon</t>
  </si>
  <si>
    <t>mindanao racket-tail</t>
  </si>
  <si>
    <t>blue-crowned racket-tail</t>
  </si>
  <si>
    <t>great-billed parrot</t>
  </si>
  <si>
    <t>blue-naped parrot</t>
  </si>
  <si>
    <t>blue-backed parrot</t>
  </si>
  <si>
    <t>guaiabero</t>
  </si>
  <si>
    <t>philippine hanging parrot</t>
  </si>
  <si>
    <t>philippine pitta</t>
  </si>
  <si>
    <t>azure-breasted pitta</t>
  </si>
  <si>
    <t>golden-bellied gerygone</t>
  </si>
  <si>
    <t>white-breasted woodswallow</t>
  </si>
  <si>
    <t>common iora</t>
  </si>
  <si>
    <t>fiery minivet</t>
  </si>
  <si>
    <t>scarlet minivet</t>
  </si>
  <si>
    <t>bar-bellied cuckooshrike</t>
  </si>
  <si>
    <t>blackish cuckooshrike</t>
  </si>
  <si>
    <t>black-bibbed cicadabird</t>
  </si>
  <si>
    <t>black-and-white triller</t>
  </si>
  <si>
    <t>pied triller</t>
  </si>
  <si>
    <t>black-winged cuckooshrike</t>
  </si>
  <si>
    <t>mangrove whistler</t>
  </si>
  <si>
    <t>green-backed whistler</t>
  </si>
  <si>
    <t>white-vented whistler</t>
  </si>
  <si>
    <t>yellow-bellied whistler</t>
  </si>
  <si>
    <t>brown shrike</t>
  </si>
  <si>
    <t>long-tailed shrike</t>
  </si>
  <si>
    <t>mountain shrike</t>
  </si>
  <si>
    <t>philippine oriole</t>
  </si>
  <si>
    <t>black-naped oriole</t>
  </si>
  <si>
    <t>hair-crested drongo</t>
  </si>
  <si>
    <t>palawan drongo</t>
  </si>
  <si>
    <t>balicassiao</t>
  </si>
  <si>
    <t>ashy drongo</t>
  </si>
  <si>
    <t>black drongo</t>
  </si>
  <si>
    <t>mindanao blue fantail</t>
  </si>
  <si>
    <t>blue-headed fantail</t>
  </si>
  <si>
    <t>black-and-cinnamon fantail</t>
  </si>
  <si>
    <t>black-naped monarch</t>
  </si>
  <si>
    <t>short-crested monarch</t>
  </si>
  <si>
    <t>celestial monarch</t>
  </si>
  <si>
    <t>rufous paradise flycatcher</t>
  </si>
  <si>
    <t>large-billed crow</t>
  </si>
  <si>
    <t>citrine canary-flycatcher</t>
  </si>
  <si>
    <t>elegant tit</t>
  </si>
  <si>
    <t>white-fronted tit</t>
  </si>
  <si>
    <t>oriental skylark</t>
  </si>
  <si>
    <t>philippine bulbul</t>
  </si>
  <si>
    <t>streak-breasted bulbul</t>
  </si>
  <si>
    <t>yellowish bulbul</t>
  </si>
  <si>
    <t>brown-eared bulbul</t>
  </si>
  <si>
    <t>black bulbul</t>
  </si>
  <si>
    <t>yellow-wattled bulbul</t>
  </si>
  <si>
    <t>black-headed bulbul</t>
  </si>
  <si>
    <t>olive-winged bulbul</t>
  </si>
  <si>
    <t>light-vented bulbul</t>
  </si>
  <si>
    <t>yellow-vented bulbul</t>
  </si>
  <si>
    <t>grey-throated martin</t>
  </si>
  <si>
    <t>sand martin</t>
  </si>
  <si>
    <t>barn swallow</t>
  </si>
  <si>
    <t>pacific swallow</t>
  </si>
  <si>
    <t>asian house martin</t>
  </si>
  <si>
    <t>striated swallow</t>
  </si>
  <si>
    <t>mountain tailorbird</t>
  </si>
  <si>
    <t>manchurian bush warbler</t>
  </si>
  <si>
    <t>dusky warbler</t>
  </si>
  <si>
    <t>willow warbler</t>
  </si>
  <si>
    <t>lemon-throated leaf warbler</t>
  </si>
  <si>
    <t>yellow-breasted warbler</t>
  </si>
  <si>
    <t>negros leaf warbler</t>
  </si>
  <si>
    <t>clamorous reed warbler</t>
  </si>
  <si>
    <t>pallas's grasshopper warbler</t>
  </si>
  <si>
    <t>lanceolated warbler</t>
  </si>
  <si>
    <t>long-tailed bush warbler</t>
  </si>
  <si>
    <t>tawny grassbird</t>
  </si>
  <si>
    <t>striated grassbird</t>
  </si>
  <si>
    <t>zitting cisticola</t>
  </si>
  <si>
    <t>golden-headed cisticola</t>
  </si>
  <si>
    <t>philippine tailorbird</t>
  </si>
  <si>
    <t>rufous-fronted tailorbird</t>
  </si>
  <si>
    <t>grey-backed tailorbird</t>
  </si>
  <si>
    <t>rufous-tailed tailorbird</t>
  </si>
  <si>
    <t>ashy tailorbird</t>
  </si>
  <si>
    <t>white-eared tailorbird</t>
  </si>
  <si>
    <t>rusty-crowned babbler</t>
  </si>
  <si>
    <t>chestnut-faced babbler</t>
  </si>
  <si>
    <t>mindanao white-eye</t>
  </si>
  <si>
    <t>yellowish white-eye</t>
  </si>
  <si>
    <t>warbling white-eye</t>
  </si>
  <si>
    <t>lowland white-eye</t>
  </si>
  <si>
    <t>everett's white-eye</t>
  </si>
  <si>
    <t>pin-striped tit-babbler</t>
  </si>
  <si>
    <t>bold-striped tit-babbler</t>
  </si>
  <si>
    <t>brown tit-babbler</t>
  </si>
  <si>
    <t>striated wren-babbler</t>
  </si>
  <si>
    <t>philippine fairy-bluebird</t>
  </si>
  <si>
    <t>velvet-fronted nuthatch</t>
  </si>
  <si>
    <t>sulphur-billed nuthatch</t>
  </si>
  <si>
    <t>asian glossy starling</t>
  </si>
  <si>
    <t>short-tailed starling</t>
  </si>
  <si>
    <t>coleto</t>
  </si>
  <si>
    <t>common hill myna</t>
  </si>
  <si>
    <t>crested myna</t>
  </si>
  <si>
    <t>common myna</t>
  </si>
  <si>
    <t>stripe-headed rhabdornis</t>
  </si>
  <si>
    <t>stripe-breasted rhabdornis</t>
  </si>
  <si>
    <t>siberian thrush</t>
  </si>
  <si>
    <t>white's thrush</t>
  </si>
  <si>
    <t>chinese blackbird</t>
  </si>
  <si>
    <t>island thrush</t>
  </si>
  <si>
    <t>brown-headed thrush</t>
  </si>
  <si>
    <t>white-browed shama</t>
  </si>
  <si>
    <t>dark-sided flycatcher</t>
  </si>
  <si>
    <t>asian brown flycatcher</t>
  </si>
  <si>
    <t>mangrove blue flycatcher</t>
  </si>
  <si>
    <t>blue-and-white flycatcher</t>
  </si>
  <si>
    <t>verditer flycatcher</t>
  </si>
  <si>
    <t>turquoise flycatcher</t>
  </si>
  <si>
    <t>siberian blue robin</t>
  </si>
  <si>
    <t>bluethroat</t>
  </si>
  <si>
    <t>siberian rubythroat</t>
  </si>
  <si>
    <t>little pied flycatcher</t>
  </si>
  <si>
    <t>little slaty flycatcher</t>
  </si>
  <si>
    <t>bundok flycatcher</t>
  </si>
  <si>
    <t>daurian redstart</t>
  </si>
  <si>
    <t>blue rock thrush</t>
  </si>
  <si>
    <t>pied bush chat</t>
  </si>
  <si>
    <t>northern wheatear</t>
  </si>
  <si>
    <t>olive-backed flowerpecker</t>
  </si>
  <si>
    <t>palawan flowerpecker</t>
  </si>
  <si>
    <t>striped flowerpecker</t>
  </si>
  <si>
    <t>olive-capped flowerpecker</t>
  </si>
  <si>
    <t>flame-crowned flowerpecker</t>
  </si>
  <si>
    <t>bicolored flowerpecker</t>
  </si>
  <si>
    <t>orange-bellied flowerpecker</t>
  </si>
  <si>
    <t>buzzing flowerpecker</t>
  </si>
  <si>
    <t>pygmy flowerpecker</t>
  </si>
  <si>
    <t>brown-throated sunbird</t>
  </si>
  <si>
    <t>grey-throated sunbird</t>
  </si>
  <si>
    <t>purple-throated sunbird</t>
  </si>
  <si>
    <t>grey-hooded sunbird</t>
  </si>
  <si>
    <t>apo sunbird</t>
  </si>
  <si>
    <t>maroon-naped sunbird</t>
  </si>
  <si>
    <t>handsome sunbird</t>
  </si>
  <si>
    <t>orange-tufted spiderhunter</t>
  </si>
  <si>
    <t>naked-faced spiderhunter</t>
  </si>
  <si>
    <t>eurasian tree sparrow</t>
  </si>
  <si>
    <t>scaly-breasted munia</t>
  </si>
  <si>
    <t>white-bellied munia</t>
  </si>
  <si>
    <t>chestnut munia</t>
  </si>
  <si>
    <t>pin-tailed parrotfinch</t>
  </si>
  <si>
    <t>tawny-breasted parrotfinch</t>
  </si>
  <si>
    <t>eastern yellow wagtail</t>
  </si>
  <si>
    <t>citrine wagtail</t>
  </si>
  <si>
    <t>grey wagtail</t>
  </si>
  <si>
    <t>white wagtail</t>
  </si>
  <si>
    <t>paddyfield pipit</t>
  </si>
  <si>
    <t>olive-backed pipit</t>
  </si>
  <si>
    <t>pechora pipit</t>
  </si>
  <si>
    <t>buff-bellied pipit</t>
  </si>
  <si>
    <t>hawfinch</t>
  </si>
  <si>
    <t>chinese grosbeak</t>
  </si>
  <si>
    <t>japanese grosbeak</t>
  </si>
  <si>
    <t>white-cheeked bullfinch</t>
  </si>
  <si>
    <t>red crossbill</t>
  </si>
  <si>
    <t>yellow-breasted bunting</t>
  </si>
  <si>
    <t>black-faced bunting</t>
  </si>
  <si>
    <t>Status Allen</t>
  </si>
  <si>
    <t>V</t>
  </si>
  <si>
    <t>I (EX?)</t>
  </si>
  <si>
    <t>R+I</t>
  </si>
  <si>
    <t>H</t>
  </si>
  <si>
    <t>Brinkman, J.J., van der Ven, W., Allen, D., Hutchinson, R., Jensen, A.E., Perez, C. (2021): Checklist of birds of the Philippines. Wild Bird Club of the Philippines. www.birdwatch.ph</t>
  </si>
  <si>
    <t>White-eared Brown-dove
Buff-eared Brown-dove
Short-billed Brown-dove</t>
  </si>
  <si>
    <t>Amethyst Brown-dove
Grey-breasted Brown-dove
Cebu Brown-dove</t>
  </si>
  <si>
    <t>Bar-bellied Cuckooshrike
Visayan Cuckooshrike</t>
  </si>
  <si>
    <t>Purple-throated Sunbird
Orange-lined Sunbird</t>
  </si>
  <si>
    <t>Phapitreron leucotis
Phapitreron nigrorum
Phapitreron brevirostris</t>
  </si>
  <si>
    <t>Phapitreron amethystinus
Phapitreron maculipectus
Phapitreron frontalis</t>
  </si>
  <si>
    <t>Buceros hydrocorax
Buceros mindanensis</t>
  </si>
  <si>
    <t>Ceyx melanurus
Ceyx mindanensis</t>
  </si>
  <si>
    <t>Ceyx cyanopectus
Ceyx nigrirostris</t>
  </si>
  <si>
    <t>Coracina striata
Coracina panayensis</t>
  </si>
  <si>
    <t>Lalage melanoleuca
Lalage minor</t>
  </si>
  <si>
    <t>Terpsiphone unirufa
Terpsiphone cinnamomea</t>
  </si>
  <si>
    <t>Leptocoma sperata
Leptocoma juliae</t>
  </si>
  <si>
    <t>Common resident (N Philippines: Luzon, Polillo, Alabat, Catanduanes, Lubang, Verde, Mindoro and Marinduque).</t>
  </si>
  <si>
    <t>Uncommon resident (Greater Luzon, Greater Mindanao, E Visayas).</t>
  </si>
  <si>
    <t>Allen D. (2020), Birds of the Philippines. Lynx and Birdlife International Field Guides.Lynx Edicions, Barcelona</t>
  </si>
  <si>
    <t>Brinkman, J.J., Allen, D., Hutchinson, R., Jensen, A.E., Perez, C. (2022): Checklist of birds of the Philippines. Wild Bird Club of the Philippines. www.birdwatch.ph</t>
  </si>
  <si>
    <t>https://www.google.com/search?q=Synoicus chinensis&amp;tbm=isch</t>
  </si>
  <si>
    <t>https://www.google.com/search?q=Streptopelia dusumieri&amp;tbm=isch</t>
  </si>
  <si>
    <t>Philippine Collared Dove</t>
  </si>
  <si>
    <t>Taiwan Green Pigeon</t>
  </si>
  <si>
    <t>https://www.google.com/search?q=Hydrocoloeus minutus&amp;tbm=isch</t>
  </si>
  <si>
    <t>Little Gull</t>
  </si>
  <si>
    <t>Hydrocoloeus minutus</t>
  </si>
  <si>
    <t>Common Gull</t>
  </si>
  <si>
    <t>https://www.google.com/search?q=Hydrobates monorhis&amp;tbm=isch</t>
  </si>
  <si>
    <t>https://www.google.com/search?q=Hydrobates leucorhous&amp;tbm=isch</t>
  </si>
  <si>
    <t>https://www.google.com/search?q=Halcyon gularis&amp;tbm=isch</t>
  </si>
  <si>
    <t>melanurus: Local and uncommon resident (Greater Luzon, Samar, Leyte).
platenae: Local and uncommon resident (Mindanao, Basilan).</t>
  </si>
  <si>
    <t>https://www.google.com/search?q=Merops americanus&amp;tbm=isch</t>
  </si>
  <si>
    <t>https://www.google.com/search?q=Mulleripicus fuliginosus&amp;tbm=isch</t>
  </si>
  <si>
    <t>https://www.google.com/search?q=Tanygnathus everetti&amp;tbm=isch</t>
  </si>
  <si>
    <t>Tanygnathus everetti</t>
  </si>
  <si>
    <t>https://www.google.com/search?q=Saudareos johnstoniae&amp;tbm=isch</t>
  </si>
  <si>
    <t>Saudareos johnstoniae</t>
  </si>
  <si>
    <t>https://www.google.com/search?q=Corvus samarensis&amp;tbm=isch</t>
  </si>
  <si>
    <t>Small Crow</t>
  </si>
  <si>
    <t>Corvus samarensis</t>
  </si>
  <si>
    <t>sierramadrensis: Rare and local resident (Luzon).
samarensis: Rare and local resident (Samar, Mindanao).</t>
  </si>
  <si>
    <t>https://www.google.com/search?q=Corvus pusillus&amp;tbm=isch</t>
  </si>
  <si>
    <t>Corvus pusillus</t>
  </si>
  <si>
    <t>Yellowish Bulbul
Sulu Bulbul</t>
  </si>
  <si>
    <t>everetti: Locally common resident (E Visayas, N &amp; E Greater Mindanao).
haynaldi: Fairly common resident (Sulu archipelago).</t>
  </si>
  <si>
    <t>https://www.google.com/search?q=Hypsipetes catarmanensis&amp;tbm=isch</t>
  </si>
  <si>
    <t>https://www.google.com/search?q=Sterrhoptilus affinis&amp;tbm=isch</t>
  </si>
  <si>
    <t>Calabarzon Babbler</t>
  </si>
  <si>
    <t>Sterrhoptilus affinis</t>
  </si>
  <si>
    <t>Visayan Babbler</t>
  </si>
  <si>
    <t>https://www.google.com/search?q=Irena tweeddalii&amp;tbm=isch</t>
  </si>
  <si>
    <t>https://www.google.com/search?q=Goodfellowia miranda&amp;tbm=isch</t>
  </si>
  <si>
    <t>Uncommon resident (Samar, Biliran, Leyte, Mindanao).</t>
  </si>
  <si>
    <t>https://www.google.com/search?q=Rhabdornis rabori&amp;tbm=isch</t>
  </si>
  <si>
    <t>https://www.google.com/search?q=Copsychus superciliaris&amp;tbm=isch</t>
  </si>
  <si>
    <t>Copsychus superciliaris</t>
  </si>
  <si>
    <t>https://www.google.com/search?q=Muscicapa striata&amp;tbm=isch</t>
  </si>
  <si>
    <t>Spotted Flycatcher</t>
  </si>
  <si>
    <t>Muscicapa striata</t>
  </si>
  <si>
    <t>https://www.google.com/search?q=Cyornis ocularis&amp;tbm=isch</t>
  </si>
  <si>
    <t>Sulu Jungle Flycatcher</t>
  </si>
  <si>
    <t>Cyornis ocularis</t>
  </si>
  <si>
    <t>Philippine Jungle Flycatcher</t>
  </si>
  <si>
    <t>Rufous-tailed Jungle-flycatcher</t>
  </si>
  <si>
    <t>Amur Stonechat</t>
  </si>
  <si>
    <t>https://www.google.com/search?q=Dicaeum kampalili&amp;tbm=isch</t>
  </si>
  <si>
    <t>https://www.google.com/search?q=Padda oryzivora&amp;tbm=isch</t>
  </si>
  <si>
    <t>Padda oryzivora</t>
  </si>
  <si>
    <t>https://www.google.com/search?q=Chrysocorythus mindanensis&amp;tbm=isch</t>
  </si>
  <si>
    <t>Longspurs, Snow Buntings</t>
  </si>
  <si>
    <t>Calcariidae</t>
  </si>
  <si>
    <t>https://www.google.com/search?q=Calcarius lapponicus&amp;tbm=isch</t>
  </si>
  <si>
    <t>Lapland Longspur</t>
  </si>
  <si>
    <t>Calcarius lapponicus</t>
  </si>
  <si>
    <t>OR, AU : Sulawesi region, n, c Moluccas, New Guinea, n Cape York Pen., ne QLD (ne Australia), Umboi (w of New Britain) and New Britain (se Bismarck Arch.)</t>
  </si>
  <si>
    <t>OR, AU : Sumatra and Philippines to Australia, New Guinea, New Britain (se Bismarck Arch.) and Fiji (sw Polynesia)</t>
  </si>
  <si>
    <t>NA, PAL : widespread</t>
  </si>
  <si>
    <t>PAL : c Asia</t>
  </si>
  <si>
    <t>PAL : n</t>
  </si>
  <si>
    <t>NA, MA, PAL : widespread</t>
  </si>
  <si>
    <t>PAL, NA : n</t>
  </si>
  <si>
    <t>PAL, AF : w Europe to ne China</t>
  </si>
  <si>
    <t>PAL : s Europe to c Asia, nw Africa and Ethiopia</t>
  </si>
  <si>
    <t>PAL : se Siberia, Korean Pen., Japan and e China</t>
  </si>
  <si>
    <t>PAL : e Siberia</t>
  </si>
  <si>
    <t>PAL : w Europe to Japan</t>
  </si>
  <si>
    <t>w, c Africa and Asia to New Guinea</t>
  </si>
  <si>
    <t>PAL : Mongolia, e Siberia and ne China</t>
  </si>
  <si>
    <t>PAL : n Eurasia</t>
  </si>
  <si>
    <t>OR : Philippines (except Sulu Arch.)</t>
  </si>
  <si>
    <t>PAL, NA : n, c Europe, Asia and Aleutian Is.</t>
  </si>
  <si>
    <t>PAL : w Europe to c Asia and n China</t>
  </si>
  <si>
    <t>PAL : se Siberia and n China</t>
  </si>
  <si>
    <t>PAL : w Europe and nw Africa to c Asia</t>
  </si>
  <si>
    <t>PAL : widespread</t>
  </si>
  <si>
    <t>NA, PAL : subarctic Iceland and Scandinavia to Kamchatka and the Commander Is. (se Russia); Alaska to n Quebec</t>
  </si>
  <si>
    <t>to coasts of nw, ec Europe (e North Atlantic); Black and Caspian seas; Japan and Korean Pen. to e China and Taiwan (w North Pacific); c California (e North Pacific), Great Lakes, North Carolina (w North Atlantic)</t>
  </si>
  <si>
    <t>PAL : e Siberia, Korean Pen. and ne China</t>
  </si>
  <si>
    <t>OR, AU : Philippines, Borneo and Sulawesi</t>
  </si>
  <si>
    <t>OR : Palawan (sw Philippines)</t>
  </si>
  <si>
    <t>King Quail is moved from Coturnix to Excalfactoria (Crowe et al. 2006; Christidis &amp; Boles 2008). King Quail is moved from Excalfactoria to Synoicus based on phylogenetic analysis (Seabrook-Davison et al. 2009; Kimball et al. 2021). Note change of gender to masculine.</t>
  </si>
  <si>
    <t>PAL : Mongolia and e Siberia, Japan and Korean Pen.</t>
  </si>
  <si>
    <t>OR, AU : widespread; also Sulawesi</t>
  </si>
  <si>
    <t>Indian subcontinent, se Asia s to Greater Sundas</t>
  </si>
  <si>
    <t>OR, AU : e India to n Australia, New Guinea region and Bismarck Arch.</t>
  </si>
  <si>
    <t>OR : Philippines (except Palawan group)</t>
  </si>
  <si>
    <t>OR : Philippines (except Palawan group and Mindoro)</t>
  </si>
  <si>
    <t>OR : Palawan group (w Philippines) and Banggi (n of ne Borneo)</t>
  </si>
  <si>
    <t>OR, AU : Malay Pen. to Sulawesi region and w Lesser Sundas</t>
  </si>
  <si>
    <t>OR : montane Luzon, Negros (subspecies unknown), and Mindanao (Philippines)</t>
  </si>
  <si>
    <t>OR : Philippines and Balambangan (n of ne Borneo)</t>
  </si>
  <si>
    <t>OR : se Asia, Borneo and wc, sw Philippines</t>
  </si>
  <si>
    <t>OR : Visayas to Sulu Arch. (c, s Philippines)</t>
  </si>
  <si>
    <t>PAL : Himalayas from Pakistan to s China and c Siberia to ne Russia and Japan</t>
  </si>
  <si>
    <t>OR, AU : Philippines (except Palawan group and Sulu Arch.), Sulawesi, Banggai and Sula is. (e of Sulawesi)</t>
  </si>
  <si>
    <t>PAL : c Siberia and Mongolia through Kamchatka (se Russia) and Japan</t>
  </si>
  <si>
    <t>OR : Luzon group (Philippines)</t>
  </si>
  <si>
    <t>OR : East Visayas and Mindanao group (ec. s Philippines)</t>
  </si>
  <si>
    <t>OR : Pakistan to se China, sw Philippines and Greater Sundas</t>
  </si>
  <si>
    <t>OR : Philippines (except Palawan group and s Sulu Arch.)</t>
  </si>
  <si>
    <t>OR : Malay Pen., Greater Sundas and sw Philippines</t>
  </si>
  <si>
    <t>OR : Luzon group (n Philippines)</t>
  </si>
  <si>
    <t>OR : Himalayas to e China and se Asia</t>
  </si>
  <si>
    <t>s India and Sri Lanka to w, c Indonesian Arch. and Philippines</t>
  </si>
  <si>
    <t>AU : Wallacea, n, e Australia and e Bismarck Arch.</t>
  </si>
  <si>
    <t>OR : ne India and se Asia to Philippines</t>
  </si>
  <si>
    <t>OR, AU : se Asia to Philippines, Lesser Sundas and n, e Australia</t>
  </si>
  <si>
    <t>OR : India and Sri Lanka to s China, se Asia, Greater Sundas and Palawan (sw Philippines)</t>
  </si>
  <si>
    <t>OR, AU : se Asia to Philippines</t>
  </si>
  <si>
    <t>OR, AU : Malay Pen. to Greater and Lesser Sundas, Sulawesi and sw Philippines</t>
  </si>
  <si>
    <t>OR : nw Himalayas to se China, s to Malay Pen., Greater Sundas and Palawan group (s Philippines)</t>
  </si>
  <si>
    <t>OR : widespread w Himalayas through e China and se Asia</t>
  </si>
  <si>
    <t>s India through w, c Indonesian Arch. and Philippines</t>
  </si>
  <si>
    <t>OR, PAL : widespread India through se, ne Asia to Greater Sundas</t>
  </si>
  <si>
    <t>OR : Himalayas through se Asia to e China and Taiwan</t>
  </si>
  <si>
    <t>se Asia, Greater Sundas and Philippines</t>
  </si>
  <si>
    <t>PAL : w Russia and Kazakhstan through ne Russia to Japan</t>
  </si>
  <si>
    <t>se Asia, Philippines and Indonesian Arch. to n, e Australia, New Guinea and satellites, Bismarck Arch. and Solomon Is.</t>
  </si>
  <si>
    <t>Worldwide : Worldwide due largely to introductions; native to s Eurasia, n Africa to India</t>
  </si>
  <si>
    <t>OR, AU, PO : Philippines to Samoa (c Polynesia)</t>
  </si>
  <si>
    <t>PAL, OR : c, e Asia through India and se Asia</t>
  </si>
  <si>
    <t>Island Collared-Dove</t>
  </si>
  <si>
    <t>Split Philippine Collared Dove Streptophila dusumieri from S. bitorquata based on vocal and plumage differences (Collar 2011b; Eaton et al. 2016; Allen 2020; HBW/BirdLife).</t>
  </si>
  <si>
    <t>OR : Philippines; Borneo</t>
  </si>
  <si>
    <t>OR, AU : India and Sri Lanka e of se China, Taiwan, Philippines, Indonesian Arch. and Raja Ampat Is. (nw of New Guinea)</t>
  </si>
  <si>
    <t>OR : Malay Pen., Sumatra and Java; widely introduced elsewhere</t>
  </si>
  <si>
    <t>OR, AU : Andaman and Nicobar is. to Philippines, Indonesian Arch., New Guinea satellites, Bismarck Arch., Solomon Is. and Palau (w Caroline Is., w Micronesia)</t>
  </si>
  <si>
    <t>OR : East Visayas, Mindanao group, and Jolo (n Sulu Arch.; ec, s, sw Philippines)</t>
  </si>
  <si>
    <t>OR : Mindoro (nw Philippines)</t>
  </si>
  <si>
    <t>OR : Negros and Panay, West Visayas (wc Philippines)</t>
  </si>
  <si>
    <t>B - Away from Northwest Panay Peninsula; and Twin Lakes and Valencia, Negros</t>
  </si>
  <si>
    <t>OR : Tawitawi (s Sulu Arch., s Philippines)</t>
  </si>
  <si>
    <t>OR : Philippines (except Palawan group and Sulu Arch.)</t>
  </si>
  <si>
    <t>OR : Mindanao and Basilan (s Philippines)</t>
  </si>
  <si>
    <t>OR, AU : se Asia to Philippines, Sulawesi region, w, c Lesser Sundas and n Moluccas</t>
  </si>
  <si>
    <t>Whistling Green-Pigeon</t>
  </si>
  <si>
    <t>OR : Taiwan and far n Philippines</t>
  </si>
  <si>
    <t>Change English name of Treron formosae from Whistling Green Pigeon to Taiwan Green Pigeon with split of Treron permagnus (Brazil 2009; Allen 2020; HBW/BirdLife).</t>
  </si>
  <si>
    <t>OR : montane Luzon (n Philippines)</t>
  </si>
  <si>
    <t>AU : Sulawesi to e Australia, Bismarck Arch. and ec Solomon Is.</t>
  </si>
  <si>
    <t>OR, AU : Java region, w, c Lesser Sundas, Sulawesi region and s Philippines</t>
  </si>
  <si>
    <t>OR : Negros (West Visayas, wc Philippines; known from single specimen)</t>
  </si>
  <si>
    <t>OR : montane Mindoro (Philippines)</t>
  </si>
  <si>
    <t>OR : Philippines (except East Visayas, Palawan group and Sulu Arch.)</t>
  </si>
  <si>
    <t>OR : islets off ne Borneo, Talaud Is. (ne of ne Sulawesi), Miangas (far n Indonesia, se of Mindanao) and Sulu Sea islets (far s Philippines)</t>
  </si>
  <si>
    <t>OR : Andaman Is., se Asia, Philippines, Indonesian Arch., Raja Ampat Is. (nw of New Guinea) and coasts of Bird's Head and Neck (nw New Guinea)</t>
  </si>
  <si>
    <t>OR : montane Luzon (Philippines)</t>
  </si>
  <si>
    <t>OR : Calayan (far n Philippines)</t>
  </si>
  <si>
    <t>AU : Philippines, islets off Sabah (Malaysia), Sulawesi and satellites and w New Guinea</t>
  </si>
  <si>
    <t>AU, PO : widespread, also Philippines</t>
  </si>
  <si>
    <t>PAL, AF, IO, OR, PO : widespread</t>
  </si>
  <si>
    <t>PAL, OR, AU : widespread</t>
  </si>
  <si>
    <t>n Africa to se Asia, Philippines</t>
  </si>
  <si>
    <t>OR : Philippines (except most West Visayas and Palawan group)</t>
  </si>
  <si>
    <t>PAL, AF, OR, AU : widespread</t>
  </si>
  <si>
    <t>OR, AU : Luzon and Mindoro (n Philippines), Timor (e Lesser Sundas), Australasian region and Oceania</t>
  </si>
  <si>
    <t>SSP, TAX, PHY</t>
  </si>
  <si>
    <t>OR : s Myanmar to Indonesian Arch. and Philippines (except East Visayas and Mindanao)</t>
  </si>
  <si>
    <t>OR, AU : ne India, s se Asia, Malay Pen., Indonesian Arch. and Philippines, New Guinea and some satellites, n Australia to wc Polynesia</t>
  </si>
  <si>
    <t>OR : Pakistan and Maldives through ne China, Korean Pen., Ryukyu Is. (Japan) through Philippines and Greater Sundas</t>
  </si>
  <si>
    <t>to Sulawesi and Lesser Sundas</t>
  </si>
  <si>
    <t>OR, AU : Pakistan and Maldives through e China, Philippines, Wallacea and Indonesian Arch.</t>
  </si>
  <si>
    <t>PAL : nw Africa, e Turkey, sw Russia to n China</t>
  </si>
  <si>
    <t>PAL, AF, OR : Europe (except n) to c, s, e Asia and Philippines; Africa and Malagasy region</t>
  </si>
  <si>
    <t>PAL, AF, NA, MA : temperate Eurasia to Russian Far East and ne China; e, s Africa; sw Canada and w, wc USA to c Mexico</t>
  </si>
  <si>
    <t>to coasts of n Africa, Arabian Pen., Black and Caspian seas, nw Indian subcontinent, se China, Korean Pen. and Japan; s Mexico and ec US</t>
  </si>
  <si>
    <t>PAL, AF, OR : widespread</t>
  </si>
  <si>
    <t>OR : Luzon (Philippines)</t>
  </si>
  <si>
    <t>OR, AU : coasts and islets of tropical e Indian and w Pacific oceans: Andaman Is., Malay Pen. and sw, s Philippines, Indonesian Arch., New Guinea and satellites, nc WA to se NSW (nw, n, e Australia), Bismarck Arch. (including Admiralty Is.), n to se Solomon Is. (except Rennell)</t>
  </si>
  <si>
    <t>C - Away from Danjugan and Santa Cruz Islands, Palawan, South Ubian (Tawi Tawi) and Apo Reef</t>
  </si>
  <si>
    <t>PAL : nw, sw, c Palearctic; far ne Palearctic</t>
  </si>
  <si>
    <t>to Greater Sundas and Philippines</t>
  </si>
  <si>
    <t>OR, AU : local c, s Philippines, Indonesian Arch., New Guinea region, Australia, New Zealand, ne New Britain (se Bismarck Arch.)</t>
  </si>
  <si>
    <t>throughout Philippines</t>
  </si>
  <si>
    <t>AF, PAL : inland and coastal s British Is., Iberian Pen., far s Scandinavia (nw to sw Europe) and sw Russia to Transbaikalia (ne Russia) and ne China s through n Middle East, c Asia to ec Afghanistan, Sind and Kutch (coastal Pakistan and nw India); e and s Africa</t>
  </si>
  <si>
    <t>to coastal n Africa, inland w Africa, Indian Pen., Sri Lanka, c Myanmar, c Thailand, and e China</t>
  </si>
  <si>
    <t>PAL : widespread inland temperate and subarctic Eurasia: British Is., Scandinavia and Baltic states to Iberian Pen. e through s, c Russia to se Russia and ne China, s through Turkey and Caspian region, Kazakhstan and Kyrgyzstan, Mongolia, and Xinjiang and Inner Mongolia (nw, nc China)</t>
  </si>
  <si>
    <t>to n Africa, Arabian Pen., sub-Himalayan n Pakistan and n India, c, s Japan, Korean Pen., e China, Taiwan and n Vietnam</t>
  </si>
  <si>
    <t>PAL : inland Heilongjiang and Inner Mongolia (nc, ne China), Honshu to Kyushu (c, s Japan)</t>
  </si>
  <si>
    <t>to ne, s India, through se Asia to Malay Pen., n, s Vietnam and se China</t>
  </si>
  <si>
    <t>PAL : Arctic mainland Russia and subarctic e Russia and w Alaska: Yamal Pen. (nc Siberia) to Chukotskiy Pen., n Kamchatka and n Sea of Okhotsk (e Siberia), and Wrangel I. (n of ne Siberia); Chukchi and Bering Sea coasts of w Alaska and satellites, including St. Lawrence I. (n Bering Sea)</t>
  </si>
  <si>
    <t>coastal Horn of Africa, Indian subcontinent, se Asia, Indonesian Arch., Taiwan, Philippines, New Guinea region, Australia, New Zealand region, Melanesia, Micronesia to e Polynesia; widely vagrant elsewhere</t>
  </si>
  <si>
    <t>NA, PAL : high (locally low) Arctic coasts and is. (except Ellesmere I., Greenland, Scandinavia and is. from Svalbard to Severnaya Zemlya)</t>
  </si>
  <si>
    <t>Worldwide, temperate to tropical coasts (except remote is.)</t>
  </si>
  <si>
    <t>PAL : inland high Arctic Palearctic from Greenland to ne Siberia; to temperate Europe</t>
  </si>
  <si>
    <t>PAL, OR : widespread inland subarctic to tropical zones: Eurasia, Indian subcontinent, se Asia, Philippines, New Guinea and Bismarck Arch.</t>
  </si>
  <si>
    <t>PAL, AF, OR : widespread, coastal and inland s Palearctic to ne, s Asia</t>
  </si>
  <si>
    <t>to Sahel of wc to ec Africa through e China, Indonesian Arch. and Philippines</t>
  </si>
  <si>
    <t>OR : coastal Malay Pen. to Philippines (local), Greater and Lesser Sundas and Sulawesi region</t>
  </si>
  <si>
    <t>PAL : inland w to ec Asia: Turkey to e Mongolia</t>
  </si>
  <si>
    <t>PAL : temperate inland e Asia: s Tuva and s Transbaikalia (n of Mongolia, sc Siberia), Mongolia (except far w, s) and w Inner Mongolia (nc China)</t>
  </si>
  <si>
    <t>inland and coastal Indonesian Arch. from Java to Lesser Sundas, s New Guinea and nw to nc Australia</t>
  </si>
  <si>
    <t>AF, OR : widespread inland Africa and tropical to subtropical (locally temperate) Asia: Africa and Madagascar; Indus Valley (c Pakistan) to s China, c Japan, Philippines and e Lesser Sundas</t>
  </si>
  <si>
    <t>AU : inland se Borneo, Sulawesi, Lesser Sundas and Mindanao (s Philippines) to New Guinea and some satellites, and ne WA to sc NSW (n, e Australia)</t>
  </si>
  <si>
    <t>OR : widespread inland Pakistan to Luzon, Mindanao (n, s Philippines), Java and Bali</t>
  </si>
  <si>
    <t>OR : s through w Indonesia</t>
  </si>
  <si>
    <t>PAL : c, w</t>
  </si>
  <si>
    <t>NA, PAL : n</t>
  </si>
  <si>
    <t>OR : Calayan, Babuyan Claro, and montane Luzon and Mindanao (n, s Philippines)</t>
  </si>
  <si>
    <t>PO, AO : tropical and subtropical Pacific and Atlantic oceans, very locally ne Indian and Caribbean Sea</t>
  </si>
  <si>
    <t>TrO : widespread on tropical and subtropical is. (except Caribbean, n, e Indian Ocean)</t>
  </si>
  <si>
    <t>tropical seas</t>
  </si>
  <si>
    <t>PAL : coastal far s Greenland, inland Iceland, temperate and subarctic w Europe across Russia to Yakutsk region, Kamchatka, Sakhalin (e Russia); in south through Caspian Sea, n Central Asia, n, c Mongolia and ne China; also wc Newfoundland (se Canada)</t>
  </si>
  <si>
    <t>AF, IO, OR : to coasts and offshore waters of n Atlantic Canada, se Greenland, North Sea and w Atlantic to Mediterranean and marginal seas; to Canary Is. and wc Africa; Arabian Sea and associated gulfs, n Indian Ocean; w North Pacific coasts from Japan to se China and Philippines; also inland in parts of Africa, Indian Subcontinent and se Asia</t>
  </si>
  <si>
    <t>PAL : coastal Liaoning to Jiangsu (Yellow Sea, e China) and Songdo (nw South Korea)</t>
  </si>
  <si>
    <t>coasts of East China Sea from Japan and Korean Pen. to Taiwan and n South China Sea to n Vietnam</t>
  </si>
  <si>
    <t>PAL : Baltic region of e, n Europe to w Siberia and n Kazakhstan, nw, nc Mongolia (rare); Siberia e of Lake Baikal to Sea of Okhotsk and ne China; rare Great Lakes, Hudson and James bays (ec Canada)</t>
  </si>
  <si>
    <t>e North Atlantic coasts, North, Mediterranean, Baltic, Black, and Caspian seas; w North Atlantic coast from New England to North Carolina</t>
  </si>
  <si>
    <t>N Eurasia and ne North America</t>
  </si>
  <si>
    <t>NA : prairie marshes of w, n Alberta and ec Oregon to sw Manitoba (wc, ec Canada) and nw Minnesota</t>
  </si>
  <si>
    <t>PAL : coasts and islets of e Siberia, Sakhalin and Kuril Is. (se Russia), Hokkaido and Honshu (n, c Japan), Korean Pen., e China and Matsu Is. (=Lienchiang County; w of Taiwan)</t>
  </si>
  <si>
    <t>Japan, Korean Pen., East China Sea s to Philippines</t>
  </si>
  <si>
    <t>NA, PAL : Iceland and nw, c Europe to Kamchatka (e Siberia)</t>
  </si>
  <si>
    <t>Europe to n Africa, Mediterranean, Black and Caspian seas, Persian Gulf; Sea of Okhotsk (se Russia), Japan, Korean Pen. to se China</t>
  </si>
  <si>
    <t>Change English name of Larus canus from Mew Gull to Common Gull with the split of Short-billed Gull L. brachyrhynchus (NACC 2021-A-3; Chesser et al. 2021).</t>
  </si>
  <si>
    <t>PAL : inland sc Russia, Mongolia, Heilongjiang (ne China) and w Korean Pen.; coastal Arctic c, e Siberia to n Bering Sea</t>
  </si>
  <si>
    <t>Japan, Korean Pen., e China and Taiwan</t>
  </si>
  <si>
    <t>PAL : coasts and lakes of ne Siberia s of Anadyr, Kamchatka, Sea of Okhotsk, Sakhalin, Kuril Is. (e Russia), ne China, and Hokkaido and n Honshu (n Japan)</t>
  </si>
  <si>
    <t>to coasts of Japan and Korean Pen., Bohai Sea (ne China) and Taiwan; prone to extreme vagrancy elsewhere</t>
  </si>
  <si>
    <t>PAL : Greenland, Iceland, w Europe to nc Siberia</t>
  </si>
  <si>
    <t>to sw Europe, wc, ec Africa, nw India, and e North America</t>
  </si>
  <si>
    <t>to subtropical and tropical coasts, rivers and lakes worldwide (except remote is.)</t>
  </si>
  <si>
    <t>coastal Africa, Red Sea, Persian Gulf, India, Thailand, Malay Pen. and Vietnam; e Pacific and Caribbean to Panama</t>
  </si>
  <si>
    <t>Philippines, Borneo, Halmahera (n Moluccas) and Seram (ec Moluccas; few records anywhere)</t>
  </si>
  <si>
    <t>PAL, NA : North Pacific coasts from Sakhalin, Sea of Okhotsk and Kamchatka through Aleutian Is., and w to sw Alaska</t>
  </si>
  <si>
    <t>to coastal Thailand, Philippines, n New Guinea, Indonesia, s Malaysia and Singapore, and n NSW (ec Australia); migrates along w North Pacific coast via Japan, Korean Pen., e China, and Taiwan</t>
  </si>
  <si>
    <t>TrO : widespread tropical and subtropical is., mostly near continents (except e Polynesia and Hawaiian Is. and other remote is.)</t>
  </si>
  <si>
    <t>TrO : widespread in all tropical and subtropical oceans</t>
  </si>
  <si>
    <t>Worldwide : patchily temperate to tropical Atlantic, tropical Indian, and subtropical to tropical w Pacific to Vanuatu</t>
  </si>
  <si>
    <t>PAL, NA : widespread, subarctic, temperate, and locally tropical Northern Hemisphere</t>
  </si>
  <si>
    <t>widespread coasts to s South America, s Africa, w Madagascar, and s Australia</t>
  </si>
  <si>
    <t>AF, PAL, OR, AU : widespread inland s, c Eurasia, e, s Africa, and Australia</t>
  </si>
  <si>
    <t>inland Africa, Asia and Australia</t>
  </si>
  <si>
    <t>PAL : inland sc, e Europe and Iraq to se Russia, ne China and nc Siberia</t>
  </si>
  <si>
    <t>to coastal and inland Africa n and s of Sahara; se Asia and e China, Philippines, Indonesian Arch., and coastal New Guinea and Australia</t>
  </si>
  <si>
    <t>to temperate to tropical coasts and offshore waters worldwide</t>
  </si>
  <si>
    <t>to high-productivity subtropical to tropical coastal waters of s continents: coastal w, s, ec Africa, Persian Gulf, e coast Arabian Sea (w India and Sri Lanka), n Indian Ocean, Australia and New Zealand, Peru, Chile and ec Argentina</t>
  </si>
  <si>
    <t>highly pelagic and southerly: to offshore subantarctic and subtropical waters off w, sw, se Africa, s Madagascar, s Australia, Peru, Chile and ec Argentina</t>
  </si>
  <si>
    <t>pelagic; to waters off se Africa, sw, e Indonesia, s Japan, Taiwan, e Australia</t>
  </si>
  <si>
    <t>TrO : widespread all tropical oceans (except e Pacific and ne Atlantic)</t>
  </si>
  <si>
    <t>pelagic; to waters off e Africa, w, s Sri Lanka (w, n Indian Ocean), Indonesian Arch. and New Guinea waters, ec Australia (sw South Pacific) and Gulf Stream n to North Carolina (w North Atlantic)</t>
  </si>
  <si>
    <t>PO : Torishima (s Izu) and Muko-jima (Ogasawara=Bonin Is.; s of Japan), Northwestern Hawaiian Is. (most of population) and Guadelupe and Revillagigedo is. (w of n, c Mexico)</t>
  </si>
  <si>
    <t>North Pacific from Bering Sea to Tropic of Cancer</t>
  </si>
  <si>
    <t>IO, PO : Verkhovsky and Karamzhin is. and satellite islets (sw of Vladivostok, Russia), off Honshu, Shikoku and Kyushu (c Japan), Korean Pen., off Shandong and Guangdong (e China) and Taiwan; possibly also Macaronesia (off nw Africa)</t>
  </si>
  <si>
    <t>through seas of e Indonesian Arch., Ashmore Reef (nw of Australia) to w, s India and Sri Lanka, Arabian Sea, and off ne African coast, mostly n of Equator</t>
  </si>
  <si>
    <t>Move from Oceanodroma to Hydrobates (NACC 2019-B-7; SACC 190).</t>
  </si>
  <si>
    <t>PO, AO : ne Atlantic from s Iceland, Faroe Is., c Norway, Ireland and Scotland; nw Atlantic from s Labrador to Massachusetts; nw Pacific from ne Russia and ne Japan to Alaska and n, c Baja California (nw Mexico); also off sw Africa</t>
  </si>
  <si>
    <t>to tropical Pacific Ocean mainly n of Tropic of Capricorn, and tropical Atlantic, reaching s Africa in temperate se Atlantic Ocean</t>
  </si>
  <si>
    <t>Move from Oceanodroma to Hydrobates (NACC 2019-B-7; SACC 190). Note change of gender to masculine.</t>
  </si>
  <si>
    <t>to e Australia, nw and ec Pacific to Hawaii and Peru</t>
  </si>
  <si>
    <t>PO : montane Kaua'i, Moloka'i (formerly), Lana'i, Maui and Hawaii (main Hawaiian Is.)</t>
  </si>
  <si>
    <t>to Gulf of Alaska and offshore waters of e North Pacific from Oregon to California</t>
  </si>
  <si>
    <t>PO : Ogasawara Is. (=Bonin) and Iwo Is. (=Volcano; se of Japan) and Kure Atoll to French Frigate Shoals (Northwestern Hawaiian Is.)</t>
  </si>
  <si>
    <t>to Honshu (c Japan), Sakhalin and Kuril Is. (se Russia)</t>
  </si>
  <si>
    <t>PO : Grande Terre (New Caledonia), Gau (Fiji; sw Polynesia), American Samoa (c Polynesia), Society, Marquesas and Gambier is. (se Tuamotu Is.; e Polynesia)</t>
  </si>
  <si>
    <t>to tropical Pacific Ocean waters off New Guinea and n Australia, and ec Pacific coast of Mexico and Central America</t>
  </si>
  <si>
    <t>w Pacific to Philippines, Indonesia, New Guinea, n Australia, Melanesia and Micronesia</t>
  </si>
  <si>
    <t>to Arabian Sea coasts of nw Africa and e Malagasy region, s India and Bay of Bengal in tropical Indian Ocean; through seas of s and e Indonesian Arch.; in Pacific, to Tasmania and waters n of North I. (New Zealand) and to coastal waters of e North Pacific from s Baja California (nw Mexico) to s Panama</t>
  </si>
  <si>
    <t>PO : islets off s, se Australia, Bass Strait and Tasmania (se Australia)</t>
  </si>
  <si>
    <t>to Antarctic ice edge waters then to Sea of Okhotsk, Bering Sea (North Pacific Ocean)</t>
  </si>
  <si>
    <t>to w and s in Atlantic, reaching w Africa; widely in tropical Indian Ocean s to Mascarenes and through Indonesian Arch. to New Guinea and n Australia, to s and ec tropical Pacific</t>
  </si>
  <si>
    <t>AF, PAL : Namibia and Malawi to South Africa, c Europe to n China</t>
  </si>
  <si>
    <t>AF, OR, AU : widespread</t>
  </si>
  <si>
    <t>PAL : se Siberia, ne China, Korea, Japan</t>
  </si>
  <si>
    <t>IO : Christmas I. (s of w Java)</t>
  </si>
  <si>
    <t>Andaman Sea and Gulf of Thailand across Sunda Shelf to South China Sea and Sulu Sea (sw Philippines)</t>
  </si>
  <si>
    <t>pelagic, ranging throughout tropical Indian and tropical and subtropical Pacific oceans</t>
  </si>
  <si>
    <t>TrO : widespread, tropical Indian and Pacific ocean is., also nw South Atlantic</t>
  </si>
  <si>
    <t>to waters off se Africa, sw India and Sri Lanka, throughout Indonesian Arch. and Philippines to Taiwan, New Guinea waters, n Australia and Melanesia</t>
  </si>
  <si>
    <t>TrO : widespread tropical and subtropical ocean is.</t>
  </si>
  <si>
    <t>pelagic</t>
  </si>
  <si>
    <t>inshore</t>
  </si>
  <si>
    <t>OR, AU : Indus Valley (c Pakistan) s to Sri Lanka and e to Vietnam, s to Greater Sundas, Sulawesi and Philippines (now only Mindanao and Jolo, Sulu Arch., s Philippines)</t>
  </si>
  <si>
    <t>OR : India, se Asia, se Sumatra and n Java (where now rare)</t>
  </si>
  <si>
    <t>AF, PAL, OR : widespread</t>
  </si>
  <si>
    <t>PAL : ne Russia, Korean Pen. and ne China</t>
  </si>
  <si>
    <t>mainly n Vietnam, s China and Taiwan</t>
  </si>
  <si>
    <t>To s India, Andaman and Nicobar is. and Bismarck Arch.</t>
  </si>
  <si>
    <t>Malay Pen. to Greater Sundas, Sulawesi and Philippines</t>
  </si>
  <si>
    <t>OR, PAL : Pakistan and Maldives through se, e Asia to e China, Ryukyu Is. (s Japan), s to Philippines and w, c, Indonesian Arch.</t>
  </si>
  <si>
    <t>PAL : Honshu, Shikoku, Kyushu (c, s Japan), Jeju (off s Korean Pen.) and Taiwan</t>
  </si>
  <si>
    <t>Ryukyu Is. (s Japan) to Philippines</t>
  </si>
  <si>
    <t>OR : W Ghats (sw India), ne India through se Asia and se China to Philippines, Peleng (Banggai Is., e of Sulawesi)</t>
  </si>
  <si>
    <t>to Sri Lanka, Greater Sundas</t>
  </si>
  <si>
    <t>SA, PAL, AF, AU : widespread</t>
  </si>
  <si>
    <t>OR : Assam (ne India) and n Myanmar through Russian Far East, Japan and s China</t>
  </si>
  <si>
    <t>Andaman Is. e to Ryukyu Is. (s Japan) s to Greater Sundas</t>
  </si>
  <si>
    <t>OR : Thailand through Philippines, Sulawesi region and Lesser Sundas</t>
  </si>
  <si>
    <t>OR, AU : se Asia and w Philippines to n Australia and New Guinea</t>
  </si>
  <si>
    <t>PAL, OR, AF : widespread</t>
  </si>
  <si>
    <t>NA, SA, AF, PAL, OR, AU : worldwide</t>
  </si>
  <si>
    <t>OR, AU : coastal s Bangladesh and Andaman Is. to Ryukyu Is. (s Japan), Australasia (except s outlying is.), Melanesia to Tuamotu Arch. (e Polynesia)</t>
  </si>
  <si>
    <t>PAL : coastal Russian Far East and Korean Pen. to e China</t>
  </si>
  <si>
    <t>se OR : s to coastal Vietnam through Philippines and w, c Indonesia</t>
  </si>
  <si>
    <t>OR : inland se India, Sri Lanka, Cambodia and (?) Sumatra; extinct Philippines</t>
  </si>
  <si>
    <t>PAL : inland se Europe to Kazakhstan and w Mongolia, s to Turkey and Xinjiang (w China)</t>
  </si>
  <si>
    <t>inland to e Mediterranean Sea, n Persian Gulf region, sub-Himalayan India and se China</t>
  </si>
  <si>
    <t>AU : inland Australia and Tasmania</t>
  </si>
  <si>
    <t>to New Guinea region, Java and Sulawesi</t>
  </si>
  <si>
    <t>PAL, OR : e PAL and widespread OR</t>
  </si>
  <si>
    <t>PAL : s Europe to c Asia, Pakistan and nw India</t>
  </si>
  <si>
    <t>OR : Luzon, East Visayas and Mindanao (n, ec, s Philippines)</t>
  </si>
  <si>
    <t>OR : Luzon and Mindoro (n Philippines)</t>
  </si>
  <si>
    <t>OR : most Visayas, Mindanao, and Basilan (c, s Philippines)</t>
  </si>
  <si>
    <t>OR, AU : s, se Asia, also Sulawesi</t>
  </si>
  <si>
    <t>AF, OR : widespread, also s PAL</t>
  </si>
  <si>
    <t>PAL : e Siberia, Korean Pen. and China</t>
  </si>
  <si>
    <t>e OR : s China and Taiwan through Philippines and Indonesian Arch. to Moluccas</t>
  </si>
  <si>
    <t>PAL : c, e</t>
  </si>
  <si>
    <t>PAL : c Siberia to ne China and Japan</t>
  </si>
  <si>
    <t>e OR : se Asia, s China through Philippines, Borneo and Sumatra</t>
  </si>
  <si>
    <t>PAL : se Siberia, Korean Pen. and ne China</t>
  </si>
  <si>
    <t>OR : India to Philippines and Borneo</t>
  </si>
  <si>
    <t>OR, AU : Pakistan to Indonesia, Philippines, New Guinea and satellites, coastal Australia (except s, Tasmania), Bismarck Arch. and Solomon Is.</t>
  </si>
  <si>
    <t>OR, AU : India to e China, Philippines, Indonesia, New Guinea and satellites, Australia (except c), Tasmania and Bismarck Arch.</t>
  </si>
  <si>
    <t>OR : India through se Asia, Philippines, Greater Sundas and Sulawesi</t>
  </si>
  <si>
    <t>PAL : e Siberia, Japan, Korean Pen. and ne China</t>
  </si>
  <si>
    <t>se Asia, Philippines, Indonesian Arch. and Raja Ampat Is. (nw of New Guinea)</t>
  </si>
  <si>
    <t>OR, AU : e India to e China, Philippines, Taiwan, Sulawesi, se New Guinea, n, ne Australia and New Caledonia</t>
  </si>
  <si>
    <t>Tyto longimembris is split from T. capensis (König et al. 1999; BLI), contra Eaton et al. (2021).</t>
  </si>
  <si>
    <t>OR, PAL : n India to s China and Borneo</t>
  </si>
  <si>
    <t>OR : Philippines (except Palawan group) and Talaud Is. (ne of Sulawesi)</t>
  </si>
  <si>
    <t>OR : Camiguin Sur (n of Mindanao, s Philippines)</t>
  </si>
  <si>
    <t>OR : Sulu Arch. (s Philippines)</t>
  </si>
  <si>
    <t>OR : Sibuyan and Tablas (c Philippines)</t>
  </si>
  <si>
    <t>OR : Samar, Dinagat, Siargao and Mindanao (Philippines)</t>
  </si>
  <si>
    <t>OR : montane Mindanao (s Philippines)</t>
  </si>
  <si>
    <t>OR : montane Mindoro (nc Philippines)</t>
  </si>
  <si>
    <t>OR : Ryukyu Is., Daito Is., and Okinoshima, off s Kyushu (s Japan) and Taiwan to far n Philippines</t>
  </si>
  <si>
    <t>OR : Luzon, Catanduanes and Marinduque (n Philippines)</t>
  </si>
  <si>
    <t>OR : Negros and Panay (wc Philippines)</t>
  </si>
  <si>
    <t>OR : Bohol, Leyte, Samar, Mindanao and Basilan (ec and s Philippines)</t>
  </si>
  <si>
    <t>Philippines (Bohol, Samar, Biliran, Leyte, Mindanao and Basilan)</t>
  </si>
  <si>
    <t>OR : Philippines (except West Visayas, Palawan group and Sulu Arch.)</t>
  </si>
  <si>
    <t>OR : se Asia, ec Sumatra, Java and Palawan group (sw Philippines)</t>
  </si>
  <si>
    <t>PAL, OR : widespread</t>
  </si>
  <si>
    <t>OR : Palawan group (sw Philippines)</t>
  </si>
  <si>
    <t>OR : Panay and Negros (wc Philippines)</t>
  </si>
  <si>
    <t>OR : Mindanao group (Philippines)</t>
  </si>
  <si>
    <t>OR : Mindanao group (s Philippines)</t>
  </si>
  <si>
    <t>OR : East Visayas (ec Philippines)</t>
  </si>
  <si>
    <t>OR : West Visayas (wc Philippines)</t>
  </si>
  <si>
    <t>PAL, OR, AU : Himalayas from Nepal to Sri Lanka, ne Asia, Philippines, New Guinea, Australia, Bismarck Arch. and Solomon Is.</t>
  </si>
  <si>
    <t>OR : Luzon group and West Visayas (n, wc Philippines)</t>
  </si>
  <si>
    <t>OR : montane Mindanao (Philippines)</t>
  </si>
  <si>
    <t>OR, AU : widespread, also e Asia</t>
  </si>
  <si>
    <t>to India, se Asia, Greater Sundas and Sulawesi region</t>
  </si>
  <si>
    <t>OR : Philippines (except Luzon group, Mindoro, and Palawan group)</t>
  </si>
  <si>
    <t>OR, AU : Australia, New Caledonia including Loyalty Is., Lord Howe, Norfolk I., New Zealand and e Solomon Is.</t>
  </si>
  <si>
    <t>to Indonesian Arch., New Guinea region, Bismarck Arch. and Solomon Is.</t>
  </si>
  <si>
    <t>PAL, OR, AU : widespread, also n AF, e New Guinea, Bismarck Arch. and Solomon Is.</t>
  </si>
  <si>
    <t>OR : West Visayas, Camaguin Sur, s Mindanao and Sulu Arch. (wc, s, sw Philippines)</t>
  </si>
  <si>
    <t>OR : Luzon group, Mindoro and West Visayas (Philippines)</t>
  </si>
  <si>
    <t>OR, AU : India and Sri Lanka to s China, se Asia, Philippines, Sulawesi, Lombok to Timor (Lesser Sundas), coastal ne, s, se New Guinea and New Britain group (se Bismarck Arch.)</t>
  </si>
  <si>
    <t>OR : Palawan, Balabac, and Calamian Is. (sw Philippines)</t>
  </si>
  <si>
    <t>OR : East Visayas, Mindanao group (ec, s Philippines)</t>
  </si>
  <si>
    <t>Change English name of Mulleripicus funebris from Sooty Woodpecker to Northern Sooty Woodpecker with split of M. fuliginosus.</t>
  </si>
  <si>
    <t>OR : Samar, Leyte and Mindanao (ec, s Philippines)</t>
  </si>
  <si>
    <t>Philippines (Samar, Leyte and Mindanao)</t>
  </si>
  <si>
    <t>Samar, Leyte and Mindanao</t>
  </si>
  <si>
    <t>Mulleripicus fuliginosus is split from M. funebris on the basis of structural and plumage differences and possible vocal differences (Collar 2011b; Allen 2020; HBW/BirdLife, Clements).</t>
  </si>
  <si>
    <t>PAL, AF : widespread</t>
  </si>
  <si>
    <t>OR, AU : s Philippines, Java and Bali, Sulawesi, Moluccas and Lesser Sundas</t>
  </si>
  <si>
    <t>C - Away from known breeding sites in General Santos City and Koronadal</t>
  </si>
  <si>
    <t>OR, AU : Himalayas of nw India to e China, se Asia, Philippines, Java and Bali, Sulawesi region to New Guinea and some satellites, Bismarck Arch. and Solomon Is.</t>
  </si>
  <si>
    <t>OR : formerly widespread, now mainly Palawan group and Sulu Arch. (sw, s Philippines)</t>
  </si>
  <si>
    <t>OR : montane n Luzon (n Philippines)</t>
  </si>
  <si>
    <t>OR : Philippines (except n Luzon, Mindoro and Palawan group)</t>
  </si>
  <si>
    <t>AU : satellites of Sulawesi region, Moluccas, c, e Lesser Sundas and Raja Ampat Is. (nw of New Guinea)</t>
  </si>
  <si>
    <t>Tanygnathus everetti (including duponti, freeri and burbidgii) is split from T. sumatranus based on plumage, eye color and genetic divergence (Arndt et al. 2019; Eaton et al. 2021). Note that the English name Blue-backed Parrot follows the split species.</t>
  </si>
  <si>
    <t>OR : Camiguin Sur (s Philippines)</t>
  </si>
  <si>
    <t>AU : Philippines and Talaud Is. (ne of Sulawesi)</t>
  </si>
  <si>
    <t>OR : ne Myanmar and far s Yunnan (s China) to n, s Vietnam and n Malay Pen. including Langkawi (w of c Malay Pen.)</t>
  </si>
  <si>
    <t>to s Malay Pen., Sumatra and n, c Borneo</t>
  </si>
  <si>
    <t>OR, PAL : Honshu, Shikoku and Kyushu (s, c Japan), Jeju (s of Korean Pen.), s, e China and Taiwan</t>
  </si>
  <si>
    <t>to c Borneo</t>
  </si>
  <si>
    <t>OR, AU : Malay Pen., Greater Sundas, Sulawesi region, Lesser Sundas e to Alor, and Philippines</t>
  </si>
  <si>
    <t>AU, OR : Andaman Is., Indonesian Arch., Philippines, New Guinea region, n, e Australia, Vanuatu, New Caledonia and Palau (w Caroline Is., w Micronesia)</t>
  </si>
  <si>
    <t>Species-group name leucorynchus conserved as a justified emendation of punctuated original spelling, Lanius leucoryn. ICZN Opinion 2455. Bulletin of Zoological Nomenclature, vol. 77, pp. 66-69, 2020.</t>
  </si>
  <si>
    <t>OR : Malay Pen., Sumatra, Borneo and Palawan (sw Philippines)</t>
  </si>
  <si>
    <t>PAL : se Siberia, ne China, Korean Pen. and Japan (main is.)</t>
  </si>
  <si>
    <t>se Asia to Sumatra, n Borneo, n Sulawesi and n Philippines</t>
  </si>
  <si>
    <t>OR : se Asia to Philippines, Sumatra and Borneo</t>
  </si>
  <si>
    <t>OR : montane West Visayas (Philippines)</t>
  </si>
  <si>
    <t>OR : Luzon group and Cebu (n, c Philippines)</t>
  </si>
  <si>
    <t>OR : Philippines (except West Visayas and Palawan group)</t>
  </si>
  <si>
    <t>OR : West Visayas and Sulu Arch. (wc, s Philippines) and e Bornean islets</t>
  </si>
  <si>
    <t>OR : Philippines (except Palawan group, Mindoro, West Visayas and Sulu Arch.)</t>
  </si>
  <si>
    <t>PAL : se Siberia, e, ne China, Korean Pen. and Japan</t>
  </si>
  <si>
    <t>PAL : c, e Russia, Mongolia, e China to Japan</t>
  </si>
  <si>
    <t>India to e China, Philippines, and e Indonesia</t>
  </si>
  <si>
    <t>OR, AU : widespread, also Lesser Sundas and e New Guinea</t>
  </si>
  <si>
    <t>OR : montane n, s Philippines</t>
  </si>
  <si>
    <t>OR : n Luzon (n Philippines)</t>
  </si>
  <si>
    <t>OR : Visayas, Mindanao group, and Sulu Arch. (c, s Philippines)</t>
  </si>
  <si>
    <t>OR : n, c Luzon (n Philippines)</t>
  </si>
  <si>
    <t>OR : Himalayas from nw India to s China and Vietnam</t>
  </si>
  <si>
    <t>to Malay Pen., Sumatra, w Java and w Borneo</t>
  </si>
  <si>
    <t>OR, AU : widespread, also Sulawesi and Moluccas</t>
  </si>
  <si>
    <t>OR : Palawan group and islets to ne (sw Philippines)</t>
  </si>
  <si>
    <t>OR : Philippines (except Mindoro, Palawan group and Sulu Arch.)</t>
  </si>
  <si>
    <t>OR : se Iran and ne Afghanistan to ne China, Taiwan, and Vietnam; disjunctly Java and Bali</t>
  </si>
  <si>
    <t>OR : Tablas (wc Philippines)</t>
  </si>
  <si>
    <t>OR : Ticao, Masbate, Panay, Guimaras and Negros (wc Philippines)</t>
  </si>
  <si>
    <t>OR : Philippines (except Palawan group, Mindoro, West Visayas, and Sulu Arch.)</t>
  </si>
  <si>
    <t>OR : Philippines (except Mindoro and Palawan group)</t>
  </si>
  <si>
    <t>to se Asia and Sumatra</t>
  </si>
  <si>
    <t>PAL : e, also far n Philippines</t>
  </si>
  <si>
    <t>OR : Philippines and Talaud Is. (ne of Sulawesi)</t>
  </si>
  <si>
    <t>OR : Luzon, Samar and Mindanao (n, e, s Philippines)</t>
  </si>
  <si>
    <t>Luzon, Samar and Mindanao</t>
  </si>
  <si>
    <t>Small Crow Corvus samarensis is split from C. enca based on significant vocal and morphological differences. Treated tentatively as two species, Sierra Madre Crow C. sierramadrensis and Samar Crow C. samarensis in Allen (2020).</t>
  </si>
  <si>
    <t>OR : Mindoro, Calamian Is. and Palawan group (sw Philippines)</t>
  </si>
  <si>
    <t>Mindoro, Calaman Is., Palawan</t>
  </si>
  <si>
    <t>Palawan Crow Corvus pusillus is split from C. enca based on plumage, bill morphology, and vocal differences (Allen 2020). See also Jønsson et al. (2012) for genetic divergence.</t>
  </si>
  <si>
    <t>PAL, OR : Himalayas from ne Afghanistan, India and Sri Lanka through e Russia, Japan, Taiwan, Philippines, to Romang and Sermata (e Lesser Sundas)</t>
  </si>
  <si>
    <t>Corvus macrorhynchos, as currently configured, may be comprised of multiple species-level taxa. However, further genetic analysis with denser taxon sampling, and more comprehensive analysis of vocal and morphological differences, is desirable before a revision of this species is proposed (Jønsson et al. 2012; Eaton et al. 2021).</t>
  </si>
  <si>
    <t>PAL : e Asia</t>
  </si>
  <si>
    <t>OR, AU : Philippines and Sulawesi region</t>
  </si>
  <si>
    <t>OR : Luzon and Mindanao (n, s Philippines)</t>
  </si>
  <si>
    <t>OR : n, e, s Philippines</t>
  </si>
  <si>
    <t>OR : Tablas, Romblon, Cebu and Siquijor (nc, c Philippines)</t>
  </si>
  <si>
    <t>OR : Guimaras, Masbate, Panay, Negros, Ticao, Verde (wc Philippines)</t>
  </si>
  <si>
    <t>OR : East Visayas, Mindanao group and Sulu Arch. (ec, s Philippines)</t>
  </si>
  <si>
    <t>Hypsipetes everetti
Hypsipetes haynaldi</t>
  </si>
  <si>
    <t>Camiguin Bulbul is split from Hypsipetes everetti based on vocal and plumage differences (Allen 2020; HBW/BirdLife).</t>
  </si>
  <si>
    <t>PAL : Japan to far n Philippines</t>
  </si>
  <si>
    <t>OR : Philippines (except Palawan group, Mindoro, most West Visayas and Sulu Arch.)</t>
  </si>
  <si>
    <t>OR : e Bangladesh and ne India through s China, Vietnam, Borneo, Java and Bali</t>
  </si>
  <si>
    <t>OR : s se Asia to Philippines, Borneo and Sumbawa (w Lesser Sundas)</t>
  </si>
  <si>
    <t>OR, AU, PO : se Asia to New Guinea and Society Is. (e Polynesia)</t>
  </si>
  <si>
    <t>Worldwide : Eurasia and North America</t>
  </si>
  <si>
    <t>PAL : s, e</t>
  </si>
  <si>
    <t>OR, AU : widespread, also Sulawesi</t>
  </si>
  <si>
    <t>PAL : c, e China, se Siberia and Korean Pen.</t>
  </si>
  <si>
    <t>to s China, se Asia and n Philippines</t>
  </si>
  <si>
    <t>PAL : se Russia, ne China, North and South Korea and Japan</t>
  </si>
  <si>
    <t>PAL : c Russia and n Kazakhstan to e Russia, ne China and North Korea</t>
  </si>
  <si>
    <t>se Asia to Sumatra</t>
  </si>
  <si>
    <t>PAL : ne Asia and nc China</t>
  </si>
  <si>
    <t>PAL : Izu Is. (se of Honshu, e Japan) and Nakanoshima, Tokara Is. (far n Ryukyu Is., s Japan)</t>
  </si>
  <si>
    <t>poorly known; likely Ryukyu Is. (s Japan), Taiwan and Luzon (n Philippines)</t>
  </si>
  <si>
    <t>OR : Visayas, Mindanao group and Sulu Arch. (c, s Philippines)</t>
  </si>
  <si>
    <t>OR : Luzon and West Visayas (n, wc Philippines)</t>
  </si>
  <si>
    <t>PAL : Honshu to Kyushu (c, s Japan)</t>
  </si>
  <si>
    <t>Taiwan?, Philippines and n Indonesia</t>
  </si>
  <si>
    <t>PAL : Kamchatka, Sakhalin and Kuril Is. (se Russia) and Hokkaido (n Japan)</t>
  </si>
  <si>
    <t>Philippines and c, e Indonesia</t>
  </si>
  <si>
    <t>se Asia, se China, Taiwan, Philippines and Indonesia</t>
  </si>
  <si>
    <t>OR : Malay Pen., Greater Sundas (except Java), Flores and Timor (c, e Lesser Sundas), and Palawan (sw Philippines)</t>
  </si>
  <si>
    <t>TAX, PL</t>
  </si>
  <si>
    <t>Move from Seicercus to Phylloscopus with the merging of the former into the latter (del Hoyo &amp; Collar 2016; Alström et al. 2018). Treated as conspecific with Phylloscopus grammiceps, despite differences in underpart color, on the basis of territorial song and "virtually identical" mtDNA by Eaton et al. (2021).</t>
  </si>
  <si>
    <t>OR : montane Philippines (except East Visayas and Zamboanga Pen. to Sulu Arch.)</t>
  </si>
  <si>
    <t>PAL : c Mongolia and se Russia s to n, e China, the  Korean Pen. and Japan</t>
  </si>
  <si>
    <t>to se Asia, Philippines and Indonesian Arch.</t>
  </si>
  <si>
    <t>PAL : e Mongolia and se Russia to e China and Japan</t>
  </si>
  <si>
    <t>se Asia to Greater Sundas</t>
  </si>
  <si>
    <t>PAL : ne China</t>
  </si>
  <si>
    <t>se China, Philippines (rare)</t>
  </si>
  <si>
    <t>OR : Cordillera Central, nc Luzon (n Philippines)</t>
  </si>
  <si>
    <t>OR : Sierra Madre, ne Luzon (n Philippines)</t>
  </si>
  <si>
    <t>PAL : s Russia and n Mongolia to se Russia, ne China, the Korean Pen. and n Japan</t>
  </si>
  <si>
    <t>Indonesian Arch. and w New Guinea</t>
  </si>
  <si>
    <t>PAL : e</t>
  </si>
  <si>
    <t>PAL : far e Russia and n Japan</t>
  </si>
  <si>
    <t>to Philippines, Borneo and Sulawesi</t>
  </si>
  <si>
    <t>PAL : n, ne</t>
  </si>
  <si>
    <t>OR : montane Luzon and Mindanao (n, s Philippines)</t>
  </si>
  <si>
    <t>PAL, AF, OR, AU : sw Europe, Africa through s Asia to e China, Japan, Philippines, Wallacea and n, e Australia</t>
  </si>
  <si>
    <t>OR, AU : sw India to se China, Taiwan, Philippines, Australia and Bismarck Arch.</t>
  </si>
  <si>
    <t>OR : Leyte and Samar (ec Philippines)</t>
  </si>
  <si>
    <t>OR : East Visayas and Mindanao group (ec, s Philippines)</t>
  </si>
  <si>
    <t>OR : Malay Pen. to Palawan group (sw Philippines)</t>
  </si>
  <si>
    <t>OR : Malay Pen. and s Cambodia and Vietnam to Mapun I. (w Philippines) and Greater Sundas</t>
  </si>
  <si>
    <t>OR : e Mindanao group (s Philippines)</t>
  </si>
  <si>
    <t>OR : n, e Luzon (n Philippines)</t>
  </si>
  <si>
    <t>OR : c, s Luzon (n Philippines)</t>
  </si>
  <si>
    <t>Calabarzon Babbler Sterrhoptilus affinis is split from S. nigrocapitatus based on substantial phylogenetic divergence and paraphyly, as well as consistent plumage differences (Hosner et al. 2018).</t>
  </si>
  <si>
    <t>OR : Samar, Leyte and Bohol (ec Philippines)</t>
  </si>
  <si>
    <t>TAX, PHY, ENG</t>
  </si>
  <si>
    <t>Reclassify Stachyris nigrocapitata to Sterrhoptilus in the Zosteropidae (Cibois 2003; Moyle et al. 2009). Change English name from Black-crowned Babbler to Visayan Babbler with split of S. affinis.</t>
  </si>
  <si>
    <t>OR : montane Palawan (sw Philippines)</t>
  </si>
  <si>
    <t>OR : e Luzon (n Philippines)</t>
  </si>
  <si>
    <t>OR : montane Panay (wc Philippines)</t>
  </si>
  <si>
    <t>OR : montane Negros (wc Philippines)</t>
  </si>
  <si>
    <t>OR : Philippines (except Palawan group, East Visayas, Mindanao and Sulu Arch.)</t>
  </si>
  <si>
    <t>PAL, OR, AU : widespread e Asia, Japan to Greater Sundas (except Borneo), Sulawesi region, Moluccas, Lesser Sundas and Philippines (except Sulu Arch.)</t>
  </si>
  <si>
    <t>Mountain White-eye Z. montanus subsumed (9.1) in Z. japonicus (Lim et al. 2018). Change English name of Z. japonicus from Japanese White-eye to Warbling White-eye following merger of Z. montanus with Z. japonicus.</t>
  </si>
  <si>
    <t>OR : Taiwan and n, c Philippines</t>
  </si>
  <si>
    <t>OR : Talaud Is. (ne of ne Sulawesi), Visayas (except westernmost), Mindanao group and Sulu Arch. (ec, s Philippines)</t>
  </si>
  <si>
    <t>OR : Nepal and e Indian Pen. to s China, Vietnam, Sumatra and Palawan group (sw Philippines)</t>
  </si>
  <si>
    <t>Palawan Fairy-bluebird Irena tweeddalii is split from Asian Fairy-bluebird I. puella based on phylogenetic divergence and morphometric and plumage differences (Moltesen et al. 2012; Allen 2020; HBW/BirdLife).</t>
  </si>
  <si>
    <t>OR : Philippines (except Palawan group, West Visayas and Sulu Arch.)</t>
  </si>
  <si>
    <t>OR : India to se China and Greater Sundas (except Bali)</t>
  </si>
  <si>
    <t>AU : Sulawesi, Lesser Sundas and Mindanao (s Philippines)</t>
  </si>
  <si>
    <t>OR : montane c Mindanao (s Philippines)</t>
  </si>
  <si>
    <t>Move Apo Myna from Basilornis to resurrected genus Goodfellowia based on paraphyly and morphology (Lovette &amp; Rubenstein 2007; Dickinson &amp; Christidis 2014; Allen 2020). Note gender.</t>
  </si>
  <si>
    <t>PAL : se Russia and Japan to c China and Korean Pen.</t>
  </si>
  <si>
    <t>PAL : e Mongolia and se Russia to North Korea and c China</t>
  </si>
  <si>
    <t>PAL : n Japan</t>
  </si>
  <si>
    <t>PAL : se Europe to wc Asia</t>
  </si>
  <si>
    <t>PAL : w, c, introduced worldwide</t>
  </si>
  <si>
    <t>OR : Philippines (except Palawan group, Mindoro and Sulu Arch.)</t>
  </si>
  <si>
    <t>OR : East Visayas and Mindanao (ec, s Philippines)</t>
  </si>
  <si>
    <t>OR : montane Panay and Negros (wc Philippines)</t>
  </si>
  <si>
    <t>Philippines (Negros)</t>
  </si>
  <si>
    <t xml:space="preserve">Panay, Negros </t>
  </si>
  <si>
    <t>Visayan Rhabdornis is split from R. inornatus based on plumage and structural differences (Collar 2011b; Allen 2020; HBW/BirdLife; Clements).</t>
  </si>
  <si>
    <t>OR : Sumatra, Enggano (w of s Sumatra), Java, Bali, Philippines (except Palawan group and Sulu Arch.) and Lombok to ?Romang (w to e Lesser Sundas)</t>
  </si>
  <si>
    <t>OR : s Thailand to Sulu Arch. (s Philippines), Borneo, Java and Lombok, Sumbawa and Flores (w to c Lesser Sundas)</t>
  </si>
  <si>
    <t>OR : Luzon group and Mindoro (n Philippines)</t>
  </si>
  <si>
    <t>PAL : se Russia and ne China</t>
  </si>
  <si>
    <t>PAL : c to se Russia</t>
  </si>
  <si>
    <t>se Asia, Philippines, Greater Sundas, n Sulawesi and Flores (c Lesser Sundas)</t>
  </si>
  <si>
    <t>PAL : se Russia, ne China and the Korea Pen.</t>
  </si>
  <si>
    <t>PAL : Sakhalin I. (Russia), Kuril Is. and Japan</t>
  </si>
  <si>
    <t>se China and n, w Philippines</t>
  </si>
  <si>
    <t>OR, AU, PO : Sumatra and Philippines (except Palawan group, East Visayas and Sulu Arch.) to Fiji (sw Polynesia) and Samoa (sc Polynesia)</t>
  </si>
  <si>
    <t xml:space="preserve">With approximately 50 named subspecies, Island Thrush (as currently treated) is the most taxon-dense species in Aves. It surely must represent a species complex rather than a single polytypic species. A comprehensive study of the geographic variation in coloration patterns and morphometric variables suggests that over thirty species may be involved (Peterson 2007). However, taxonomic revision of this complex still awaits a comprehensive vocal, ecological and phylogenetic analysis.
</t>
  </si>
  <si>
    <t>PAL : nc to ne Russia</t>
  </si>
  <si>
    <t>Split from Turdus naumanni accepted by Chesser et al. (2020), NACC 2020-C-13.</t>
  </si>
  <si>
    <t>PAL : sc Russia</t>
  </si>
  <si>
    <t>OR : Ticao, Masbate, Negros and Panay (wc Philippines)</t>
  </si>
  <si>
    <t>Philippines (Ticao, Masbate, Panay and Negros)</t>
  </si>
  <si>
    <t>Negros, Panay, Masbate, Ticao</t>
  </si>
  <si>
    <t>Visayan Shama is split from White-browed Shama based on genetic and plumage differences (Lim et al. 2010; Collar 2011b; Sánchez-González et al. 2015; HBW/BLI; Allen 2020).</t>
  </si>
  <si>
    <t>OR : Cebu (c Philippines)</t>
  </si>
  <si>
    <t>Philippines to nw New Guinea</t>
  </si>
  <si>
    <t>PAL, OR : c, e Asia to se Asia</t>
  </si>
  <si>
    <t>PAL, OR : c, e Asia to India and se Asia</t>
  </si>
  <si>
    <t>Debate continues re correct species epithet (M. latirostris vs. M. dauurica; see Mlíkovský 2012; Dickinson et al. 2014).</t>
  </si>
  <si>
    <t>OR : Luzon and Negros (n, wc Philippines)</t>
  </si>
  <si>
    <t>se Asia and n, w Philippines</t>
  </si>
  <si>
    <t>Sulu</t>
  </si>
  <si>
    <t>Rufous-tailed Jungle-Flycatcher</t>
  </si>
  <si>
    <t>Change English name of Rufous-tailed Jungle Flycatcher to Philippine Jungle Flycatcher Cyornis ruficauda with splits of C. ruficrissa and C. ocularis.</t>
  </si>
  <si>
    <t>PAL : Ussuriland (se Russia), ne China, Korean Pen., s Kuril Is. and Hokkaido to Kyushu (Japan)</t>
  </si>
  <si>
    <t>se Asia through Borneo, Java and Philippines</t>
  </si>
  <si>
    <t>OR : Himalayas from Pakistan to ec China, se Asia, Sumatra and Borneo</t>
  </si>
  <si>
    <t>AU : montane Sulawesi, Moluccas and Philippines (except Palawan group, East Visayas and Sulu Arch.)</t>
  </si>
  <si>
    <t>PAL : widespread, also w Alaska</t>
  </si>
  <si>
    <t>PAL : n Eurasia from Finland to Japan</t>
  </si>
  <si>
    <t>PAL : e Mongolia and se Russia to e China</t>
  </si>
  <si>
    <t>se Asia through Java and Bali</t>
  </si>
  <si>
    <t>PAL : Sakhalin and Kuril Is. (se Russia) and Japan (except Ryukyu Is.)</t>
  </si>
  <si>
    <t>Philippines to Borneo and Bali</t>
  </si>
  <si>
    <t>Sakhalin to Japan; &gt; to Philippines and Borneo</t>
  </si>
  <si>
    <t>PAL : n Mongolia and se Russia through ne China to the Korean Pen.</t>
  </si>
  <si>
    <t>se Asia through Java, Sulawesi and Philippines</t>
  </si>
  <si>
    <t>OR, AU : widespread, also Sulawesi and Lesser Sundas</t>
  </si>
  <si>
    <t>PAL : w Russia to e Russia and s to n Mongolia and ne China</t>
  </si>
  <si>
    <t>OR : Mindanao except Zamboanga Pen. (s Philippines)</t>
  </si>
  <si>
    <t>OR : montane Philippines (except East Visayas and Sulu Arch.)</t>
  </si>
  <si>
    <t>OR : montane Luzon and Mindoro (n Philippines)</t>
  </si>
  <si>
    <t>PAL, OR : widespread, also nw Africa</t>
  </si>
  <si>
    <t>PAL : e Siberia and e Mongolia to Korea and Japan.</t>
  </si>
  <si>
    <t>E Siberia to Japan and Korea; &gt; to s China and Indochina</t>
  </si>
  <si>
    <t>PL, ENG</t>
  </si>
  <si>
    <t>Split (IOC 2.4) based on Zink et al. (2009) mtDNA analysis, but may be premature; further resolution of this stonechat complex is needed. Reportedly has distinctive vocalizations (Opaev et al. 2018) and lack of intergradation with neighboring maurus (Hellström &amp; Norevik 2014). Change English name from Stejneger's Stonechat to Amur Stonechat to align with Clements/eBird (2021).</t>
  </si>
  <si>
    <t>PAL, OR, AU : ne Iran through se Asia to New Guinea and Bismarck Arch.</t>
  </si>
  <si>
    <t>PAL : widespread, also n NA</t>
  </si>
  <si>
    <t>OR : Cebu (extinct), Leyte and Mindanao (c, s Philippines)</t>
  </si>
  <si>
    <t>OR : Philippines (except East Visayas and Sulu Arch.)</t>
  </si>
  <si>
    <t>With the split of the Mindanao races as D. kampalili, which retains the original English name of Flame-crowned Flowerpecker, change the English name of Luzon D. anthonyi to Yellow-crowned Flowerpecker.</t>
  </si>
  <si>
    <t>Dicaeum kampalili is split from D. anthonyi based on plumage differences. English name Flame-crowned Flowerpecker follows this, the split species (HBW/BLI, Allen 2020).</t>
  </si>
  <si>
    <t>OR : Philippines (except Mindoro, most West Visayas, Palawan group and Sulu Arch.)</t>
  </si>
  <si>
    <t>OR : Philippines except Mindoro and West Visayas</t>
  </si>
  <si>
    <t>OR, AU : Myanmar to Java, c, s Philippines, Sulawesi and Lesser Sundas</t>
  </si>
  <si>
    <t>OR : Luzon group, Mindoro, East Visayas and e Mindanao (n, ec, se Philippines)</t>
  </si>
  <si>
    <t>OR : Myanmar to Palawan (sw Philippines), Borneo, Natuna Is. (nw of Borneo) and Java</t>
  </si>
  <si>
    <t>OR : montane se Mindanao (s Philippines)</t>
  </si>
  <si>
    <t>OR : Luzon, East Visayas and Mindanao group (n to s Philippines)</t>
  </si>
  <si>
    <t>OR : Java (now rare); introduced widely</t>
  </si>
  <si>
    <t>Move from Lonchura to Padda (Olsson &amp; Alström 2020; NACC 2021-C-6; Chesser et al. 2021), contra Sorensen et al. (2004); Arnaez-Villena et al. (2009); Chesser et al. (2014).</t>
  </si>
  <si>
    <t>OR, AU : ne Afghanistan, India, Sri Lanka to e China, Taiwan, Philippines, Greater Sundas, Sulawesi and Lesser Sundas</t>
  </si>
  <si>
    <t>OR : Borneo and Mapun (=Cagayan Sulu, extreme w Philippines)</t>
  </si>
  <si>
    <t>OR : Malay Pen. to Philippines, Borneo and w Java</t>
  </si>
  <si>
    <t>OR, AU : India to Indonesia, Philippines</t>
  </si>
  <si>
    <t>OR : Thailand and s Myanmar to Vietnam, Sumatra, Java and Borneo</t>
  </si>
  <si>
    <t>OR : Luzon, Mindoro and West Visayas (n, wc Philippines)</t>
  </si>
  <si>
    <t>OR, AU : Philippines and Malaysia to Java, Sulawesi and w Lesser Sundas</t>
  </si>
  <si>
    <t>PAL : se Russia and ne China to se China</t>
  </si>
  <si>
    <t>to India, Philippines and Indonesia</t>
  </si>
  <si>
    <t>PAL, NA : e Russia, ne China and Alaska</t>
  </si>
  <si>
    <t>PAL, OR : widespread Europe and Macaronesia s to nw Africa and e to e Russia through Mongolia, ne China, Korean Pen., and Kyushu (s Japan); also e Kazakhstan to Afghanistan and w, c Himalayas</t>
  </si>
  <si>
    <t>AF, OR : n, e Africa to s, se Asia, Ryukyu Is. (s Japan), Philippines, Indonesian Arch., New Guinea and outlying nw Australian is.</t>
  </si>
  <si>
    <t>PAL : se Russia to Kyrgyzstan and c, se China</t>
  </si>
  <si>
    <t>OR, AU : widespread, also Lesser Sundas and Sulawesi</t>
  </si>
  <si>
    <t>PAL : w Russia to Kamchatka, Sakhalin and Kuril Is. (e Russia), n  Korean Pen. and n, c Japan; disjunctly in Himalayas to ec China</t>
  </si>
  <si>
    <t>OR : India through e China, Honshu to Ryukyu Is. (c, s Japan), Philippines</t>
  </si>
  <si>
    <t>For attribution of the authorship to Blackwelder rather than Richmond see Williamson (1947).</t>
  </si>
  <si>
    <t>PAL : nc, ne</t>
  </si>
  <si>
    <t>PAL, NA : n Europe to nw Alaska</t>
  </si>
  <si>
    <t>NA, PAL : Canada, Alaska and ne Asia</t>
  </si>
  <si>
    <t>PAL : widespread, n Europe through Russia, n Kazakhstan, nw Mongolia to Russian Far East</t>
  </si>
  <si>
    <t>to s Europe, n Africa, Middle East, nw Himalayas, e China, Korean Pen. and Hokkaido to Kyushu (Japan)</t>
  </si>
  <si>
    <t>PAL : widespread, Europe (except n), nw Africa, sw, c Asia through Russian Far East and Hokkaido (n Japan)</t>
  </si>
  <si>
    <t>to nw Himalayas and c, e China</t>
  </si>
  <si>
    <t>PAL : Amurland, Ussuriland and Sakhalin (Russian Far East), Heilongjiang and Jilin (ne China), Hokkaido through Kyushu (Japan)</t>
  </si>
  <si>
    <t>to Ryukyu Is. (s Japan), s China and se Asia (rare)</t>
  </si>
  <si>
    <t>OR : montane n Luzon, Panay and Mindanao (n, wc, s Philippines)</t>
  </si>
  <si>
    <t>Mindano</t>
  </si>
  <si>
    <t>Chrysocorythus mindanensis is split from C. esterae based on significant plumage and structural differences (HBW/BirdLife; Eaton et al. 2016, 2021; Allen 2020).</t>
  </si>
  <si>
    <t>109_2</t>
  </si>
  <si>
    <t>taiwan green pigeon</t>
  </si>
  <si>
    <t>common gull</t>
  </si>
  <si>
    <t>226_4</t>
  </si>
  <si>
    <t>leucorhous</t>
  </si>
  <si>
    <t>249_1</t>
  </si>
  <si>
    <t>352_1</t>
  </si>
  <si>
    <t>platenae</t>
  </si>
  <si>
    <t>northern sooty woodpecker</t>
  </si>
  <si>
    <t>411_1</t>
  </si>
  <si>
    <t>411_2</t>
  </si>
  <si>
    <t>442_3</t>
  </si>
  <si>
    <t>457_1</t>
  </si>
  <si>
    <t>457_2</t>
  </si>
  <si>
    <t>469_1</t>
  </si>
  <si>
    <t>small crow</t>
  </si>
  <si>
    <t>469_2</t>
  </si>
  <si>
    <t>482_1</t>
  </si>
  <si>
    <t>482_2</t>
  </si>
  <si>
    <t>482_3</t>
  </si>
  <si>
    <t>495_1</t>
  </si>
  <si>
    <t>551_1</t>
  </si>
  <si>
    <t>551_2</t>
  </si>
  <si>
    <t>visayan babbler</t>
  </si>
  <si>
    <t>567_1</t>
  </si>
  <si>
    <t>567_2</t>
  </si>
  <si>
    <t>573_1</t>
  </si>
  <si>
    <t>573_2</t>
  </si>
  <si>
    <t>philippine jungle flycatcher</t>
  </si>
  <si>
    <t>631_1</t>
  </si>
  <si>
    <t>632_1</t>
  </si>
  <si>
    <t>667_1</t>
  </si>
  <si>
    <t>667_2</t>
  </si>
  <si>
    <t>667_3</t>
  </si>
  <si>
    <t>674_1</t>
  </si>
  <si>
    <t>674_2</t>
  </si>
  <si>
    <t>685_1</t>
  </si>
  <si>
    <t>700_2</t>
  </si>
  <si>
    <t>707_2</t>
  </si>
  <si>
    <t>714_2</t>
  </si>
  <si>
    <t>Blue-throated Bee-eater</t>
  </si>
  <si>
    <t>Asian Fairy-bluebird</t>
  </si>
  <si>
    <t>New country record, new species or taxonomic name (English and/or Scientific) change since Checklist 2022 (Feb 15, 2022)</t>
  </si>
  <si>
    <t>Ducks, Geese, Swans</t>
  </si>
  <si>
    <t>https://www.google.com/search?q=Anser anser&amp;tbm=isch</t>
  </si>
  <si>
    <t>Greylag Goose</t>
  </si>
  <si>
    <t>Anser anser</t>
  </si>
  <si>
    <t>https://www.google.com/search?q=Anser erythropus&amp;tbm=isch</t>
  </si>
  <si>
    <t>Lesser White-fronted Goose</t>
  </si>
  <si>
    <t>Anser erythropus</t>
  </si>
  <si>
    <t>Pheasants &amp; Allies</t>
  </si>
  <si>
    <t>Pigeons, Doves</t>
  </si>
  <si>
    <t>Rails, Crakes &amp; Coots</t>
  </si>
  <si>
    <t>https://www.google.com/search?q=Aptenorallus calayanensis&amp;tbm=isch</t>
  </si>
  <si>
    <t>Aptenorallus calayanensis</t>
  </si>
  <si>
    <t>Buttonquail</t>
  </si>
  <si>
    <t>Stilts, Avocets</t>
  </si>
  <si>
    <t>https://www.google.com/search?q=Charadrius placidus&amp;tbm=isch</t>
  </si>
  <si>
    <t>Long-billed Plover</t>
  </si>
  <si>
    <t>Charadrius placidus</t>
  </si>
  <si>
    <t>Sandpipers, Snipes</t>
  </si>
  <si>
    <t>Coursers, Pratincoles</t>
  </si>
  <si>
    <t>Gulls, Terns, Skimmers</t>
  </si>
  <si>
    <t>https://www.google.com/search?q=Thalasseus bengalensis&amp;tbm=isch</t>
  </si>
  <si>
    <t>Lesser Crested Tern</t>
  </si>
  <si>
    <t>Thalasseus bengalensis</t>
  </si>
  <si>
    <t>Petrels, Shearwaters, Diving Petrels</t>
  </si>
  <si>
    <t>Asian Woolly-necked Stork</t>
  </si>
  <si>
    <t>Gannets, Boobies</t>
  </si>
  <si>
    <t>Anhingas, Darters</t>
  </si>
  <si>
    <t>Cormorants, Shags</t>
  </si>
  <si>
    <t>https://www.google.com/search?q=Phalacrocorax sulcirostris&amp;tbm=isch</t>
  </si>
  <si>
    <t>Little Black Cormorant</t>
  </si>
  <si>
    <t>Phalacrocorax sulcirostris</t>
  </si>
  <si>
    <t>Ibises, Spoonbills</t>
  </si>
  <si>
    <t>Herons, Bitterns</t>
  </si>
  <si>
    <t>Kites, Hawks, Eagles</t>
  </si>
  <si>
    <t>https://www.google.com/search?q=Ketupa philippensis&amp;tbm=isch</t>
  </si>
  <si>
    <t>Ketupa philippensis</t>
  </si>
  <si>
    <t>Caracaras, Falcons</t>
  </si>
  <si>
    <t>https://www.google.com/search?q=Loriculus bonapartei&amp;tbm=isch</t>
  </si>
  <si>
    <t>Black-billed Hanging Parrot</t>
  </si>
  <si>
    <t>Loriculus bonapartei</t>
  </si>
  <si>
    <t>Typical Broadbills</t>
  </si>
  <si>
    <t>Woodswallows, Butcherbirds &amp; Allies</t>
  </si>
  <si>
    <t>Whistlers &amp; Allies</t>
  </si>
  <si>
    <t>Figbirds, Old World Orioles, Piopios</t>
  </si>
  <si>
    <t>Crows, Jays</t>
  </si>
  <si>
    <t>Tits, Chickadees</t>
  </si>
  <si>
    <t>Swallows, Martins</t>
  </si>
  <si>
    <t>Cettia Bush Warblers &amp; Allies</t>
  </si>
  <si>
    <t>https://www.google.com/search?q=Horornis flavolivaceus&amp;tbm=isch</t>
  </si>
  <si>
    <t>Aberrant Bush Warbler</t>
  </si>
  <si>
    <t>Sunda Bush-warbler</t>
  </si>
  <si>
    <t>Horornis flavolivaceus</t>
  </si>
  <si>
    <t>Leaf Warblers</t>
  </si>
  <si>
    <t>Reed Warblers &amp; Allies</t>
  </si>
  <si>
    <t>Grassbirds &amp; Allies</t>
  </si>
  <si>
    <t>Cisticolas &amp; Allies</t>
  </si>
  <si>
    <t>Babblers, Scimitar Babblers</t>
  </si>
  <si>
    <t>Starlings, Rhabdornises</t>
  </si>
  <si>
    <t>Chats, Old World Flycatchers</t>
  </si>
  <si>
    <t>https://www.google.com/search?q=Cyornis camarinensis&amp;tbm=isch</t>
  </si>
  <si>
    <t>Rufous-breasted Blue Flycatcher</t>
  </si>
  <si>
    <t>https://www.google.com/search?q=Brachypteryx poliogyna&amp;tbm=isch</t>
  </si>
  <si>
    <t>Brachypteryx poliogyna</t>
  </si>
  <si>
    <t>Old World Sparrows, Snowfinches</t>
  </si>
  <si>
    <t>Waxbills, Munias &amp; Allies</t>
  </si>
  <si>
    <t>Wagtails, Pipits</t>
  </si>
  <si>
    <t>Finches, Euphonias</t>
  </si>
  <si>
    <t>https://www.google.com/search?q=Emberiza chrysophrys&amp;tbm=isch</t>
  </si>
  <si>
    <t>Yellow-browed Bunting</t>
  </si>
  <si>
    <t>Emberiza chrysophrys</t>
  </si>
  <si>
    <t>https://www.google.com/search?q=Emberiza rutila&amp;tbm=isch</t>
  </si>
  <si>
    <t>Chestnut Bunting</t>
  </si>
  <si>
    <t>Emberiza rutila</t>
  </si>
  <si>
    <t>https://www.google.com/search?q=Emberiza schoeniclus&amp;tbm=isch</t>
  </si>
  <si>
    <t>Common Reed Bunting</t>
  </si>
  <si>
    <t>Emberiza schoeniclus</t>
  </si>
  <si>
    <t>Graylag Goose</t>
  </si>
  <si>
    <t>n OR</t>
  </si>
  <si>
    <t>Species status of these Anser geese uncertain. Split of Anser serrirostris from A. fabalis followed AOU/NACC 2007 but may have been premature (e.g. see Ottenburghs et al. 2023). Rukonen et al. (2008) suggest that middendorffii is basal to the clade that includes both fabalis and serrirostris, based on mtDNA control region. Author citation Gould, 1852 rather than Swinhoe, 1871 (H&amp;M 4:10).</t>
  </si>
  <si>
    <t>se Europe and e China</t>
  </si>
  <si>
    <t>Arctic Eurasia; winters to s Europe, India and China</t>
  </si>
  <si>
    <t>s PAL and s, c NA</t>
  </si>
  <si>
    <t>*Anas querquedula</t>
  </si>
  <si>
    <t>*Anas clypeata</t>
  </si>
  <si>
    <t>*Anas strepera</t>
  </si>
  <si>
    <t>*Anas penelope</t>
  </si>
  <si>
    <t>PAL : Kyrgyzstan and ne Kazakhstan through w, n Xinjiang, sw Siberia and Mongolia e to Transbaikalia, Amurland (ne Russia) and ne China</t>
  </si>
  <si>
    <t>*Polyplectron emphanum</t>
  </si>
  <si>
    <t>*Coturnix chinensis</t>
  </si>
  <si>
    <t>*Eurostopodus macrotis</t>
  </si>
  <si>
    <t>*Collocalia mearnsi</t>
  </si>
  <si>
    <t>*Collocalia whiteheadi</t>
  </si>
  <si>
    <t>*Collocalia salangana</t>
  </si>
  <si>
    <t>*Collocalia maximus</t>
  </si>
  <si>
    <t>*Phaenicophaeus superciliosus</t>
  </si>
  <si>
    <t>*Phaenicophaeus cumingi</t>
  </si>
  <si>
    <t>*Eudynamys scolopacea</t>
  </si>
  <si>
    <t>*Gallicolumba criniger</t>
  </si>
  <si>
    <t>*Phapitreron amethystina</t>
  </si>
  <si>
    <t>*Ptilinopus melanospila</t>
  </si>
  <si>
    <t>*Dryolimnas mirificus</t>
  </si>
  <si>
    <t>Recently described species: Allen et al., 2004. Sequence in Kirchman (2012) places this species outside of Gallirallus s.s. Move from Gallirallus to Aptenorallus gen. nov. Kirchman et al.: 2021.</t>
  </si>
  <si>
    <t>*Amaurornis olivaceus</t>
  </si>
  <si>
    <t>*Turnix sylvatica</t>
  </si>
  <si>
    <t>*Turnix ocellata</t>
  </si>
  <si>
    <t>PAL, AF, OR : coastal and inland s to ec Europe, Sal (ne Cape Verde Is., s Macaronesia, w of nw Africa); n and Sub-Saharan Africa, Socotra, and coastal Madagascar; through sw Russia, Kazakhstan and Mongolia to se Russia, ne, e China, locally Honshu and Shikoku (sc Japan), Taiwan, Semirara (ec Philippines), s to n Middle East, Indian subcontinent to Sri Lanka, Malay Pen., Vietnam, n Sumatra and w Java</t>
  </si>
  <si>
    <t>to s Europe and Mediterranean, Azores to Cape Verde (Macaronesia, w of nw Africa); n and Sub-Saharan Africa, Seychelles, Comoros, Madagascar and the Mascarenes; Middle East to Persian Gulf region</t>
  </si>
  <si>
    <t>PAL : riverine temperate se Siberia, Hokkaido to Kyushu (n to s Japan), n, c Korean Pen., ne, ec China; disjunctly ne India</t>
  </si>
  <si>
    <t>to riverine c Nepal, ne India, s, se China, s Korean Pen., Taiwan, n Thailand and n, c Vietnam</t>
  </si>
  <si>
    <t>Breeds e Asia; winters to India and Indochina</t>
  </si>
  <si>
    <t>Sub-Saharan wc to ne, ec Africa; Middle East; s, se Asia and Indonesian Arch.</t>
  </si>
  <si>
    <t>coastal e, s Africa to s Ryukyu Is. (=Nansei Shoto; s Japan), Australia, Melanesia and w Micronesia</t>
  </si>
  <si>
    <t>NA : low Arctic upland tundra of w Alaska: nc Seward Pen. and n Yukon Delta</t>
  </si>
  <si>
    <t>c, s PO is. : Micronesia and Fiji (sw Polynesia) e through Northwestern Hawaiian Is. and Kaui (rarer on other main Hawaiian Is.) and all Polynesian islands; rarer to Japan and Melanesia</t>
  </si>
  <si>
    <t>PAL : patchily in subarctic tundra of Palearctic: ne Greenland and n Scotland through subarctic Russia to Chukotskiy Pen. (ne Russia)</t>
  </si>
  <si>
    <t>widespread on temperate to tropical Palearctic coasts: s British Is., Madeira to Cape Verde (Macaronesia, nw of n Africa), w Mediterranean, Africa, Indian Ocean and associated gulfs, bays and islands, Australasia to North and n South is. (New Zealand) and Melanesia, n to Ryukyu Is. (=Nansei Shoto, s Japan) and e to Micronesia; rare farther e in Polynesia</t>
  </si>
  <si>
    <t>PAL : patchily in subarctic taiga of wc to ec Siberia</t>
  </si>
  <si>
    <t>AU : coastal and inland Trans-Fly (sc New Guinea), Port Moresby area (se New Guinea) and n Australia to wc, ec coasts</t>
  </si>
  <si>
    <t>PAL : inland wetlands of subarctic to temperate ne Palearctic: ec Siberia to Kamchatka and Ussuriland (se Russia) and Heilongjiang (ne China)</t>
  </si>
  <si>
    <t>AU : coastal subtropical to tropical e Asia: Ryukyu Is. (=Nansei Shoto, s Japan), Taiwan, se coastal China, Philippines, e Vietnam, Malay Pen., Indonesian Arch., s, se New Guinea, Australia, Tasmania, North and South is. (New Zealand)</t>
  </si>
  <si>
    <t>PAL : subarctic and temperate Palearctic wetlands, meadows: Faroe Is., British Is., Scandinavia s to s France, e through n Kazakhstan and (locally) n Mongolia to Transbaikalia (ne Russia), Inner Mongolia and Heilongjiang (ne China)</t>
  </si>
  <si>
    <t>AF, OR : mainly subtropical to tropical coasts and larger rivers, Iceland, s British Isles, s Europe, Mediterranean, Africa, Malagasy region through Middle East, Indian subcontinent, se Asia, Indonesian Arch.; s, sc Japan, Korean Pen., se China, Taiwan and Philippines</t>
  </si>
  <si>
    <t>PAL : patchily in low Arctic tundra of n Palearctic: far n Scandinavia to Chukotskiy and Anadyr pens. (ne Russia) and n, w Alaska</t>
  </si>
  <si>
    <t>AF, OR, AU : mainly temperate to tropical coasts: British Is., s Europe, w Mediterranean, Africa, Malagasy region through Middle East, Indian subcontinent, se Asia, Indonesian Arch.; Ryukyu Is. (s Japan), se China, Taiwan, Philippines, Australasia from New Guinea region to Melanesia and New Zealand, and Fiji (sw Polynesia)</t>
  </si>
  <si>
    <t>PAL : widespread in subarctic and temperate wet grassland: Iceland, Faroe Is., British Is., Scandinavia s to sw France, e through nw Russia, n Kazakhstan, n Mongolia e to Chukotskiy Pen., Kamchatka, Sakhalin and Amurland (e Russia) and Inner Mongolia (ne China)</t>
  </si>
  <si>
    <t>AF, OR, AU : coastal and inland temperate to tropical wetlands: s British Is., s Europe, Macaronesia (nw of n Africa; scarce), Africa (except s), Middle East, s, se Asia, Indonesian Arch., s New Guinea, Australia; Ryukyu Is. (=Nansei Shoto, s Japan), Taiwan, se China and Philippines</t>
  </si>
  <si>
    <t>NA, PAL : high and low Arctic tundra of coastal Holarctic</t>
  </si>
  <si>
    <t>temperate to tropical coasts worldwide</t>
  </si>
  <si>
    <t>PAL : low Arctic and subarctic montane tundra: ne Siberia from Yakutsk e to Anadyr Pen.</t>
  </si>
  <si>
    <t>OR, AU : coastal Australasia: ne Arabian Pen., coastal s, se Asia, Indonesian Arch., Taiwan, se China, Philippines, nw, s New Guinea, Australia including Tasmania</t>
  </si>
  <si>
    <t>NA, PAL : patchily in high Arctic (mainly) tundra of Holarctic: nw, e Greenland, nc Siberia, islands n of nc and ne Siberia, and n Chukotskiy Pen. (ne Siberia)</t>
  </si>
  <si>
    <t>SA, Europe, AF, AU : coasts worldwide from temperate zone to tropics; in Indian Ocean mainly w Australia, and in Pacific in New Zealand but rare on other remote islands</t>
  </si>
  <si>
    <t>PAL : low Arctic to temperate tundra and steppe of Palearctic: nw Europe from Belgium and Scandinavia s through n Ukraine, nw Kazakhstan, n Mongolia to far e Siberia</t>
  </si>
  <si>
    <t>AF, sw PAL, India : inland and coastal c, s Europe, Africa, Middle East, Indian subcontinent, se Asia, Philippines, ec China, Taiwan and c to s Japan; rarer Indonesian Arch.</t>
  </si>
  <si>
    <t>*Philomachus pugnax</t>
  </si>
  <si>
    <t>PAL : patchily in low Arctic to subarctic tundra bogs of n Palearctic: Scandinavia to Kanin Pen. (nw Russia); Taimyr Pen. (nw Siberia) and Lena to Kolyma rivers (ne Siberia)</t>
  </si>
  <si>
    <t>AF, OR, AU : Paleotropical coasts, e Africa, Red Sea and Persian Gulf through se Asia, Indonesian Arch., s New Guinea and Australia (except sw, sc, Tasmania)</t>
  </si>
  <si>
    <t>*Limicola falcinellus</t>
  </si>
  <si>
    <t>PAL : low Arctic to subarctic tundra of ne Palearctic: Lena to Kolyma rivers (ne Siberia)</t>
  </si>
  <si>
    <t>AU : coastal and inland Wallacea, New Guinea, Australia, Melanesia, New Zealand and Fiji (sw Polynesia); prone to extreme vagrancy to North America and Europe</t>
  </si>
  <si>
    <t>PAL : drier low Arctic tundra of nc, ne Palearctic: nw Siberia from Yamal Pen. to nw Chukotskiy Pen. (ne Siberia), and New Siberian Is. (n of nc Siberia)</t>
  </si>
  <si>
    <t>AF, OR, AU : inland and coastal wetlands of Paleotropics: s Europe, Cape Verde Is. (s Macaronesia, w of w Africa), Africa, Malagasy region, through s, se Asia, Indonesian Arch., se China, Taiwan, Philippines, s New Guinea, Australia and Tasmania, Bismarck Arch., n Solomon Is., New Caledonia and n New Zealand; prone to extreme vagrancy</t>
  </si>
  <si>
    <t>PAL : low (locally high) Arctic to subarctic tundra of n Palearctic: s to n Scandinavia e through n Russia to e Chukotskiy Pen. (ne Russia), including New Siberian Is. (n of nc Siberia)</t>
  </si>
  <si>
    <t>AF, OR : coastal and inland Paleotropics from se Europe, n to c Africa, Middle East, s, se Asia to Malay Pen., Borneo, sw Japan, Taiwan and ec China</t>
  </si>
  <si>
    <t>PAL : subarctic to temperate bogs of c, e Palearctic: disjunctly from sw to s Chukotskiy Pen., n Kuril and Commander is. (e Russia); (perhaps) n Mongolia</t>
  </si>
  <si>
    <t>OR, AU : inland and coastal e India and Sri Lanka, se Asia, Indonesian Arch., w, se Australia, Philippines, se China, Taiwan and s, sc Japan</t>
  </si>
  <si>
    <t>PAL : coastal low Arctic to subarctic tundra of nc, ne Siberia: Taymyr Pen. (nc Siberia) e to Chukotskiy Pen. and s to n Kamchatka Pen. (ne Russia)</t>
  </si>
  <si>
    <t>OR, AU : coastal ne India and Sri Lanka through se Asia, Indonesian Arch., New Guinea, Australia, Melanesia from Bismarck Arch. to New Caledonia, New Zealand, Philippines to Ryukyu Is. (=Nansei Shoto, s Japan)</t>
  </si>
  <si>
    <t>NA, PAL : high Arctic tundra wetlands of Holarctic: nw, se Greenland, Svalbard (n of Norway), n Taymyr Pen. and Severnaya Zemlya (to n), Lena Delta and New Siberian Is. (nc Siberia), Alaskan North Slope (rare), Canadian Arctic islands from Banks to Ellesmere and s to Southampton</t>
  </si>
  <si>
    <t>Worldwide : sandy coastal beaches from temperate to tropical zone: British Is. and Macaronesia (nw of n Africa) through Africa, Malagasy region, Middle East, s, se Asia through Indonesian Arch. to Australia, Melanesia, Philippines and s, c Japan (but rare New Guinea and New Zealand); sw, se Canada and Caribbean s to Tierra del Fuego and including remote islands through e Polynesia</t>
  </si>
  <si>
    <t>NA, PAL : low (locally high) Arctic to temperate wet tundra of Holarctic: sw to ne Greenland, Iceland, Faroe Is., n British Is., Scandinavia, Baltic states e through n Russia including Novaya Zemlya (n of nw Siberia) and New Siberian Is. (n of ec Russia), through Chukotskiy Pen., w Kamchatka, n Kurile and n Sakhalin is. (e Russia); Aleutian Is., w, n Alaska, nw Canada, nc Canada n and w of Hudson Bay</t>
  </si>
  <si>
    <t>s NA, AF, s PAL : coastal and inland wetlands from temperate to tropical zones n of Equator: British Is., w Europe, Mediterranean, n, nc Africa, Middle East, n Indian subcontinent to n Vietnam and e China, Taiwan, Korean Pen. and Japan (except n); sw Canada and New England to wc Mexico and Yucatan Pen.</t>
  </si>
  <si>
    <t>PAL : high to low Arctic drier tundra of n Palearctic: far n Scandinavia, White Sea coast, s Novaya Zemlya, through n Russia to New Siberian Is. (ec Siberia)</t>
  </si>
  <si>
    <t>e PAL, AF, India : coastal and inland mudflats and marshes, s Europe, Mediterranean, Africa, w Madagascar, Middle East, c to s Asia</t>
  </si>
  <si>
    <t>NA, PAL : high to low Arctic wet tundra of Holarctic: Yamal Pen. (nw Siberia) e to Chukotskiy Pen., s to Anadyr, including New Siberian and Wrangel is. (ne Russia); w, n Alaska through ne Canada, including Arctic islands from Banks to Devon and Southampton (ne Canada)</t>
  </si>
  <si>
    <t>AU, Southern Cone : mainly wet grassland, wetland edge of subtropical and temperate zone; few to se Australia, New Zealand, Chatham Is. (e of North I., New Zealand); most to Peru, Bolivia, and s Brazil s to Tierra del Fuego; a few winter farther north; prone to extreme vagrancy</t>
  </si>
  <si>
    <t>PAL : inland wetlands of temperate c, e Palearctic: sw Siberia and e Kazakhstan, (probably) n Mongolia to Amurland (se Siberia) and ne China</t>
  </si>
  <si>
    <t>OR, AU : coastal s Thailand, Malay Pen., Indonesian Arch., n Australia and Philippines (rare)</t>
  </si>
  <si>
    <t>PAL, NA : low Arctic to subarctic wet meadows of e Palearctic and w Nearctic: Lena River to e Chukotskiy Pen. and s to Anadyr Pen. (ne Siberia); St. Lawrence I. (Bering Sea; rare), w Alaska and n NWT (nc Canada)</t>
  </si>
  <si>
    <t>s USA and MA : coastal and inland temperate to subtropical Nearctic: from n California, Florida and Gulf of Mexico through s USA, Mexico to Campeche (ec Mexico) and Pacific coast of Central America to nw Costa Rica</t>
  </si>
  <si>
    <t>PAL : widespread subarctic to temperate and montane subtropical moist forests of Palearctic: British Is. n to Scandinavia (except far n) s to n Iberian Pen., Azores, Madeira and w, c Canary Is. (Macaronesia, nw of w Africa), e through temperate Russia, ne Kazakhstan, n Xinjiang (nw China), n Mongolia, ne China, Amurland and Sakhalin (se Russia), and Hokkaido to c Honshu (n, c Japan); disjunctly in the Caucasus and Himalayas</t>
  </si>
  <si>
    <t>OR, n AF : temperate to subtropical Eastern Hemisphere woodlands: to Iberian Pen., n Africa, n Middle East, sw India, n se Asia, e China, Taiwan, Korean Pen. and c, s Japan</t>
  </si>
  <si>
    <t>PAL : subarctic to temperate taiga wetlands of n Palearctic: Scandinavia and ne Poland to e Sakha Republic (ec Siberia)</t>
  </si>
  <si>
    <t>OR, AF : temperate to tropical inland wetlands of w, c Eastern Hemisphere mainly n of Equator: Faroe and British Is., w, s Europe, Mediterranean, n, c tropical Africa, Middle East and Indian subcontinent</t>
  </si>
  <si>
    <t>PAL : meadows and fields of temperate ne Palearctic: e Amurland and s Sakhalin (se Russia) and s Kuril Is. s through Honshu and ?Kyushu (n to s Japan)</t>
  </si>
  <si>
    <t>AU : tropical to temperate freshwater wetlands: e Australia including Tasmania</t>
  </si>
  <si>
    <t>PAL : low Arctic tundra to temperate montane meadows of nc, ne Palearctic: nw Siberia and ne Kazakhstan and n Mongolia to c Chukotskiy Pen. to Sea of Okhotsk (e Siberia)</t>
  </si>
  <si>
    <t>OR : inland wetlands of subtropical to tropical Oriental region: s, se Arabian Pen., s, se Asia, Greater Sundas, se China, Taiwan, Korean Pen., Ryukyu Is. (s Japan)</t>
  </si>
  <si>
    <t>PAL : temperate woodland-edge wetlands of c, e Palearctic: ne Kazakhstan, sc Siberia, nc Mongolia and Amurland (se Russia)</t>
  </si>
  <si>
    <t>OR, AU : wetland edge of subtropical to tropical e Oriental region: s Korean Pen., ec China, Taiwan, Philippines, Malay Pen., Indonesian Arch., New Guinea, far n Australia, Bismarck Arch. (including Admiralty Is.), Solomon Is., Mariana Is. (n Micronesia) and Palau to Chuuk (=Truk; sw, sc Caroline Is., Micronesia)</t>
  </si>
  <si>
    <t>PAL : widespread low Arctic to temperate wetlands of Palearctic: Iceland to British Is., Scandinavia, France and Azores (n Macaronesia, nw of n Africa) e through n Russia to c Chukotskiy Pen., Kamchatka, Sea of Okhotsk and Commander Is. (se Russia); in s to n Kazakhstan, e Kyrgyzstan, Tajikistan, and Afghanistan, Kashmir (nw Himalayas), n Mongolia and ne China</t>
  </si>
  <si>
    <t>s Europe, AF, OR : temperate to tropical wetlands of Eastern Hemisphere mainly n of Equator: British Is. to s Europe, Macaronesia (nw of n Africa), n Africa, wc to ec Africa, Middle East, c, s se Asia, e Asia, Greater Sundas, Philippines, Taiwan, e China, Korean Pen. and c, s Japan</t>
  </si>
  <si>
    <t>PAL : low Arctic to temperate tundra and taiga floodplains of nc Palearctic: Finland and Ukraine e through Russia to ec Chukotskiy Pen., n Kamchatka and s to w Amurland (e Russia)</t>
  </si>
  <si>
    <t>AF, OR, AU, also Middle East : tropical to subtropical coastal mudflats, estuaries of Paleotropics:, s, e Africa, Malagasy region, Middle East, s, se Asia, Indonesian Arch., New Guinea, Australia (mainly nw, n, ne), Philippines, se China and Taiwan; rarer to Bismarck Arch., Solomon Is., New Caledonia and New Zealand</t>
  </si>
  <si>
    <t>NA, PAL : mostly low Arctic to subarctic Holarctic tundra and alpine tundra: s Greenland, Iceland, Scotland (rare), n Scandinavia, and Arctic and subarctic Russia to Kamchatka, Kuril and Commander is.; Aleutian Is., Arctic and subarctic Alaska and Canada</t>
  </si>
  <si>
    <t>to tropical and subtropical coastal waters and coasts: Arabian Sea, Persian Gulf, and Bay of Bengal; seas of Indonesian Arch., off n, w New Guinea and Bismarck Arch.; and se North Pacific coasts of w Mexico and Central America to Peru and Galápagos</t>
  </si>
  <si>
    <t>NA, PAL : mostly high (locally low) Arctic marshy tundra of Holarctic:  from sw, ec Greenland, Iceland (local), Svalbard (n of Norway), Novaya Zemlya and n Siberia to Bering Strait; n Alaska and n Canada including s tier of Arctic Canadian islands</t>
  </si>
  <si>
    <t>temperate to tropical coastal waters of Atlantic and Pacific oceans: from n California to s Chile (e Pacific) and Atlantic USA to n Florida (w North Atlantic); coastal waters of e tropical and South Atlantic off nw, w, sw Africa</t>
  </si>
  <si>
    <t>*Phalaropus fulicaria</t>
  </si>
  <si>
    <t>PAL : widespread, subarctic to temperate inland waterbody margins of Palearctic: British Is. n to Scandinavia s to Iberian Pen., e through temperate Russia to ec Chukotskiy Pen. (ne Russia), s from Turkey, Caucasus, Iran, c Asia to Kashmir (nw Himalayas), n Mongolia, ne China and Japan</t>
  </si>
  <si>
    <t>AF, OR, AU, also Middle East : tropical to subtropical inland and coastal waterbodies of Paleotropics: sw Europe, s Macaronesia (nw of w Africa), Africa, Malagasy region, s Middle East, s, se Asia, Indonesian Arch., Philippines, Taiwan, e China, s Japan, New Guinea, Australia, Bismarck Arch. to Vanuatu, New Caledonia, and Micronesia</t>
  </si>
  <si>
    <t>PAL : subarctic to temperate zone taiga wetlands of Palearctic: Scandinavia (except far n) s to Germany, e to e Sakha Republic (ne Siberia), s through n, e Kazakhstan and Kyrgyzstan, w, nw Xinjiang (nw China), n Mongolia and Inner Mongolia (ne China)</t>
  </si>
  <si>
    <t>sw PAL, AF, OR : temperate to tropical inland and coastal wetlands of Palearctic: s British Is. to Canary Is. (Macaronesia, w of n Africa), Africa (except far s), Middle East, s, se Asia to Malay Pen., e China, n, w Philippines, Taiwan, Korean Pen. and e, s Japan</t>
  </si>
  <si>
    <t>PAL : (mainly) subarctic tundra of nc, ne Palearctic: montane Krasnoyarsk (wc Siberia) and Yana River to Anadyr Pen. and Kamchatka (ec, e Siberia)</t>
  </si>
  <si>
    <t>e IO and w PO islands : subtropical to tropical mainly muddy to sandy Pacific coasts: Malay Pen., Indonesian Arch., New Guinea region, w, n, e Australia, Melanesia, New Zealand, Micronesia, Fiji and Tuvalu (w Polynesia)</t>
  </si>
  <si>
    <t>PAL : subarctic to temperate coastal and inland marshes, meadows of Palearctic: Iceland to n Scandinavia and s to s Iberian Pen. and coastal Tunisia, in n from Baltics, sw Russia, Kazakhstan, n Mongolia e to Amurland (se Russia), s through n Middle East, most of c Asia, Himalayas, Tibetan Plateau, e to ne China</t>
  </si>
  <si>
    <t>sw PAL, AF, OR : temperate to tropical inland and coastal wetlands of Africa to n Australia: s British Is., Africa (except s), Middle East, s, se Asia to Malay Pen., Indonesian Arch., e China, Philippines, Taiwan and Ryukyu Is. (s Japan)</t>
  </si>
  <si>
    <t>PAL : temperate zone freshwater marshes of wc to ec Palearctic: e Poland and Baltic states e through s Russia, n Kazakhstan and n Mongolia to Amurland and ne China</t>
  </si>
  <si>
    <t>AF, OR, AU : inland and coastal wetlands of Paleotropics: Africa, n Middle East, s, se Asia, Indonesian Arch., s New Guinea, Australia (except Tasmania), Mariana Is. and Palau (w Micronesia), Philippines, s China, Taiwan and Ryukyu Is. (s Japan)</t>
  </si>
  <si>
    <t>PAL : inland subarctic to temperate wooded wetlands of n Palearctic: Scotland (n British Is.), n Scandinavia, Austria e through inland n Russia to w Chukotskiy Pen.,  to e Siberia and ne China, in s through n Mongolia, ne China, Kamchatka and Commander Is. (e Russia)</t>
  </si>
  <si>
    <t>AF, OR, AU : inland subtropical to tropical small open wetlands of Paleotropics: Africa, s Arabian Pen., s, se Asia, Indonesian Arch., New Guinea, Australia (except Tasmania), Philippines, Taiwan, e China and Ryukyu Is. (s Japan)</t>
  </si>
  <si>
    <t>PAL : low Arctic to subarctic wooded tundra of n Palearctic: n, c Scandinavia e through inland Russia to c Chukotskiy Pen. (ne Siberia)</t>
  </si>
  <si>
    <t>sw PAL, AF, OR : subtropical to tropical inland and coastal wetlands of Paleotropics (except Australasia): s British Is. and Canary Is. (Macaronesia, w of n Africa) to tropical Africa, Middle East, s, se Asia to se China and Taiwan</t>
  </si>
  <si>
    <t>PAL : inland and coastal subarctic to temperate taiga wetlands of Palearctic: n Europe to e Siberia: Scotland, Scandinavia and Baltic states e through temperate Russia to Chukotskiy Pen., Kamchatka and Amurland (se Russia)</t>
  </si>
  <si>
    <t>sw PAL, AF, OR, AU : inland and coastal s temperate to tropical Old World: sw, s Europe, Canary and Cape Verde is. (Macaronesia, w of n Africa), Africa, Malagasy region, Middle East, s, se Asia to e China, Indonesian Arch., New Guinea region, Australia and Tasmania, Taiwan, Korean Pen., c, s Japan, Mariana Is. and Palau (w Micronesia)</t>
  </si>
  <si>
    <t>PAL : coastal larch forest of ne Palearctic: w, s coastal Sea of Okhotsk, Tatar Strait (w of Sakhalin) and Sakhalin (e Siberia)</t>
  </si>
  <si>
    <t>OR : coastal mudflats and saltpans of tropical s se Asia: se Bangladesh, s Myanmar, s Thailand, Malay Pen., Sumatra and sw Borneo</t>
  </si>
  <si>
    <t>PAL, OR : patchily in temperate to tropical grassland near water of s to ne Asia: w India and Sri Lanka, se Asia to Malay Pen., e, ne China, Philippines, Taiwan, e Siberia and s, c Japan</t>
  </si>
  <si>
    <t>OR, AU : grassy fields of Chagos Arch. and Maldives (wc Indian Ocean), Indian Pen. through Indonesian Arch., Cocos (Keeling), Christmas I. and Ashmore Reef (se Indian Ocean), n WA and n NT (n, nc Australia), Mariana Is. to Palau, Truk, Yap and Marshall Is. (w Micronesia)</t>
  </si>
  <si>
    <t>TrO : widespread on tropical and subtropical islands of all oceans</t>
  </si>
  <si>
    <t>NA, MA, SA : islands off w North Atlantic coast of Maine to Florida, Gulf of Mexico to s Texas; Yucatan Pen.; Gulf of California to Colima; West Indies, islands off Yucatan Pen., and islands n of Venezuela, Trinidad, Tobago and to French Guiana</t>
  </si>
  <si>
    <t>to w South Pacific coast from Ecuador and Galápagos to c Chile</t>
  </si>
  <si>
    <t>NE Siberia; winters south to China</t>
  </si>
  <si>
    <t>PAL, AF, OR, NA, MA, SA : widespread inland, sw Europe to ne China; coastal China; coastal w North Atlantic and Caribbean; coastal s California and Mexico; coastal South America and inland nc Argentina</t>
  </si>
  <si>
    <t>PAL, OR, AU, NA : patchily coastal Baltic Sea and inland se Europe to w Mongolia and Ussuriland (se Russia) and ne China and s Asian coasts; coastal and inland w and s Africa; Europa (w of s Madagascar, Mozambique Channel), coastal Madagascar and Aldabra group (sw Seychelles); coastal Australia and New Zealand (North, South and Stewart is.) and inland n, e Australia; inland Northwest Territories to c California, Great Lakes and ne Canada</t>
  </si>
  <si>
    <t>AU, OR, AF : coasts of sw Africa, North Indian Ocean and marginal seas, through Indonesian and Australian waters from far s Japan to e Polynesia</t>
  </si>
  <si>
    <t>*Sterna bergii</t>
  </si>
  <si>
    <t>AF, OR, AU : disjunctly, coasts of sc Mediterranean, Indian Ocean and marginal seas, and n Australia</t>
  </si>
  <si>
    <t>to subtropical and tropical Old World waters from nw Africa to New Guinea</t>
  </si>
  <si>
    <t>PAL : islands off Zhejiang and Fujian (e China coast)</t>
  </si>
  <si>
    <t>*Sterna bernsteini</t>
  </si>
  <si>
    <t>AF, PAL, OR, AU : w Europe, sw Russia, c Asia, Mongolia to se Russia, Japan, e China, Taiwan and Vietnam; n, w Africa; Persian Gulf and Iraq to Indus Valley (Pakistan) and Gangetic Plain (nc India); Sri Lanka; Gulf of Thailand, Malay Pen., Singapore, and islands off Greater Sundas; off New Britain (se Bismarck Arch.), Bougainville (n Solomon Is.); coastal nw, n, e, se Australia and Tasmania; and Saipan (s Northern Mariana Is., nw Micronesia)</t>
  </si>
  <si>
    <t>*Sterna albifrons</t>
  </si>
  <si>
    <t>*Sterna aleutica</t>
  </si>
  <si>
    <t>*Sterna anaethetus</t>
  </si>
  <si>
    <t>*Sterna fuscata</t>
  </si>
  <si>
    <t>AF, OR, AU : islands off tropical Indian and Pacific oceans from Seychelles to Cook Is. (e Polynesia)</t>
  </si>
  <si>
    <t>*Chlidonias hybridus</t>
  </si>
  <si>
    <t>NA, PAL : Holarctic high Arctic tundra: erratically off sw Greenland, Svalbard (nesting unconfirmed; n of Norway), nw to ne Arctic Russia (including many high Arctic islands), high Arctic n Alaska and sw Alaska mainland, and Arctic Canada to Baffin I. (ne Canada)</t>
  </si>
  <si>
    <t>NA, PAL : Holarctic low Arctic tundra, locally high Arctic and subarctic: w, s Greenland, Iceland, n Scotland, Scandinavian coasts including Baltic Sea, Svalbard (n of Norway), n Russia to ne Siberia and Kamchatka, Aleutian and Bering Sea is., w and sw Alaska, Arctic Canada (except n high Arctic islands) to Baffin I. and ec Canada</t>
  </si>
  <si>
    <t>NA, PAL : Holarctic high and low Arctic tundra, locally subarctic: nw, se Greenland, Arctic n Scandinavia to ne Siberia and Kamchatka (e Russia); Arctic and w, s Alaska through Arctic Canada to Ellesmere and Baffin is.</t>
  </si>
  <si>
    <t>TrO : IO, PO : tropical and subtropical islands of South Indian and Pacific oceans</t>
  </si>
  <si>
    <t>PO : subtropical Pacific Ocean: Round I. (ne of Mauritius, c Mascarenes, sw Indian Ocean); Lord Howe and Norfolk is. (far e of Australia), Kermadec Is. (ne of North I., New Zealand), Pitcairn to Easter (=Eastern groups; e Polynesia) and Juan Fernandez, San Ambrosio and San Felix (Desventuradas Is.; far w of nc Chile)</t>
  </si>
  <si>
    <t>PO : Round I. (ne of Mauritius, c Mascarenes, sw Indian Ocean);  Lord Howe and Norfolk is. (far e of Australia), Grande Terre (New Caledonia), n, e North I. and Kermadec Is. (ne of North I.) and Chatham Is. (e of South I.; New Zealand), Tonga and Cook Is. (c Polynesia), Bass Rock (=Marotiri, se Austral Is., e Polynesia), and Rapa (e Tubuai=Austral Is., se Polynesia)</t>
  </si>
  <si>
    <t>to waters off se Australia and Pacific Ocean se of Japan e to nw Mexico and Central America, Galápagos and Peru</t>
  </si>
  <si>
    <t>*Pterodroma rostrata</t>
  </si>
  <si>
    <t>PO : islands from Russian Far East, Korean Pen., and Japan to islands off w Taiwan</t>
  </si>
  <si>
    <t>PO, IO : islets of tropical South Indian Ocean: Amirantes and Inner Is. (c, ne Seychelles) and Mascarenes (Malagasy region), Chagos and Cocos (Keeling) (se Indian Ocean), New Guinea region, and w Australia; islets of subtropical and tropical Pacific Ocean: e Australia including Torres Strait is. (ne Australia), Lord Howe and Norfolk is. (far e of Australia), Kermadec Is. (ne of North I., New Zealand); Solomon Is., Vanuatu and New Caledonia; Senkaku (=Pescadores Is.), Ogasawara (=Bonin Is.) and Iwo (= Volcano Is; s of Japan); throughout Micronesia and Polynesia (except Cook and Pitcairn groups); Northwestern and main Hawaiian Is.; and Revillagigedo Is. (far w of c Mexico)</t>
  </si>
  <si>
    <t>TrO :  Ilheu da Vila (Azores), Porto Santo and Desertas (Madeira group), Salvage (n of Canary Is.), Canary Is., Raso and Ilheu de Cima (n, s Cape Verde is.; Macaronesia, off w Africa), Round I. (ne of Mauritius, c Mascarenes, sw Indian Ocean), islands off s China coast, Ogasawara Is. (=Bonin, s of Japan), Northwestern and main Hawaiian is. and Johnson Atoll (sw of Hawaii), Kiribati and Marquesas Is. (e Polynesia)</t>
  </si>
  <si>
    <t>Change English name of Woolly-necked Stork Ciconia episcopus to Asian Woolly-necked Stork with the split of African Woolly-necked Stork.</t>
  </si>
  <si>
    <t>TrO : widespread, islands of tropical Indian and Pacific oceans, local e of e Brazil (tropical Atlantic Ocean)</t>
  </si>
  <si>
    <t>TrO : widespread, subtropical and tropical islands</t>
  </si>
  <si>
    <t>TrO : widespread tropical and subtropical ocean islands</t>
  </si>
  <si>
    <t>OR, AU : coastal and inland Java and Sulawesi through New Guinea region, sw, e Australia including Tasmania, New Caledonia and North I. (New Zealand)</t>
  </si>
  <si>
    <t>Australasian region to Malay Archipelago</t>
  </si>
  <si>
    <t>PAL, AU, OR, NA, AF : worldwide in temperate and tropical zones, coastal and inland, except only nw coast of Africa and in West Hemisphere nw North Atlantic coast only</t>
  </si>
  <si>
    <t>Worldwide but disjunctly: s Europe, Sub-Saharan Africa, Madagascar, c, s Asia to Philippines, Sulawesi, Java and Australia; also e and Gulf coasts of N America, Caribbean and n Venezuela</t>
  </si>
  <si>
    <t>PAL, IO, OR : Oman, Inner Is. (ne Seychelles), Pakistan and Sri Lanka through se Russia and Japan s to se Asia, Indonesian Arch., Philippines to w Micronesia</t>
  </si>
  <si>
    <t>*Butorides striatus</t>
  </si>
  <si>
    <t>S and E Asia to Indian subcontinent, Australia and New Zealand</t>
  </si>
  <si>
    <t>*Egretta alba</t>
  </si>
  <si>
    <t>*Egretta intermedia</t>
  </si>
  <si>
    <t>Restore English name as simply "Osprey" with lump of Eastern and Western Ospreys.</t>
  </si>
  <si>
    <t>*Spizaetus cirrhatus</t>
  </si>
  <si>
    <t>*Spizaetus philippensis</t>
  </si>
  <si>
    <t>*Hieraaetus kienerii</t>
  </si>
  <si>
    <t>*Ichthyophaga ichthyaetus</t>
  </si>
  <si>
    <t>Change the English names of all South Asian Ninox species from Hawk-Owl to Boobook to align with other major world bird lists.</t>
  </si>
  <si>
    <t>Revisions of the Philippine Hawk-Owl species complex follow Rasmussen et al. (2012); change English name of Ninox philippensis from Philippine Hawk-Owl to Luzon Hawk-Owl. Change the English names of all Philippine Ninox species from Hawk-Owl to Boobook to align with other major world bird lists.</t>
  </si>
  <si>
    <t>AS. ENG</t>
  </si>
  <si>
    <t>Mindanao Hawk-Owl is split from Philippine Hawk-Owl (Rasmussen et al. 2012). Change the English names of all Philippine Ninox species from Hawk-Owl to Boobook to align with other major world bird lists.</t>
  </si>
  <si>
    <t>NEW, ENG</t>
  </si>
  <si>
    <t>New species: Rasmussen et al., 2012. Change the English names of all Philippine Ninox species from Hawk-Owl to Boobook to align with other major world bird lists.</t>
  </si>
  <si>
    <t>Sulu Hawk-Owl is split from Philippine Hawk-Owl (Rasmussen et al. 2012). Change the English names of all Philippine Ninox species from Hawk-Owl to Boobook to align with other major world bird lists.</t>
  </si>
  <si>
    <t>Romblon Hawk-Owl is split from Philippine Hawk-Owl (Rasmussen et al. 2012). Change the English names of all Philippine Ninox species from Hawk-Owl to Boobook to align with other major world bird lists.</t>
  </si>
  <si>
    <t>Mindoro Hawk-Owl is split from Philippine Hawk-Owl (Rasmussen et al. 2012). Change the English names of all Philippine Ninox species from Hawk-Owl to Boobook to align with other major world bird lists.</t>
  </si>
  <si>
    <t>*Mimizuku gurneyi</t>
  </si>
  <si>
    <t>Resequence Giant Scops Owl (Mimizuku), which belongs in Otus (Miranda et al. 2011; Salter et al. 2020).</t>
  </si>
  <si>
    <t>*Otus megalotis</t>
  </si>
  <si>
    <t>Reassign from Bubo to Ketupa to align with WGAC and Clements (2022). See comment after genus Ketupa.</t>
  </si>
  <si>
    <t>*Halcyon capensis</t>
  </si>
  <si>
    <t>Brown-breasted Kingfisher Halcyon gularis is split from H. smyrnensis based on plumage and vocalizations (Collar 2011b; Allen 2020; HBW/BirdLife).</t>
  </si>
  <si>
    <t>*Halcyon winchelli</t>
  </si>
  <si>
    <t>*Halcyon chloris</t>
  </si>
  <si>
    <t>*Ceyx erithacus</t>
  </si>
  <si>
    <t>*Alcedo cyanopecta</t>
  </si>
  <si>
    <t>*Alcedo argentata</t>
  </si>
  <si>
    <t>Rufous-crowned Bee-eater Merops americanus is split from M. viridis based on morphological differences (Collar 2011b; Allen 2020; HBW/BirdLife).</t>
  </si>
  <si>
    <t>OR : Philippines to islands off ne Borneo</t>
  </si>
  <si>
    <t>C - Away from Sulu</t>
  </si>
  <si>
    <t>Move from Trichoglossus to Saudareos gen. nov.: Joseph et al., 2020.</t>
  </si>
  <si>
    <t>Black-billed Hanging Parrot Loriculus bonapartei is split from Philippine Hanging Parrot L. philippensis on the basis of differences in bill and leg color and some differences in plumage (Allen 2020).</t>
  </si>
  <si>
    <t>*Eurylaimus steerii</t>
  </si>
  <si>
    <t>*Pitta kochi</t>
  </si>
  <si>
    <t>*Pitta erythrogaster</t>
  </si>
  <si>
    <t>OR : ne Indian coasts and Andaman Is. to Vietnam, Sumatra and satellites, Borneo, Maratua (e of ne Borneo), islands in Java Sea, Java, Bali and Lombok (w Lesser Sundas) and Palawan (sw Philippines)</t>
  </si>
  <si>
    <t>southern Philippines (Palawan, Busuanga, Mapun, Culion, Balabac)</t>
  </si>
  <si>
    <t>*Dicrurus hottentottus</t>
  </si>
  <si>
    <t>Corvus (enca) pusillus</t>
  </si>
  <si>
    <t>*Parus elegans</t>
  </si>
  <si>
    <t>*Parus amabilis</t>
  </si>
  <si>
    <t>AF, OR, AU : Sub-Saharan Africa and Arabian Pen. to India, se Asia, China, and Philippines to n, e Australia</t>
  </si>
  <si>
    <t>*Hypsipetes palawanensis</t>
  </si>
  <si>
    <t>Camiguin Sur (s Philippines)</t>
  </si>
  <si>
    <t>*Hypsipetes everetti</t>
  </si>
  <si>
    <t>OR : Zamboanga Pen. to wc Mindanao and Basilan (sw Philippines)</t>
  </si>
  <si>
    <t>*Orthotomus cucullatus</t>
  </si>
  <si>
    <t>Revert spelling of species epithet to the emended cucullatus. The original spelling with one "l" is an incorrect spelling of the Latin word with two "ll's"intended to mean "hooded" as per the French vernacular name in the original description "Orthotome Chaperonné", not the Latin word meaning cuckoo-like spelled with one "l". (Dickinson &amp; Christidis 2014; HBW).</t>
  </si>
  <si>
    <t>*Orthotomus heterolaemus</t>
  </si>
  <si>
    <t>*Cettia seebohmi</t>
  </si>
  <si>
    <t>*Cettia diphone</t>
  </si>
  <si>
    <t>OR : Himalayas to n Vietnam and c China and montane Greater and Lesser Sundas and Palawan (sw Philippines)</t>
  </si>
  <si>
    <t>*Cettia vulcania</t>
  </si>
  <si>
    <t>PAL, NA : Fennoscandia (n Europe) through Siberia and Mongolia to Russian Far East (except Kamchatka) to ne China; also w Alaska</t>
  </si>
  <si>
    <t>*Napothera rabori.</t>
  </si>
  <si>
    <t>*Bradypterus caudatus</t>
  </si>
  <si>
    <t>OR, AU : Philippines, Sulawesi, Ambon (c Moluccas), c, e Lesser Sundas, sc New Guinea and n, e Australia</t>
  </si>
  <si>
    <t>*Stachyris speciosa</t>
  </si>
  <si>
    <t>*Stachyris plateni</t>
  </si>
  <si>
    <t>*Stachyris capitalis</t>
  </si>
  <si>
    <t>*Stachyris dennistouni</t>
  </si>
  <si>
    <t>Philippines (s Sierra Madre Mountains of s Luzon)</t>
  </si>
  <si>
    <t>*Sterrhoptilus nigrocapitatus</t>
  </si>
  <si>
    <t>*Stachyris nigrocapitatus</t>
  </si>
  <si>
    <t>*Stachyris hypogrammicus</t>
  </si>
  <si>
    <t>*Stachyris striatus</t>
  </si>
  <si>
    <t>*Stachyris whiteheadi</t>
  </si>
  <si>
    <t>*Stachyris latistriatus</t>
  </si>
  <si>
    <t>*Stachyris nigrorum</t>
  </si>
  <si>
    <t>*Zosterops montanus</t>
  </si>
  <si>
    <t>*Macronous gularis</t>
  </si>
  <si>
    <t>OR : islands e of Malay Pen. and Sumatra; Java and Borneo</t>
  </si>
  <si>
    <t>Mixornis bornensis is split from M. gularis (Collar 2006a; but see Cros &amp; Rheindt 2017).</t>
  </si>
  <si>
    <t>*Macronous striaticeps</t>
  </si>
  <si>
    <t>*Trichastoma cinereiceps</t>
  </si>
  <si>
    <t>Philippines (Palawan, Busuanga, Balabac, Culion and Calamian)</t>
  </si>
  <si>
    <t>*Irena puella</t>
  </si>
  <si>
    <t>*Irena cyanogaster</t>
  </si>
  <si>
    <t>*Basilornis miranda</t>
  </si>
  <si>
    <t>*Sturnus sericeus</t>
  </si>
  <si>
    <t>*Sturnus cineraceus</t>
  </si>
  <si>
    <t>*Sturnus philippensis</t>
  </si>
  <si>
    <t>*Sturnus sinensis</t>
  </si>
  <si>
    <t>*Rhabdornis inornatus</t>
  </si>
  <si>
    <t>*Zoothera interpres</t>
  </si>
  <si>
    <t>*Zoothera cinerea</t>
  </si>
  <si>
    <t>*Copsychus luzoniensis</t>
  </si>
  <si>
    <t>N Philippines (mountains of n and central Luzon)</t>
  </si>
  <si>
    <t>OR : s Luzon and Catanduanes (n Philippines)</t>
  </si>
  <si>
    <t>N Philippines (mountains of s Luzon and Catanduanes)</t>
  </si>
  <si>
    <t>Luzon (South)</t>
  </si>
  <si>
    <t>Sulu Archipelago (Pangamican and Tawitawi)</t>
  </si>
  <si>
    <t>*Cyornis ruficauda</t>
  </si>
  <si>
    <t>Chestnut-tailed Jungle Flycatcher</t>
  </si>
  <si>
    <t>Negros Jungle Flycatcher</t>
  </si>
  <si>
    <t>Rusty-flanked Jungle Flycatcher</t>
  </si>
  <si>
    <t>Mindanao Jungle Flycatcher</t>
  </si>
  <si>
    <t>Qilian Bluetail Tarsiger albocoeruleus (resurrected name) is a proposed split from Red-flanked Bluetail T. cyanurus based on strong differences in song and morphometrics supported by phylogenetic analysis (Wei et al. 2022).</t>
  </si>
  <si>
    <t>*Nectarinia sperata</t>
  </si>
  <si>
    <t>*Nectarinia calcostetha</t>
  </si>
  <si>
    <t>*Nectarinia jugularis</t>
  </si>
  <si>
    <t>*Aethopyga primigenius</t>
  </si>
  <si>
    <t>OR : tropical e Asian cloudforest: montane Mindanao (s Philippines)</t>
  </si>
  <si>
    <t>PAL, OR : subarctic to tropics of Palearctic and Oriental regions in farms, parks, cities: British Is., s Scandinavia, se Murmansk e to s Chukotka, Kamchatka, and Commander Is. (nw to ne Russia), in s to Iberian Pen., Gran Canaria (c Canary Is., Macaronesia, w of n Africa), Mediterranean is. through Turkey, n Iran, sc Pakistan, Tibet, c, e Himalayas through se Asia, e Asian is. from Kuril Is., all Japan, Taiwan, all Philippines and Indonesian Arch.; introduced many other places</t>
  </si>
  <si>
    <t>short-distance wandering</t>
  </si>
  <si>
    <t>*Padda oryzivora</t>
  </si>
  <si>
    <t>AF, OR : wc to ec Africa, se Asia to e China, Philippines</t>
  </si>
  <si>
    <t>PAL : subarctic to temperate Palearctic in forest to scrub, montane in c, s: s, e Scandinavia and nw Europe (except British Is.) through n subarctic Russia to w Chukotskiy Pen. and Kamchatka (e Russia); in s through n France, Switzerland, Slovenia to Bulgaria, n Turkey and the Caucasus, n Iran, c, s Afghanistan n to the Altai and s through Himalayas to nw Yunnan, Shaanxi and w Guizhou (nc, sc China)</t>
  </si>
  <si>
    <t>to lowland cultivation and scrub in Indian Pen., n, c se Asia to e China</t>
  </si>
  <si>
    <t>PAL, OR, NA, MA : subarctic to subtropical Holarctic conifer forest: British Is., Scandinavia (except far n) e across Russia to Sea of Okhotsk, Sakhalin and s Kuril Is. (se Russia), Hokkaido to c Honshu (n, c Japan), n Korean Pen., in s through Iberian Pen., Morocco to Tunisia (nw, nc Africa), e through Mediterranean, Turkey, Caucasus, Altai of e Kyrgyzstan, e Kazakhstan, nw Xinjiang (nw China), s, c Mongolia to Heilongjiang and Hebei (ne China); disjunctly wc to e Himalayas, se Tibet, Qinghai and Gansu to nw Yunnan; s Vietnam; Luzon (n Philippines); se Alaska e to Newfoundland (ne Canada), s to n Baja California (nw Mexico), Rocky and Appalachian mts., s through Nicaragua</t>
  </si>
  <si>
    <t>irruptively southward</t>
  </si>
  <si>
    <t>*Serinus estherae</t>
  </si>
  <si>
    <t>PAL : Subarctic to montane low temperate Palearctic forest and woods: British Is., n Scandinavia through Russia, nc Kazakhstan and nc Mongolia to Sea of Okhotsk, Sakhalin and Kuril Is. (e Russia), Hokkaido, n Honshu (n Japan), n Inner Mongolia and Heilongjiang (ne China) s  to montane c Iberian Pen., Corsica, Italy, Greece, Balkans, n Turkey, Caucasus and n Iran</t>
  </si>
  <si>
    <t>irruptive in temperate to subtropical Palearctic forest, groves, parks: to Canary Is. (Macaronesia, w of n Africa), n Africa, Israel, Iraq, n, e Arabian Pen., all Japan, Korean Pen., Taiwan and sc, se China</t>
  </si>
  <si>
    <t>*Carduelis spinus</t>
  </si>
  <si>
    <t>c PAL, s USA</t>
  </si>
  <si>
    <t>PAL : disjunctly in subtropical w Himalayas, c China and n temperate ne Asia, in scrubby hills: montane nw Pakistan through Himalayas to c Nepal; Sichuan and s Shaanxi s to se Tibet, Yunnan and Guizhou; nc, ne Mongolia, s Transbaikalia to Sakhalin (se Russia), Nei Mongol and Heilongjiang (ne China) s to Korean Pen., s Kuril Is. to Kyushu (n to s Japan); and Zhejiang and Fujian (ec China)</t>
  </si>
  <si>
    <t>s temperate to subtropical e Asian marshes and fields: from lower in Himalayas to e India and Bangladesh, se Asia (except Malay Pen.), c, e China, Korean Pen. and Honshu s to Izu and Ryukyu is. (c to s, se Japan)</t>
  </si>
  <si>
    <t>PAL : low Arctic to n temperate Palearctic in shrubby tundra to taiga: far n Scandinavia through Russia to Chukotka; in s to far nc Mongolia (probably) and disjunctly in ne China</t>
  </si>
  <si>
    <t>subtropical e Asian edges and open areas: to nc, ne India, n Bangladesh, n se Asia, s, e China, Korean Pen., Ryukyu Is. (=Nansei Shoto, s Japan) and Taiwan</t>
  </si>
  <si>
    <t>PAL : temperate e Palearctic taiga: Irkutsk Oblast and Sakha Republic (sc, ec Russia)</t>
  </si>
  <si>
    <t>subtropical e Asia forest edge: to sc, e China</t>
  </si>
  <si>
    <t>Taiga of central Siberia; &gt; in central and se China</t>
  </si>
  <si>
    <t>PAL : subarctic to n temperate Palearctic bushy areas: Murmansk (far nw Russia; formerly e Finland) e to s Chukotka, Kamchatka, Kuril and Commander is., Sakhalin (e Russia); in s to far n Kazakhstan, far n Xinjiang (nw China), n, c Mongolia, n Inner Mongolia and Heilongjiang (ne China) and far n Hokkaido (n Japan)</t>
  </si>
  <si>
    <t>subtropical e Asian fields: sub-Himalayan zone from c Nepal e through se Asia (except s Malay Pen.) and se China</t>
  </si>
  <si>
    <t>PAL : temperate c, ec Palearctic open forest: sc Russia and nc Mongolia to s Sea of Okhotsk and Ussuriland (se Russia) and ne Inner Mongolia and Heilongjiang (ne China)</t>
  </si>
  <si>
    <t>subtropical e Asian openings and fields: Nagaland to Mizoram (ne India), n, c se Asia and s China</t>
  </si>
  <si>
    <t>Siberia to n Mongolia and ne China; &gt; to India and SE Asia</t>
  </si>
  <si>
    <t>PAL : sc Europe to sw Asian open woods, scrub: sw France, Italy, Balkans ne to se Ukraine and sw Russia and Caucasus; in s to Greece, Crete, Turkey, Cyprus to n Israel and n Jordan, e through nw Syria and n Iraq to nc, se Iran</t>
  </si>
  <si>
    <t>w Indian fields, thickets: far w to nc plains and s to sc Indian Pen.</t>
  </si>
  <si>
    <t>PAL : temperate far e Palearctic forest edge: montane n, c Honshu (nc Japan)</t>
  </si>
  <si>
    <t>far se Asian scrub, fields: se China, Taiwan and (mainly) n Philippines</t>
  </si>
  <si>
    <t>PAL : temperate nc, ne, c Palearctic shrubby areas in woodland: sc Russia and n Mongolia e to Sea of Okhotsk and n Sakhalin (se Russia) and s to ne Inner Mongolia, n Heilongjiang (ne China) and n, c Korean Pen.; disjunctly Qinghai and Shaanxi s to Yunnan and Guizhou (c China)</t>
  </si>
  <si>
    <t>PAL, OR : subtropical e Asian disturbed areas, wetlands : c Nepal through ne Himalayas, n se Asia, s, e China, Taiwan and Ryukyu Is. (=Nansei Shoto, s Japan)</t>
  </si>
  <si>
    <t>Reed Bunting</t>
  </si>
  <si>
    <t>PAL : subarctic to temperate Palearctic marshes: British Is., Scandinavia and nw Russia through Sea of Okhotsk, Kamchatka, Kuril Is. and Sakhalin (e Russia); in s through Iberian Pen. and nw Morocco, e through Mediterranean, Turkey, Caucasus, n, sc Iran, Turkmenistan and Tajikistan to n Xinjiang (nw China), w Mongolia, ne China and Hokkaido and n Honshu (n Japan)</t>
  </si>
  <si>
    <t>short-range southward movements into wider habitat range</t>
  </si>
  <si>
    <t>6_3</t>
  </si>
  <si>
    <t>7_2</t>
  </si>
  <si>
    <t>8_4</t>
  </si>
  <si>
    <t>10_2</t>
  </si>
  <si>
    <t>14_1</t>
  </si>
  <si>
    <t>18_1</t>
  </si>
  <si>
    <t>23_1</t>
  </si>
  <si>
    <t>32_1</t>
  </si>
  <si>
    <t>32_2</t>
  </si>
  <si>
    <t>32_3</t>
  </si>
  <si>
    <t>32_4</t>
  </si>
  <si>
    <t>33_2</t>
  </si>
  <si>
    <t>35_4</t>
  </si>
  <si>
    <t>36_2</t>
  </si>
  <si>
    <t>40_1</t>
  </si>
  <si>
    <t>41_5</t>
  </si>
  <si>
    <t>44_2</t>
  </si>
  <si>
    <t>44_3</t>
  </si>
  <si>
    <t>48_1</t>
  </si>
  <si>
    <t>48_2</t>
  </si>
  <si>
    <t>49_1</t>
  </si>
  <si>
    <t>49_2</t>
  </si>
  <si>
    <t>53_3</t>
  </si>
  <si>
    <t>53_4</t>
  </si>
  <si>
    <t>54_2</t>
  </si>
  <si>
    <t>55_2</t>
  </si>
  <si>
    <t>58_1</t>
  </si>
  <si>
    <t>59_2</t>
  </si>
  <si>
    <t>61_4</t>
  </si>
  <si>
    <t>62_1</t>
  </si>
  <si>
    <t>62_2</t>
  </si>
  <si>
    <t>63_1</t>
  </si>
  <si>
    <t>63_2</t>
  </si>
  <si>
    <t>67_5</t>
  </si>
  <si>
    <t>68_1</t>
  </si>
  <si>
    <t>68_2</t>
  </si>
  <si>
    <t>68_3</t>
  </si>
  <si>
    <t>68_4</t>
  </si>
  <si>
    <t>69_3</t>
  </si>
  <si>
    <t>69_4</t>
  </si>
  <si>
    <t>70_6</t>
  </si>
  <si>
    <t>71_1</t>
  </si>
  <si>
    <t>71_2</t>
  </si>
  <si>
    <t>74_3</t>
  </si>
  <si>
    <t>75_5</t>
  </si>
  <si>
    <t>76_1</t>
  </si>
  <si>
    <t>77_1</t>
  </si>
  <si>
    <t>77_2</t>
  </si>
  <si>
    <t>78_3</t>
  </si>
  <si>
    <t>79_3</t>
  </si>
  <si>
    <t>80_4</t>
  </si>
  <si>
    <t>81_1</t>
  </si>
  <si>
    <t>82_1</t>
  </si>
  <si>
    <t>82_2</t>
  </si>
  <si>
    <t>82_3</t>
  </si>
  <si>
    <t>83_2</t>
  </si>
  <si>
    <t>86_1</t>
  </si>
  <si>
    <t>90_1</t>
  </si>
  <si>
    <t>90_2</t>
  </si>
  <si>
    <t>91_2</t>
  </si>
  <si>
    <t>94_3</t>
  </si>
  <si>
    <t>95_1</t>
  </si>
  <si>
    <t>95_2</t>
  </si>
  <si>
    <t>95_4</t>
  </si>
  <si>
    <t>99_1</t>
  </si>
  <si>
    <t>99_2</t>
  </si>
  <si>
    <t>99_3</t>
  </si>
  <si>
    <t>100_1</t>
  </si>
  <si>
    <t>100_2</t>
  </si>
  <si>
    <t>100_3</t>
  </si>
  <si>
    <t>104_1</t>
  </si>
  <si>
    <t>104_2</t>
  </si>
  <si>
    <t>104_3</t>
  </si>
  <si>
    <t>104_4</t>
  </si>
  <si>
    <t>105_1</t>
  </si>
  <si>
    <t>105_2</t>
  </si>
  <si>
    <t>105_3</t>
  </si>
  <si>
    <t>105_4</t>
  </si>
  <si>
    <t>109_1</t>
  </si>
  <si>
    <t>109_3</t>
  </si>
  <si>
    <t>109_4</t>
  </si>
  <si>
    <t>110_9</t>
  </si>
  <si>
    <t>113_1</t>
  </si>
  <si>
    <t>114_2</t>
  </si>
  <si>
    <t>115_2</t>
  </si>
  <si>
    <t>115_3</t>
  </si>
  <si>
    <t>115_4</t>
  </si>
  <si>
    <t>116_1</t>
  </si>
  <si>
    <t>117_1</t>
  </si>
  <si>
    <t>121_1</t>
  </si>
  <si>
    <t>121_2</t>
  </si>
  <si>
    <t>121_3</t>
  </si>
  <si>
    <t>122_6</t>
  </si>
  <si>
    <t>122_7</t>
  </si>
  <si>
    <t>122_8</t>
  </si>
  <si>
    <t>122_9</t>
  </si>
  <si>
    <t>125_6</t>
  </si>
  <si>
    <t>129_4</t>
  </si>
  <si>
    <t>130_1</t>
  </si>
  <si>
    <t>130_4</t>
  </si>
  <si>
    <t>133_1</t>
  </si>
  <si>
    <t>134_2</t>
  </si>
  <si>
    <t>136_4</t>
  </si>
  <si>
    <t>136_6</t>
  </si>
  <si>
    <t>140_1</t>
  </si>
  <si>
    <t>142_2</t>
  </si>
  <si>
    <t>148_1</t>
  </si>
  <si>
    <t>148_2</t>
  </si>
  <si>
    <t>152_4</t>
  </si>
  <si>
    <t>166_3</t>
  </si>
  <si>
    <t>227_2</t>
  </si>
  <si>
    <t>239_1</t>
  </si>
  <si>
    <t>259_1</t>
  </si>
  <si>
    <t>asian woolly-necked stork</t>
  </si>
  <si>
    <t>262_3</t>
  </si>
  <si>
    <t>263_3</t>
  </si>
  <si>
    <t>265_2</t>
  </si>
  <si>
    <t>266_4</t>
  </si>
  <si>
    <t>osprey</t>
  </si>
  <si>
    <t>299_3</t>
  </si>
  <si>
    <t>301_1</t>
  </si>
  <si>
    <t>320_2</t>
  </si>
  <si>
    <t>brown boobook</t>
  </si>
  <si>
    <t>luzon boobook</t>
  </si>
  <si>
    <t>romblon boobook</t>
  </si>
  <si>
    <t>342_4</t>
  </si>
  <si>
    <t>348_1</t>
  </si>
  <si>
    <t>350_3</t>
  </si>
  <si>
    <t>351_1</t>
  </si>
  <si>
    <t>362_1</t>
  </si>
  <si>
    <t>362_2</t>
  </si>
  <si>
    <t>363_1</t>
  </si>
  <si>
    <t>363_2</t>
  </si>
  <si>
    <t>374_3</t>
  </si>
  <si>
    <t>375_1</t>
  </si>
  <si>
    <t>393_3</t>
  </si>
  <si>
    <t>395_3</t>
  </si>
  <si>
    <t>396_2</t>
  </si>
  <si>
    <t>412_1</t>
  </si>
  <si>
    <t>424_3</t>
  </si>
  <si>
    <t>424_5</t>
  </si>
  <si>
    <t>426_2</t>
  </si>
  <si>
    <t>428_2</t>
  </si>
  <si>
    <t>433_13</t>
  </si>
  <si>
    <t>433_14</t>
  </si>
  <si>
    <t>433_15</t>
  </si>
  <si>
    <t>439_3</t>
  </si>
  <si>
    <t>443_2</t>
  </si>
  <si>
    <t>444_1</t>
  </si>
  <si>
    <t>444_2</t>
  </si>
  <si>
    <t>444_3</t>
  </si>
  <si>
    <t>446_1</t>
  </si>
  <si>
    <t>446_2</t>
  </si>
  <si>
    <t>446_3</t>
  </si>
  <si>
    <t>448_2</t>
  </si>
  <si>
    <t>475_1</t>
  </si>
  <si>
    <t>475_2</t>
  </si>
  <si>
    <t>480_9</t>
  </si>
  <si>
    <t>483_6</t>
  </si>
  <si>
    <t>483_7</t>
  </si>
  <si>
    <t>498_1</t>
  </si>
  <si>
    <t>501_1</t>
  </si>
  <si>
    <t>507_3</t>
  </si>
  <si>
    <t>508_1</t>
  </si>
  <si>
    <t>509_6</t>
  </si>
  <si>
    <t>aberrant bush warbler</t>
  </si>
  <si>
    <t>516_1</t>
  </si>
  <si>
    <t>520_1</t>
  </si>
  <si>
    <t>549_2</t>
  </si>
  <si>
    <t>583_2</t>
  </si>
  <si>
    <t>585_1</t>
  </si>
  <si>
    <t>585_2</t>
  </si>
  <si>
    <t>585_3</t>
  </si>
  <si>
    <t>601_1</t>
  </si>
  <si>
    <t>609_2</t>
  </si>
  <si>
    <t>614_2</t>
  </si>
  <si>
    <t>620_1</t>
  </si>
  <si>
    <t>630_1</t>
  </si>
  <si>
    <t>630_2</t>
  </si>
  <si>
    <t>632_2</t>
  </si>
  <si>
    <t>632_3</t>
  </si>
  <si>
    <t>philippine shortwing</t>
  </si>
  <si>
    <t>639_1</t>
  </si>
  <si>
    <t>640_2</t>
  </si>
  <si>
    <t>645_4</t>
  </si>
  <si>
    <t>645_5</t>
  </si>
  <si>
    <t>645_6</t>
  </si>
  <si>
    <t>656_6</t>
  </si>
  <si>
    <t>656_7</t>
  </si>
  <si>
    <t>656_8</t>
  </si>
  <si>
    <t>664_2</t>
  </si>
  <si>
    <t>673_1</t>
  </si>
  <si>
    <t>673_2</t>
  </si>
  <si>
    <t>674_3</t>
  </si>
  <si>
    <t>681_1</t>
  </si>
  <si>
    <t>681_2</t>
  </si>
  <si>
    <t>682_1</t>
  </si>
  <si>
    <t>682_2</t>
  </si>
  <si>
    <t>682_3</t>
  </si>
  <si>
    <t>690_1</t>
  </si>
  <si>
    <t>690_2</t>
  </si>
  <si>
    <t>690_3</t>
  </si>
  <si>
    <t>694_1</t>
  </si>
  <si>
    <t>694_2</t>
  </si>
  <si>
    <t>694_3</t>
  </si>
  <si>
    <t>720_2</t>
  </si>
  <si>
    <t>721_1</t>
  </si>
  <si>
    <t>721_2</t>
  </si>
  <si>
    <t>Hutchinson, R., Allen, D., Constantino, A.M.,  Dobbs, G.E., Jensen A.E. and Perez C. (2022). New bird records from the Philippines, 2015−2021. Journal of Asian Ornothology 38 (2022): 100–112</t>
  </si>
  <si>
    <t>NrRecs: 1. First record: Hinactacan, Lapaz, Iloilo, 05 - 25 Feb 2017 by Rachel Casio, Mam Melba Salditos and DENR Region 6 (Hutchinson et al. (2022))</t>
  </si>
  <si>
    <t>NrRecs: 2. First record: (7) Kavaywen Lake, Itbayat, Batanes, 09 - 10 Nov 2022 by Robert Hutchinson</t>
  </si>
  <si>
    <t>NrRecs: 4. First record: Kavaywan Lake, Raele, Itbayat, Batanes, 14 - 29 Mar 2018 by Sammy Telan, Cecil Morella, Angie Macunan (Hutchinson et al. (2022))</t>
  </si>
  <si>
    <t>NrRecs: 2. First record: Chadpidan, Basco, Batanes, 20 Oct 2022 by Robert Hutchinson</t>
  </si>
  <si>
    <t>NrRecs: 2. First record: (2) Buenavista, Virac, Catanduanes, 07 Feb 2006 by Editha A. Milan, CENRO Virac (Jensen et al. (2015))</t>
  </si>
  <si>
    <t>NrRecs: 2. First record: Magat Dam, Nueva Ecija, 25 Nov 2001 by M. van Weerd, J. van den Ploeg (van Weerd et al. (2004))</t>
  </si>
  <si>
    <t>First record: (2) Candaba Marsh, Pampanga, 25 Nov 1978 by E. Dickinson, Steve Gast (Kennedy et al. (1980))</t>
  </si>
  <si>
    <t>First record: Calayan Island, Cagayan, 07 Dec 1903 by R.C. McGregor (McGregor, R.C. (1904))</t>
  </si>
  <si>
    <t>First record: Batan Island, Batanes, 15 Jul 1948 by unknown (Kennedy et al.(2000))</t>
  </si>
  <si>
    <t>NrRecs: 4. First record: (2) Candaba Marsh, Pampanga, 04 Mar 1979 by P. Glass, S. Gast &amp; Tim Fisher (Glass et al. (1979))</t>
  </si>
  <si>
    <t>NrRecs: 1. First record: Batan, Batanes, 17 Jan - 01 Mar 2018 by Sammy Telan, Olanski Balbido (Hutchinson et al. (2022))</t>
  </si>
  <si>
    <t>NrRecs: 2. First record: Novaliches, Rizal, 29 Nov 1930 by R.C. McGregor &amp; C.G. Manual (McGregor et al. (1936))</t>
  </si>
  <si>
    <t>NrRecs: 1. First record: Visita, Dalupiri Island, Cagayan, 21 May 2004 by D. Allen, C. Espanola, G. Broad, C. Oliveros, JCT Gonzalez (Allen et al. (2006))</t>
  </si>
  <si>
    <t>NrRecs: 5. First record: Aborlan, Palawan, 19 Feb 2011 by Alex Tiongco and Jimmy Chew (Jensen et al. (2015))</t>
  </si>
  <si>
    <t>NrRecs: 1. First record: Jolo, Sulu, 09 May 1883 by Powell (Dickinson et al. (1991))</t>
  </si>
  <si>
    <t>NrRecs: 1. First record: (3) Calayan Island, Cagayan, 01 Jul 2008 - 01 Jun 2010 by C.H.Oliveros, C.A. Layusa, Christian Perez (Oliveros et al. (2010))</t>
  </si>
  <si>
    <t>NrRecs: 1. First record: (7) Beilon, San Isidro, Siargao Island, Surigao del Norte, 25 Feb - 16 Mar 2020 by Gregory Laude (Hutchinson et al. (2022))</t>
  </si>
  <si>
    <t>First record: Iwahig, Puerto Princesa, Palawan, 08 Mar 1991 by Nigel Redman (Redman, N. (1993))</t>
  </si>
  <si>
    <t>NrRecs: 1. First record: Minagas Point, Dalauan Bay, Balabac, Palawan, 29 Apr 1982 by unknown (Dickinson et al. (1991))</t>
  </si>
  <si>
    <t>First record: Laog River, Ilocos Norte, 06 Feb 1907 by E.A. Mearns (Dickinson et al. (1991))</t>
  </si>
  <si>
    <t>NrRecs: 1. First record: IRRI, Los Banos, Laguna, 10 Oct 2013 by Paul Bourdin (Jensen et al. (2015))</t>
  </si>
  <si>
    <t>NrRecs: 4. First record: Candaba Marsh, Pampanga, 07 - 13 Jan 2008 by Fergus Crystal, Alex Loinaz (Jensen et al. (2015))</t>
  </si>
  <si>
    <t>NrRecs: 1. First record: Basco, Batanes, 12 Mar 2020 by Agerico Merida (Hutchinson et al. (2022))</t>
  </si>
  <si>
    <t>NrRecs: 2. First record: Apalit, Pampanga, 23 Nov 1930 by Francisco Rivera (Dickinson et al. (1991))</t>
  </si>
  <si>
    <t>NrRecs: 1. First record: (2) Candaba Marsh, Pampanga, 20 Dec 1994 by JC Gonzales (Shigeta et al. (2002))</t>
  </si>
  <si>
    <t>NrRecs: 6. First record: Cavite City, Cavite, 29 Sep 1910 by Dr C. H. Curl (McGregor, R.C. (1918))</t>
  </si>
  <si>
    <t>NrRecs: 4. First record: Times Beach, Davao City, 25 Feb 1987 by Jesper Hornskov (Hornskov, J. (1996))</t>
  </si>
  <si>
    <t>NrRecs: 5. First record: NW of Bancoran Island, Sulu Sea, Palawan, 21 Oct 2004 by Arne Jensen (Jensen et al. (2015))</t>
  </si>
  <si>
    <t>NrRecs: 5. First record: Sto. Tomas, La Union, 09 Jan - 02 Feb 2015 by Romy Ocon (Hutchinson et al. (2022))</t>
  </si>
  <si>
    <t>NrRecs: 2. First record: Tanza Sand Bar, Navotas, NCR, 07 Sep - 24 Oct 2021 by Irene Dy (Hutchinson et al. (2022))</t>
  </si>
  <si>
    <t>NrRecs: 1. First record: Bucana Beach, Davao, 12 Apr 2014 by Pete Simpson (Jensen et al. (2015))</t>
  </si>
  <si>
    <t>First record: Olango Island, Cebu, 01 Mar 1991 by Nigel Redman (Redman, N. (1993))</t>
  </si>
  <si>
    <t>NrRecs: 2. First record: Laoag, Ilocos Norte, 29 Dec 2013 - 05 Jan 2014 by Robert Hutchinson, Kathleen Arce, Irene Dy, Richard Ruiz, Melanie Tan (Jensen et al. (2015))</t>
  </si>
  <si>
    <t>NrRecs: 6. First record: Luzon, 01 Jan 1896 by G. Hartlaub (Hartlaub, G. (1899))</t>
  </si>
  <si>
    <t>NrRecs: 11. First record: Davao Gulf, 06 Nov 1991 by Bird Migration Research Center 1993 (Kennedy et al. (2000))</t>
  </si>
  <si>
    <t>NrRecs: 8. First record: Cebu Reclamation Area, Cebu City, 26 Jan 2008 by Alex Loinaz, Cel Tungol, Alex Tiongco, Tere Cervero (Hutchinson et al. (2022))</t>
  </si>
  <si>
    <t>First record: Binuangan, Obando, Bulacan, 04 Jan 1931 by R. C. McGregor &amp; C.G. Manual (McGregor et al. (1936))</t>
  </si>
  <si>
    <t>NrRecs: 1. First record: Panampangan Island, Panglima Sugala, Tawi-Tawi, 21 Mar 2022 by Khaddafi Hairal</t>
  </si>
  <si>
    <t>First record: Near Gingoog, Misamis Oriental, 18 Jul 1961 by unknown (Dickinson et al. (1991))</t>
  </si>
  <si>
    <t>NrRecs: 2. First record: Babuyan Islands, Cagayan, 02 Apr 2014 by Shotaro Nakagun (Jensen et al. (2015))</t>
  </si>
  <si>
    <t>NrRecs: 1. First record: Sorsogon, Bicol, Luzon, 10 Jan 2014 by Annabelle Barquilla (submitter) (Jensen et al. (2015))</t>
  </si>
  <si>
    <t>NrRecs: 1. First record: San Mariano, Isabela, 07 Oct 1974 by Nakamura and Tanaka (Nakamura et al.  (1976))</t>
  </si>
  <si>
    <t>NrRecs: 1. First record: Off Amlan, Negros Oriental, 05 Mar 1961 by unknown (Rabor et al. (1970))</t>
  </si>
  <si>
    <t>NrRecs: 1. First record: Culasi, Antique, 20 Feb 2020 by Local fisherman, reported by Lisa Paguntalan (Hutchinson et al. (2022)). Found by a fisherman and turned over to CENRO (photographed by CENRO)</t>
  </si>
  <si>
    <t>NrRecs: 3. First record: Manila Bay, 21 Nov 1935 by R. C. McGregor &amp; C.G. Manual (McGregor et al. (1936))</t>
  </si>
  <si>
    <t>NrRecs: 3. First record: Laguna de Bay, 24 May 1926 by R. C. McGregor &amp; C.G. Manual (McGregor et al. (1936))</t>
  </si>
  <si>
    <t>NrRecs: 2. First record: Piddig, Ilocos Norte, 26 Dec 2018 by Michael Calaramo (Hutchinson et al. (2022))</t>
  </si>
  <si>
    <t>NrRecs: 2. First record: Maconacon, Isabela, 15 Apr 1997 by F. Danielsen et al. (Collar et al. (1999))</t>
  </si>
  <si>
    <t>NrRecs: 1. First record: Zamboanga College, Zamboanga City, 06 Jan 2022 by Joan Rebollos, Leo Bucoy Alejo</t>
  </si>
  <si>
    <t>NrRecs: 2. First record: Tayabas, Luzon, 16 Dec 1903 by unknown (Meyer de Schauensee (1957))</t>
  </si>
  <si>
    <t>First record: (6) Near Manila (date 1905), 01 Jan 1905 by R.C. McGregor (McGregor, R.C. ( Phil. J. Sci. 1905))</t>
  </si>
  <si>
    <t xml:space="preserve">First record: Location and date unknown (1999 or earlier), </t>
  </si>
  <si>
    <t>First record: Rizal Province, 22 Jan 1905 by M. Hachisuka (Dickinson et al. (1991))</t>
  </si>
  <si>
    <t>NrRecs: 1. First record: Lake Bito, Barangay Imelda, MacArthur, Leyte, 14 - 25 Jan 2009 by Arnulito Viojan (Custodio, C. (2009))</t>
  </si>
  <si>
    <t>NrRecs: 1. First record: Barangay Buayan, General Santos, South Cotabato, 07 - 16 Sep 2016 by Pete Simpson, Ivan Sarenas (Hutchinson et al. (2022))</t>
  </si>
  <si>
    <t>NrRecs: 1. First record: Batan Island, Batanes, 08 Sep 2002 by Darwin Salamagos (van der Ploeg et al. (2004))</t>
  </si>
  <si>
    <t>NrRecs: 1. First record: Galoc Oil Rig, 56km from Coron Island, Palawan, 11 Nov 2016 by Kim Pagente (Hutchinson et al. (2022))</t>
  </si>
  <si>
    <t>NrRecs: 10. First record: (3) Binuangan, Obando, Bulacan, 30 Dec 1927 by unknown (Dickinson et al. (1991))</t>
  </si>
  <si>
    <t>First record: 15km S of Puerto Princesa, Palawan, 13 Dec 1961 by T. Harrisson (Harrisson, T. (1962))</t>
  </si>
  <si>
    <t>NrRecs: 2. First record: Barangay Buayan, General Santos, South Cotabato, 08 Sep 2016 by Denjo Perez (Hutchinson et al. (2022))</t>
  </si>
  <si>
    <t>First record: Cape San Agustin, Davao Oriental, Mindanao, 22 - 27 Sep 2016 by Marts Cervero, Alex Tiongco (Hutchinson et al. (2022))</t>
  </si>
  <si>
    <t>NrRecs: 1. First record: San Juan, La Union, 01 Nov 2014 by Romy Ocon (Jensen et al. (2015))</t>
  </si>
  <si>
    <t>NrRecs: 2. First record: Calamba, Laguna, 28 Nov 1928 by L. Stuart (Kennedy, R.S. (1990))</t>
  </si>
  <si>
    <t>NrRecs: 5. First record: Palawan, 01 Jan 1898 by Doherty (Dickinson et al. (1991))</t>
  </si>
  <si>
    <t>NrRecs: 2. First record: Pandanan, Malinsuno Island, Balabac, Palawan, 30 Sep 2013 by Rene Antonio, Peter Widman (Jensen et al. (2015))</t>
  </si>
  <si>
    <t>NrRecs: 9. First record: Puerto Rivas fishponds, Balanga, Bataan, 12 Dec 2004 by Arne Jensen, Mark Villa, Mads Bajarias, Mike Lu (Jensen et al. (2015))</t>
  </si>
  <si>
    <t>NrRecs: 5. First record: Jolo, Sulu, 08 Apr 1887 by C.C. Platen (Dickinson et al. (1991))</t>
  </si>
  <si>
    <t>NrRecs: 2. First record: Jolo, Sulu, 30 Sep 1891 by F.S. Bourns and D.C. Worcester (Dickinson et al. (1991))</t>
  </si>
  <si>
    <t>NrRecs: 1. First record: Itbayat, Batanes, 07 - 08 Oct 2016 by Linda Gocon (Hutchinson et al. (2022))</t>
  </si>
  <si>
    <t>NrRecs: 1. First record: (4) Apo Reef Natural Park, Sablayan, Occidental Mindoro, 02 - 03 Mar 2013 by Bob Natural</t>
  </si>
  <si>
    <t>NrRecs: 4. First record: (2) Basco town, Batanes, 25 Dec 2019 - 01 Mar 2020 by Charls Lee Ibañes‎ (Hutchinson et al. (2022))</t>
  </si>
  <si>
    <t>NrRecs: 2. First record: Sibaliw, Tag-osip, Buruanga, Aklan, 09 Oct 1999 by Eberhard Curio et al (Curio et al. (2001))</t>
  </si>
  <si>
    <t>NrRecs: 3. First record: Mt Cayapo, Lamao, Bataan, 15 Dec 1947 by E.T. Gilliard (Dickinson et al. (1991))</t>
  </si>
  <si>
    <t>NrRecs: 2. First record: (2) Candaba Marsh, Pampanga, 24 - 27 Apr 2008 by Philip Round, Timothy Fisher (Round et al. (2009))</t>
  </si>
  <si>
    <t>First record: Calayan Island, Cagayan, 01 Nov 1903 by R.C. McGregor (McGregor, R.C. (1909-1910))</t>
  </si>
  <si>
    <t>NrRecs: 5. First record: Pagdanan Timber Cooperation, Port Barton, Palawan, 22 Oct 1978 by Tim Fisher (Jensen et al. (2015))</t>
  </si>
  <si>
    <t>NrRecs: 7. First record: South Islet, Tubbataha Reefs, Palawan, 10 May 2009 by Arne Jensen, Timothy Fisher (Jensen et al. (2015))</t>
  </si>
  <si>
    <t>NrRecs: 2. First record: Mt. Cetaceo, Cagayan, 16 Feb 2012 by Danilo Balete (Jensen et al. (2015))</t>
  </si>
  <si>
    <t>NrRecs: 1. First record: Near Songsong Beach, Basco, Batanes, 28 Apr 2013 by Jovic Ferrer</t>
  </si>
  <si>
    <t>NrRecs: 1. First record: Chadpidan, Batan, Batanes, 20 Jun 2021 by Xina Vinalay (Hutchinson et al. (2022))</t>
  </si>
  <si>
    <t>First record: (2) Palawan, 10 Sep 1887 by Whitehead (Dickinson et al. (1991))</t>
  </si>
  <si>
    <t>NrRecs: 1. First record: Itbayat, Batanes, 19 Jan 2020 by Charls Lee Ibañes‎ (Hutchinson et al. (2022))</t>
  </si>
  <si>
    <t>NrRecs: 7. First record: Zamboanga, 24 Feb 1898 by unknown (Dickinson et al. (1991))</t>
  </si>
  <si>
    <t>NrRecs: 1. First record: Puerto Princesa, Palawan, 22 Oct 1999 by Robert Ferguson, Roger Costin (Jensen et al. (2015))</t>
  </si>
  <si>
    <t>NrRecs: 2. First record: Palawan, 08 Dec 1988 by McGowan and Pritchard (Dickinson et al. (1991))</t>
  </si>
  <si>
    <t>First record: Batan Island, Batanes, 06 May 1989 by R.S. Kennedy (Kennedy et al. (2000))</t>
  </si>
  <si>
    <t>NrRecs: 1. First record: Calayan Island, Cagayan, 24 Oct 1903 by R.C. McGregor (McGregor, R.C. (1909-1910))</t>
  </si>
  <si>
    <t>NrRecs: 1. First record: Basco, Batanes, 10 - 11 Nov 2019 by Charls Lee Ibañes‎ (Hutchinson et al. (2022))</t>
  </si>
  <si>
    <t>NrRecs: 4. First record: Sabtang Island, Batanes, 12 Oct 1991 by Tim Fisher, Robert Timmins (Jensen et al. (2015))</t>
  </si>
  <si>
    <t>NrRecs: 4. First record: Itbayat, Batanes, 20 Sep 2016 by Bim Quemado (Hutchinson et al. (2022))</t>
  </si>
  <si>
    <t>NrRecs: 8. First record: (4) Calayan Island, Cagayan, 27 Nov 1903 by R.C. McGregor, A. Celestino (Dickinson et al. (1991))</t>
  </si>
  <si>
    <t>NrRecs: 1. First record: Basco Airport, Batanes, 01 - 02 Nov 2021 by Charls Lee Ibañes (Hutchinson et al. (2022))</t>
  </si>
  <si>
    <t>NrRecs: 2. First record: Songsong Irayat Road, Basco, Batanes, 18 - 22 Oct 2022 by Charls Lee Ibañes</t>
  </si>
  <si>
    <t>NrRecs: 11. First record: Iwahig Ricefields, Puerto Princesa, Palawan, 17 Feb 1996 by Pete Morris, Timothy Fisher (Jensen et al. (2015))</t>
  </si>
  <si>
    <t>NrRecs: 10. First record: Near Songsong Beach, Basco, Batanes, 02 - 05 Nov 2019 by Charls Lee Ibañes‎ (Hutchinson et al. (2022))</t>
  </si>
  <si>
    <t>NrRecs: 1. First record: Songsong Irayat Road, Basco, Batanes, 16 - 22 Oct 2022 by Charls Lee Ibañes</t>
  </si>
  <si>
    <t>Wiki</t>
  </si>
  <si>
    <t>Very local but very widespread resident. Migrant populations occur.</t>
  </si>
  <si>
    <t>Passage migrant, uncommon winter visitor, very localized breeder.</t>
  </si>
  <si>
    <t>Uncommon local breeder.</t>
  </si>
  <si>
    <t>Non-breeding visitor to offshore areas.</t>
  </si>
  <si>
    <t>Breeding resident (Tubbataha Reefs) and vagrant (e.g. Didicas Rocks, Polillo)</t>
  </si>
  <si>
    <t>Very localized breeding population (Sulu Sea) and overwintering migrant population (e.g. Japan).</t>
  </si>
  <si>
    <r>
      <rPr>
        <b/>
        <sz val="10"/>
        <rFont val="Arial"/>
        <family val="2"/>
        <charset val="1"/>
      </rPr>
      <t xml:space="preserve">Final As of 15 February 2024  </t>
    </r>
    <r>
      <rPr>
        <sz val="10"/>
        <rFont val="Arial"/>
        <family val="2"/>
        <charset val="1"/>
      </rPr>
      <t>© Wild Bird Club of the Philippines. Citation: Brinkman et al (2024): Checklist of Birds of the Philippines. Wild Bird Club of the Philippines. www.birdwatch.ph</t>
    </r>
  </si>
  <si>
    <t>Based on IOC World Bird List v14.1 by Frank Gill, David Donsker &amp; Pamela Rasmussen (Eds) https://www.worldbirdnames.org/ licensed under a Creative Commons Attribution 3.0 Unported License.</t>
  </si>
  <si>
    <r>
      <rPr>
        <sz val="11"/>
        <color theme="1"/>
        <rFont val="Calibri"/>
        <family val="2"/>
        <scheme val="minor"/>
      </rPr>
      <t xml:space="preserve">Including data from </t>
    </r>
    <r>
      <rPr>
        <b/>
        <sz val="11"/>
        <color rgb="FF000000"/>
        <rFont val="Calibri"/>
        <family val="2"/>
        <charset val="1"/>
      </rPr>
      <t>Birds of the Philippines - Desmond Allen 2020, Lynx Edicions</t>
    </r>
  </si>
  <si>
    <t xml:space="preserve">Brinkman, J.J., Allen, D., Hutchinson, R., Jensen, A.E.,Dobbs, G., Chua, M. A., Limparungpatthanakij, Perez, C. (2024): </t>
  </si>
  <si>
    <t>PH Status:</t>
  </si>
  <si>
    <t>In principle the of Allen D. (2020), Birds of the Philippines</t>
  </si>
  <si>
    <t>Col E: Show species information available in Wikipedia"</t>
  </si>
  <si>
    <t xml:space="preserve">Col F: Show the relevant species page in the IUCN database, just click" </t>
  </si>
  <si>
    <t>Col G: Reference to the plate number in the famous Kennedy et all guide "A Guide to the Bird of the Philippines (2000)"</t>
  </si>
  <si>
    <t xml:space="preserve">Col H: Reference to the page number in the Desmond Allen's guide "Birds of the Philippines (2020)" </t>
  </si>
  <si>
    <t>Brinkman, J.J., Allen, D., Hutchinson, R., Jensen, A.E., Perez, C. (2023), Checklist of birds of the Philippines. Wild Bird Club of the Philippines. www.birdwatch.ph</t>
  </si>
  <si>
    <t>NrRecs: 2. First record: (3) Di'seb Pond, Basco, Batanes, 11 - 15 Mar 2020 by Felipe Alina (Hutchinson et al. (2022))</t>
  </si>
  <si>
    <t>NrRecs: 8. First record: Candaba Marsh, Pampanga, 27 Mar - 10 Apr 2010 by Alex Loinaz (Jensen et al. (2015))</t>
  </si>
  <si>
    <t>NrRecs: 9. First record: (14) Candaba Marsh, Pampanga, 05 Dec 2010 - 11 Jan 2011 by Alex Loinaz (Jensen et al. (2015))</t>
  </si>
  <si>
    <t>NrRecs: 10. First record: (4) Bulacan, 01 Nov 1916 by M. Hachisuka (Hachisuka, M. (1931))</t>
  </si>
  <si>
    <t>NrRecs: 6. First record: Candaba Marsh, Pampanga, 16 - 21 Dec 2017 by Robert Hutchinson (Hutchinson et al. (2022))</t>
  </si>
  <si>
    <t>NrRecs: 12. First record: Laguna de Bay, Tanay, Rizal, 01 Nov 1906 by R.C. McGregor (Dickinson et al. (1991))</t>
  </si>
  <si>
    <t>https://www.google.com/search?q=Caprimulgus griseatus&amp;tbm=isch</t>
  </si>
  <si>
    <t>Chirruping Nightjar</t>
  </si>
  <si>
    <t>Caprimulgus griseatus</t>
  </si>
  <si>
    <t>NrRecs: 8. First record: Hill 394, Subic, Zambales, 14 Apr 2009 by Taweewat Supindham (Jensen et al. (2015))</t>
  </si>
  <si>
    <t>NrRecs: 11. First record: Mahatao, Batan, Batanes, 14 Feb 2017 by Jon Carpio (Hutchinson et al. (2022))</t>
  </si>
  <si>
    <t>leytensis: Rare (Samar, Leyte and Bohol, CE Philippines).
crinigera, bartletti: Widespread but scarce resident (Basilan, Dinagat, Mindanao, Jolo?).</t>
  </si>
  <si>
    <t>leucotis: Common resident (N Philippines: Luzon, Polillo, Alabat, Catanduanes, Lubang, Verde, Mindoro and Marinduque).
nigrorum: Fairly common resident (W Visayas, Tablas, Sibuyan and Cebu).
brevirostris, occipitalis: Common resident (S &amp; SE Philippines).</t>
  </si>
  <si>
    <t>amethystinus, imeldae: Uncommon resident (Greater Luzon, Greater Mindanao, E Visayas).
maculipectus: Very rare resident (Negros, Panay).
frontalis: Probably extinct resident (Cebu).</t>
  </si>
  <si>
    <t>carola: Scarce resident (Luzon and Mindoro, possibly extirpated on Sibuyan).
nigrorum, mindanensis: Scarce resident (Mindanao, extirpated W Visayas).</t>
  </si>
  <si>
    <t>NrRecs: 3. First record: Laguna de Bay, Laguna, 01 Jan 1930 by M. Hachisuka (Hachisuka, M. (1931))</t>
  </si>
  <si>
    <t>May be extirpated from most Philippine islands. Recent documented records are from Great Santa Cruz Island, Zamboanga City, from  Danjugan Island, Negros Occidental, small islands off Palawan, and Tawi-Tawi.</t>
  </si>
  <si>
    <t>NrRecs: 5. First record: Olango Island, Cebu, 21 Nov 1992 by P.M. Magsalay (Magsalay et al. (2000))</t>
  </si>
  <si>
    <t>NrRecs: 10. First record: Iwahig, Puerto Princesa, Palawan, 09 Feb 1969 by P. Gonzales, R.S. Kennedy (Gonzales et al. (1989))</t>
  </si>
  <si>
    <t>First record: (2) Candaba Marsh, Pampanga, 16 Jan 2000 by James McCarthy, M.J. &amp; S. McCarthy, Rolf Hennes, Tim Fisher (Jensen et al. (2015))</t>
  </si>
  <si>
    <t>NrRecs: 14. First record: Malabon, Metro Manila, 20 Jan 1906 by Dr. Leon Guerrero (McGregor, R.C. (1907))</t>
  </si>
  <si>
    <t>https://www.google.com/search?q=Anarhynchus veredus&amp;tbm=isch</t>
  </si>
  <si>
    <t>Anarhynchus veredus</t>
  </si>
  <si>
    <t>NrRecs: 18. First record: Puerto Princesa, Palawan, 12 Sep 1887 by J.B. Steere (Dickinson et al. (1991))</t>
  </si>
  <si>
    <t>https://www.google.com/search?q=Anarhynchus atrifrons&amp;tbm=isch</t>
  </si>
  <si>
    <t>Tibetan Sand Plover</t>
  </si>
  <si>
    <t>Anarhynchus atrifrons</t>
  </si>
  <si>
    <t>https://www.google.com/search?q=Anarhynchus mongolus&amp;tbm=isch</t>
  </si>
  <si>
    <t>Siberian Sand Plover</t>
  </si>
  <si>
    <t>Anarhynchus mongolus</t>
  </si>
  <si>
    <t>https://www.google.com/search?q=Anarhynchus leschenaultii&amp;tbm=isch</t>
  </si>
  <si>
    <t>Anarhynchus leschenaultii</t>
  </si>
  <si>
    <t>https://www.google.com/search?q=Anarhynchus peronii&amp;tbm=isch</t>
  </si>
  <si>
    <t>Anarhynchus peronii</t>
  </si>
  <si>
    <t>https://www.google.com/search?q=Anarhynchus alexandrinus&amp;tbm=isch</t>
  </si>
  <si>
    <t>Anarhynchus alexandrinus</t>
  </si>
  <si>
    <t>NrRecs: 2. First record: Pagbilao, Quezon, 06 Dec 1981 by Wischusen et al (Dickinson et al. (1991))</t>
  </si>
  <si>
    <t>NrRecs: 15. First record: (3) Minglanilla, Cebu, 16 Nov 1906 by unknown (Dickinson et al. (1991))</t>
  </si>
  <si>
    <t>First record: Aparri, Cagayan, 01 Mar 1988 by J. Erritzoe (Erritzoe, J. (1994))</t>
  </si>
  <si>
    <t>NrRecs: 12. First record: Dumaguete, Negros Oriental, 04 Feb 1888 by J. Steere (Dickinson et al. (1991))</t>
  </si>
  <si>
    <t>NrRecs: 13. First record: (6) Off Pamilican Island, Bohol, 01 May 1984 by Lee and Watson (Dickinson et al. (1991)). Winter ranges includes the Philippines (Goldstein et al (2018))</t>
  </si>
  <si>
    <t>NrRecs: 15. First record: Location and date unknown (1886 or earlier), 01 Jan 1886 by D. Sanchez (Collar, N. (2003)). Occur since 2018 annually  at Panabo coast, Davao del Norte and at Dancalan Mudflat, Donsol, Sorsogon since 2019</t>
  </si>
  <si>
    <t>https://www.google.com/search?q=Saundersilarus saundersi&amp;tbm=isch</t>
  </si>
  <si>
    <t>NrRecs: 4. First record: Babuyan Islands, Cagayan, 30 Mar 2011 by Cynthia Layusa (submitter) (Jensen et al. (2015))</t>
  </si>
  <si>
    <t>NrRecs: 14. First record: Off Aparri, Cagayan, 22 May 1929 by P. Jespersen (Jespersen, P. (1933))</t>
  </si>
  <si>
    <t>NrRecs: 19. First record: Sarangani, 06 Mar 1929 by M. Hachisuka (Hachisuka, M. (1931))</t>
  </si>
  <si>
    <t>NrRecs: 2. First record: Off Puerto Galera, Mindoro, 14 Apr 2004 by Peter R. Stevens (Jensen et al. (2015))</t>
  </si>
  <si>
    <t>NrRecs: 8. First record: Rasa Island Wildlife Sanctuary, Narra, Palawan, 22 Feb 2000 by Peter Widmann (Hutchinson et al. (2022))</t>
  </si>
  <si>
    <t>NrRecs: 12. First record: Near Palawan, 25 Feb 1987 by Jesper Hornskov (Hornskov, J. (1996))</t>
  </si>
  <si>
    <t>May have become extirpated from the Philippines. Last documented record is from October 2007  PICOP, Bislig, Surigao del Sur by Tim Fisher. Information and photos of the species from Ligawasan Marsh from around 2007 shared with WBCP President Mike Lu ( Lu in communication, 2009)</t>
  </si>
  <si>
    <t>Published records do not include evidence that the species has ever bred in the Philippines</t>
  </si>
  <si>
    <t>May have become extirpated from Luzon, Mindoro, Negros.</t>
  </si>
  <si>
    <t>Recent breeding records from Barat Bird Sanctuary, Sultan Kudarat and Zamboanga City. Stray birds recorded outside of Mindanao e.g.  Pagugpud, Ilocos Norte (2014), Candaba Marsh (2016) and Panay (2020)</t>
  </si>
  <si>
    <t>NrRecs: 4. First record: Candaba Marsh, Pampanga, 30 Dec 2007 - 06 Jan 2008 by Tina Mallari (Jensen et al. (2015))</t>
  </si>
  <si>
    <t>NrRecs: 9. First record: Laguna de Bay, 12 Mar 1905 by R.C. McGregor (McGregor, R.C. ( Bull. Bur. Govt. Labs. 1905))</t>
  </si>
  <si>
    <t>Medium Egret</t>
  </si>
  <si>
    <t>Occasional breeding may occur. There are unverified claims of breeding from Agusan Marsh, Mindanao and from Lake Balinsasayao, Negros. Seen with nesting materials at La Mesa Dam, Quezon City/ Rizal Province</t>
  </si>
  <si>
    <t>orientalis: Uncommon winter visitor (mainly Palawan and Mindanao, also Jolo, Luzon, Mindoro, Negros, Semirara, Sulu archipelago).
philippensis, palawanensis: Uncommon to fairly common and widespread resident (larger islands).</t>
  </si>
  <si>
    <t>NrRecs: 10. First record: Vayang Rolling Hills coastal ponds and fields, Batan, Batanes, 07 - 08 Nov 2018 by Robert Hutchinson, Charls Lee Ibañes, Tonji and Sylvia Ramos (Hutchinson et al. (2022))</t>
  </si>
  <si>
    <t>First record: Iwahig, Puerto Princesa, Palawan, 01 Dec 1907 by D. Amadon (Amadon, D. (1952))</t>
  </si>
  <si>
    <t>https://www.google.com/search?q=Icthyophaga leucogaster&amp;tbm=isch</t>
  </si>
  <si>
    <t>Icthyophaga leucogaster</t>
  </si>
  <si>
    <t>https://www.google.com/search?q=Icthyophaga ichthyaetus&amp;tbm=isch</t>
  </si>
  <si>
    <t>https://www.google.com/search?q=Ceyx rufidorsa&amp;tbm=isch</t>
  </si>
  <si>
    <t>Rufous-backed Dwarf Kingfisher</t>
  </si>
  <si>
    <t>Oriental Dwarf-kingfisher</t>
  </si>
  <si>
    <t>https://www.google.com/search?q=Jynx torquilla&amp;tbm=isch</t>
  </si>
  <si>
    <t>Eurasian Wryneck</t>
  </si>
  <si>
    <t>Jynx torquilla</t>
  </si>
  <si>
    <t>NrRecs: 2. First record: Chadpidan, Basco, Batanes, 07 - 09 Oct 2023 by Charls Lee Ibañes</t>
  </si>
  <si>
    <t>NrRecs: 9. First record: Ursula Island, Brookes Point, Palawan, 19 Oct 1999 by Tim Fisher, Robert Ferguson (Jensen et al. (2015))</t>
  </si>
  <si>
    <t>Apparently extirpated from most of its former range</t>
  </si>
  <si>
    <t>https://www.google.com/search?q=Oriolus consobrinus&amp;tbm=isch</t>
  </si>
  <si>
    <t>Ventriloquial Oriole</t>
  </si>
  <si>
    <t>Oriolus consobrinus</t>
  </si>
  <si>
    <t>abraensis, balicassius: Fairly common resident (Greater Luzon, Mindoro).
mirabilis: Locally common resident (Ticao, Masbate, Panay, Guimaras, Negros, Bantayan, Cebu).</t>
  </si>
  <si>
    <t>https://www.google.com/search?q=Dicrurus striatus&amp;tbm=isch</t>
  </si>
  <si>
    <t>samarensis: Samar, Biliran, Leyte, Calicoan, Panaon and Bohol
striatus: Basilan, Mindanao and Nipa</t>
  </si>
  <si>
    <t>leucophaeus: Fairly common resident (Palawan).
leucogenis, salangensis, innexus: Vagrant (Batanes, Luzon).</t>
  </si>
  <si>
    <t>NrRecs: 10. First record: Candaba Marsh, Pampanga, 30 Sep 2001 by J. McCarthy, T. Fisher, S. Millington (Jensen et al. (2015))</t>
  </si>
  <si>
    <t>Black Paradise Flycatcher</t>
  </si>
  <si>
    <t>Japanese Paradise-flycatcher</t>
  </si>
  <si>
    <t>cristatus, confusus: Uncommon winter visitor and passage migrant.
lucionensis: Abundant and widespread winter visitor.</t>
  </si>
  <si>
    <t>NrRecs: 7. First record: Basco, Batanes, 31 Mar 2013 by Val Borja (Jensen et al. (2015))</t>
  </si>
  <si>
    <t>Singing Bush Lark</t>
  </si>
  <si>
    <t>NrRecs: 7. First record: (2) Basco Airport, Batanes, 06 - 07 Nov 2020 by Charls Lee Ibañes (Hutchinson et al. (2022))</t>
  </si>
  <si>
    <t>https://www.google.com/search?q=Delichon lagopodum&amp;tbm=isch</t>
  </si>
  <si>
    <t>Siberian House Martin</t>
  </si>
  <si>
    <t>Delichon lagopodum</t>
  </si>
  <si>
    <t>NrRecs: 1. First record: Mauyen Cliffs, Mauyen Port Road, Itbayat PH-Batanes, 28 Nov 2023 by Robert Hutchinson, Martin Kennewell, Izha Lao, Mark Jason Villa, Raymond Dan</t>
  </si>
  <si>
    <t>NrRecs: 10. First record: Calayan Island, Cagayan, 31 Oct 1903 by R.C. McGregor (McGregor, R.C. (1909-1910))</t>
  </si>
  <si>
    <t>NrRecs: 12. First record: Batan Island, Batanes, 01 Nov 1994 by Tim Fisher (Jensen et al. (2015))</t>
  </si>
  <si>
    <t>NrRecs: 15. First record: Central 15km from San Jose, Mindoro Occiidental, 15 Apr 1971 by M. Temme (Dickinson et al. (1991))</t>
  </si>
  <si>
    <t>NrRecs: 2. First record: (1 to 2) Mt Mariveles Watershed, Bataan, 15 Oct 2006 by Jon Hornbuckle, Dan Brimmer (Jensen et al. (2015))</t>
  </si>
  <si>
    <t>brunniceps: Common resident (Batanes).
tinnabulans, nigrostriatus: Common and widespread resident (absent Batanes, Sulu archipelago).</t>
  </si>
  <si>
    <t>mindanensis, alcasidi, striaticeps: Fairly common resident (E Visayas, Greater Mindanao).
kettlewelli: Uncommon resident (Sulu archipelago).</t>
  </si>
  <si>
    <t>NrRecs: 16. First record: Laoag, Ilocos Norte, 25 Jan 1907 by E.A. Mearns (Dickinson et al. (1991))</t>
  </si>
  <si>
    <t>NrRecs: 16. First record: Road between Iwahig Penal Colony and Puerto Princesa City proper, 08 Feb 2007 by Romy Ocon (Jensen et al. (2015))</t>
  </si>
  <si>
    <t>NrRecs: 5. First record: Sabang, Puerto Princesa, Palawan, 30 Nov 2007 - 08 Apr 2008 by T. Fisher, R. Hutchinson (Jensen et al. (2015))</t>
  </si>
  <si>
    <t>https://www.google.com/search?q=Turdus cardis&amp;tbm=isch</t>
  </si>
  <si>
    <t>Japanese Thrush</t>
  </si>
  <si>
    <t>Turdus cardis</t>
  </si>
  <si>
    <t>First record: Calayan Island, Cagayan, 28 Nov 1903 by R.C. McGregor (McGregor, R.C. (1909-1910))</t>
  </si>
  <si>
    <t>https://www.google.com/search?q=Turdus ruficollis&amp;tbm=isch</t>
  </si>
  <si>
    <t>Red-throated Thrush</t>
  </si>
  <si>
    <t>Turdus ruficollis</t>
  </si>
  <si>
    <t>NrRecs: 1. First record: Old Port, Basco, Batanes, 29 Dec 2022 by Albert Patimo, Charls Lee Ibañes,  Amado Bajarias, Lu-Ann Fuentes-Bajarias</t>
  </si>
  <si>
    <t>NrRecs: 12. First record: (2) Basco, Batanes, 28 Jan 2013 by Rolly C. Urriza (Jensen et al. (2015))</t>
  </si>
  <si>
    <t>NrRecs: 3. First record: Basco Airport, Batanes, 04 - 09 Dec 2019 by JanJaap Brinkman, Albert Patimo (Hutchinson et al. (2022))</t>
  </si>
  <si>
    <t>NrRecs: 2. First record: Bislig Airport Wetland, Bislig, Surigao del Sur, 20 - 21 Feb 2003 by Mikael Bauer, Markus Lagerqvist, Carlos Gutiérrez Expósito, Hans Meÿer, Dave van der Spool. (Jensen et al. (2015))</t>
  </si>
  <si>
    <t>https://www.google.com/search?q=Ficedula parva&amp;tbm=isch</t>
  </si>
  <si>
    <t>Ficedula parva</t>
  </si>
  <si>
    <t>NrRecs: 1. First record: Di’seb Pond, Brgy. San Antonio, Basco, 22 Nov 2023 by Robert Hutchinson, Martin Kennewell</t>
  </si>
  <si>
    <t>NrRecs: 2. First record: Longog, Calayan Island, Cagayan, 10 May 2004 by D. Allen, C. Espanola, G. Broad, C. Oliveros, JCT Gonzalez (Allen et al. (2006))</t>
  </si>
  <si>
    <t>NrRecs: 10. First record: Harding ng Roxas, UP Diliman, Quezon City, 17 - 18 Nov 2007 by Agerico de Villa, Ding Carpio, Romy Ocon (Jensen et al. (2015))</t>
  </si>
  <si>
    <t>xanthopygium, dorsale: Fairly common resident (Luzon, Marinduque, Polillo, Mindoro, W Visayas).
intermedium, cnecolaemum, sibuyanicum: Locally common resident (Romblon province).
besti, pallidius, cinereigulare, isidroi: Locally common resident (Cebu, E Visayas, Greater Mindanao, Siquijor, Camiguin Sur).
assimile, sibutuense: Locally common resident (Sulu archipelago).</t>
  </si>
  <si>
    <t>cagayanense, obscurum: Fairly common resident (Luzon, Catanduanes).
pontifex, mindanense, hypoleucum: Fairly common resident (E Visayas, Greater Mindanao, Sulu archipelago).</t>
  </si>
  <si>
    <t>https://www.google.com/search?q=Dicaeum luzoniense&amp;tbm=isch</t>
  </si>
  <si>
    <t>https://www.google.com/search?q=Cinnyris aurora&amp;tbm=isch</t>
  </si>
  <si>
    <t>Palawan Sunbird</t>
  </si>
  <si>
    <t>Cinnyris aurora</t>
  </si>
  <si>
    <t>malindangensis, boltoni: Locally common resident (Mindanao).
tibolii: Locally common resident (SW Mindanao).</t>
  </si>
  <si>
    <t>pulcherrima: Locally common resident (Samar, Biliran, Leyte, Dinagat, Siargao, Mindanao, Basilan).
jefferyi: Locally common resident (Luzon).
decorosa: Scarce resident (Bohol).</t>
  </si>
  <si>
    <t>https://www.google.com/search?q=Passer domesticus&amp;tbm=isch</t>
  </si>
  <si>
    <t>House Sparrow</t>
  </si>
  <si>
    <t>Passer domesticus</t>
  </si>
  <si>
    <t>NrRecs: 1. First record: Basco Dump near Song Song Beach, Batan, 24 Oct 2023 by Robert Hutchinson, Martin Kennewell</t>
  </si>
  <si>
    <t>NrRecs: 3. First record: PCMC Road, Puerto Princesa, Palawan, 04 May 1983 by Tony Clarke, Ian Whitehouse (Jensen et al. (2015))</t>
  </si>
  <si>
    <t>NrRecs: 3. First record: Candaba Marsh, Pampanga, 06 Apr 2012 by Mark Wallbank (Jensen et al. (2015))</t>
  </si>
  <si>
    <t>NrRecs: 17. First record: (3) Calayan Island, Cagayan, 29 Oct 1903 by R.C. McGregor (McGregor, R.C. (1904))</t>
  </si>
  <si>
    <t>NrRecs: 19. First record: Benguet, 26 Feb 1894 by J. Whitehead (Whitehead, J. (1899))</t>
  </si>
  <si>
    <t>NrRecs: 3. First record: Songsong Iraya Road, Basco, Batanes, 05 Nov 2022 by Robert Hutchinson</t>
  </si>
  <si>
    <t>https://www.google.com/search?q=Emberiza rustica&amp;tbm=isch</t>
  </si>
  <si>
    <t>Rustic Bunting</t>
  </si>
  <si>
    <t>Emberiza rustica</t>
  </si>
  <si>
    <t>NrRecs: 1. First record: Basco Airport, Batanes, 20 Nov 2023 by Robert Hutchinson</t>
  </si>
  <si>
    <t>NrRecs: 3. First record: Catanduanes Islands, Camarines Sur, 24 Sep 1894 by J. Whitehead (Dickinson et al. (1991))</t>
  </si>
  <si>
    <t>Caprimulgus griseatus (tentatively including mindanensis) is a split from Savanna Nightjar C. affinis based on significant differences in vocalizations (Sangster et al. 2021). English name, which differs from the name proposed by the original authors, is based on its distinctive vocalizations.</t>
  </si>
  <si>
    <t>Change English name for both species in Mearnsia from "Spine-tailed Swift" to "Spinetail" following other major world bird lists (HBW/BLI; eBird/Clements).</t>
  </si>
  <si>
    <t>S Philippines (Bohol, Leyte, Samar and Biliran)</t>
  </si>
  <si>
    <t>Reconfirmation as a full species, distinct from Cacomantis variolosus based on voice and phenotype, is supported by Wu et al. (2022).</t>
  </si>
  <si>
    <t>"Rock Pigeon" conflicts with established names in Australia for species of Petrophassa; accept BOU choice of classic "Rock Dove" for this species native to British Isles. "Feral Pigeon" is available and suitable for worldwide introduced populations.</t>
  </si>
  <si>
    <t>Sulu Archipelago and small islands off n and ne Borneo</t>
  </si>
  <si>
    <t>Move from genus Porzana to Zapornia (Slikas et al. 2002; Dickinson &amp; Remsen 2013). Z. fusca and Z. paykullii form a distinct clade sister to other Zapornia taxa (Garcia-R et al. 2014; 2019) for which Limnobaenus Sundevall, 1873 is available (Croxall, pers. comm.).</t>
  </si>
  <si>
    <t>Philippines, Australasian region and Oceania</t>
  </si>
  <si>
    <t>Perhaps best separated into Anthropoides (Krajewski et al. 2010; BLI)?</t>
  </si>
  <si>
    <t>Change English name of Turnix worcesteri from Worcester's Buttonquail to Luzon Buttonquail following Clements and HBW/BLI</t>
  </si>
  <si>
    <t>*Charadrius veredus</t>
  </si>
  <si>
    <t>PAL : inland c Asia and Tibetan Plateau</t>
  </si>
  <si>
    <t>e, s Africa, Indian Ocean islands and Indian subcontinent to coastal s China, se Asia, Greater Sundas and Sulawesi</t>
  </si>
  <si>
    <t>*Charadrius mongolus</t>
  </si>
  <si>
    <t>Tibetan Sand Plover Anarhynchus atrifrons (including pamirensis and schaeferi) is split from Lesser Sand Plover A. mongolus (re-named Siberian Sand Plover) based on phenotypic differences and phylogenetic analysis which demonstrates paraphyly of these two taxa relative to Anarhynchus leschenaultii (Livezey 2010; Wei et al. 2022).</t>
  </si>
  <si>
    <t>Lesser Sand-Plover</t>
  </si>
  <si>
    <t>PAL : e Russia (s, se Siberia)</t>
  </si>
  <si>
    <t>coastal Kyushu and Ryukyu Is. (=Nansei Shoto; s Japan), coastal Taiwan and Vietnam to Australia, New Guinea region, Melanesia and w Micronesia</t>
  </si>
  <si>
    <t>Change English name of Anarhynchus mongolus from Lesser Sand Plover to Siberian Sand Plover with the split of Tibetan Sand Plover A. atrifrons.</t>
  </si>
  <si>
    <t>*Charadrius leschenaultii</t>
  </si>
  <si>
    <t>*Charadrius peronii</t>
  </si>
  <si>
    <t>*Charadrius alexandrinus</t>
  </si>
  <si>
    <t>S Borneo, Sulawesi, Mindanao, Moluccas and Lesser Sundas</t>
  </si>
  <si>
    <t>Saunders's Gull, formerly included in Chroicocephalus is moved to the monotypic genus Saundersilarus based on phylogenetic analyses (Pons et al. 2005; Černý and Natale 2022).</t>
  </si>
  <si>
    <t>Lesser Black-backed Gull includes Heuglin's Gull L. heuglini as subspecies following Collinson et al. (2008). But see phylogeny in Černý &amp; Natale (2022) which places it sister to L. dominicanus.</t>
  </si>
  <si>
    <t>patchily distributed from India (Western Ghats, Assam) east to southern China, Taiwan, the Ryukyu Islands, the Philippines, and southeast Asia south to the northern Thai-Malay Peninsula; winters to Sri Lanka, the southern Thai-Malay Peninsula, and the Greater Sundas</t>
  </si>
  <si>
    <t>PAL, OR: India to Japan and Greater Sundas</t>
  </si>
  <si>
    <t>to Ryukyu Is. (s Japan) and Philippines</t>
  </si>
  <si>
    <t>Japan to s India and Greater Sundas</t>
  </si>
  <si>
    <t>Change English name of Ardea intermedia from Intermediate Egret to Medium Egret to avoid confusion with the English name associated with the formerly recognized polytypic species. English name aligns with Clements/eBird.</t>
  </si>
  <si>
    <t>Coasts of SE Asia, Indonesia, Philippines and New Guinea</t>
  </si>
  <si>
    <t>Includes mathewsi (Marchant &amp; Higgins 1990; Dickinson &amp; Christidis 2013).</t>
  </si>
  <si>
    <t>Move (13.2) White-bellied Sea Eagle to Icthyophaga from Haliaeetus based on genetic data (Mindell et al. 2018)</t>
  </si>
  <si>
    <t>Restore Grey-headed Fish Eagle to Icthyophaga from Haliaeetus based on genetic data (Mindell et al. 2018)</t>
  </si>
  <si>
    <t>Oriental Dwarf-Kingfisher</t>
  </si>
  <si>
    <t>OR : s Thai-Malay Pen., Greater and Lesser Sundas to w, sw Philippines</t>
  </si>
  <si>
    <t>Rufous-backed Dwarf Kingfisher Ceyx rufidorsa is split from Ceyx erithaca. Recent genomic studies convincingly show that Ceyx rufidorsa is not a morph of Ceyx erithaca but rather is a genetically distinct taxon. Further, the polymorphism shown within Ceyx rufidorsa is likely due to an ancient introgression of genes rather than more recent, ongoing hybridization which is limited to a narrow zone where these two species meet in n peninsular Malaysia (Lim et al. 2010; Shakya et al. 2023).</t>
  </si>
  <si>
    <t>AF, OR</t>
  </si>
  <si>
    <t>Sulu Archipelago (Bongao, Jolo and Tawitawi)</t>
  </si>
  <si>
    <t>Philippines (Basilan, Malamaui and Mindanao (Zamboanga Pen.)</t>
  </si>
  <si>
    <t>H&amp;M 4 ssp. group #1. Change English name of E. erythrogaster from Red-bellied Pitta to Philippine Pitta. E. erythrogaster s.s. includes inspeculata and yairocho to avoid paraphyly of these weakly distinct taxa, contra Collar et al. (2015).</t>
  </si>
  <si>
    <t>OR, AU : Himalayas to se China, Indonesia, Malay Pen., Greater Sundas and Philippines</t>
  </si>
  <si>
    <t>ENG, TAX</t>
  </si>
  <si>
    <t>Change English name of Pitta sordida from Hooded Pitta to Western Hooded Pitta with the split of the Hooded Pitta complex. The Hooded Pitta complex Pitta sordida s.l. is split based on morphology and vocalizations supported by genomic analysis (Allen 2020; Ericson et al. 2019; Eaton et al. 2021; HBW/BirdLife, WGAC).</t>
  </si>
  <si>
    <t>OR : n, c, e Borneo and satellites and Palawan group (sw Philippines)</t>
  </si>
  <si>
    <t>Ventriloquial Oriole O. consobrinus (including persuasus) is split from Dark-throated Oriole Oriolus xanthonotus based on genomic analysis and differences in morphometrics, plumage and bioacoustics (Rheindt et al. 2022).</t>
  </si>
  <si>
    <t>OR : n, wc Philippines (Luzon and West Visayas)</t>
  </si>
  <si>
    <t>OR : ec, s Philippines (East Visayas and Mindanao group)</t>
  </si>
  <si>
    <t>Visayas (East), Mindana</t>
  </si>
  <si>
    <t>*Dicrurus balicassius</t>
  </si>
  <si>
    <t>Short-tailed Drongo Dicrurus striatus is split from Balicassiao D. balicassius on the basis of morphologic differences despite shallow genetic divergence (Allen 2020; del Hoyo et al. 2020; HBW/BirdLife),</t>
  </si>
  <si>
    <t>Japanese Paradise-Flycatcher</t>
  </si>
  <si>
    <t>Change English name of Terpsiphone atrocaudata from Japanese Paradise Flycatcher to more geographically inclusive and descriptive Black Paradise Flycatcher.</t>
  </si>
  <si>
    <t>S Philippines (Balabac, Culion, Mindoro and Palawan)</t>
  </si>
  <si>
    <t>Change English name of Mirafra javanica from Horsfield's Bush Lark to Singing Bush Lark with the lump of Mirafra cantillans.</t>
  </si>
  <si>
    <t>Microtarsus urostictus</t>
  </si>
  <si>
    <t>Microtarsus melanocephalos</t>
  </si>
  <si>
    <t>to se Asia</t>
  </si>
  <si>
    <t>Siberia to Mongolia and Manchuria; &gt;s China, Thailand</t>
  </si>
  <si>
    <t>Siberian House Martin Delichon lagopodum is split from D. urbicum based on morphological and vocal differences and syntopic nesting (Leader et al. 2021).</t>
  </si>
  <si>
    <t>Kamchatka Peninsula and n Kuril Islands; winters to Philippines</t>
  </si>
  <si>
    <t>PAL : c China and Hokkaido to Kyushu (n to s Japan)</t>
  </si>
  <si>
    <t>se Asia and se China</t>
  </si>
  <si>
    <t>Central China and Japan; winters to s China and Indochina</t>
  </si>
  <si>
    <t>PAL : sc Russia, n Mongolia and nw China</t>
  </si>
  <si>
    <t>n India to n Vietnam</t>
  </si>
  <si>
    <t>E Siberia to n Manchuria; winters to w China, Myanmar, ne India</t>
  </si>
  <si>
    <t>SEQ</t>
  </si>
  <si>
    <t>Not included in recent phylogenetic analyses. Position in sequence tentatively aligns with Clements and HBW/BirdLife.</t>
  </si>
  <si>
    <t>AS, SEQ</t>
  </si>
  <si>
    <t>Rufous-breasted Blue Flycatcher Cyornis camarinensis is split from Blue-breasted Blue Flycatcher C. herioti based on its striking morphological differences (del Hoyo &amp; Collar 2016; Allen 2020; HBW/BirdLife). Not included in recent phylogenetic analyses. Position in sequence tentative.</t>
  </si>
  <si>
    <t>AS, TAX, SEQ</t>
  </si>
  <si>
    <t>Sulu Jungle Flycatcher C. ocularis is split from C. ruficauda based on vocalizations and distinctive eye-ring color (Gwee et al. 2019; Allen 2020). The spelling in the original description "occularis" is a misspelled Latin word and must be corrected to "ocularis" following H&amp;M 4 Vol. 2, Appendix 8. Not included in recent phylogenetic analyses. Position in sequence tentative.</t>
  </si>
  <si>
    <t>Phylogenic analysis of Zhao M et al. (2023) and others strongly suggest that Vauriella, as currently configured, is polyphyletic. V. goodfellowi is grouped with other flycatchers within Muscicapina rather than within Saxicolinae as are the other members of this genus. Further, Leonardina appears to be embedded within Vauriella s.s. Taxonomic revisions would appear to be in order.</t>
  </si>
  <si>
    <t>Philippine Shortwing Brachypteryx poliogyna is split from the White-browed Shortwing B. montana s.l. species complex based on striking differences in female plumage and vocalizations (Allen 2020; Eaton et al. 2021; del Hoyo &amp; Collar 2016, HBW/BirdLife).</t>
  </si>
  <si>
    <t>PAL : c, n Europe to w Russia and Iran</t>
  </si>
  <si>
    <t>Pakistan and India</t>
  </si>
  <si>
    <t>N Europe to s Urals, Balkans and s Caspian; &gt; to s Asia</t>
  </si>
  <si>
    <t>*Dicaeum ignipectus</t>
  </si>
  <si>
    <t>Fire-throated Flowerpecker Dicaeum luzoniense (including bonga and apo) is split from Fire-breasted Flowerpecker D. ignipectus based on substantial, non-clinal differences in plumage (HBW/BirdLife, WGAC).</t>
  </si>
  <si>
    <t>Cinnyris jugularis is split into eight species based on a combination of bioacoustic differences, mtDNA data (Lohman et al. 2010; Marcaigh et al. 2022) and, in many instances, substantial differences in plumage. Change English name of Cinnyris jugularis from Olive-backed Sunbird to Garden Sunbird with the split of the Cinnyris jugularis complex (del Hoyo &amp; Collar 2016; Eaton et al. 2021; WGAC).</t>
  </si>
  <si>
    <t>Agutaya, Balabac, Busuanga, Cagayancillo, Culion, Cuyo, Palawan</t>
  </si>
  <si>
    <t>*Cinnyris jugularis</t>
  </si>
  <si>
    <t>Cinnyris (jugularis) aurora</t>
  </si>
  <si>
    <t>Palawan Sunbird Cinnyris aurora is often included in the Garden Sunbird (C. jugularis s.s.) group, but it is split based on distinct difference in breast plumage (WGAC).</t>
  </si>
  <si>
    <t>N Philippines (ne Luzon)</t>
  </si>
  <si>
    <t>PAL, OR, AF : mainly subarctic to subtropical Palearctic and Oriental region in anthropogenic habitats: Faroe and British Is., n Scandinavia e through subarctic Russia to Kamchatka; in s through Iberian Pen., n Africa including Nile Valley, n Eritrea, Arabian Pen., India and Sri Lanka, through n, c se Asia; introduced nearly worldwide</t>
  </si>
  <si>
    <t>some short-range dispersal</t>
  </si>
  <si>
    <t>PAL : subarctic to temperate Palearctic swamp forest: Scandinavia (except far n and s) across Russia to s Chukotka, Kamchatka, s to n Altai and n Sakhalin (e Russia)</t>
  </si>
  <si>
    <t>temperate to subtropical e Asian open areas: e China, Korean Pen. and Honshu to Ryukyu Is. (c to s Japan)</t>
  </si>
  <si>
    <t>Philippines to Indonesian Arch.</t>
  </si>
  <si>
    <t>Philippines to Indonesia</t>
  </si>
  <si>
    <t>ne Siberia, Alaska and nw Canada</t>
  </si>
  <si>
    <t>e Asia and w North America</t>
  </si>
  <si>
    <t>breeds northeastern Siberia, western and northern Alaska, and northwestern Canada; winters from from Japan to Korea and northeastern China, and from Alaska to northwestern Mexico</t>
  </si>
  <si>
    <t>e Siberia</t>
  </si>
  <si>
    <t>e China, Korean Pen. and Japan</t>
  </si>
  <si>
    <t>Taiga of e Siberia (east of Lake Baikal)</t>
  </si>
  <si>
    <t>ne Siberia</t>
  </si>
  <si>
    <t>China, Korean Pen. and Japan</t>
  </si>
  <si>
    <t>Tundra of ne Siberia</t>
  </si>
  <si>
    <t>Alaska and nw, nc Canada</t>
  </si>
  <si>
    <t>s USA and n Mexico</t>
  </si>
  <si>
    <t>breeds from interior and northern Alaska east across arctic Canada to the Hudson Bay region; winters in the south central United States and in northeastern Mexico</t>
  </si>
  <si>
    <t>n Eurasia</t>
  </si>
  <si>
    <t>w Europe to e, s Asia</t>
  </si>
  <si>
    <t>Kola Peninsula to arctic n Siberia; winters w Europe to s Asia</t>
  </si>
  <si>
    <t>India to s China, Indonesian Arch. and New Guinea</t>
  </si>
  <si>
    <t>Lowlands of India, s Asia, Indonesia and New Guinea</t>
  </si>
  <si>
    <t>n, c PAL, NA</t>
  </si>
  <si>
    <t>Widespread Palearctic and Nearctic regions</t>
  </si>
  <si>
    <t>Europe, Asia and North America</t>
  </si>
  <si>
    <t>n Africa, India, s USA and Mexico</t>
  </si>
  <si>
    <t>Holarctic; winters to Mexico, North Africa, India and Borneo</t>
  </si>
  <si>
    <t>subarctic from Iceland and Scandinavia to Lena River (nc Siberia)</t>
  </si>
  <si>
    <t>to coasts of nw, ec Europe (e North Atlantic); Black and Caspian seas</t>
  </si>
  <si>
    <t>breeds in northern Eurasia; winters to the Mediterranean region, India, Japan, Korea, and China</t>
  </si>
  <si>
    <t>islets off Balabac, Palawan, Calamian Is. and Sulu Arch. (sw, s Philippines) and ne Borneo</t>
  </si>
  <si>
    <t>N Borneo, Palawan and Sulu Archipelago</t>
  </si>
  <si>
    <t>Luzon, Mindoro, Marinduque and satellites (n Philippines)</t>
  </si>
  <si>
    <t>northern Philippines (Luzon, Mindoro, Marinduque, and Babuyan Islands)</t>
  </si>
  <si>
    <t>Visayas, w Mindanao and Basilan (c, s Philippines)</t>
  </si>
  <si>
    <t>central Philippines: Visayan Islands (Masbate, Negros, Cebu, Bohol, Leyte, and Samar), western Mindanao, and Basilan</t>
  </si>
  <si>
    <t>e Mindanao (s Philippines)</t>
  </si>
  <si>
    <t>southeastern Philippines (eastern Mindanao)</t>
  </si>
  <si>
    <t>Transbaikalia and Amurland (ne Russia) and ne China</t>
  </si>
  <si>
    <t>Steppes of Manchuria to w China (Gansu and Qinghai)</t>
  </si>
  <si>
    <t>s Myanmar through Indochina</t>
  </si>
  <si>
    <t>N Indochina to e Thailand</t>
  </si>
  <si>
    <t>SE China and Hainan</t>
  </si>
  <si>
    <t>Philippines and Indonesian Arch.</t>
  </si>
  <si>
    <t>Philippines; Borneo; Sumatra and Java to Sulawesi, Sula Islands, and Lesser Sundas (Lombok to Sumba, Flores and Timor)</t>
  </si>
  <si>
    <t>39_4</t>
  </si>
  <si>
    <t>Philippines (except most West Visayas, Palawan group, and Sulu Arch.)</t>
  </si>
  <si>
    <t>Philippines (except West Visayas and Palawan group)</t>
  </si>
  <si>
    <t>se Siberia to Japan, Korean Pen. and e China</t>
  </si>
  <si>
    <t>to Greater Sundas; vagrant Philippines</t>
  </si>
  <si>
    <t>SE Siberia to e China, Japan and Korea; winters to Gr. Sundas</t>
  </si>
  <si>
    <t>41_4</t>
  </si>
  <si>
    <t>s Sulu Arch. (s Philippines) and Borneo</t>
  </si>
  <si>
    <t>N Borneo, Labuan, Balambangan, Banguey and s Sula islands</t>
  </si>
  <si>
    <t>Palawan group (sw Philippines)</t>
  </si>
  <si>
    <t>S Philippines (Palawan, Busuanga and Culion)</t>
  </si>
  <si>
    <t>43_1</t>
  </si>
  <si>
    <t>chirruping nightjar</t>
  </si>
  <si>
    <t>Caprimulgus (affinis) griseatus</t>
  </si>
  <si>
    <t>n, c Philippines</t>
  </si>
  <si>
    <t>N Philippines</t>
  </si>
  <si>
    <t>43_2</t>
  </si>
  <si>
    <t>Caprimulgus (affinis) mindanensis</t>
  </si>
  <si>
    <t>Mindanao (s Philippines)</t>
  </si>
  <si>
    <t>S Philippines (Mindanao); sight record from Jolo (Sulu Arch.)</t>
  </si>
  <si>
    <t>Luzon and Catanduanes (n Philippines)</t>
  </si>
  <si>
    <t>N Philippines (mountains of Luzon and Catanduanes)</t>
  </si>
  <si>
    <t>Panay and Negros (wc Philippines)</t>
  </si>
  <si>
    <t>Central Philippines (Negros and Panay)</t>
  </si>
  <si>
    <t>Samar, Leyte, Bohol, Mindanao and Basilan (ec, s Philippines)</t>
  </si>
  <si>
    <t>Philippines (Basilan, Mindanao, Leyte, Bohol and Samar)</t>
  </si>
  <si>
    <t>s Myanmar to sw Thailand, Malay Pen., Sumatra, Borneo and Sulu Arch. (s Philippines)</t>
  </si>
  <si>
    <t>southern Myanmar through the Thai-Malay Peninsula, Sumatra, and Borneo</t>
  </si>
  <si>
    <t>Philippines (except Palawan group)</t>
  </si>
  <si>
    <t>Philippine Islands and Sulu Archipelago (absent from Palawan)</t>
  </si>
  <si>
    <t>Babuyan, Calayan and n Camiguin (n of Luzon, n Philippines)</t>
  </si>
  <si>
    <t>Philippines (Calayan, Camiguin Norte, Babuyan, Claro, Fuga)</t>
  </si>
  <si>
    <t>c, s Luzon and Visayas (n, c Philippines; perhaps also Palawan)</t>
  </si>
  <si>
    <t>northern Philippines (central Luzon to Mindoro, Panay, Negros, Bohol, and Leyte); identity of the population on Palawan not determined, but may belong with Ridgetop Swiftlet</t>
  </si>
  <si>
    <t>n Luzon (n Philippines)</t>
  </si>
  <si>
    <t>northern Philippines (northern Luzon)</t>
  </si>
  <si>
    <t>Mindoro, Mindanao and Sulu Arch. (nc, s Philippines)</t>
  </si>
  <si>
    <t>southern Philippines (montane Mindoro, Mindanao, and Sulu Archipelago)</t>
  </si>
  <si>
    <t>Mt. Data (n Luzon, n Philippines)</t>
  </si>
  <si>
    <t>N Philippines (Mt. Data on n Luzon)</t>
  </si>
  <si>
    <t>Mt. Apo (Mindanao, s Philippines)</t>
  </si>
  <si>
    <t>S Philippines (Mt. Apo on Mindanao)</t>
  </si>
  <si>
    <t>Maratua (e of ne Borneo)</t>
  </si>
  <si>
    <t>Maratua Archipelago (off ne Borneo)</t>
  </si>
  <si>
    <t>Java</t>
  </si>
  <si>
    <t>Java; single Philippine record from Basilan</t>
  </si>
  <si>
    <t>Philippines (Luzon, Mindoro, Cebu, Bohol and Mindanao)</t>
  </si>
  <si>
    <t>Palawan group and Balambangan (n of ne Borneo)</t>
  </si>
  <si>
    <t>Sumatra, n, w Borneo and Java</t>
  </si>
  <si>
    <t>Sumatra, Nias I., and Borneo; one 1887 Palawan specimen</t>
  </si>
  <si>
    <t>se Asia, n Borneo islets, Panay and Palawan group (wc, sw Philippines)</t>
  </si>
  <si>
    <t>Coasts of Malay Peninsula, n Borneo and s Philippines</t>
  </si>
  <si>
    <t>c Siberia to Kuril Is. (e Russia) and Japan</t>
  </si>
  <si>
    <t>to sc, e New Guinea, e Australia and Tasmania</t>
  </si>
  <si>
    <t>Siberia to Japan and Kuril Islands.; winters to Australia</t>
  </si>
  <si>
    <t>Malay Pen., Greater Sundas and Palawan (w Philippines)</t>
  </si>
  <si>
    <t>Malay Peninsula, Greater Sundas and Palawan</t>
  </si>
  <si>
    <t>Philippines (except Palawan group and Sulu Arch.)</t>
  </si>
  <si>
    <t>Siberia to Kamchatka (e Russia), n China and Japan to Amami Is. (s Japan)</t>
  </si>
  <si>
    <t>to Indonesian Arch., New Guinea, Australia and Melanesia</t>
  </si>
  <si>
    <t>Siberia to Kamchatka, n China and n Japan; winters Indonesia, Melanesia, Australia, Tasmania</t>
  </si>
  <si>
    <t>se Tibet to e China, Taiwan and far n Philippines</t>
  </si>
  <si>
    <t>to Malaysia, Indonesian Arch. and Philippines</t>
  </si>
  <si>
    <t>Himalayas to Japan and se China s to Myanmar, se Asia and Philippines</t>
  </si>
  <si>
    <t>Nepal to se China, Myanmar, Thailand, Indochina, Philippines</t>
  </si>
  <si>
    <t>Malay Pen. to Sumatra, Borneo and satellites</t>
  </si>
  <si>
    <t>Malay Peninsula to Borneo, Sumatra and adjacent islands; this species also recently reported from (has recently colonized?) Sulawesi and the Lesser Sundas (Flores, Sumba, Timor), although the subspecific identity of these birds is not yet established</t>
  </si>
  <si>
    <t>Sumatra, Nias (w of n Sumatra), Mentawai (w of c Sumatra), Java, Madura (n of e Java), Bali, Borneo and Palawan group (sw Philippines)</t>
  </si>
  <si>
    <t>Greater Sundas and adjacent islands to sw Philippines</t>
  </si>
  <si>
    <t>Basilan and Sulu Arch. (s Philippines)</t>
  </si>
  <si>
    <t>S Philippines (Jolo, Tawitawi, Basilan and Sanga Sanga)</t>
  </si>
  <si>
    <t>Babuyanes Is. (far n Philippines)</t>
  </si>
  <si>
    <t>Babuyanes Islands (n Philippines)</t>
  </si>
  <si>
    <t>Luzon group, Visayas, Mindanao group and Jolo (n Sulu Arch.; n to s Philippines)</t>
  </si>
  <si>
    <t>Mindoro and Semirara Is. (nc Philippines)</t>
  </si>
  <si>
    <t>N-central Philippines (Mindoro and Semirara)</t>
  </si>
  <si>
    <t>Batanes Is. (n Philippines)</t>
  </si>
  <si>
    <t>Philippines: Batanes Islands (Batan, Ivojos, and Sabtang), north of Luzon</t>
  </si>
  <si>
    <t>Malay Pen. to Sumatra, Riau and Lingga is. (e of c Sumatra), Bangka and Belitung (e of s Sumatra), Java, Borneo, Palawan group and Sulu Arch. (sw, s Philippines)</t>
  </si>
  <si>
    <t>Malay Pen., Sumatra, Java, Borneo, Palawan and Philippines</t>
  </si>
  <si>
    <t>S Philippines (Palawan, Balabac, Busuanga, Culion, Calauit)</t>
  </si>
  <si>
    <t>Cagayan Province (ne Luzon)</t>
  </si>
  <si>
    <t>N Luzon (Cagayan Province)</t>
  </si>
  <si>
    <t>Luzon s of Cagayan Province</t>
  </si>
  <si>
    <t>Luzon (south of range of cagayensis)</t>
  </si>
  <si>
    <t>s India, Sri Lanka and s Myanmar</t>
  </si>
  <si>
    <t>se Africa</t>
  </si>
  <si>
    <t>S India and Sri Lanka</t>
  </si>
  <si>
    <t>s China and Indochina</t>
  </si>
  <si>
    <t>to Borneo</t>
  </si>
  <si>
    <t>S China and Indochina; winters to Borneo</t>
  </si>
  <si>
    <t>Philippines (including Palawan), Sangihe and Talaud is. (n of ne Sulawesi) and n Moluccas</t>
  </si>
  <si>
    <t>Philippines (including Palawan), Sulu Archipelago, Sangihe, Siau, Ruang, Talaud Islands, and the northern Moluccas</t>
  </si>
  <si>
    <t>Sulawesi, Tukangbesi Is. (se of se Sulawesi), Banggai and Sula is. (e of Sulawesi)</t>
  </si>
  <si>
    <t>Sulawesi and the Banggai, Sula, and Tukangbesi Islands</t>
  </si>
  <si>
    <t>ne India to se Asia, Greater Sundas and Palawan</t>
  </si>
  <si>
    <t>NE India to SE Asia, Greater Sundas and Palawan</t>
  </si>
  <si>
    <t>Borneo and Philippines (except Luzon group)</t>
  </si>
  <si>
    <t>SE Borneo and s Philippine Islands</t>
  </si>
  <si>
    <t>Sumatra, Borneo and Palawan (sw Philippines)</t>
  </si>
  <si>
    <t>Philippines and Sulawesi</t>
  </si>
  <si>
    <t>Malay Pen., Greater and Lesser Sundas e to Alor</t>
  </si>
  <si>
    <t>southern Myanmar (Tenasserim) and southern Thailand south through the Thai-Malay Peninsula, the Greater Sundas, the western Lesser Sumbas (east at least to Sumba and Flores), and the Philippines</t>
  </si>
  <si>
    <t>Sulu Archipelago (Jolo, Basilan, Tawitawi and adjacent islands)</t>
  </si>
  <si>
    <t>Luzon, Mindoro and Negros (n, wc Philippines)</t>
  </si>
  <si>
    <t>Philippines (Luzon, Mindoro and Negros)</t>
  </si>
  <si>
    <t>Bohol, Leyte, Samar, Mindanao and Basilan (ec, s Philippines)</t>
  </si>
  <si>
    <t>southern Philippines (Basilan, Biliran, Leyte, Samar, Mindanao, Malamaui, and Bohol)</t>
  </si>
  <si>
    <t>Sulu Arch. (s Philippines)</t>
  </si>
  <si>
    <t>Jolo, Bongao and Tawi Tawi, Sulu Archipelago</t>
  </si>
  <si>
    <t>nw Himalayas to ne India and Bangladesh, Myanmar, Thailand to the Malay Pen., Sumatra, Borneo, and Palawan</t>
  </si>
  <si>
    <t>Himalayas from Kashmir east to northeastern India and Bangladesh, Myanmar, Thailand south through the Malay Peninsula to Sumatra, Borneo, and Palawan</t>
  </si>
  <si>
    <t>India to se Siberia, ne China, se Asia and nw, ec, s Philippines</t>
  </si>
  <si>
    <t>to Philippines and Greater Sundas</t>
  </si>
  <si>
    <t>India and Myanmar to SE Asia; winters to Greater Sundas</t>
  </si>
  <si>
    <t>Philippines (except Palawan group), Mantanani (w of ne Borneo), Sipadan and Maratua (e of ne, c Borneo)</t>
  </si>
  <si>
    <t>Philippines, Sulu Archipelago and islands off n Borneo</t>
  </si>
  <si>
    <t>Palawan group (w Philippines)</t>
  </si>
  <si>
    <t>Palawan and adjacent islands (Calauit, Comiran, and Lambucan), Philippines</t>
  </si>
  <si>
    <t>c Siberia to Japan, China, the e Himalayas and Taiwan</t>
  </si>
  <si>
    <t>s, e Asia</t>
  </si>
  <si>
    <t>Central Siberia to China, Korea, Japan and Kuril Islands</t>
  </si>
  <si>
    <t>e Nepal, ne India and ne Tibet to n China and Philippines (except Basilan and Sulu Arch.)</t>
  </si>
  <si>
    <t>Tibet to Myanmar, Thailand, SE Asia and n Philippines</t>
  </si>
  <si>
    <t>Bangladesh and ne India through Indochina to Philippines and Greater and Lesser Sundas</t>
  </si>
  <si>
    <t>N India to Malaya, Indochina, Philippines, Gr. and Lesser Sundas</t>
  </si>
  <si>
    <t>Calayan (far n Philippines)</t>
  </si>
  <si>
    <t>Calayan Island (north Philippines)</t>
  </si>
  <si>
    <t>Philippines (except Palawan taxon novum)</t>
  </si>
  <si>
    <t>Batan, Itbayat and Sabtang (far n Philippines); Lanyu (Taiwan)</t>
  </si>
  <si>
    <t>Lanyu Island (off Taiwan) and Itbayat, Batan and Sabtang Islands (north Philippines)</t>
  </si>
  <si>
    <t>India to s China, Malaysia, Philippines, Indonesian Arch. (except se Lesser Sundas and s Moluccas) and Raja Ampat Is. (nw of New Guinea)</t>
  </si>
  <si>
    <t>India to southeastern China, south to the Philippines, Indonesia and western Papuan islands</t>
  </si>
  <si>
    <t>Andaman and Nicobar Is., Philippines, Indonesian Arch., New Guinea satellites, Bismarck Arch. and Solomon Is.; mostly on small is.</t>
  </si>
  <si>
    <t>Malay Arch. to New Guinea, Philippines and Solomon Islands</t>
  </si>
  <si>
    <t>N Luzon (n Philippines)</t>
  </si>
  <si>
    <t>c, s Luzon (n Philippines)</t>
  </si>
  <si>
    <t>N Philippines (central and s Luzon and Polillo)</t>
  </si>
  <si>
    <t>Catanduanes (n Philippines)</t>
  </si>
  <si>
    <t>NE Philippines (Vigo-Gigmoto watershed on Catanduanes)</t>
  </si>
  <si>
    <t>Samar, Leyte and Bohol (ec Philippines)</t>
  </si>
  <si>
    <t>Philippines (Samar, Leyte and Bohol)</t>
  </si>
  <si>
    <t>Mindanao and Dinagat (s Philippines)</t>
  </si>
  <si>
    <t>S Philippines (Mindanao and Dinagat)</t>
  </si>
  <si>
    <t>Basilan (s Philippines)</t>
  </si>
  <si>
    <t>Basilan I. (se Philippines)</t>
  </si>
  <si>
    <t>Catanduanes, Luzon and Mindoro (n Philippines)</t>
  </si>
  <si>
    <t>N Philippines (Catanduanes, Luzon, Mindoro and adj. islands)</t>
  </si>
  <si>
    <t>West Visayas (wc Philippines)</t>
  </si>
  <si>
    <t>Philippines (Cebu, Guimaras, Masbate, Negros, Panay, adj. is.)</t>
  </si>
  <si>
    <t>East Visayas and Mindanao (ec, s Philippines)</t>
  </si>
  <si>
    <t>Leyte, Mindoro, Bohol, Dinagat, Samar, Mindanao and Siquijor</t>
  </si>
  <si>
    <t>S Philippines (Basilan) and Sulu Archipelago</t>
  </si>
  <si>
    <t>n, e, se Philippines</t>
  </si>
  <si>
    <t>Luzon, Mindanao and adjacent Philippines</t>
  </si>
  <si>
    <t>Marinduque (nc Philippines)</t>
  </si>
  <si>
    <t>Marinduque (n-central Philippines)</t>
  </si>
  <si>
    <t>Negros (ec Philippines)</t>
  </si>
  <si>
    <t>Montane forests of Negros (e-central Philippines)</t>
  </si>
  <si>
    <t>Cebu (c Philippines)</t>
  </si>
  <si>
    <t>Cebu (e-central Philippines). Probably extinct</t>
  </si>
  <si>
    <t>s Luzon, Polillo, Catanduanes, Mindoro, Lubang and Alabat (n Philippines)</t>
  </si>
  <si>
    <t>S Luzon, Polillo, Alabat, Catanduanes, Lubang and Mindoro</t>
  </si>
  <si>
    <t>Visayas, Mindanao and Basilan (c, s Philippines)</t>
  </si>
  <si>
    <t>E Philippines (Mandate to Cebu, Basilan and Mindanao)</t>
  </si>
  <si>
    <t>Sulu Archipelago (Bongao, Jolo, Sibutu and Tawitawi)</t>
  </si>
  <si>
    <t>110_3</t>
  </si>
  <si>
    <t>curvirostra</t>
  </si>
  <si>
    <t>Malay Pen. and Sumatra</t>
  </si>
  <si>
    <t>Nepal and northeastern India east to southern China, south through Indochina and the Thai-Malay Peninsula to Sumatra, Borneo, and the western Philippines (Balabac, Palawan, and Mindoro)</t>
  </si>
  <si>
    <t>Mindoro and Palawan group (nw, sw Philippines)</t>
  </si>
  <si>
    <t>Batanes and Babuan (far n Philippines)</t>
  </si>
  <si>
    <t>N Philippines (Batan, Calayan, Camiguin Norte and Sabtang)</t>
  </si>
  <si>
    <t>s Luzon, Catanduanes and Polillo (n Philippines)</t>
  </si>
  <si>
    <t>N Philippines (s Luzon, Polillo and Catanduanes)</t>
  </si>
  <si>
    <t>Lowland forests of n and central Philippines</t>
  </si>
  <si>
    <t>Mountains of Mindanao (se Philippines)</t>
  </si>
  <si>
    <t>Lanyu I. (off s Taiwan) and far n Philippines (islands n of Luzon)</t>
  </si>
  <si>
    <t>Lan-yü I. (Taiwan); Batan, Calayan and Camiguin Norte is.</t>
  </si>
  <si>
    <t>Philippines (except n, Palawan group, and Sulu Arch.)</t>
  </si>
  <si>
    <t>Philippines (except Palawan, Basilan and Sulu Archipelago)</t>
  </si>
  <si>
    <t>Sulawesi and Salayar (=Selayar, s of sw Sulawesi)</t>
  </si>
  <si>
    <t>Sulawesi and Sula Islands</t>
  </si>
  <si>
    <t>Palawan group, Sulu Arch., and Basilan area (sw, s Philippines) and Balambangan and Banggi (n of ne Borneo)</t>
  </si>
  <si>
    <t>S Philippines and islands off n Borneo</t>
  </si>
  <si>
    <t>Luzon, Mindoro and Sibuyan</t>
  </si>
  <si>
    <t>N Philippines (Luzon, Mindoro and Sibuyan)</t>
  </si>
  <si>
    <t>Negros and Siquijor</t>
  </si>
  <si>
    <t>Philippines (Negros and Siquijor)</t>
  </si>
  <si>
    <t>Banggi (n of ne Borneo) to Palawan group (sw Philippines)</t>
  </si>
  <si>
    <t>Palawan, adjacent s Philippines and Banggai Islands</t>
  </si>
  <si>
    <t>Calayan, Camiguin Norte and Fuga (far n Philippines)</t>
  </si>
  <si>
    <t>N Philippines (Calayan, Camiguin Norte and Fuga)</t>
  </si>
  <si>
    <t>Philippines (except far north and Palawan group)</t>
  </si>
  <si>
    <t>Philippines (except for northern Luzon and associated islands and the southwestern islands)</t>
  </si>
  <si>
    <t>n Borneo, Philippines and n Sulawesi</t>
  </si>
  <si>
    <t>Philippines, Sulu Archipelago, n Borneo and Sulawesi</t>
  </si>
  <si>
    <t>Pom Pom (=Pulau Pompong) and Selingan (e of ne Borneo) and Philippines</t>
  </si>
  <si>
    <t>Philippines (except Palawan, and Zamboanga Pen. through Sulu Arch.), Borneo, Sulawesi and satellites, Bali and Lesser Sundas</t>
  </si>
  <si>
    <t>Philippine Islands, Sulawesi, Sula Islands (Taliabu), Moluccas (Buru), and the Lesser Sunda Islands (Sumba, Alor, Sawu, Rote, and Timor)</t>
  </si>
  <si>
    <t>Europe and n Africa to Japan and se Asia</t>
  </si>
  <si>
    <t>Palearctic; winters to Arabia and s China</t>
  </si>
  <si>
    <t>Inner Is. (ne Seychelles), Andamans, Malay Pen., Greater and Lesser Sundas, Sulawesi region and Philippines</t>
  </si>
  <si>
    <t>Seychelles, Andamans, Malay Pen., Indonesia and Philippines</t>
  </si>
  <si>
    <t>Europe and n Africa to Japan, India, se Asia, and Borneo</t>
  </si>
  <si>
    <t>Palearctic; winters to Africa, Indonesia and Philippines</t>
  </si>
  <si>
    <t>Pakistan and n India to Malaysia, Indonesian Arch. and Philippines (except Palawan group and Sulu Arch.)</t>
  </si>
  <si>
    <t>Pakistan and India to the Thai-Malay Peninsula, Indonesia and Philippines</t>
  </si>
  <si>
    <t>e Europe to c, e Asia</t>
  </si>
  <si>
    <t>s, se Asia to s China, Philippines and Indonesian Arch.</t>
  </si>
  <si>
    <t>Central and e Asia; winters to India, Malaya and Philippines</t>
  </si>
  <si>
    <t>Batan Is. (far n Philippines)</t>
  </si>
  <si>
    <t>Batan Islands (n Philippines)</t>
  </si>
  <si>
    <t>Philippines (except Batan and Palawan group) and Palau (w Caroline Is., w Micronesia)</t>
  </si>
  <si>
    <t>Philippines; vagrant to Palau Islands (w Micronesia)</t>
  </si>
  <si>
    <t>s Asia, Malay Arch., Sangihe and Talaud (n of ne Sulawesi) and Philippines</t>
  </si>
  <si>
    <t>S Asia, Malay Archipelago and Philippine Islands</t>
  </si>
  <si>
    <t>Cambodia and s Laos (extinct Philippines)</t>
  </si>
  <si>
    <t>Cambodia and s Laos; winters in Vietnam</t>
  </si>
  <si>
    <t>Philippines (except Mindanao and perhaps Palawan group) and n Borneo</t>
  </si>
  <si>
    <t>N Philippine Islands</t>
  </si>
  <si>
    <t>temperate Eurasia (s of Scandinavia) from Britain and Spain e through Baltic states through Kazakhstan, n, c Mongolia patchily to Russian Far East and ne China</t>
  </si>
  <si>
    <t>to coasts of n Africa, Arabian Pen., Black and Caspian seas, nw Indian subcontinent, se China, Korean Pen. and Japan</t>
  </si>
  <si>
    <t>Locally in Eurasia</t>
  </si>
  <si>
    <t>147_14</t>
  </si>
  <si>
    <t>SW Philippines (Palawan and Calamian Is.)</t>
  </si>
  <si>
    <t>147_15</t>
  </si>
  <si>
    <t>Luzon, Mindoro, Masbate and Sibuyan (n, c Philippines)</t>
  </si>
  <si>
    <t>N Philippines (Luzon to Mindoro, Sibuyan and Masbate)</t>
  </si>
  <si>
    <t>147_16</t>
  </si>
  <si>
    <t>Cebu, Guimaras, Negros and Panay (wc Philippines)</t>
  </si>
  <si>
    <t>Philippines (Negros, Cebu and Panay)</t>
  </si>
  <si>
    <t>n Luzon</t>
  </si>
  <si>
    <t>Mountains of n Luzon I. (n Philippines)</t>
  </si>
  <si>
    <t>s, c Luzon</t>
  </si>
  <si>
    <t>S and central Luzon I. (n Philippines)</t>
  </si>
  <si>
    <t>149_6</t>
  </si>
  <si>
    <t>Luzon (n Philippines)</t>
  </si>
  <si>
    <t>149_7</t>
  </si>
  <si>
    <t>Bohol and Mindanao (s Philippines)</t>
  </si>
  <si>
    <t>S Philippines (Bohol and Mindanao)</t>
  </si>
  <si>
    <t>149_8</t>
  </si>
  <si>
    <t>Negros (wc Philippines)</t>
  </si>
  <si>
    <t>Negros I. (Philippines)</t>
  </si>
  <si>
    <t>149_9</t>
  </si>
  <si>
    <t>coastal Kamchatka, Sea of Okhotsk (se Russia), coastal and inland n Korean Pen., ne China and Kinmen I. (off Fujian Province, e China)</t>
  </si>
  <si>
    <t>to e China</t>
  </si>
  <si>
    <t>Kamchatka Peninsula and North Korea; winters e China</t>
  </si>
  <si>
    <t>156_1</t>
  </si>
  <si>
    <t>high Arctic coasts from nw Russia to Chukotskiy Pen. (including New Siberian Is., n of ec Siberia) and w, n Alaska</t>
  </si>
  <si>
    <t>w, s Europe, Africa, s, e Asia and Australasia and w Americas</t>
  </si>
  <si>
    <t>156_2</t>
  </si>
  <si>
    <t>Wrangel I. (n of ne Siberia)</t>
  </si>
  <si>
    <t>158_3</t>
  </si>
  <si>
    <t>Arctic Ocean coasts, islands: n Scandinavia to Chukotskiy Pen. (ne Siberia) including Novaya Zemlya and New Siberian Is. (n of nw, ne Russia) and St. Lawrence I. (n Bering Sea; erratic)</t>
  </si>
  <si>
    <t>s Europe, Africa and sw Asia</t>
  </si>
  <si>
    <t>breeds northern Scandanavia to eastern Siberia; winters eastern Africa to the Caspian Sea and South Asia</t>
  </si>
  <si>
    <t>British Is., s, c Scandinavia, Iberian Pen. and n Africa, across Russia to Sea of Okhotsk and Ussuriland, s through Turkey, Middle East to Iran, n Mongolia to ec China, Korean Pen., Taiwan and Hokkaido to Kyushu (n to s Japan)</t>
  </si>
  <si>
    <t>Africa and s Asia</t>
  </si>
  <si>
    <t>Palearctic; winters to Africa, Arabia, e China and Indonesia</t>
  </si>
  <si>
    <t>159_3</t>
  </si>
  <si>
    <t>Philippines, New Guinea, New Ireland and New Britain (e Bismarck Arch.)</t>
  </si>
  <si>
    <t>Philippines to New Guinea and Bismarck Archipelago</t>
  </si>
  <si>
    <t>165_1</t>
  </si>
  <si>
    <t>siberian sand plover</t>
  </si>
  <si>
    <t>Sea of Okhotsk to Ussuriland (se Siberia)</t>
  </si>
  <si>
    <t>coastal Taiwan, Vietnam to New Guinea region and Australia (except s and Tasmania)</t>
  </si>
  <si>
    <t>E Siberia and Russian Far East; winters Taiwan to Australia</t>
  </si>
  <si>
    <t>nw China (and ?Kyrgyzstan/Tajikistan) to s Siberia and se Mongolia</t>
  </si>
  <si>
    <t>s Asia to s Japan, Philippines, Indonesian Arch. and Australasia</t>
  </si>
  <si>
    <t>W China to s Mongolia and s Siberia; winters Australasia</t>
  </si>
  <si>
    <t>168_1</t>
  </si>
  <si>
    <t>coastal w Europe (formerly British Is.), Macaronesia (w of nw Africa), n Africa, sporadically to Senegal; inland through c Asia to nw, nc Indian subcontinent, n, c Mongolia and n China</t>
  </si>
  <si>
    <t>n Africa and s Asia</t>
  </si>
  <si>
    <t>breeds western Palearctic to eastern China, southern Japan, and Ryukyu Islands; winters to Africa, southern Asia, the Philippines, Indonesia, and Borneo</t>
  </si>
  <si>
    <t>168_2</t>
  </si>
  <si>
    <t>Sakhalin and Kuril Is. (se Russia), Hokkaido through Ryukyu Is. (=Nansei Shoto; n to s Japan), Korean Pen., ne, e China and Taiwan</t>
  </si>
  <si>
    <t>to Philippines and Indonesian Arch.</t>
  </si>
  <si>
    <t>breeds coasts of extreme southeastern Russia, Sakhalin, the Kuril Islands, northern Japan, and perhaps northeastern China; nonbreeding range unknown</t>
  </si>
  <si>
    <t>173_5</t>
  </si>
  <si>
    <t>India to Australasia</t>
  </si>
  <si>
    <t>breeds in northeastern Siberia; winters from eastern India east to Taiwan, south through the Philippines and Indonesia to Australia</t>
  </si>
  <si>
    <t>176_3</t>
  </si>
  <si>
    <t>w, c Siberia to Manchuria</t>
  </si>
  <si>
    <t>Mediterranean, Africa and s, se Asia</t>
  </si>
  <si>
    <t>breeds from central Siberia east to northeastern China (central Heilongjiang); winters along coasts of eastern and southern Africa, Madagascar, and from the southern Caspian Sea south to the Persian Gulf and east through souther Asia to eastern China and southern Japan, south to the Philippines and Greater Sundas</t>
  </si>
  <si>
    <t>177_5</t>
  </si>
  <si>
    <t>ne Siberia to n, w Alaska</t>
  </si>
  <si>
    <t>China and Australasia</t>
  </si>
  <si>
    <t>breeds western Alaska; winters coastal China to New Zealand</t>
  </si>
  <si>
    <t>178_3</t>
  </si>
  <si>
    <t>c, e Asia</t>
  </si>
  <si>
    <t>India, se Asia and Australia</t>
  </si>
  <si>
    <t>breeds in disjunct populations in Siberia east of the Yenisei River, in eastern Mongolia, and in northeastern China (populations in northeastern Siberia probably are bohaii); winters from India, Indochina, Taiwan and Philippines south to Indonesia, New Guinea, Melanesia, Australia and probably New Zealand</t>
  </si>
  <si>
    <t>187_2</t>
  </si>
  <si>
    <t>c, n Europe and Asia</t>
  </si>
  <si>
    <t>to w Europe, Africa, Indonesian Arch. and Japan</t>
  </si>
  <si>
    <t>N Palearctic and Aleutians; winters to Africa, India, Indonesia</t>
  </si>
  <si>
    <t>196_6</t>
  </si>
  <si>
    <t>Tajikistan to n India and Tibet</t>
  </si>
  <si>
    <t>India to Malay Pen.</t>
  </si>
  <si>
    <t>Pamir Mountains to n India and Tibet; winters in India</t>
  </si>
  <si>
    <t>200_1</t>
  </si>
  <si>
    <t>Ellesmere I. (ne Canada), n Greenland, n Scandinavia, Baltic states, White Sea, s Novaya Zemlya and New Siberian Is. to ne Siberia and w Alaska</t>
  </si>
  <si>
    <t>coastal w, s Europe, Africa, s, e Asia, Australasia to e Polynesia, w USA and w Mexico</t>
  </si>
  <si>
    <t>Alaska, n N Am. and n Eurasia, winters to Africa, Australasia</t>
  </si>
  <si>
    <t>202_1</t>
  </si>
  <si>
    <t>Taymyr Pen. (nc Siberia)</t>
  </si>
  <si>
    <t>w, s Africa</t>
  </si>
  <si>
    <t>Siberia; winters to South Africa and Australasia</t>
  </si>
  <si>
    <t>204_2</t>
  </si>
  <si>
    <t>Taymyr Pen. (nw Siberia) and Lena to Kolyma rivers (ne Siberia)</t>
  </si>
  <si>
    <t>coastal ne India through se Asia, Indonesian Arch., s New Guinea and Australia (except sw, sc, Tasmania)</t>
  </si>
  <si>
    <t>N Russia; winters to India, SE Asia, Philippines and Australia</t>
  </si>
  <si>
    <t>210_1</t>
  </si>
  <si>
    <t>Ellesmere I. (ne Canada), n, e Greenland, Svalbard (n of Norway), Severnaya Zemlya (n of nc Russia) and n Taymyr Pen. (nc Russia)</t>
  </si>
  <si>
    <t>w Europe, Africa, Asia, Australasia and Polynesia</t>
  </si>
  <si>
    <t>breeds extreme northern Canada (Ellesmere Island), Greenland, and Svalbard east least to Severnaya Zemlya Islands and the Taymyr Peninsula; winters on coasts of western and southern Europe, Africa, and southern Asia and southeastern Asia to Australasia and some tropical Pacific islands</t>
  </si>
  <si>
    <t>211_5</t>
  </si>
  <si>
    <t>ne Russia to Chukotskiy Pen.</t>
  </si>
  <si>
    <t>e China, Korean Pen., Japan and Taiwan</t>
  </si>
  <si>
    <t>Russia to Chukotsk Pen.; winters China, Japan and Taiwan</t>
  </si>
  <si>
    <t>215_2</t>
  </si>
  <si>
    <t>all Seychelles groups from Aldabra ne to Inner Is., Mascarenes, Chagos and Maldives (tropical w, nc Indian Ocean); Lord Howe and Norfolk is. (far e of Australia), Kermadec Is. (ne of New Zealand), outlying islands ne of New Guinea, Melanesia, Micronesia, Polynesia (except Marquesas other than Hatutu, ne of Eiao, n Marquesas; and Pitcairn group) to Northwestern Hawaiian Is. and O'ahu, Clipperton (far sw of Mexico), I. del Coco (far sw of Costa Rica) and I. Malpelo (far w of Colombia)</t>
  </si>
  <si>
    <t>Seychelles and Mascarene islands and s Pacific to Hawaii, Clipperton and Cocos islands</t>
  </si>
  <si>
    <t>216_1</t>
  </si>
  <si>
    <t>Red Sea and Gulf of Aden, all Seychelles groups from Aldabra ne to Inner Is., Madagascar and Mascarenes (w Indian Ocean) e through the Pacific from Ryukyu and Bonin is. (s Japan) to Hawaiian Is. and Easter Is. group (=Eastern Is., se Polynesia)</t>
  </si>
  <si>
    <t>Red Sea, Gulf of Aden, and Indian Ocean (south to northern Madagascar and the Mascarene Islands) east to Australia, Polynesia, and Hawaii</t>
  </si>
  <si>
    <t>217_4</t>
  </si>
  <si>
    <t>Cavili I. and Tubbataha Reefs, Sulu Sea (sw Philippines)</t>
  </si>
  <si>
    <t>Cavilli I. and Tubbataha Reef (Sulu Sea)</t>
  </si>
  <si>
    <t>219_2</t>
  </si>
  <si>
    <t>islands of Indian Ocean region and subtropical w North Pacific: Red Sea, Gulf of Aden, Somalia to Kenya, Europa (w of s Madagascar, Mozambique Channel), Cosmoledo (e Aldabra group, sw Seychelles), Amirantes and smaller Inner Is. (c, ne Seychelles), nw, n, e Madagascar, Mascarenes, Chagos Arch. (nc Indian Ocean), Lakshadweep (w of c India), Vengurla Rocks (off s Maharashtra, wc India) and Greater Sundas (Indian Ocean) to Ryukyu Is. (s Japan) and islets in far w Philippines</t>
  </si>
  <si>
    <t>southern Red Sea and the Indian Ocean to the Ryukyu Islands, Indonesia, and the Philippines</t>
  </si>
  <si>
    <t>219_3</t>
  </si>
  <si>
    <t>islands of tropical and subtropical South Indian and South Pacific oceans: w, n Australia, Torres Strait is., Tench (St. Matthias group, nc Bismarck Arch.), Lord Howe and Norfolk is. (far e of Australia), Kermadec Is. (ne of North I., New Zealand) and the South Pacific to Easter Is. (=Eastern Is. group, se Polynesia)</t>
  </si>
  <si>
    <t>New Guinea, Australia and New Caledonia</t>
  </si>
  <si>
    <t>219_4</t>
  </si>
  <si>
    <t>islands of subtropical and tropical North Pacific: Bonin Is. (=Ogasawara Is., se of Japan) to the Hawaiian Is. s to Kiritimati (Line Is.)</t>
  </si>
  <si>
    <t>Bonin Islands to Hawaii and South Pacific islands</t>
  </si>
  <si>
    <t>220_3</t>
  </si>
  <si>
    <t>tropical and subtropical e Indian and w Pacific oceans: islands w of Thailand and Malaysia, in Indonesian Arch., Okinawa and Yaeyama is. (Ryukyu Is.=Nansei Shoto, s Japan), Taiwan, islands off e China, Philippines, New Guinea and w, n, ne Australian satellites, Admiralty Is. (nw Bismarck Arch.), Rennell (s Solomon Is.), New Caledonia and Fiji (sw Polynesia) to Samoa (c Polynesia)</t>
  </si>
  <si>
    <t>Ryukyu Is., Taiwan, Philippines, Indonesia and Australia</t>
  </si>
  <si>
    <t>221_3</t>
  </si>
  <si>
    <t>Indus River basin (Pakistan), Gangetic Plain (nc India); Sri Lanka; se Russia through Japan, Korean Pen., e China, Taiwan, Vietnam and Mindanao (s Philippines); Gulf of Thailand, Malay Pen., Singapore, and islands off Greater Sundas; off New Britain (se Bismarck Arch.), Bougainville (n Solomon Is.); coastal nw, n, Australia; and Saipan (s Northern Mariana Is.,nw Micronesia)</t>
  </si>
  <si>
    <t>Philippines, Malaysia, Indonesia, coastal New Guinea, Australia, New Zealand and w Micronesia</t>
  </si>
  <si>
    <t>resident northern India and Sri Lanka east to southeastern Asia, the Philippines, and northern Australia; also breeds southeastern Siberia and Japan south to southeastern China, wintering to New Guinea and Australia</t>
  </si>
  <si>
    <t>222_2</t>
  </si>
  <si>
    <t>coastal Bohai Gulf (ec China) to se China</t>
  </si>
  <si>
    <t>se Asia and Philippines, Indonesian Arch. and n Australia</t>
  </si>
  <si>
    <t>Transbaikalia to Manchuria and e China; winters SE Asia</t>
  </si>
  <si>
    <t>224_1</t>
  </si>
  <si>
    <t>inland n Africa and sw, c Europe to c Asia (Caspian and Amu Darya regions), Kashmir and (erratic) Gangetic Plain to w, c Mongolia, Lake Baikal to Lake Khanka (ec, se Russia) and e China</t>
  </si>
  <si>
    <t>to coastal and inland n, w, ne Africa, s, se Asia, Indonesian Arch. and Philippines</t>
  </si>
  <si>
    <t>breeds northwestern Africa and central and southern Europe to southeastern Siberia, eastern China and south to Pakistan and northern India; winters Africa and southern and southeastern Asia to Thai-Malay Peninsula, Sulawesi, and the Philippines</t>
  </si>
  <si>
    <t>224_3</t>
  </si>
  <si>
    <t>inland Australia (except Tasmania)</t>
  </si>
  <si>
    <t>nomadic; also to coastal and inland n Australia, New Guinea, Greater Sundas and Philippines</t>
  </si>
  <si>
    <t>breeds Australia; winters northern Australia north to New Guinea, the Sunda Islands, and the Philippines</t>
  </si>
  <si>
    <t>ne Siberia s to Kamchatka, Sakhalin, Ussuriland and e Mongolia to ne China</t>
  </si>
  <si>
    <t>se Asia and Philippines to Australia</t>
  </si>
  <si>
    <t>NE Siberia to ne China; winters SE Asia to Australia</t>
  </si>
  <si>
    <t>tropical e Indian and w Pacific Ocean islands: Andaman Is., Thailand, Vietnam, Malay Pen., Ryukyu Is. (=Nansei Shoto, s Japan), islands off e China coast, Taiwan, Philippines, Indonesian Arch., New Guinea satellites, n Australia, Melanesia, s Micronesia, Tuvalu (=Ellice Is.), Fiji, Tonga, Tokelau and Samoa (w, c Polynesia), and n Cook Is. (e Polynesia)</t>
  </si>
  <si>
    <t>Andaman and Nicobar islands east to eastern China and southern Japan, south through southeast Asia to the Philippines, the Sunda Islands, New Guinea and northern Australia, Micronesia, Melanesia, and west central Polynesia (east to Samoa)</t>
  </si>
  <si>
    <t>228_4</t>
  </si>
  <si>
    <t>islands off tropical and subtropical e Indian and w Pacific oceans: Ryukyu Is. (s Japan), e China, Con Dao Is. (se of Vietnam), s Thailand, Malay Pen., New Guinea satellites, Bismarck Arch., Solomon Is., Vanuatu and New Caledonia including Loyalty Is.</t>
  </si>
  <si>
    <t>Arabian Sea; e China to New Guinea, Solomons and Ryukyus</t>
  </si>
  <si>
    <t>230_4</t>
  </si>
  <si>
    <t>coastal e China, Taiwan, Spratly Is. (s China Sea), Senkaku Is. (w of Okinawa), and Nishinoshima (Iwo=Volcano Is., s of Japan), sw Philippines, Con Dao Is. (se of Vietnam), Australia including Torres Strait is. (far ne Australia), New Caledonia, Micronesia, Fiji and Tonga (sw, sc Polynesia), Line Is. (e Kiribati), Society and Tuamotu is. (e Polynesia)</t>
  </si>
  <si>
    <t>Ryukyu Islands and southeastern China to the Philippines, the Sunda Islands, Wallacea, New Guinea, Australia, and the tropical Pacific Ocean (to southeastern Polynesia)</t>
  </si>
  <si>
    <t>235_1</t>
  </si>
  <si>
    <t>islands off w North Atlantic coast of se Canada (sporadic or formerly), Maine to Florida, Gulf of Mexico to s Texas, Salton Sea (se California; formerly), Gulf of California to Colima</t>
  </si>
  <si>
    <t>to e Pacific coast from n Baja California (nw Mexico) to s Peru and Galápagos</t>
  </si>
  <si>
    <t>SE California to w Mexico; Maine to C Am.; winters to Peru</t>
  </si>
  <si>
    <t>238_3</t>
  </si>
  <si>
    <t>ne Siberia and Kamchatka</t>
  </si>
  <si>
    <t>Sea of Okhotsk (se Russia), Japan, Korean Pen. to se China and Taiwan</t>
  </si>
  <si>
    <t>NE Siberia; winters SE Asia</t>
  </si>
  <si>
    <t>Arctic c, e Siberia from Taimyr to Chukotka, New Siberian Is. (far nc Russia) and St. Lawrence I. (n Bering Sea)</t>
  </si>
  <si>
    <t>to coasts of Japan, Korean Pen. and e China</t>
  </si>
  <si>
    <t>240_4</t>
  </si>
  <si>
    <t>arctic tundra from Kola Pen. (nw Russia) to Yamal Pen. (nc Siberia)</t>
  </si>
  <si>
    <t>to Red Sea, w Indian Ocean to Tanzania and w, n, e Arabian Gulf</t>
  </si>
  <si>
    <t>NW Russia; winters to Middle East, South Africa and se Asia</t>
  </si>
  <si>
    <t>242_2</t>
  </si>
  <si>
    <t>Arctic from Lena River (ec Siberia) to ne Siberia and Kamchatka, Arctic and w, s Alaska through high Arctic Canada to Ellesmere and Baffin is. (ne Canada) and nw, se Greenland</t>
  </si>
  <si>
    <t>Arctic N Am and Siberia; winters to s S America and S Africa</t>
  </si>
  <si>
    <t>245_4</t>
  </si>
  <si>
    <t>w, c, s Pacific islands: s Ryukyu (=Nansei Shoto), Ogasawara (=Bonin) and Iwo (=Volcano) is. (sw, se Japan) to Vanuatu and New Caledonia, e through Micronesia and Polynesia to Northwestern and main Hawaiian Is. and Easter and Salas y Gomez (Eastern Is. group, e Polynesia); presumably this race, I. San Benedicto (Is. Revillagigedos, far w of c Mexico)</t>
  </si>
  <si>
    <t>Breeds and disperses widely in tropical Pacific Ocean</t>
  </si>
  <si>
    <t>246_6</t>
  </si>
  <si>
    <t>tropical w Pacific: remote islets of Melanesia, Northern Mariana Is. s to Palau (w Caroline Is., sw Micronesia) and all Polynesian groups e to Easter I. (=Eastern group, e Polynesia) and n to Midway I. (Northwestern Hawaiian Is.) and main Hawaiian is.</t>
  </si>
  <si>
    <t>Islands in tropical w Pacific (Hawaii to New Caledonia)</t>
  </si>
  <si>
    <t>islands of ne Atlantic from Westmann (s of Iceland), Faroe, Lofoten and Erkna (w of c Norway) and n of Ireland and Scotland; islands of nw Atlantic coast and Gulf of St. Lawrence from Herring (s Labrador) to Penikese (sw of Cape Cod, Massachusetts); islands of nw Pacific from Kuril, Sakhalin and Commander Is. (se Russia), ne Hokkaido (Japan), Aleutian Is., islands of Alaska Pen. to Cape Grenville (nw Washington), islands off s Oregon and scattered islands off n, c California</t>
  </si>
  <si>
    <t>breeds in the north Pacific, from northeastern Japan through the Kuril and Aleutian Islands to southeastern Alaska, south to central California (Farallon Islands); and in the north Atlantic from the northeastern USA (Massachusetts, Maine) and eastern Canada east to Iceland, the Faeroe Islands, northern Scotland, and northwestern Norway; very small population also breeding (since 1995) on Dyer and Dassen Islands (Western Cape, South Africa; still extant?), and unsuccessful nesting attempted on Chatham Islands, New Zealand. winters primarily in central and eastern Pacific, south to 27°S, and in the tropical Atlantic, especially in waters off West Africa, but south to northeastern Brazil and South Africa</t>
  </si>
  <si>
    <t>250_1</t>
  </si>
  <si>
    <t>subtropical Pacific Ocean from Lord Howe and Norfolk is. (far e of Australia), Kermadec Is. (ne of North I., New Zealand), Tonga (c Polynesia), s Cook, Austral, Tuamotu, Pitcairn and Easter is. (=Eastern Is. group; e Polynesia)</t>
  </si>
  <si>
    <t>Breeds South Pacific islands from New Zealand to Easter I.</t>
  </si>
  <si>
    <t>254_1</t>
  </si>
  <si>
    <t>Fiji (sw Polynesia), American Samoa (c Polynesia), Society, Marquesas and Gambier is. (se Tuamotu Is.; e Polynesia)</t>
  </si>
  <si>
    <t>to tropical Pacific Ocean waters off New Guinea and ne Australia and ec Pacific coast of Mexico and Central America</t>
  </si>
  <si>
    <t>Breeds Marquesas and Society islands; confined to trop. Pacific</t>
  </si>
  <si>
    <t>India to Indochina, Philippines (where likely extirpated), Malay Pen. and n Sumatra</t>
  </si>
  <si>
    <t>India to Indochina, n Malay Peninsula and Philippines</t>
  </si>
  <si>
    <t>Cocos (Keeling) Is. (ec Indian Ocean), Ashmore Reef (nw of Australia), islands off nw WA and Gulf of Carpentaria (nc Australia), Great Barrier Reef and Coral Sea is. (ne Australia), Tench I. (St. Matthias group, nc Bismarck Arch.), Chesterfield Is. (w of New Caledonia), Walpole I. (e of New Caledonia) and Fiji (sw Polynesia) to e Tuamotu group (e Polynesia)</t>
  </si>
  <si>
    <t>Islands in Indian and Pacific oceans</t>
  </si>
  <si>
    <t>Chagos Arch. (nc Indian Ocean), Cocos (Keeling) Is. (ec Indian Ocean), Christmas I. (s of w Java), Flores and Banda Sea is. (sc, se Indonesian Arch.), Ashmore Reef (nw of Australia), islands off nw WA and Gulf of Carpentaria (nc Australia)</t>
  </si>
  <si>
    <t>Cocos and Christmas is. (Indian Ocean); Paracel Is. (S China Sea)</t>
  </si>
  <si>
    <t>263_4</t>
  </si>
  <si>
    <t>w, c tropical and subtropical Pacific Ocean islands: from Great Barrier Reef and Coral Sea is. (ne Australia) and Tench I. (St. Matthias group, nc Bismarck Arch.), Chesterfield Is. (w of New Caledonia), Walpole I. (e of New Caledonia), Palau (w Caroline Is., w Micronesia), Marshall Is. and Fiji (sw Polynesia) to Hawaiian Is. (mostly Northwestern group) and Pitcairn group (e Polynesia)</t>
  </si>
  <si>
    <t>Breeds islands in w and central Pacific</t>
  </si>
  <si>
    <t>tropical Indian and Pacific oceans: Europa (w of s Madagascar, Mozambique Channel), Aldabra and Cosmoledo (Aldabra group, sw Seychelles), Farquhar and Amirantes groups (c Seychelles), Tromelin and St. Brandon (n of Mascarenes), Chagos Arch., Cocos (Keeling) and Christmas is. (w, nc, ne Indian Ocean); Flores and Banda seas islands (sc, se Indonesian Arch.), Ashmore Reef and Adele I. (nw of Australia), Great Barrier Reef and Coral Sea islands (off QLD, nw Australia), Tench I. (St. Matthias Is., nc Bismarck Arch.), many other islands in outer Melanesia including New Caledonia, Tubbataha Reefs (wc Philippines), Spratly Is. (s China Sea), s Ryukyu (=Nansei Shoto), Ogasawara (=Bonin) and Iwo (=Volcano) is. (sw, se Japan), Taiwan, Micronesia through Northwestern and w main Hawaiian Is. and Pitcairn group (e Polynesia)</t>
  </si>
  <si>
    <t>Breeds islands in tropical Pacific and Indian oceans</t>
  </si>
  <si>
    <t>Red Sea through Indian Ocean to w, c Pacific Ocean: Red Sea, islands off Somalia and Socotra (nw Indian Ocean); Cosmoledo (e Aldabra group, sw Seychelles), islands off nw Madagascar and Chagos Arch. (w, nc Indian Ocean); Cocos (Keeling) and Christmas is. (ec Indian Ocean), islands off nw to ne Australia, Tench (St. Matthias group, nc Bismarck Arch.), other remote islands in Melanesia including off New Caledonia; many islands of s Japan including Kyushu; Taiwan; offshore islands of n, sw, sc Philippines; Con Dao (se of Vietnam), Perak I. (w of Malay Pen.), islands in Flores and Banda seas (sc, se Indonesian Arch.), from Marianas and Palau (nw, sw Micronesia) through Northwestern and w main Hawaiian Is. and Gambier Is. (e Tuamotu Arch.; e Polynesia)</t>
  </si>
  <si>
    <t>breeds on islands in the Red Sea, tropical Indian Ocean, and tropical western and central Pacific Ocean</t>
  </si>
  <si>
    <t>267_4</t>
  </si>
  <si>
    <t>Comoros, Cosmoledo (e Aldabra group, sw Seychelles), Boudeuse (Amirantes, c Seychelles), Mauritius and St. Brandon (ne of Mascarenes); Chagos Arch. (nc Indian Ocean; this race?), Con Dao I. (se of Vietnam), Cocos (Keeling) Is. (ec Indian Ocean), off se New Guinea, islands off nw WA and QLD (n Australia), islands off New Caledonia, Senkaku and Ogasawara is. (sw, se Japan), and throughout the Pacific to Hawaii and Easter (=Eastern) is., islands off w Mexico, I. del Coco (far sw of Costa Rica), I. Malpelo (far w of Colombia) and Is. Desventuradas (w of n Chile)</t>
  </si>
  <si>
    <t>Islands in central and w Pacific to islands off w Australia</t>
  </si>
  <si>
    <t>270_2</t>
  </si>
  <si>
    <t>inland c Europe to n, s, India and Sri Lanka to ne Russia, ne China and Korean Pen., s to Turkey, c Asia and n Mongolia; disjunctly sc Cambodia and s Vietnam, ne Borneo</t>
  </si>
  <si>
    <t>N-central Europe to s China; winters to SE Asia and Indonesia</t>
  </si>
  <si>
    <t>273_1</t>
  </si>
  <si>
    <t>Europe to n China, India and Sri Lanka</t>
  </si>
  <si>
    <t>S Palearctic to India; winters to central Africa and se China</t>
  </si>
  <si>
    <t>275_1</t>
  </si>
  <si>
    <t>Europe to e Asia</t>
  </si>
  <si>
    <t>n, c Africa and s Asia</t>
  </si>
  <si>
    <t>Palearctic and n Afrotropical region; winters to Philippines</t>
  </si>
  <si>
    <t>276_1</t>
  </si>
  <si>
    <t>India to Indochina, Philippines and w, c Indonesia</t>
  </si>
  <si>
    <t>India and SE Asia to Indonesia and Philippines</t>
  </si>
  <si>
    <t>280_1</t>
  </si>
  <si>
    <t>Eurasia s to Africa and Madagascar and e to e Asia, Philippines and Indonesian Arch.</t>
  </si>
  <si>
    <t>Eurasia south to Indonesia, Africa and Madagascar</t>
  </si>
  <si>
    <t>281_2</t>
  </si>
  <si>
    <t>Philippines and n Borneo</t>
  </si>
  <si>
    <t>Philippines, e Borneo and Sulawesi</t>
  </si>
  <si>
    <t>284_1</t>
  </si>
  <si>
    <t>coastal s Bangladesh and Andaman Is. to Ryukyu Is. (s Japan), Australasia (except s outlying is.), Melanesia (except New Caledonia) to Tuamotu Arch. (e Polynesia)</t>
  </si>
  <si>
    <t>Coastal SE Asia, Malay Archipelago, Oceania and Australasia</t>
  </si>
  <si>
    <t>286_1</t>
  </si>
  <si>
    <t>Europe to Japan s to Africa, India and Mindanao (s Philippines)</t>
  </si>
  <si>
    <t>to Philippines, w Indonesia</t>
  </si>
  <si>
    <t>Widespread Eurasia, east and South Africa</t>
  </si>
  <si>
    <t>286_2</t>
  </si>
  <si>
    <t>nigripes</t>
  </si>
  <si>
    <t>Sundas to Australia and New Zealand</t>
  </si>
  <si>
    <t>Indonesia and Philippines to New Guinea, and northern and eastern Australia</t>
  </si>
  <si>
    <t>287_9</t>
  </si>
  <si>
    <t>se Siberia, ne China and Japan</t>
  </si>
  <si>
    <t>Manchuria to ne China, Japan, Ryukyu and Bonin islands</t>
  </si>
  <si>
    <t>287_11</t>
  </si>
  <si>
    <t>Pakistan, India and Sri Lanka to Thailand, Philippines, the Greater Sundas and Sulawesi</t>
  </si>
  <si>
    <t>Indian subcontinent, Sri Lanka, and Laccadive Islands east through Myanmar and Thailand to the Greater Sundas; also the Mascarene Islands (Reunion, Mauritius and Rodrigues)</t>
  </si>
  <si>
    <t>289_2</t>
  </si>
  <si>
    <t>Sundas (w, c Indonesia) and Philippines</t>
  </si>
  <si>
    <t>West and central Indonesian Archipelago</t>
  </si>
  <si>
    <t>291_3</t>
  </si>
  <si>
    <t>s, e Asia to Mindanao (s Philippines), Indonesian Arch. and Australasia</t>
  </si>
  <si>
    <t>Southern and e Asia to Indonesia, Australia and New Zealand</t>
  </si>
  <si>
    <t>293_2</t>
  </si>
  <si>
    <t>n China, Korean Pen. and Japan to Sumatra and Java</t>
  </si>
  <si>
    <t>to Philippines and Lesser Sundas</t>
  </si>
  <si>
    <t>Japan, China, Indochina, Malaya, Sumatra and Java</t>
  </si>
  <si>
    <t>294_4</t>
  </si>
  <si>
    <t>s, e Asia to Philippines and Indonesia</t>
  </si>
  <si>
    <t>Southern and e Asia, Indonesia and Philippine Islands</t>
  </si>
  <si>
    <t>Europe and Asia</t>
  </si>
  <si>
    <t>Africa, India through Philippines and Greater Sundas</t>
  </si>
  <si>
    <t>Palearctic; winters to South Africa, India and Philippines</t>
  </si>
  <si>
    <t>300_3</t>
  </si>
  <si>
    <t>Indonesian Arch. (except Moluccas), Philippines (except Palawan group; widely extirpated), Sulawesi and sc, e New Guinea</t>
  </si>
  <si>
    <t>Greater and Lesser Sundas, Sulawesi and Philippines</t>
  </si>
  <si>
    <t>s Siberia to ne China and Japan</t>
  </si>
  <si>
    <t>S Siberia to Manchuria and Japan; winters to Greater Sundas</t>
  </si>
  <si>
    <t>301_3</t>
  </si>
  <si>
    <t>N and e Philippine Islands</t>
  </si>
  <si>
    <t>301_6</t>
  </si>
  <si>
    <t>S Philippines (Palawan and Calauit)</t>
  </si>
  <si>
    <t>302_1</t>
  </si>
  <si>
    <t>Philippines (Luzon, Polillo, Catanduanes, Marinduque, and Sibuyan)</t>
  </si>
  <si>
    <t>302_2</t>
  </si>
  <si>
    <t>Philippines (except Palawan group, Luzon and nearby islands)</t>
  </si>
  <si>
    <t>Philippines (except for Luzon, Polillo, Catanduanes, Marinduque, Sibuyan, Cebu, and Palawan)</t>
  </si>
  <si>
    <t>303_4</t>
  </si>
  <si>
    <t>Samar, Mindanao and Palawan group (ec, s, sw Philippines)</t>
  </si>
  <si>
    <t>305_20</t>
  </si>
  <si>
    <t>310_1</t>
  </si>
  <si>
    <t>n India to Indochina, Malay Pen., Greater Sundas and Mindoro, Palawan group, Mindanao and Sulu Arch. (nw, sw, s Philippines)</t>
  </si>
  <si>
    <t>N India to Indochina, Malaya, Greater Sundas and Philippines</t>
  </si>
  <si>
    <t>311_2</t>
  </si>
  <si>
    <t>Myanmar through se Asia, Greater Sundas, Philippines (except Sulu Arch.), Sulawesi region and n Lesser Sundas</t>
  </si>
  <si>
    <t>Myanmar to Indochina, Malay Pen., Indonesia and Philippines</t>
  </si>
  <si>
    <t>312_9</t>
  </si>
  <si>
    <t>SW Philippines (Palawan and Calamianes)</t>
  </si>
  <si>
    <t>312_10</t>
  </si>
  <si>
    <t>Polillo (n Philippines)</t>
  </si>
  <si>
    <t>Polillo (off Luzon in n Philippines)</t>
  </si>
  <si>
    <t>312_11</t>
  </si>
  <si>
    <t>se Philippines</t>
  </si>
  <si>
    <t>SE Philippine Islands</t>
  </si>
  <si>
    <t>313_5</t>
  </si>
  <si>
    <t>n India to s China, Indochina and n Sumatra</t>
  </si>
  <si>
    <t>N India to s China, Thailand and Vietnam</t>
  </si>
  <si>
    <t>315_2</t>
  </si>
  <si>
    <t>ne China, Russian Far East and Japan</t>
  </si>
  <si>
    <t>Philippines and Indonesian Arch. to Sulawesi region and Lesser Sundas</t>
  </si>
  <si>
    <t>Sakhalin, Kuril Is. and Japan; winters to Philippines and Indonesia</t>
  </si>
  <si>
    <t>316_9</t>
  </si>
  <si>
    <t>Philippines (Luzon, Mindoro, Negros and Catanduanes)</t>
  </si>
  <si>
    <t>316_10</t>
  </si>
  <si>
    <t>c, s Philippines (except Palawan group and Sulu Arch.)</t>
  </si>
  <si>
    <t>Philippines (Cebu, Bohol, Leyte, Samar, Siquijor and Mindanao)</t>
  </si>
  <si>
    <t>317_2</t>
  </si>
  <si>
    <t>nw Siberia to n China and Japan</t>
  </si>
  <si>
    <t>sw, c, e Asia</t>
  </si>
  <si>
    <t>Central and e Asia; winters to India, Sri Lanka and Indochina</t>
  </si>
  <si>
    <t>Siberia to Japan, Indochina and India</t>
  </si>
  <si>
    <t>s, se Asia to Sumatra</t>
  </si>
  <si>
    <t>Siberia to n India, China and Ryukyu Is.; winters to Iraq, SE Asia</t>
  </si>
  <si>
    <t>321_2</t>
  </si>
  <si>
    <t>Malay Pen., Greater and Lesser Sundas, Philippines and Sulawesi</t>
  </si>
  <si>
    <t>Malay Peninsula, Indonesian Archipelago and Philippine Islands</t>
  </si>
  <si>
    <t>325_2</t>
  </si>
  <si>
    <t>Japan, locally Luzon (n Philippines)</t>
  </si>
  <si>
    <t>s Japan to Ryukyu Is., Taiwan, Philippines, se China</t>
  </si>
  <si>
    <t>breeds from central Siberia east to Japan, northern Korea, and perhaps northeastern China; winters Japan and Korea south to southeast Asia</t>
  </si>
  <si>
    <t>326_4</t>
  </si>
  <si>
    <t>327_1</t>
  </si>
  <si>
    <t>se Siberia, ne, e China and n Korean Pen.</t>
  </si>
  <si>
    <t>s Asia</t>
  </si>
  <si>
    <t>breeds southeastern Siberia, northeastern China (southeastern Heilongjiang to Hebei), and northern Korea; winters in Greater and Lesser Sundas</t>
  </si>
  <si>
    <t>327_2</t>
  </si>
  <si>
    <t>s Korean Pen. and Japan</t>
  </si>
  <si>
    <t>Philippines and Indonesia</t>
  </si>
  <si>
    <t>breeds eastern China, central and southern Korea, and Japan (including Ryukyu Islands), winters in the Greater and Lesser Sundas; also resident on Taiwan and Lanyu Island, population on Taiwan may represent a separate taxon</t>
  </si>
  <si>
    <t>327_3</t>
  </si>
  <si>
    <t>Ryukyu Is. (Japan) and Taiwan</t>
  </si>
  <si>
    <t>328_9</t>
  </si>
  <si>
    <t>330_1</t>
  </si>
  <si>
    <t>Leyte, Luzon, Marinduque, Samar, Polillo, Masbate and Catanduanes Is. (c, n Philippines)</t>
  </si>
  <si>
    <t>Philippines (Luzon, Panay, Negros, Bohol, Samar, and Leyte, and associated smaller islands: Bilaran, Boracay, Buad, Carabao, Catanduanes, Guimaras, Lubang, Marinduque, Masbate, Polillo, and Semirara)</t>
  </si>
  <si>
    <t>330_2</t>
  </si>
  <si>
    <t>Ticao I. (c Philippines)</t>
  </si>
  <si>
    <t>Philippines (Ticao)</t>
  </si>
  <si>
    <t>330_3</t>
  </si>
  <si>
    <t>Siquijor Is. (c Philippines)</t>
  </si>
  <si>
    <t>Philippines (Siquijor)</t>
  </si>
  <si>
    <t>335_1</t>
  </si>
  <si>
    <t>Sibuyan</t>
  </si>
  <si>
    <t>Philippines (Sibuyan)</t>
  </si>
  <si>
    <t>335_2</t>
  </si>
  <si>
    <t>341_2</t>
  </si>
  <si>
    <t>se Siberia, ne China and Korean Pen.</t>
  </si>
  <si>
    <t>breeds southeastern Siberia to northeastern China, Sakhalin I. and northern Korea; winters southeastern China south at least to southern Thailand</t>
  </si>
  <si>
    <t>Batan, Calayan and Sabtang (far n Philippines)</t>
  </si>
  <si>
    <t>Philippines: islands in the Batan and Babuyan island groups, including Itbayat, Batan, Sabtang, Calayan, Camiguin Norte, and perhaps others</t>
  </si>
  <si>
    <t>343_1</t>
  </si>
  <si>
    <t>Mantanani (n of ne Borneo), Rasa and Ursula (off s coast of Palawan, sw Philippines)</t>
  </si>
  <si>
    <t>Mantanani I. (off Borneo); Rasa and Ursula is. (off Palawan)</t>
  </si>
  <si>
    <t>343_2</t>
  </si>
  <si>
    <t>Cuyo and Calamian Is. (w Philippines)</t>
  </si>
  <si>
    <t>SW Philippines (Cuyo, Dicabaito and Linapacan)</t>
  </si>
  <si>
    <t>343_3</t>
  </si>
  <si>
    <t>Banton, Romblon, Tablas, Sibuyan, Tres Reyes and Semirara Is. (c Philippines)</t>
  </si>
  <si>
    <t>Philippines (Romblon, Tablas, Sibuyan, Banton and Semirara)</t>
  </si>
  <si>
    <t>343_4</t>
  </si>
  <si>
    <t>Tumindao and Sibutu Is. (sw Sulu Arch., s Philippines)</t>
  </si>
  <si>
    <t>SW Sulu Islands (Sibutu and Tumindao)</t>
  </si>
  <si>
    <t>North America, Europe, n Africa and n Asia</t>
  </si>
  <si>
    <t>North America, Europe, n Asia and North Africa</t>
  </si>
  <si>
    <t>349_1</t>
  </si>
  <si>
    <t>N Philippines (Luzon and Catanduanes)</t>
  </si>
  <si>
    <t>349_2</t>
  </si>
  <si>
    <t>Mindanao, Samar, Leyte and Bohol (s Philippines)</t>
  </si>
  <si>
    <t>S Philippines (Mindanao, Samar, Leyte and Bohol)</t>
  </si>
  <si>
    <t>Palawan and Calamian Is. (sw Philippines)</t>
  </si>
  <si>
    <t>S Philippines (Palawan and Calamian Islands)</t>
  </si>
  <si>
    <t>ne Luzon (n Philippines)</t>
  </si>
  <si>
    <t>N Philippines (ne Luzon and Marinduque)</t>
  </si>
  <si>
    <t>351_2</t>
  </si>
  <si>
    <t>Luzon (except ne), Marinduque and Catanduanes (n Philippines)</t>
  </si>
  <si>
    <t>N Philippines (s and central Luzon)</t>
  </si>
  <si>
    <t>351_3</t>
  </si>
  <si>
    <t>Polillo I. (n Philippines)</t>
  </si>
  <si>
    <t>351_4</t>
  </si>
  <si>
    <t>Bohol, Leyte and Samar (c Philippines)</t>
  </si>
  <si>
    <t>Central Philippines (Bohol, Leyte and Samar)</t>
  </si>
  <si>
    <t>351_5</t>
  </si>
  <si>
    <t>Basilan, Dinagat and Mindanao (s Philippines)</t>
  </si>
  <si>
    <t>nw Africa and Europe e to sc Russia, nw China and nw India</t>
  </si>
  <si>
    <t>breeds northwestern Africa (east to northwestern Libya), Canary Islands, and central and southern Europe south to Israel, and east to southeastern Siberia and northern Korea, south to northwestern India, Tibet, and China; mostly migratory, wintering to Africa and South Asia</t>
  </si>
  <si>
    <t>353_1</t>
  </si>
  <si>
    <t>Luzon and Marinduque (n Philippines)</t>
  </si>
  <si>
    <t>Philippines (Luzon and Marinduque)</t>
  </si>
  <si>
    <t>353_2</t>
  </si>
  <si>
    <t>East Visayas (c Philippines)</t>
  </si>
  <si>
    <t>Samar, Leyte, Bohol, Panaon, Buad, Calicoan and Biliran</t>
  </si>
  <si>
    <t>353_3</t>
  </si>
  <si>
    <t>Mindanao group (s Philippines)</t>
  </si>
  <si>
    <t>Philippines (Mindanao, Basilan, Dinagat and Siargao)</t>
  </si>
  <si>
    <t>358_1</t>
  </si>
  <si>
    <t>Luzon, Marinduque, Catanduanes and adjacent islets</t>
  </si>
  <si>
    <t>358_2</t>
  </si>
  <si>
    <t>Polillo and Patnanongan Is.</t>
  </si>
  <si>
    <t>360_1</t>
  </si>
  <si>
    <t>Mindanao, Dinagat and Siargao</t>
  </si>
  <si>
    <t>360_2</t>
  </si>
  <si>
    <t>Basilan</t>
  </si>
  <si>
    <t>Ticao (nc Philippines)</t>
  </si>
  <si>
    <t>Ticao I. (central Philippines)</t>
  </si>
  <si>
    <t>Masbate, Panay, Sicogon, Pan de Azucar, Guimaras and Negros (c Philippines)</t>
  </si>
  <si>
    <t>Panay, Masbate, Guimaras, Negros, Pan de Azucar and Sicogon</t>
  </si>
  <si>
    <t>Himalayas through China to se Siberia, Korean Pen. and Japan</t>
  </si>
  <si>
    <t>to se Asia and the Greater Sundas</t>
  </si>
  <si>
    <t>Himalayas to China, Manchuria and Korea; winters to Indonesia</t>
  </si>
  <si>
    <t>s Himalayas to Indochina, the Malay Pen., Sumatra, Java, Borneo and Philippines</t>
  </si>
  <si>
    <t>to Sulawesi and n Moluccas</t>
  </si>
  <si>
    <t>breeds from southeastern India to the Ryukyu Islands and southeastern Asia, the Thai-Malay Peninsula, Sumatra, Java, the Philippines, and Borneo; winters to southeastern India, the Philippines, Sulawesi, and Halmahera</t>
  </si>
  <si>
    <t>364_1</t>
  </si>
  <si>
    <t>Catanduanes, Marinduque and Luzon (n Philippines)</t>
  </si>
  <si>
    <t>364_2</t>
  </si>
  <si>
    <t>Negros and Panay (c Philippines)</t>
  </si>
  <si>
    <t>Forests of Negros (central Philippines)</t>
  </si>
  <si>
    <t>366_12</t>
  </si>
  <si>
    <t>Philippines (Balabac, Culion, Lubang, Mindoro, Palawan, Calauit)</t>
  </si>
  <si>
    <t>366_13</t>
  </si>
  <si>
    <t>Philippines (except Palawan group and Mindoro)</t>
  </si>
  <si>
    <t>367_2</t>
  </si>
  <si>
    <t>ne China, Korean Pen. and Japan</t>
  </si>
  <si>
    <t>to Philippines, Borneo and Talaud Is. (ne of Sulawesi)</t>
  </si>
  <si>
    <t>Japan to Korea, ne China; winters to Taiwan, Philippines, Borneo</t>
  </si>
  <si>
    <t>367_3</t>
  </si>
  <si>
    <t>Ryukyu Is., Taiwan and Lanyu I.</t>
  </si>
  <si>
    <t>to Philippines, Sulawesi and Talaud Is. (ne of Sulawesi)</t>
  </si>
  <si>
    <t>Ryukyu Islands: winters Philippines and Talaud Islands</t>
  </si>
  <si>
    <t>367_6</t>
  </si>
  <si>
    <t>367_7</t>
  </si>
  <si>
    <t>Tawitawi (s Sulu Arch., s Philippines)</t>
  </si>
  <si>
    <t>Sulu Archipelago (Tawitawi, Bulubuk and Sanga Sanga)</t>
  </si>
  <si>
    <t>370_1</t>
  </si>
  <si>
    <t>Bohol, Cebu, Negros, Samar, Leyte, Calicoan, Biliran and Siquijor (c, ec Philippines)</t>
  </si>
  <si>
    <t>Bohol, Cebu, Negros, Samar, Siquijor, Leyte, Biliran</t>
  </si>
  <si>
    <t>370_2</t>
  </si>
  <si>
    <t>Romblon, Sibuyan and Tablas (nc Philippines)</t>
  </si>
  <si>
    <t>Central Philippines (Romblon, Sibuyan and Tablas)</t>
  </si>
  <si>
    <t>370_3</t>
  </si>
  <si>
    <t>370_4</t>
  </si>
  <si>
    <t>Basilan (sw Philippines)</t>
  </si>
  <si>
    <t>370_5</t>
  </si>
  <si>
    <t>Sulu Arch. (sw Philippines)</t>
  </si>
  <si>
    <t>Sulu Archipelago (Bongao, Jolo, Papahag and Tawitawi)</t>
  </si>
  <si>
    <t>371_12</t>
  </si>
  <si>
    <t>Philippines, Sulu Archipelago and Palawan</t>
  </si>
  <si>
    <t>372_1</t>
  </si>
  <si>
    <t>Australia (except wc, Tasmania) to e Solomon Is.</t>
  </si>
  <si>
    <t>Australia to Solomon Islands; winters to New Guinea</t>
  </si>
  <si>
    <t>373_5</t>
  </si>
  <si>
    <t>s Malay Pen., Borneo, Palawan group (sw Philippines), Sumatra, Riau Is. (e of c Sumatra), Bangka and Belitung (e of s Sumatra), Java, Bali to Lombok (w Lesser Sundas), Sulawesi, Banggai and Sula is. (e of Sulawesi)</t>
  </si>
  <si>
    <t>Sumatra (including islands off west coast) and Java east to Lombok, also Sulawesi, Banggai Islands, and Sula Islands</t>
  </si>
  <si>
    <t>c India to se Siberia, Japan and se Asia</t>
  </si>
  <si>
    <t>to Philippines, Greater Sundas and n Moluccas</t>
  </si>
  <si>
    <t>L Baikal and n India through e and SE Asia mainland and islands</t>
  </si>
  <si>
    <t>rufous-backed dwarf kingfisher</t>
  </si>
  <si>
    <t>rufidorsa</t>
  </si>
  <si>
    <t>s Thai-Malay Pen., Sumatra, Bangka and Belitung (e of s Sumatra), Java, Borneo (except ne) and Lesser Sundas to Flores and Pantar.</t>
  </si>
  <si>
    <t>Thai-Malay Peninsula, Greater and Lesser Sundas to w Philippines</t>
  </si>
  <si>
    <t>375_5</t>
  </si>
  <si>
    <t>vargasi</t>
  </si>
  <si>
    <t>Lubang, Mindoro (nw, sw Philippines),</t>
  </si>
  <si>
    <t>376_1</t>
  </si>
  <si>
    <t>Luzon, Polillo, Alabat and Catanduanes (n Philippines)</t>
  </si>
  <si>
    <t>N Philippines (Luzon, Polillo, Alabat and Catanduanes)</t>
  </si>
  <si>
    <t>376_2</t>
  </si>
  <si>
    <t>Samar and Leyte (ec Philippines)</t>
  </si>
  <si>
    <t>Central Philippines (Samar and Leyte)</t>
  </si>
  <si>
    <t>376_3</t>
  </si>
  <si>
    <t>Mindanao and Basilan (s Philippines)</t>
  </si>
  <si>
    <t>378_1</t>
  </si>
  <si>
    <t>Luzon, Mindoro and nearby islands (n Philippines)</t>
  </si>
  <si>
    <t>Luzon, Marinduque, Masbate, Mindoro, Sibuyan, Polillo, Ticao</t>
  </si>
  <si>
    <t>378_2</t>
  </si>
  <si>
    <t>Cebu (?), Negros and Panay (wc Philippines)</t>
  </si>
  <si>
    <t>Central Philippines (Cebu, Negros and Panay)</t>
  </si>
  <si>
    <t>383_4</t>
  </si>
  <si>
    <t>Luzon and Mindoro (n Philippines)</t>
  </si>
  <si>
    <t>383_5</t>
  </si>
  <si>
    <t>Samar, Leyte, Catanduanes and Biliran (c Philippines)</t>
  </si>
  <si>
    <t>Philippines (Samar, Leyte, Biliran and Catanduanes)</t>
  </si>
  <si>
    <t>383_6</t>
  </si>
  <si>
    <t>383_7</t>
  </si>
  <si>
    <t>Guimaras, Negros and Panay (c Philippines)</t>
  </si>
  <si>
    <t>Philippines (Guimaras, Negros, Panay, Calagayan, Pan de Azucar)</t>
  </si>
  <si>
    <t>383_8</t>
  </si>
  <si>
    <t>Cebu (central Philippines)</t>
  </si>
  <si>
    <t>383_9</t>
  </si>
  <si>
    <t>Tablas, Romblon, Masbate (c Philippines)</t>
  </si>
  <si>
    <t>Philippines (Masbate, Romblon and Tablas); possibly Palawan</t>
  </si>
  <si>
    <t>385_1</t>
  </si>
  <si>
    <t>Luzon group and Mindoro (n Philippines)</t>
  </si>
  <si>
    <t>Philippines (Catanduanes, Lubang, Luzon, Marinduque, Mindoro)</t>
  </si>
  <si>
    <t>385_2</t>
  </si>
  <si>
    <t>East Visayas and Mindanao group (ec, s Philippines)</t>
  </si>
  <si>
    <t>Samar, Calicoan, Leyte, Bohol, Basilan, Mindanao and Dinagat)</t>
  </si>
  <si>
    <t>385_3</t>
  </si>
  <si>
    <t>West Visayas (wc, c Philippines)</t>
  </si>
  <si>
    <t>Sibuyan, Cebu, Guimaras, Negros, Panay and Gigantes</t>
  </si>
  <si>
    <t>387_7</t>
  </si>
  <si>
    <t>387_8</t>
  </si>
  <si>
    <t>northern Luzon (northern Philippines)</t>
  </si>
  <si>
    <t>387_9</t>
  </si>
  <si>
    <t>central and southern Luzon (northern Philippines)</t>
  </si>
  <si>
    <t>387_10</t>
  </si>
  <si>
    <t>Samar, Leyte, Bohol (ec Philippines)</t>
  </si>
  <si>
    <t>Philippines (Leyte, Samar, Panaon, Calicoan and Bohol)</t>
  </si>
  <si>
    <t>387_11</t>
  </si>
  <si>
    <t>Basilan, Dinagat, Mindanao (s Philippines)</t>
  </si>
  <si>
    <t>387_12</t>
  </si>
  <si>
    <t>387_13</t>
  </si>
  <si>
    <t>Panay, Masbate, Guimaras, Negros (wc Philippines)</t>
  </si>
  <si>
    <t>Philippines (Panay, Negros, Masbate and Guimaras)</t>
  </si>
  <si>
    <t>387_14</t>
  </si>
  <si>
    <t>Formerly Cebu (central Philippines). Extinct</t>
  </si>
  <si>
    <t>387_15</t>
  </si>
  <si>
    <t>Mindoro (wc Philippines)</t>
  </si>
  <si>
    <t>Mindoro (Philippines)</t>
  </si>
  <si>
    <t>389_1</t>
  </si>
  <si>
    <t>ec Philippines</t>
  </si>
  <si>
    <t>Philippines (Bohol, Leyte, Samar, Biliran and Panaon)</t>
  </si>
  <si>
    <t>389_2</t>
  </si>
  <si>
    <t>Mindanao (except Zamboanga Peninsula) and Samal</t>
  </si>
  <si>
    <t>389_3</t>
  </si>
  <si>
    <t>Zamboanga Pen. (w Mindanao) and Basilan (s Philippines)</t>
  </si>
  <si>
    <t>S Philippines (Zamboanga Pen. of w Mindando and Basilan)</t>
  </si>
  <si>
    <t>393_1</t>
  </si>
  <si>
    <t>393_2</t>
  </si>
  <si>
    <t>c and s Luzon, Catanduanes and Marinduque (n Philippines)</t>
  </si>
  <si>
    <t>Philippines (central and s Luzon, Catanduanes and Marinduque)</t>
  </si>
  <si>
    <t>Polillo I. (Philippines)</t>
  </si>
  <si>
    <t>s Malay Pen., ec Sumatra, n Natuna Is. (nw of Borneo), Borneo, Java and Palawan group (sw Philippines)</t>
  </si>
  <si>
    <t>Malay Pen. to Borneo, Sumatra, Java, Balabac and Palawan</t>
  </si>
  <si>
    <t>396_1</t>
  </si>
  <si>
    <t>n Philippines</t>
  </si>
  <si>
    <t>N Philippines (Luzon, Mindoro, Negros and Bohol)</t>
  </si>
  <si>
    <t>s Philippines</t>
  </si>
  <si>
    <t>S Philippines (Samar, Leyte and Cebu to Mindanao)</t>
  </si>
  <si>
    <t>397_3</t>
  </si>
  <si>
    <t>Himalayas to Japan and Indochina</t>
  </si>
  <si>
    <t>e, s Asia, Luzon and Palawan groups (n, sw Philippines)</t>
  </si>
  <si>
    <t>Tibet to China and Japan; winters to India, Malaya, Philippines</t>
  </si>
  <si>
    <t>398_2</t>
  </si>
  <si>
    <t>s Mindanao (s Philippines), Java and Bali, Lesser Sundas, Sulawesi region and Tanimbar Is. (s Moluccas)</t>
  </si>
  <si>
    <t>Java to Lesser Sundas, Sulawesi and Tanimbar Islands</t>
  </si>
  <si>
    <t>400_4</t>
  </si>
  <si>
    <t>ne Asia</t>
  </si>
  <si>
    <t>Japan and e China</t>
  </si>
  <si>
    <t>NE Asia and Sakhalin</t>
  </si>
  <si>
    <t>401_1</t>
  </si>
  <si>
    <t>Europe to Japan to n India and c China</t>
  </si>
  <si>
    <t>Africa, s Asia</t>
  </si>
  <si>
    <t>Palearctic; winters to s Africa, s Eurasia and Greater Sundas</t>
  </si>
  <si>
    <t>403_6</t>
  </si>
  <si>
    <t>Lapland to ne Siberia</t>
  </si>
  <si>
    <t>Mediterranean and Africa to New Guinea</t>
  </si>
  <si>
    <t>Tundra of Eurasia (Lapland to ne Siberia)</t>
  </si>
  <si>
    <t>403_14</t>
  </si>
  <si>
    <t>Philippines, Greater Sundas, New Guinea and satellites, and Bismarck Arch.</t>
  </si>
  <si>
    <t>Thai-Malay Peninsula, Philippines, Greater Sundas, New Guinea, and Bismarck Archipelago; birds of Solomon Islands probably also this subspecies</t>
  </si>
  <si>
    <t>405_1</t>
  </si>
  <si>
    <t>montane w Mindanao (s Philippines)</t>
  </si>
  <si>
    <t>405_2</t>
  </si>
  <si>
    <t>montane se Mindanao (s Philippines)</t>
  </si>
  <si>
    <t>Luzon to Leyte and Bohol (n, ec Philippines)</t>
  </si>
  <si>
    <t>northern Philippines (Luzon, Catanduanes, Tablas, Sibuyan, Ticao, Masbate, Biliran, Samar, Panay, Guimaras, Negro, Cebu, Bohol, and Leyte)</t>
  </si>
  <si>
    <t>Mindanao, Basilan and Sulu Arch. (s Philippines)</t>
  </si>
  <si>
    <t>southern Philippines (Mindanao, Olutanga, Basilan, Balut) and Jolo (Sulu Archipelago)</t>
  </si>
  <si>
    <t>satellites of Sulawesi and Flores to Moluccas and Raja Ampat Is. (nw of New Guinea); formerly Balut and Sarangani, off s Mindanao (s Philippines)</t>
  </si>
  <si>
    <t>Sulawesi and adjacent islands to Moluccas and w Papuan is.</t>
  </si>
  <si>
    <t>413_1</t>
  </si>
  <si>
    <t>413_2</t>
  </si>
  <si>
    <t>413_3</t>
  </si>
  <si>
    <t>c Philippines to Si Amil (e of ne Borneo) and Maratua (e of ne Borneo)</t>
  </si>
  <si>
    <t>S Philippines, Sulu Archipelago and islands off north Borneo</t>
  </si>
  <si>
    <t>414_1</t>
  </si>
  <si>
    <t>414_2</t>
  </si>
  <si>
    <t>414_3</t>
  </si>
  <si>
    <t>Visayas and Mindanao (c, s Philippines)</t>
  </si>
  <si>
    <t>Philippines (Visayan Islands and Mindanao)</t>
  </si>
  <si>
    <t>414_4</t>
  </si>
  <si>
    <t>417_1</t>
  </si>
  <si>
    <t>417_2</t>
  </si>
  <si>
    <t>Samar (c Philippines)</t>
  </si>
  <si>
    <t>Samar (central Philippines)</t>
  </si>
  <si>
    <t>417_3</t>
  </si>
  <si>
    <t>Leyte and Panaon (ec Philippines)</t>
  </si>
  <si>
    <t>N Philippines (Leyte and Panaon)</t>
  </si>
  <si>
    <t>417_4</t>
  </si>
  <si>
    <t>418_1</t>
  </si>
  <si>
    <t>Luzon group (n Philippines)</t>
  </si>
  <si>
    <t>Philippines (Banton, Catanduanes, Luzon, Polillo, Marinduque)</t>
  </si>
  <si>
    <t>418_2</t>
  </si>
  <si>
    <t>418_3</t>
  </si>
  <si>
    <t>Sibuyan (wc Philippines)</t>
  </si>
  <si>
    <t>Sibuyan (Philippines)</t>
  </si>
  <si>
    <t>418_4</t>
  </si>
  <si>
    <t>Guimaras, Negros, Ticao, Tablas, Masbate, Panay and Romblon (wc Philippines)</t>
  </si>
  <si>
    <t>Guimaras, Masbate, Negros, Panay, Tablas, Ticao and Romblon</t>
  </si>
  <si>
    <t>418_5</t>
  </si>
  <si>
    <t>Cebu (wc Philippines)</t>
  </si>
  <si>
    <t>Formerly Cebu (Philippines). Extinct</t>
  </si>
  <si>
    <t>418_6</t>
  </si>
  <si>
    <t>418_7</t>
  </si>
  <si>
    <t>Siquijor</t>
  </si>
  <si>
    <t>Formerly Siquijor (Philippines). Probably extinct</t>
  </si>
  <si>
    <t>418_8</t>
  </si>
  <si>
    <t>Mindanao, Dinagat, Siargao, Bazol and Balut (s Philippines)</t>
  </si>
  <si>
    <t>S Philippines (Mindanao, Basol and Dinagat)</t>
  </si>
  <si>
    <t>418_9</t>
  </si>
  <si>
    <t>Basilan (Philippines)</t>
  </si>
  <si>
    <t>424_1</t>
  </si>
  <si>
    <t>Philippines (except Sulu Arch. and Palawan group)</t>
  </si>
  <si>
    <t>Philippine Islands (except Palawan group)</t>
  </si>
  <si>
    <t>424_2</t>
  </si>
  <si>
    <t>Palawan, Balabac and Culion (sw Philippines)</t>
  </si>
  <si>
    <t>SW Philippines (Palawan and Balabac)</t>
  </si>
  <si>
    <t>Sulu Islands, Philippines</t>
  </si>
  <si>
    <t>thompsoni</t>
  </si>
  <si>
    <t>Culion and Calauit (s Philippines)</t>
  </si>
  <si>
    <t>western hooded pitta</t>
  </si>
  <si>
    <t>Malay Pen., Sumatra, Java, Borneo and sw Sulu Is. (s Philippines)</t>
  </si>
  <si>
    <t>Sumatra, Java, Borneo, and western Sulu Islands</t>
  </si>
  <si>
    <t>426_4</t>
  </si>
  <si>
    <t>426_5</t>
  </si>
  <si>
    <t>SW Philippines (Palawan, Culion, Balabac, Calauit and Busuanga)</t>
  </si>
  <si>
    <t>428_1</t>
  </si>
  <si>
    <t>429_4</t>
  </si>
  <si>
    <t>Luzon and Palawan groups through Visayas (n, sw, c Philippines)</t>
  </si>
  <si>
    <t>Lubang, Luzon, Mindoro, Verde, Negros, Bohol and Cebu</t>
  </si>
  <si>
    <t>429_5</t>
  </si>
  <si>
    <t>Mindanao group and Sulu Arch. (s Philippines)</t>
  </si>
  <si>
    <t>S Philippines (Mindanao, Basilan and Sulu Archipelago)</t>
  </si>
  <si>
    <t>430_2</t>
  </si>
  <si>
    <t>Philippines to Natuna Is. (nw of Borneo), Borneo and islands off n coast and Maratua (e of ne Borneo)</t>
  </si>
  <si>
    <t>Philippines, Palawan, Borneo and Natuna Islands</t>
  </si>
  <si>
    <t>431_11</t>
  </si>
  <si>
    <t>Sabah (ne Borneo) and satellites, and Palawan group (sw Philippines)</t>
  </si>
  <si>
    <t>N Borneo, adjacent northern islands and Palawan</t>
  </si>
  <si>
    <t>432_1</t>
  </si>
  <si>
    <t>Malay Pen. to Sumatra, Nias (w of n Sumatra), Borneo and Palawan (sw Philippines)</t>
  </si>
  <si>
    <t>Myanmar, Malaya, Sumatra, Borneo and adj. islands; Palawan</t>
  </si>
  <si>
    <t>Luzon and Negros (n, c Philippines)</t>
  </si>
  <si>
    <t>Samar, Bohol and Leyte (ec Philippines)</t>
  </si>
  <si>
    <t>C Philippines (Samar and Leyte)</t>
  </si>
  <si>
    <t>Mt. Apo (se Mindanao, s Philippines)</t>
  </si>
  <si>
    <t>Mt. Apo, Mindanao (s Philippines)</t>
  </si>
  <si>
    <t>433_16</t>
  </si>
  <si>
    <t>n, e Mindanao (s Philippines)</t>
  </si>
  <si>
    <t>n and e Mindanao (s Philippines)</t>
  </si>
  <si>
    <t>433_17</t>
  </si>
  <si>
    <t>sc Mindanao (s Philippines)</t>
  </si>
  <si>
    <t>s Mindanao (s Philippines)</t>
  </si>
  <si>
    <t>433_18</t>
  </si>
  <si>
    <t>Jolo and Capual is. (Sulu Arch., s Philippines)</t>
  </si>
  <si>
    <t>Jolo Group (Sulu Archipelago)</t>
  </si>
  <si>
    <t>435_8</t>
  </si>
  <si>
    <t>N Philippines (Luzon, Polillo and Lubang)</t>
  </si>
  <si>
    <t>435_9</t>
  </si>
  <si>
    <t>Mindoro and Tablas (wc Philippines)</t>
  </si>
  <si>
    <t>WC Philippines (Mindoro, Libagao and Tablas)</t>
  </si>
  <si>
    <t>435_10</t>
  </si>
  <si>
    <t>East Visayas (ec Philippines)</t>
  </si>
  <si>
    <t>EC Philippines (Bohol, Leyte, Panaon, Calicoan and Samar)</t>
  </si>
  <si>
    <t>435_11</t>
  </si>
  <si>
    <t>WC Cebu (Philippines). Probably extinct</t>
  </si>
  <si>
    <t>435_12</t>
  </si>
  <si>
    <t>S Philippines (Mindanao, Nipa and Basilan)</t>
  </si>
  <si>
    <t>435_13</t>
  </si>
  <si>
    <t>SW Philippines (Palawan, Busuanga and Balabac)</t>
  </si>
  <si>
    <t>435_14</t>
  </si>
  <si>
    <t>S Philippines (Sulu Archipelago)</t>
  </si>
  <si>
    <t>435_15</t>
  </si>
  <si>
    <t>West Visayas (c Philippines)</t>
  </si>
  <si>
    <t>Philippines (Guimaras, Masbate, Panay, Ticao and Negros)</t>
  </si>
  <si>
    <t>N Philippines (lowlands of Luzon and Catanduanes)</t>
  </si>
  <si>
    <t>Marinduque (n Philippines)</t>
  </si>
  <si>
    <t>438_3</t>
  </si>
  <si>
    <t>439_1</t>
  </si>
  <si>
    <t>439_2</t>
  </si>
  <si>
    <t>Mindoro (nc Philippines)</t>
  </si>
  <si>
    <t>Philippines (Bohol, Samar, Biliran and Leyte)</t>
  </si>
  <si>
    <t>439_4</t>
  </si>
  <si>
    <t>S Philippines (Mindanao and Basilan)</t>
  </si>
  <si>
    <t>439_5</t>
  </si>
  <si>
    <t>Sulu Archipelago (Bongao, Jolo, Lapac and Tawitawi)</t>
  </si>
  <si>
    <t>440_1</t>
  </si>
  <si>
    <t>440_2</t>
  </si>
  <si>
    <t>S Philippines (Samar, Leyte and Mindanao)</t>
  </si>
  <si>
    <t>441_3</t>
  </si>
  <si>
    <t>Borneo and satellites and Philippines</t>
  </si>
  <si>
    <t>Borneo and Philippine Islands</t>
  </si>
  <si>
    <t>c, se China, Taiwan</t>
  </si>
  <si>
    <t>C and s China and Taiwan; &gt;Indochina</t>
  </si>
  <si>
    <t>Palawan (southwestern Philippines)</t>
  </si>
  <si>
    <t>Mindoro (nw Philippines)</t>
  </si>
  <si>
    <t>445_1</t>
  </si>
  <si>
    <t>Zamboanga Pen., Mindanao and Sulu Arch. (s Philippines) and Si Amil, Pandanan and Sipadan (e of ne Borneo)</t>
  </si>
  <si>
    <t>Mindanao (Philippines), Sulu Archipelago, and Pulau Siamil (Borneo)</t>
  </si>
  <si>
    <t>445_2</t>
  </si>
  <si>
    <t>Cebu (sc Philippines)</t>
  </si>
  <si>
    <t>Cebu (Philippines)</t>
  </si>
  <si>
    <t>445_3</t>
  </si>
  <si>
    <t>central Philippines (Tablas, Sibuyan, Masbate, Ticao, Panay, Pan de Azucar, Gigantes, and Negros)</t>
  </si>
  <si>
    <t>Calayan (n Philippines)</t>
  </si>
  <si>
    <t>Camiguin Norte (n Philippines)</t>
  </si>
  <si>
    <t>446_4</t>
  </si>
  <si>
    <t>Siquijor (sc Philippines)</t>
  </si>
  <si>
    <t>Siquijor (Philippines)</t>
  </si>
  <si>
    <t>446_5</t>
  </si>
  <si>
    <t>East Visayas (except Bohol) and Mindanao group (ec, s Philippines)</t>
  </si>
  <si>
    <t>Philippines (Dinagat, Samar, Leyte, Biliran and Mindanao)</t>
  </si>
  <si>
    <t>446_6</t>
  </si>
  <si>
    <t>446_7</t>
  </si>
  <si>
    <t>Bohol (sc Philippines)</t>
  </si>
  <si>
    <t>Bohol (Philippines)</t>
  </si>
  <si>
    <t>ventriloquial oriole</t>
  </si>
  <si>
    <t>SW Philippines (Palawan and Culion)</t>
  </si>
  <si>
    <t>449_1</t>
  </si>
  <si>
    <t>Samar, Leyte, Bohol and e Mindanao (e, s Philippines)</t>
  </si>
  <si>
    <t>Philippines (Leyte, e Mindanao and Samar)</t>
  </si>
  <si>
    <t>449_2</t>
  </si>
  <si>
    <t>Philippines. Formerly Cebu (last recorded 1906)</t>
  </si>
  <si>
    <t>449_3</t>
  </si>
  <si>
    <t>Masbate and Negros (wc Philippines)</t>
  </si>
  <si>
    <t>Philippines (Masbate and Negros)</t>
  </si>
  <si>
    <t>449_4</t>
  </si>
  <si>
    <t>Basilan and w Mindanao (s Philippines)</t>
  </si>
  <si>
    <t>S Philippines (Basilan and w Mindanao)</t>
  </si>
  <si>
    <t>449_5</t>
  </si>
  <si>
    <t>451_18</t>
  </si>
  <si>
    <t>Luzon group and Mindoro and Palawan group (n, sw Philippines)</t>
  </si>
  <si>
    <t>northern and western Philippines (Luzon, Mindoro, Palawan, and associated smaller islands)</t>
  </si>
  <si>
    <t>451_19</t>
  </si>
  <si>
    <t>central and southern Philippines (Tablas, Panay, Romblon, Sibuyan, Masbate, and Samar south to Mindanao)</t>
  </si>
  <si>
    <t>451_20</t>
  </si>
  <si>
    <t>453_12</t>
  </si>
  <si>
    <t>455_1</t>
  </si>
  <si>
    <t>455_2</t>
  </si>
  <si>
    <t>Cuyo, Pamalican and Semirara (wc Philippines)</t>
  </si>
  <si>
    <t>Philippines (Cuyo and Semirara)</t>
  </si>
  <si>
    <t>456_1</t>
  </si>
  <si>
    <t>n Luzon (N Philippines)</t>
  </si>
  <si>
    <t>456_2</t>
  </si>
  <si>
    <t>Luzon group (except n and Mindoro; n Philippines)</t>
  </si>
  <si>
    <t>C and s Luzon, Lubang, Marinduque, Mindoro and Polillo</t>
  </si>
  <si>
    <t>456_3</t>
  </si>
  <si>
    <t>Philippines (Panay, Cebu, Negros, Guimaras, Ticao, Masbate)</t>
  </si>
  <si>
    <t>short-tailed drongo</t>
  </si>
  <si>
    <t>Dicrurus (striatus) samarensis</t>
  </si>
  <si>
    <t>Samar, Biliran, Leyte, Calicoan, Panaon and Bohol</t>
  </si>
  <si>
    <t>Philippines (Bohol, Leyte, Panaon, Samar and Calicoan)</t>
  </si>
  <si>
    <t>Dicrurus (striatus) striatus</t>
  </si>
  <si>
    <t>Basilan, Mindanao and Nipa</t>
  </si>
  <si>
    <t>S Philippines (Basilan, Mindanao and Nipa)</t>
  </si>
  <si>
    <t>458_7</t>
  </si>
  <si>
    <t>Java, Bali, Lombok and Palawan group (sw Philippines)</t>
  </si>
  <si>
    <t>Java, Bali, Lombok, Palawan, Calamian and Balabac islands</t>
  </si>
  <si>
    <t>458_8</t>
  </si>
  <si>
    <t>c, n, e China</t>
  </si>
  <si>
    <t>to Malay Pen. and Cambodia</t>
  </si>
  <si>
    <t>Manchuria and e China; &gt; to Indochina</t>
  </si>
  <si>
    <t>458_9</t>
  </si>
  <si>
    <t>to Malay Pen. and s Indochina</t>
  </si>
  <si>
    <t>SE China; &gt; Indochina</t>
  </si>
  <si>
    <t>458_10</t>
  </si>
  <si>
    <t>Hainan I. (off se China)</t>
  </si>
  <si>
    <t>Hainan (s China)</t>
  </si>
  <si>
    <t>459_4</t>
  </si>
  <si>
    <t>c, e, s China to e Myanmar, n Thailand and n Indochina</t>
  </si>
  <si>
    <t>breeds central and eastern China, Myanmar, northern Thailand, and northen Indochina; northern populations migrate south to southeastern China, Indochina, the Thai-Malay Peninsula, northwestern Borneo, and Sumatra</t>
  </si>
  <si>
    <t>460_1</t>
  </si>
  <si>
    <t>Mindanao except Zamboanga Pen. (s Philippines)</t>
  </si>
  <si>
    <t>Philippines (se Mindanao)</t>
  </si>
  <si>
    <t>460_2</t>
  </si>
  <si>
    <t>Basilan and Zamboanga Pen., w Mindanao (s Philippines)</t>
  </si>
  <si>
    <t>Philippines (Basilan and Zamboanga Peninsula of n Mindanao)</t>
  </si>
  <si>
    <t>462_1</t>
  </si>
  <si>
    <t>nw Luzon (n Philippines)</t>
  </si>
  <si>
    <t>Philippines (highlands of n Luzon)</t>
  </si>
  <si>
    <t>462_2</t>
  </si>
  <si>
    <t>e, c, s Luzon and Catanduanes (n Philippines)</t>
  </si>
  <si>
    <t>Philippines (Luzon and Catanduanes)</t>
  </si>
  <si>
    <t>466_1</t>
  </si>
  <si>
    <t>n, w, e Mindanao (s Philippines)</t>
  </si>
  <si>
    <t>Philippines (montane forests of n Mindanao)</t>
  </si>
  <si>
    <t>466_2</t>
  </si>
  <si>
    <t>c, s Mindanao (s Philippines)</t>
  </si>
  <si>
    <t>Philippines (montane forests of se Mindanao)</t>
  </si>
  <si>
    <t>467_21</t>
  </si>
  <si>
    <t>Philippines except Camiguin Sur</t>
  </si>
  <si>
    <t>467_23</t>
  </si>
  <si>
    <t>S Philippines (Camiguin Sur)</t>
  </si>
  <si>
    <t>468_1</t>
  </si>
  <si>
    <t>Dinagat, Siargao and e Mindanao (ec, se Philippines)</t>
  </si>
  <si>
    <t>468_2</t>
  </si>
  <si>
    <t>Luzon, Polillo, Catanduanes and Samar (n Philippines)</t>
  </si>
  <si>
    <t>N Philippines (Luzon, Samar and Polillo)</t>
  </si>
  <si>
    <t>468_3</t>
  </si>
  <si>
    <t>N Philippines (Camiguin Norte)</t>
  </si>
  <si>
    <t>Luzon, Samar, Dinagat, Mindanao, Basilan and Tawi Tawi (n, e, s, sw Philippines)</t>
  </si>
  <si>
    <t>Sibuyan and Negros (c Philippines)</t>
  </si>
  <si>
    <t>471_3</t>
  </si>
  <si>
    <t>black paradise flycatcher</t>
  </si>
  <si>
    <t>Lanyu (off Taiwan) and Batan Is. (far n Philippines)</t>
  </si>
  <si>
    <t>to n, w Philippines</t>
  </si>
  <si>
    <t>breeds Lanyu Island (southeast of Taiwan) and the Batanes (Itbayat, Batan, Ivojos, and Sabtang), the Philippines; winters in the Philippines (Luzon,Mindoro and Palawan)</t>
  </si>
  <si>
    <t>473_1</t>
  </si>
  <si>
    <t>Luzon, Mindoro, and West Visayas (n, wc Philippines)</t>
  </si>
  <si>
    <t>N Philippines (Luzon to Negros)</t>
  </si>
  <si>
    <t>473_2</t>
  </si>
  <si>
    <t>East Visayas and Mindanao group (s Philippines)</t>
  </si>
  <si>
    <t>S Philippines (Mindanao, Basilan and islands in Sulu Arch.)</t>
  </si>
  <si>
    <t>montane n Luzon (n Philippines)</t>
  </si>
  <si>
    <t>montane n Mindoro (nc Philippines)</t>
  </si>
  <si>
    <t>N Philippines (Mindoro)</t>
  </si>
  <si>
    <t>475_3</t>
  </si>
  <si>
    <t>montane Mindanao (s Philippines)</t>
  </si>
  <si>
    <t>476_1</t>
  </si>
  <si>
    <t>c, e Siberia and n Mongolia</t>
  </si>
  <si>
    <t>India to Malay Pen. and Philippines</t>
  </si>
  <si>
    <t>E Siberia to nw Mongolia; &gt; to India and Malay Pen.</t>
  </si>
  <si>
    <t>476_2</t>
  </si>
  <si>
    <t>e Mongolia, se Russia and ne China</t>
  </si>
  <si>
    <t>Malay Pen., Sumatra and Philippines</t>
  </si>
  <si>
    <t>Manchuria and Amurland; &gt; to Malay Pen. and Sumatra</t>
  </si>
  <si>
    <t>476_3</t>
  </si>
  <si>
    <t>e China, Korean Pen. and s Japan</t>
  </si>
  <si>
    <t>se China, Philippines, Borneo and Sulawesi</t>
  </si>
  <si>
    <t>Korea and e China; &gt; to Philippines, Borneo, Sulawesi</t>
  </si>
  <si>
    <t>477_7</t>
  </si>
  <si>
    <t>477_8</t>
  </si>
  <si>
    <t>478_1</t>
  </si>
  <si>
    <t>N Philippines (Sierra Madre Mountains of Luzon)</t>
  </si>
  <si>
    <t>478_2</t>
  </si>
  <si>
    <t>Samar and Mindanao (s Philippines)</t>
  </si>
  <si>
    <t>S Philippines (Samar and Mindanao)</t>
  </si>
  <si>
    <t>N Philippines (nw Luzon)</t>
  </si>
  <si>
    <t>c, s Luzon group (n Philippines)</t>
  </si>
  <si>
    <t>Visayas, Palawan group and Mindanao (c, sw, s Philippines)</t>
  </si>
  <si>
    <t>Panay, Negros, Cebu, Leyte, Mindanao, Biliran and Palawan</t>
  </si>
  <si>
    <t>482_4</t>
  </si>
  <si>
    <t>Tawi Tawi (sw Sulu Arch., s Philippines)</t>
  </si>
  <si>
    <t>Sulu Archipelago (Bongao and Tawitawi)</t>
  </si>
  <si>
    <t>483_1</t>
  </si>
  <si>
    <t>Calayan and Camiguin Norte (far n Philippines)</t>
  </si>
  <si>
    <t>N Philippines (Calayan and Camiguin Norte)</t>
  </si>
  <si>
    <t>483_2</t>
  </si>
  <si>
    <t>483_3</t>
  </si>
  <si>
    <t>Bataan Pen., wc Luzon (n Philippines)</t>
  </si>
  <si>
    <t>N Philippines (Bataan Peninsula of central Luzon)</t>
  </si>
  <si>
    <t>483_4</t>
  </si>
  <si>
    <t>ec, s Luzon, Panay, Mindoro and Catanduanes (n, wc Philippines)</t>
  </si>
  <si>
    <t>Philippines (c and s Luzon, Panay, Mindoro and Catanduanes)</t>
  </si>
  <si>
    <t>483_5</t>
  </si>
  <si>
    <t>Ticao, Masbate, Guimaras and Negros (c Philippines)</t>
  </si>
  <si>
    <t>Philippines (Guimaras, Masbate, Negros and Ticao)</t>
  </si>
  <si>
    <t>Mindanao, Samar and Leyte (e, s Philippines)</t>
  </si>
  <si>
    <t>Philippines (Samar, Leyte, Biliran and Mindanao)</t>
  </si>
  <si>
    <t>483_8</t>
  </si>
  <si>
    <t>Sulu Arch. except Bongao (s Philippines)</t>
  </si>
  <si>
    <t>483_9</t>
  </si>
  <si>
    <t>Bongao (sw Sulu Arch., s Philippines)</t>
  </si>
  <si>
    <t>Bongao I. (Sulu Archipelago)</t>
  </si>
  <si>
    <t>485_1</t>
  </si>
  <si>
    <t>485_2</t>
  </si>
  <si>
    <t>N Philippines (central and s Luzon)</t>
  </si>
  <si>
    <t>485_3</t>
  </si>
  <si>
    <t>486_6</t>
  </si>
  <si>
    <t>singing bush lark</t>
  </si>
  <si>
    <t>486_7</t>
  </si>
  <si>
    <t>Visayas and Mindanao group (s Philippines)</t>
  </si>
  <si>
    <t>487_9</t>
  </si>
  <si>
    <t>Taiwan and Philippines (except Palawan group and Sulu Arch.)</t>
  </si>
  <si>
    <t>Taiwan and Philippine Islands</t>
  </si>
  <si>
    <t>491_1</t>
  </si>
  <si>
    <t>Burias (nc Philippines)</t>
  </si>
  <si>
    <t>Burias (Philippines)</t>
  </si>
  <si>
    <t>491_2</t>
  </si>
  <si>
    <t>Luzon, Marinduque, Catanduanes, Polillo and adj. small islands</t>
  </si>
  <si>
    <t>491_3</t>
  </si>
  <si>
    <t>East Visayas, Cebu and Mindanao except Zamboanga Pen. (ec, c, s Philippines)</t>
  </si>
  <si>
    <t>Samar, Leyte, Cebu, Bohol and Mindanao and adj. small islands</t>
  </si>
  <si>
    <t>493_1</t>
  </si>
  <si>
    <t>Tablas and Romblon (nc Philippines)</t>
  </si>
  <si>
    <t>Philippines (Romblon and Tablas)</t>
  </si>
  <si>
    <t>493_2</t>
  </si>
  <si>
    <t>Cebu (Philippines); very rare, perhaps near extinction</t>
  </si>
  <si>
    <t>493_3</t>
  </si>
  <si>
    <t>Siquijor (c Philippines)</t>
  </si>
  <si>
    <t>East Visayas and Mindanao group except Zamboanga Pen. and Basilan (ec, se Philippines)</t>
  </si>
  <si>
    <t>Philippines (Dinagat, Mindanao, Panaon, Biliran, Siargao, Samar, and Leyte)</t>
  </si>
  <si>
    <t>495_2</t>
  </si>
  <si>
    <t>Sulu Arch. (Bongao, Jolo, Sibutu, Tawitawi and Sanga Sanga)</t>
  </si>
  <si>
    <t>s Sakhalin Is., Japan and South Korea</t>
  </si>
  <si>
    <t>Central Japanese is. (Honshu to Kyushu); Cheju-Do I. (Korea)</t>
  </si>
  <si>
    <t>498_10</t>
  </si>
  <si>
    <t>Batan, Ivuhos, Sabtang, Babuyan and Claro (far n Philippines)</t>
  </si>
  <si>
    <t>Philippines (Babuyan Claro, Batan, Ivojos and Sabtang)</t>
  </si>
  <si>
    <t>498_11</t>
  </si>
  <si>
    <t>Dalupiri, Calayan and Fuga (n of Luzon, n Philippines)</t>
  </si>
  <si>
    <t>Philippines (Calayan, Fuga and Dalupiri)</t>
  </si>
  <si>
    <t>498_12</t>
  </si>
  <si>
    <t>Camiguin Norte (n of Luzon, n Philippines)</t>
  </si>
  <si>
    <t>499_9</t>
  </si>
  <si>
    <t>Taiwan</t>
  </si>
  <si>
    <t>500_1</t>
  </si>
  <si>
    <t>500_2</t>
  </si>
  <si>
    <t>c, s Luzon, Polillo and Catanduanes (n Philippines)</t>
  </si>
  <si>
    <t>N Philippines (Luzon and Polillo); formerly Catanduanes</t>
  </si>
  <si>
    <t>500_3</t>
  </si>
  <si>
    <t>Samar, Biliran, Leyte, Panaon, Bohol and Negros (c, ec Philippines)</t>
  </si>
  <si>
    <t>Philippines (Bohol, Samar, Panaon, Biliran and Leyte)</t>
  </si>
  <si>
    <t>500_4</t>
  </si>
  <si>
    <t>Dinagat, Siargao, Bucas and Mindanao (except Zamboanga Pen.)</t>
  </si>
  <si>
    <t>S Philippines (Dinagat, Siargao and Mindanao)</t>
  </si>
  <si>
    <t>500_5</t>
  </si>
  <si>
    <t>Zamboanga Pen. (w Mindanao) and Basilan</t>
  </si>
  <si>
    <t>S Philippines (Basilan and Zamboanga area of Mindanao)</t>
  </si>
  <si>
    <t>ne India and Bangladesh through se Asia to the Greater Sundas, w Sumatran is. (except Simeulue), and Palawan group (sw Philippines)</t>
  </si>
  <si>
    <t>NE India to sw China, SE Asia, Bali, Borneo and Palawan</t>
  </si>
  <si>
    <t>502_3</t>
  </si>
  <si>
    <t>islands off n Borneo and Mapun (=Cagayan Sulu, sw Philippines)</t>
  </si>
  <si>
    <t>Banggai and adjacent islands off ne Borneo; Mapun (southern Philippines)</t>
  </si>
  <si>
    <t>504_1</t>
  </si>
  <si>
    <t>c, e China</t>
  </si>
  <si>
    <t>central and eastern China (Sichuan and southern Shaanxi) east to Jiangsu, and south to Guangxi, Guangdong and Fujian; also isolated sites in Beijing and Hebei); partially migratory, some moving in winter to central Vietnam, Hainan, and South Korea</t>
  </si>
  <si>
    <t>505_4</t>
  </si>
  <si>
    <t>Luzon group, Mindoro, and West Visayas (n, wc Philippines)</t>
  </si>
  <si>
    <t>N and central Philippine Islands</t>
  </si>
  <si>
    <t>505_5</t>
  </si>
  <si>
    <t>Philippines (Bohol, Cebu, Leyte, Samar, Ticao and Biliran)</t>
  </si>
  <si>
    <t>505_6</t>
  </si>
  <si>
    <t>S Philippines (Mindanao, Basilan, Camiguin Sur and Sulu Arch.)</t>
  </si>
  <si>
    <t>506_2</t>
  </si>
  <si>
    <t>N Philippines (Luzon and [?] Negros)</t>
  </si>
  <si>
    <t>Sakhalin and Kuril Is. (se Russia) and Japan</t>
  </si>
  <si>
    <t>to se Asia and Philippines</t>
  </si>
  <si>
    <t>Kamchatka Pen. and Kuril Is. to Amur River and Hokkaido</t>
  </si>
  <si>
    <t>s Myanmar and Andaman Is. to s Vietnam, e to Philippines and s to Moluccas and Greater and Lesser Sundas</t>
  </si>
  <si>
    <t>Andamans and Myanmar to Indochina, Sundas, Wallacea, Philippines</t>
  </si>
  <si>
    <t>509_5</t>
  </si>
  <si>
    <t>e Himalayas to Korean Pen. and Japan, e, s China and Taiwan</t>
  </si>
  <si>
    <t>to se Asia, Philippines, New Guinea and n coastal Australia</t>
  </si>
  <si>
    <t>E Himalayas to ne Myanmar, Japan, Korea; &gt;n Australia</t>
  </si>
  <si>
    <t>511_1</t>
  </si>
  <si>
    <t>sc Siberia to ne China, Korean Pen. and Japan</t>
  </si>
  <si>
    <t>to Greater Sundas</t>
  </si>
  <si>
    <t>Siberia to Kuril Is., Japan; &gt;Greater Sundas, Philippines</t>
  </si>
  <si>
    <t>512_4</t>
  </si>
  <si>
    <t>Taiwan and Philippines (except Sulu Arch.), Java and Bali to Wetar and Timor (e Lesser Sundas)</t>
  </si>
  <si>
    <t>Greater and Lesser Sundas to the Philippines and Taiwan</t>
  </si>
  <si>
    <t>513_6</t>
  </si>
  <si>
    <t>montane Palawan (sw Philippines)</t>
  </si>
  <si>
    <t>Mountains of Palawan (sw Philippines)</t>
  </si>
  <si>
    <t>513_7</t>
  </si>
  <si>
    <t>montane Luzon (n Philippines)</t>
  </si>
  <si>
    <t>to s China and se Asia</t>
  </si>
  <si>
    <t>breeds eastern China (Gansu and Sichuan east to Anhui and Zhejiang); winters to southern China, Taiwan, northeastern India (Assam), northwestern Thailand, Indochina, and the northern Philippines</t>
  </si>
  <si>
    <t>516_2</t>
  </si>
  <si>
    <t>ne China, se Siberia and Korean Pen.</t>
  </si>
  <si>
    <t>Taiwan and n Philippines (vagrant)</t>
  </si>
  <si>
    <t>breeds northeastern China, adjacent southeastern Siberia, and Korea; winters to southeastern China</t>
  </si>
  <si>
    <t>517_13</t>
  </si>
  <si>
    <t>c, e Siberia to ne China and n Mongolia</t>
  </si>
  <si>
    <t>to s, se Asia</t>
  </si>
  <si>
    <t>Siberia to Mongolia and w China; winters to India and Indochina</t>
  </si>
  <si>
    <t>521_3</t>
  </si>
  <si>
    <t>c, e Siberia</t>
  </si>
  <si>
    <t>e, s Africa</t>
  </si>
  <si>
    <t>E Siberia (Taymyr Peninsula to Anadyr River); winters to s Africa</t>
  </si>
  <si>
    <t>524_1</t>
  </si>
  <si>
    <t>n, c Luzon (n Philippines)</t>
  </si>
  <si>
    <t>N and central Luzon (n Philippines)</t>
  </si>
  <si>
    <t>524_2</t>
  </si>
  <si>
    <t>s Luzon (n Philippines)</t>
  </si>
  <si>
    <t>S Luzon (s Philippines)</t>
  </si>
  <si>
    <t>524_3</t>
  </si>
  <si>
    <t>Cebu and montane Negros (wc Philippines)</t>
  </si>
  <si>
    <t>Philippines (Cebu and Negros)</t>
  </si>
  <si>
    <t>528_4</t>
  </si>
  <si>
    <t>529_1</t>
  </si>
  <si>
    <t>529_2</t>
  </si>
  <si>
    <t>529_3</t>
  </si>
  <si>
    <t>montane s Luzon, West Visayas (nc, c Philippines)</t>
  </si>
  <si>
    <t>Philippines (s Luzon, Negros and Mindoro)</t>
  </si>
  <si>
    <t>529_4</t>
  </si>
  <si>
    <t>montane ne Mindanao (s Philippines)</t>
  </si>
  <si>
    <t>Diuata Mountains of ne Mindanao (s Philippines)</t>
  </si>
  <si>
    <t>529_5</t>
  </si>
  <si>
    <t>Mindanao (Mt. Apo and Mt. Mayo)</t>
  </si>
  <si>
    <t>529_6</t>
  </si>
  <si>
    <t>Mt. Malindang, nw Mindanao (s Philippines)</t>
  </si>
  <si>
    <t>Mindanao (Mt. Malindang and Zamboanga Peninsula)</t>
  </si>
  <si>
    <t>529_7</t>
  </si>
  <si>
    <t>Mt. Katanglad, nc Mindanao (s Philippines)</t>
  </si>
  <si>
    <t>Mindanao (Mt. Katanglad and mts. of Misamis Oriental Prov.)</t>
  </si>
  <si>
    <t>531_6</t>
  </si>
  <si>
    <t>Philippines (Luzon, Mindoro, Leyte, Bohol and Mindanao)</t>
  </si>
  <si>
    <t>538_1</t>
  </si>
  <si>
    <t>se Siberia (Transbaikalia), e Mongolia and nc China</t>
  </si>
  <si>
    <t>S Siberia to Manchuria and Sea of Japan; winters to India</t>
  </si>
  <si>
    <t>540_2</t>
  </si>
  <si>
    <t>n Europe to e Siberia and ne China</t>
  </si>
  <si>
    <t>541_1</t>
  </si>
  <si>
    <t>541_2</t>
  </si>
  <si>
    <t>montane Mindanao except Zamboanga Pen. (s Philippines)</t>
  </si>
  <si>
    <t>Mt. Apo on s-central Mindanao (s Philippines)</t>
  </si>
  <si>
    <t>541_3</t>
  </si>
  <si>
    <t>montane Zamboanga Pen., w Mindanao (s Philippines)</t>
  </si>
  <si>
    <t>Mt. Malindang on nw Mindanao (s Philippines)</t>
  </si>
  <si>
    <t>543_1</t>
  </si>
  <si>
    <t>Luzon group and most Visayas (n, c Philippines)</t>
  </si>
  <si>
    <t>Philippines (Luzon, Panay, Tablas, Marinduque, Ticao, Negros)</t>
  </si>
  <si>
    <t>543_2</t>
  </si>
  <si>
    <t>Bohol, Leyte and Cebu (c Philippines)</t>
  </si>
  <si>
    <t>Philippines (Bohol, Cebu and Leyte)</t>
  </si>
  <si>
    <t>543_4</t>
  </si>
  <si>
    <t>S Philippines (Mindanao and Camiguin Sur)</t>
  </si>
  <si>
    <t>543_5</t>
  </si>
  <si>
    <t>544_3</t>
  </si>
  <si>
    <t>Philippines (except Sulu Arch.) and ne Borneo</t>
  </si>
  <si>
    <t>Philippines (Luzon, Mindoro, Panay, Samar and Mindanao)</t>
  </si>
  <si>
    <t>545_9</t>
  </si>
  <si>
    <t>s Korea, Japan and Batanes (far n Philippines)</t>
  </si>
  <si>
    <t>southern Korea, Japan (Honshu and south, including the Ryukyu and Izu Islands), and extreme northern Philippines (Batan Islands)</t>
  </si>
  <si>
    <t>545_10</t>
  </si>
  <si>
    <t>se China and Taiwan to Thailand, Indochina and Philippines (except Batanes, Palawan group and Sulu Arch.)</t>
  </si>
  <si>
    <t>S China to Indochina, Hainan, Taiwan and Philippines</t>
  </si>
  <si>
    <t>545_11</t>
  </si>
  <si>
    <t>SW Philippines (Culion and Palawan)</t>
  </si>
  <si>
    <t>546_6</t>
  </si>
  <si>
    <t>549_1</t>
  </si>
  <si>
    <t>most West Visayas (wc Philippines)</t>
  </si>
  <si>
    <t>Philippines (Panay, Masbate, Guimaras, Bantayan, Calagna-an, and Ticao)</t>
  </si>
  <si>
    <t>Negros and ?Cebu (wc Philippines)</t>
  </si>
  <si>
    <t>Philippines (Negros and Cebu)</t>
  </si>
  <si>
    <t>S Philippines (Samar, Leyte, Dinagat, Bohol and Mindanao)</t>
  </si>
  <si>
    <t>552_1</t>
  </si>
  <si>
    <t>Luzon (n Philippines); single specimen from Palawan</t>
  </si>
  <si>
    <t>552_2</t>
  </si>
  <si>
    <t>Catanduanes (ne Philippines)</t>
  </si>
  <si>
    <t>553_2</t>
  </si>
  <si>
    <t>Borneo, Palawan group and sw Sulu Arch. (sw, s Philippines)</t>
  </si>
  <si>
    <t>Borneo</t>
  </si>
  <si>
    <t>554_9</t>
  </si>
  <si>
    <t>Mapun (=Cagayan Sulu; far w Philippines)</t>
  </si>
  <si>
    <t>Mapun (southern Philippines)</t>
  </si>
  <si>
    <t>555_1</t>
  </si>
  <si>
    <t>w Mindanao and Basilan (s Philippines)</t>
  </si>
  <si>
    <t>555_2</t>
  </si>
  <si>
    <t>556_1</t>
  </si>
  <si>
    <t>black-headed tailorbird</t>
  </si>
  <si>
    <t>nigriceps</t>
  </si>
  <si>
    <t>556_2</t>
  </si>
  <si>
    <t>luminosus</t>
  </si>
  <si>
    <t>Dinagat and Siargao (se Philippines)</t>
  </si>
  <si>
    <t>561_1</t>
  </si>
  <si>
    <t>Dinagat (ec Philippines)</t>
  </si>
  <si>
    <t>S Philippines (Dinagat)</t>
  </si>
  <si>
    <t>561_2</t>
  </si>
  <si>
    <t>S Philippines (Mindanao, excluding Zamboanga Peninsula)</t>
  </si>
  <si>
    <t>561_3</t>
  </si>
  <si>
    <t>S Philippines (Basilan and Zamboanga Peninsula of Mindanao)</t>
  </si>
  <si>
    <t>564_1</t>
  </si>
  <si>
    <t>N Philippines (Leyte and Samar)</t>
  </si>
  <si>
    <t>564_2</t>
  </si>
  <si>
    <t>Bohol (ec Philippines)</t>
  </si>
  <si>
    <t>Central Philippines (Bohol)</t>
  </si>
  <si>
    <t>montane n, c Luzon (n Philippines)</t>
  </si>
  <si>
    <t>montane s Luzon (n Philippines)</t>
  </si>
  <si>
    <t>N Philippines (s Luzon)</t>
  </si>
  <si>
    <t>S Philippines (Mt. Hilong Hilong on ne Mindanao)</t>
  </si>
  <si>
    <t>montane c, s Mindanao (s Philippines)</t>
  </si>
  <si>
    <t>S Philippines (Mts. Apo, Matutum, Mayo, Katanglad on Mindanao)</t>
  </si>
  <si>
    <t>montane Zamboangao Pen., w Mindanao (s Philippines)</t>
  </si>
  <si>
    <t>S Philippines (Mt. Malindang on Mindanao)</t>
  </si>
  <si>
    <t>571_1</t>
  </si>
  <si>
    <t>Cagayancillo Is. (se of Palawan, sw Philippines)</t>
  </si>
  <si>
    <t>Cagayancillo I. (Sulu Archipelago)</t>
  </si>
  <si>
    <t>571_2</t>
  </si>
  <si>
    <t>Camiguin Norte (far n Philippines)</t>
  </si>
  <si>
    <t>571_3</t>
  </si>
  <si>
    <t>northern Philippines (northwestern Luzon)</t>
  </si>
  <si>
    <t>571_4</t>
  </si>
  <si>
    <t>ne, c Luzon (n Philippines)</t>
  </si>
  <si>
    <t>northern Philippines (northeastern and central Luzon)</t>
  </si>
  <si>
    <t>571_5</t>
  </si>
  <si>
    <t>s Luzon and Catanduanes (n Philippines)</t>
  </si>
  <si>
    <t>N Philippines (se Luzon and Catanduanes)</t>
  </si>
  <si>
    <t>571_6</t>
  </si>
  <si>
    <t>Camiguin Sur (n of Mindanao, s Philippines)</t>
  </si>
  <si>
    <t>571_7</t>
  </si>
  <si>
    <t>Philippines (Masbate, Negros, Ticao, Panay and Caluya)</t>
  </si>
  <si>
    <t>571_8</t>
  </si>
  <si>
    <t>572_6</t>
  </si>
  <si>
    <t>daitoensis</t>
  </si>
  <si>
    <t>Borodino Is.</t>
  </si>
  <si>
    <t>Daito Is. (Philippine Sea)</t>
  </si>
  <si>
    <t>572_10</t>
  </si>
  <si>
    <t>572_11</t>
  </si>
  <si>
    <t>572_12</t>
  </si>
  <si>
    <t>montane n Mindanao (s Philippines)</t>
  </si>
  <si>
    <t>S Philippines (n Mindanao)</t>
  </si>
  <si>
    <t>572_13</t>
  </si>
  <si>
    <t>montane c Mindanao (s Philippines)</t>
  </si>
  <si>
    <t>S Philippines (Mt. Apo and Mt. Katanglad on Mindanao)</t>
  </si>
  <si>
    <t>572_14</t>
  </si>
  <si>
    <t>montane Negros (wc Philippines)</t>
  </si>
  <si>
    <t>Philippines (n Negros)</t>
  </si>
  <si>
    <t>572_15</t>
  </si>
  <si>
    <t>montane Mindoro (nw Philippines)</t>
  </si>
  <si>
    <t>Taiwan and far n Philippines</t>
  </si>
  <si>
    <t>Lüdao (Green) and Lanyu (Orchid) Islands (southeast of Taiwan) and Batan Islands (Philippines, north of Luzon)</t>
  </si>
  <si>
    <t>Calayan, Luzon, Mindoro and some East Visayas (n, ec Philippines)</t>
  </si>
  <si>
    <t>Philippines (Calayan, Luzon, Lubang, Verde, Marinduque, Banton, and Caluya)</t>
  </si>
  <si>
    <t>574_1</t>
  </si>
  <si>
    <t>Philippines (Bohol, Leyte, Samar, Calicoan and Biliran)</t>
  </si>
  <si>
    <t>574_2</t>
  </si>
  <si>
    <t>574_3</t>
  </si>
  <si>
    <t>Philippines (Basilan, Dinagat, Mindanao, Siargao, Camiguin Sur)</t>
  </si>
  <si>
    <t>574_4</t>
  </si>
  <si>
    <t>574_5</t>
  </si>
  <si>
    <t>Sulu Archipelago (Sulu, Tawitawi, Jolo, Bongao, Sanga Sanga)</t>
  </si>
  <si>
    <t>575_13</t>
  </si>
  <si>
    <t>576_5</t>
  </si>
  <si>
    <t>Cagayan Sulu (=Mapun, n of ne Borneo, sw Philippines)</t>
  </si>
  <si>
    <t>577_1</t>
  </si>
  <si>
    <t>East Visayas and Mindanao (e, s Philippines)</t>
  </si>
  <si>
    <t>S Philippines (Samar, Leyte, Bohol and Mindanao)</t>
  </si>
  <si>
    <t>577_2</t>
  </si>
  <si>
    <t>S Philippines (Dinagat and Siargao)</t>
  </si>
  <si>
    <t>577_3</t>
  </si>
  <si>
    <t>S Philippines (Basilan and Malamaui)</t>
  </si>
  <si>
    <t>577_4</t>
  </si>
  <si>
    <t>Sulu Archipelago (Bongao, Jolo and Tawitawi islands)</t>
  </si>
  <si>
    <t>580_1</t>
  </si>
  <si>
    <t>Leyte and Samar (ec Philippines)</t>
  </si>
  <si>
    <t>580_2</t>
  </si>
  <si>
    <t>580_3</t>
  </si>
  <si>
    <t>580_4</t>
  </si>
  <si>
    <t>S Philippines (Basilan)</t>
  </si>
  <si>
    <t>583_1</t>
  </si>
  <si>
    <t>Luzon, Polillo and Catanduanes (n Philippines)</t>
  </si>
  <si>
    <t>N Philippines (Luzon and Polillo)</t>
  </si>
  <si>
    <t>Bohol, Leyte and Samar (ec Philippines)</t>
  </si>
  <si>
    <t>Philippines (Bohol, Samar and Leyte)</t>
  </si>
  <si>
    <t>583_3</t>
  </si>
  <si>
    <t>583_4</t>
  </si>
  <si>
    <t>584_5</t>
  </si>
  <si>
    <t>S Philippines (Palawan and Balabac)</t>
  </si>
  <si>
    <t>N Philippines (Cordillera Mountains of nw Luzon)</t>
  </si>
  <si>
    <t>Luzon except nw (n Philippines)</t>
  </si>
  <si>
    <t>Philippines (Cebu, Guimaras, Panay and Negros)</t>
  </si>
  <si>
    <t>585_4</t>
  </si>
  <si>
    <t>Philippines (Samar, Leyte and Biliran)</t>
  </si>
  <si>
    <t>585_5</t>
  </si>
  <si>
    <t>Zamboanga Pen., w Mindanao, Basilan and e Bolod (sw Philippines)</t>
  </si>
  <si>
    <t>S Philippines (w Mindanao, Basilan and East Blood)</t>
  </si>
  <si>
    <t>585_6</t>
  </si>
  <si>
    <t>S Philippines (e Mindanao)</t>
  </si>
  <si>
    <t>586_14</t>
  </si>
  <si>
    <t>n Sulawesi and Philippine Is.</t>
  </si>
  <si>
    <t>N Sulawesi and Philippine Islands</t>
  </si>
  <si>
    <t>587_2</t>
  </si>
  <si>
    <t>589_1</t>
  </si>
  <si>
    <t>589_2</t>
  </si>
  <si>
    <t>Visayas and Mindanao group (c, s Philippines)</t>
  </si>
  <si>
    <t>Mindanao, Cebu, Panay, Negros, Bohol, Samar and Ticao</t>
  </si>
  <si>
    <t>589_3</t>
  </si>
  <si>
    <t>590_7</t>
  </si>
  <si>
    <t>591_1</t>
  </si>
  <si>
    <t>s, se China</t>
  </si>
  <si>
    <t>E Myanmar to n Indochina, se and central China</t>
  </si>
  <si>
    <t>592_1</t>
  </si>
  <si>
    <t>s Kazakhstan, Turkmenistan and e Iran to s China, Indochina, Malay Pen. and s India</t>
  </si>
  <si>
    <t>SE Iran to India and SE Asia; introduced widely worldwide</t>
  </si>
  <si>
    <t>600_1</t>
  </si>
  <si>
    <t>Luzon group and West Visayas (n, wc Philippines)</t>
  </si>
  <si>
    <t>Philippines (Luzon, Masbate, Negros, Catanduanes and Panay)</t>
  </si>
  <si>
    <t>600_2</t>
  </si>
  <si>
    <t>Philippines (Basilan, Samar, Leyte, Bohol, Dinagat, Mindanao)</t>
  </si>
  <si>
    <t>Samar (ec Philippines)</t>
  </si>
  <si>
    <t>Philippines (montane forests of Samar)</t>
  </si>
  <si>
    <t>601_2</t>
  </si>
  <si>
    <t>Biliran and Leyte (ec Philippines)</t>
  </si>
  <si>
    <t>Philippines (Leyte and Biliran)</t>
  </si>
  <si>
    <t>601_3</t>
  </si>
  <si>
    <t>605_1</t>
  </si>
  <si>
    <t>e European Russia to e Siberia and n Mongolia</t>
  </si>
  <si>
    <t>to n Philippines and se Asia</t>
  </si>
  <si>
    <t>Siberia to Manchuria and Korea; winters to s China and Indochina</t>
  </si>
  <si>
    <t>606_1</t>
  </si>
  <si>
    <t>c, e Siberia to n Mongolia and ne China</t>
  </si>
  <si>
    <t>NE Asia; winters to SE Asia, Sumatra and Java</t>
  </si>
  <si>
    <t>e China</t>
  </si>
  <si>
    <t>breeds eastern China (from southern Gansu and southern Shaanxi south through eastern Sichuan to western Yunnan, east to Hebei and Guangdong); partially migratory, wintering to Hainan and northern Indochina</t>
  </si>
  <si>
    <t>n, c Japan</t>
  </si>
  <si>
    <t>s Japan, se China, Taiwan and n, w Philippines</t>
  </si>
  <si>
    <t>Sakhalin I. (Russia) to n Japan; winters to s China and Philippines</t>
  </si>
  <si>
    <t>615_9</t>
  </si>
  <si>
    <t>615_10</t>
  </si>
  <si>
    <t>Mountains of s Luzon (n Philippines)</t>
  </si>
  <si>
    <t>615_11</t>
  </si>
  <si>
    <t>Mountains of Mindoro (Philippines)</t>
  </si>
  <si>
    <t>615_12</t>
  </si>
  <si>
    <t>Mountains of Negros (Philippines)</t>
  </si>
  <si>
    <t>615_13</t>
  </si>
  <si>
    <t>montane nw Mindanao (s Philippines)</t>
  </si>
  <si>
    <t>S Philippines (Mt. Malindang region of nw Mindanao)</t>
  </si>
  <si>
    <t>615_14</t>
  </si>
  <si>
    <t>S Philippines (Mt. Katanglad region of central Mindanao)</t>
  </si>
  <si>
    <t>615_15</t>
  </si>
  <si>
    <t>S Philippines (Mt. Apo and adjacent mountains of se Mindanao)</t>
  </si>
  <si>
    <t>620_2</t>
  </si>
  <si>
    <t>Polillo (Philippines)</t>
  </si>
  <si>
    <t>620_3</t>
  </si>
  <si>
    <t>Marinduque (Philippines)</t>
  </si>
  <si>
    <t>625_1</t>
  </si>
  <si>
    <t>c, s Siberia to Korea and Japan</t>
  </si>
  <si>
    <t>to Indochina and n Borneo</t>
  </si>
  <si>
    <t>SE Siberia to Japan; &gt; to Indochina and Greater Sundas</t>
  </si>
  <si>
    <t>628_1</t>
  </si>
  <si>
    <t>c Siberia and n Mongolia to Sakhalin, Japan and Korea</t>
  </si>
  <si>
    <t>breeds in Siberia and southeastern Russia (from Yenisey River east to Amurland and Ussuriland and Sakhalin Island), northern Mongolia, northeastern China, North Korea, the southern Kuril Islands, and Japan; winters in southern China (Yunnan, Guangdong, Hainan), Taiwan (scarce), southeastern Asia (west to western Myanmar), the Philippines, and the Greater Sundas</t>
  </si>
  <si>
    <t>se Siberia, ne China and n Korea</t>
  </si>
  <si>
    <t>breeds in northeastern China (Heilongjiang south to eastern Hebei), southeastern Russia (Amurskaya Oblast and Primorskiy Kray), and the Korean peninsula; the species winters south to Myanmar, Thailand, and the Greater Sundas</t>
  </si>
  <si>
    <t>s Kuril Is., Japan and Korean Pen.</t>
  </si>
  <si>
    <t>to Philippines and Borneo</t>
  </si>
  <si>
    <t>breeds Japan and southern Kuril Islands; the species winters south to Myanmar, Thailand, and the Greater Sundas</t>
  </si>
  <si>
    <t>Himalayas to ec China, Indochina, n Thailand and c Myanmar</t>
  </si>
  <si>
    <t>N Pakistan to s China and Indochina; &gt; to pen. India</t>
  </si>
  <si>
    <t>montane Luzon and Mindoro (n Philippines)</t>
  </si>
  <si>
    <t>N Philippines (montane forests of Luzon and Mindoro)</t>
  </si>
  <si>
    <t>montane West Visayas (wc Philippines)</t>
  </si>
  <si>
    <t>Central Philippines (montane forests of Negros and Panay)</t>
  </si>
  <si>
    <t>636_1</t>
  </si>
  <si>
    <t>636_2</t>
  </si>
  <si>
    <t>w Mindanao (s Philippines)</t>
  </si>
  <si>
    <t>W Mindanao (s Philippines)</t>
  </si>
  <si>
    <t>636_3</t>
  </si>
  <si>
    <t>636_4</t>
  </si>
  <si>
    <t>most East Visayas and e Mindanao (ec, s Philippines)</t>
  </si>
  <si>
    <t>Philippines (Leyte, Samar and e Mindanao)</t>
  </si>
  <si>
    <t>638_5</t>
  </si>
  <si>
    <t>638_6</t>
  </si>
  <si>
    <t>Philippines (Marinduque)</t>
  </si>
  <si>
    <t>638_7</t>
  </si>
  <si>
    <t>Visayas, Palawan group, Mindanao and Sulu Arch. (c, sw, s Philippines)</t>
  </si>
  <si>
    <t>Central and s Philippines, Palawan and Sulu Archipelago</t>
  </si>
  <si>
    <t>638_8</t>
  </si>
  <si>
    <t>n Europe, n Asia, n Alaska and nw Canada</t>
  </si>
  <si>
    <t>to n Africa and s Asia</t>
  </si>
  <si>
    <t>Scandinavia across Siberia to w Alaska; &gt; N Africa, s Asia</t>
  </si>
  <si>
    <t>Kamchatka, Commander Is., Kuril Is. and n Japan</t>
  </si>
  <si>
    <t>to se Asia and n Philippines</t>
  </si>
  <si>
    <t>645_1</t>
  </si>
  <si>
    <t>645_2</t>
  </si>
  <si>
    <t>645_3</t>
  </si>
  <si>
    <t>Highlands of Mindoro (Philippines)</t>
  </si>
  <si>
    <t>Mountains of s Palawan (s Philippines)</t>
  </si>
  <si>
    <t>montane Negros and Panay (wc Philippines)</t>
  </si>
  <si>
    <t>Mt. Malindang (Zamboanga Pen., Mindanao, s Philippines)</t>
  </si>
  <si>
    <t>645_7</t>
  </si>
  <si>
    <t>Mt. Apo, se Mindanao (s Philippines)</t>
  </si>
  <si>
    <t>S Philippines (Mt. Apo and Mt. Matutum on Mindanao)</t>
  </si>
  <si>
    <t>646_1</t>
  </si>
  <si>
    <t>sc Siberia and n Mongolia</t>
  </si>
  <si>
    <t>breeds eastern Siberia to northeastern China, Korea and Japan; the species winters in southern China, Indochina, the Thai-Malay Peninsula, Sumatra, Java, and Borneo, but the nonbreeding distributions of the two subspecies are not well differentiated</t>
  </si>
  <si>
    <t>650_4</t>
  </si>
  <si>
    <t>montane Malay Pen., n Sumatra, Borneo, Mindanao group (s Philippines), Sulawesi (except s), Taliabu (Sula Is., e of Sulawesi), Bacan (s of Halmahera, n Moluccas) and Seram (ec Moluccas)</t>
  </si>
  <si>
    <t>Thai-Malay Peninsula, Sumatra, Borneo, Mindanao, Sulawesi, Bacan, Seram, and Mindanao</t>
  </si>
  <si>
    <t>650_5</t>
  </si>
  <si>
    <t>montane Luzon, Mindoro and West Visayas (n, wc Philippines)</t>
  </si>
  <si>
    <t>N Philippines (Luzon, Negros and Panay)</t>
  </si>
  <si>
    <t>650_6</t>
  </si>
  <si>
    <t>Mountains of s Palawan (sw Philippines)</t>
  </si>
  <si>
    <t>655_1</t>
  </si>
  <si>
    <t>Central Philippines (Leyte and Samar)</t>
  </si>
  <si>
    <t>655_2</t>
  </si>
  <si>
    <t>656_1</t>
  </si>
  <si>
    <t>656_2</t>
  </si>
  <si>
    <t>Calayan (Philippines)</t>
  </si>
  <si>
    <t>656_3</t>
  </si>
  <si>
    <t>montane Luzon and Mindoro (n, nw Philippines)</t>
  </si>
  <si>
    <t>Luzon and Mindoro (Philippines)</t>
  </si>
  <si>
    <t>656_4</t>
  </si>
  <si>
    <t>Negros (Philippines)</t>
  </si>
  <si>
    <t>656_5</t>
  </si>
  <si>
    <t>montane Mt. Apo, Mt. Katanglad and Mt. McKinley, c Mindanao (s Philippines)</t>
  </si>
  <si>
    <t>Mountains of central Mindanao (s Philippines)</t>
  </si>
  <si>
    <t>Mt. Busa and Mt. Matutum, s Mindanao (s Philippines)</t>
  </si>
  <si>
    <t>Mt. Busa and Mt. Matutum, south central Mindanao (Philippines)</t>
  </si>
  <si>
    <t>montane Misamis Oriental, nc Mindanao (s Philippines)</t>
  </si>
  <si>
    <t>N Mindanao (s Philippines)</t>
  </si>
  <si>
    <t>Mt. Malindang (Zamboanga Pen., w Mindanao, s Philippines)</t>
  </si>
  <si>
    <t>sc Siberia and Mongolia to Korea and ne China</t>
  </si>
  <si>
    <t>to se China</t>
  </si>
  <si>
    <t>S Siberia to Mongolia; &gt; to Japan and Ryukyu Islands</t>
  </si>
  <si>
    <t>661_3</t>
  </si>
  <si>
    <t>c Himalayas to e China and nw Vietnam</t>
  </si>
  <si>
    <t>breeds from northeastern Afghanistan and western China east through Himalayas to central and southeastern China; winters to India and southeastern Asia, south to the Thai-Malay Peninsula and Sumatra</t>
  </si>
  <si>
    <t>661_4</t>
  </si>
  <si>
    <t>e Mongolia to Sakhalin s to Japan, extreme n Philippines and ne China</t>
  </si>
  <si>
    <t>to Indonesian Arch. and Philippines</t>
  </si>
  <si>
    <t>SE Siberia to China, Japan and Lan-yü I.; winters to Indonesia</t>
  </si>
  <si>
    <t>662_6</t>
  </si>
  <si>
    <t>N Philippines (Luzon, Lubang and Mindoro)</t>
  </si>
  <si>
    <t>662_7</t>
  </si>
  <si>
    <t>Philippines (Negros, Bohol, Masbate, Ticao, Cebu, Siquijor)</t>
  </si>
  <si>
    <t>662_8</t>
  </si>
  <si>
    <t>East Visayas (except Samar) and Mindanao group (ec, s Philippines)</t>
  </si>
  <si>
    <t>S Philippines (Mindanao, Camiguin Sur, Leyte and Biliran)</t>
  </si>
  <si>
    <t>n, c Europe through n Asia to e Siberia and nw North America</t>
  </si>
  <si>
    <t>n, c Africa</t>
  </si>
  <si>
    <t>British Isles to Mediterranean, and east to Siberia, Alaska, and nw Canada (Yukon); &gt; to c Africa</t>
  </si>
  <si>
    <t>N Philippines (Sierra Madre Mts. of n Luzon); Catanduanes</t>
  </si>
  <si>
    <t>Central Philippines (s Luzon; Samar, Leyte and possibly Bohol)</t>
  </si>
  <si>
    <t>668_1</t>
  </si>
  <si>
    <t>Palawan and Balabac (sw Philippines)</t>
  </si>
  <si>
    <t>668_2</t>
  </si>
  <si>
    <t>Calamian Is. (sw Philippines)</t>
  </si>
  <si>
    <t>SW Philippines (Busuanga, Culion, Calauit and Calamianes)</t>
  </si>
  <si>
    <t>669_1</t>
  </si>
  <si>
    <t>N Philippines (Lubang, Luzon, Romblon, Sibuyan, Catanduanes)</t>
  </si>
  <si>
    <t>669_2</t>
  </si>
  <si>
    <t>Mindoro, West Visayas and Mindanao (s Philippines)</t>
  </si>
  <si>
    <t>Cent. and s Philippines (Cebu, Negros, Mindoro and Mindanao)</t>
  </si>
  <si>
    <t>669_3</t>
  </si>
  <si>
    <t>671_1</t>
  </si>
  <si>
    <t>montane Mindanao except ne (s Philippines)</t>
  </si>
  <si>
    <t>671_2</t>
  </si>
  <si>
    <t>S Philippines (Diuata Mts. of ne Mindanao)</t>
  </si>
  <si>
    <t>montane Mt. Malindang (Zamboanga Pen., w Mindanao, s Philippines)</t>
  </si>
  <si>
    <t>S Philippines (Mt. Malindang on nw Mindanao)</t>
  </si>
  <si>
    <t>montane n, c, se Mindanao (s Philippines)</t>
  </si>
  <si>
    <t>N Philippines (Luzon, Mindoro and Catanduanes)</t>
  </si>
  <si>
    <t>East Visayas and Mindanao group except Zamboanga Pen. (ec, s Philippines)</t>
  </si>
  <si>
    <t>S Philippines (Bohol, Leyte, Dinagat, Mindanao and Samar)</t>
  </si>
  <si>
    <t>Central Philippines (Negros and Guimaras)</t>
  </si>
  <si>
    <t>679_7</t>
  </si>
  <si>
    <t>N Philippines (Luzon, Marinduque, Mindoro and Polillo)</t>
  </si>
  <si>
    <t>679_8</t>
  </si>
  <si>
    <t>Romblon (nc Philippines)</t>
  </si>
  <si>
    <t>N Philippines (Romblon)</t>
  </si>
  <si>
    <t>679_9</t>
  </si>
  <si>
    <t>Tablas (nc Philippines)</t>
  </si>
  <si>
    <t>N Philippines (Tablas)</t>
  </si>
  <si>
    <t>679_10</t>
  </si>
  <si>
    <t>Sibuyan (nc Philippines)</t>
  </si>
  <si>
    <t>N Philippines (Sibuyan)</t>
  </si>
  <si>
    <t>679_11</t>
  </si>
  <si>
    <t>Central Philippines (Masbate, Panay and Negros)</t>
  </si>
  <si>
    <t>679_12</t>
  </si>
  <si>
    <t>S Philippines (Siquijor)</t>
  </si>
  <si>
    <t>679_13</t>
  </si>
  <si>
    <t>Central Philippines (Cebu)</t>
  </si>
  <si>
    <t>679_14</t>
  </si>
  <si>
    <t>Philippines (Mindanao, Samar, Leyte, Calicoan, Biliran and Bohol)</t>
  </si>
  <si>
    <t>679_15</t>
  </si>
  <si>
    <t>679_16</t>
  </si>
  <si>
    <t>c Sulu Arch. (s Philippines)</t>
  </si>
  <si>
    <t>Sulu Archipelago (Tawitawi, Jolo and Siasi)</t>
  </si>
  <si>
    <t>679_17</t>
  </si>
  <si>
    <t>sw Sulu Arch. (s Philippines)</t>
  </si>
  <si>
    <t>Sulu Archipelago (Sibutu, Omapoy and Sipangkot)</t>
  </si>
  <si>
    <t>680_1</t>
  </si>
  <si>
    <t>N Philippines (Sierra Madre Mts. of ne Luzon)</t>
  </si>
  <si>
    <t>680_2</t>
  </si>
  <si>
    <t>n, c, s Luzon and Catanduanes (n Philippines)</t>
  </si>
  <si>
    <t>N Philippines (central and s Luzon and Catanduanes)</t>
  </si>
  <si>
    <t>680_3</t>
  </si>
  <si>
    <t>East Visayas and e Mindanao (ec, s Philippines)</t>
  </si>
  <si>
    <t>Philippines (Bohol, Samar, Leyte, Dinagat, Panaon, Mindanao)</t>
  </si>
  <si>
    <t>680_4</t>
  </si>
  <si>
    <t>Zamboanga Pen. and w Mindanao (s Philippines)</t>
  </si>
  <si>
    <t>S Philippines (Zamboanga Peninsula of Mindanao)</t>
  </si>
  <si>
    <t>680_5</t>
  </si>
  <si>
    <t>S Philippines (Basilan, Bongao, Jolo, Tawitawi and Siasi)</t>
  </si>
  <si>
    <t>S Philippines (Balabac, Culion, Calauit and Palawan)</t>
  </si>
  <si>
    <t>Calayan and Fuga (far n Philippines)</t>
  </si>
  <si>
    <t>Fuga I. (n Philippines off n Luzon)</t>
  </si>
  <si>
    <t>681_3</t>
  </si>
  <si>
    <t>N Philippines (Ilocos Norte Province of extreme n Luzon)</t>
  </si>
  <si>
    <t>681_4</t>
  </si>
  <si>
    <t>Luzon group (except nw), Mindoro and Visayas (n, c Philippines)</t>
  </si>
  <si>
    <t>Central and s Luzon and central Philippine Is.</t>
  </si>
  <si>
    <t>681_5</t>
  </si>
  <si>
    <t>fire-throated flowerpecker</t>
  </si>
  <si>
    <t>N Philippines (montane forests of n Luzon)</t>
  </si>
  <si>
    <t>?Samar (ec Philippines)</t>
  </si>
  <si>
    <t>Central Philippines (Samar I.)</t>
  </si>
  <si>
    <t>West Visayas and Mindanao (wc, s Philippines)</t>
  </si>
  <si>
    <t>Mts. of s Philippines (Negros and Mindanao)</t>
  </si>
  <si>
    <t>683_6</t>
  </si>
  <si>
    <t>S Philippines (Balabac, Culion, Palawan and Calauit)</t>
  </si>
  <si>
    <t>683_7</t>
  </si>
  <si>
    <t>w, c Mindanao group (s Philippines)</t>
  </si>
  <si>
    <t>S Philippines (Basilan, w and central Mindanao and Talicod)</t>
  </si>
  <si>
    <t>683_8</t>
  </si>
  <si>
    <t>Sulu Arch. except Sibutu group (s Philippines)</t>
  </si>
  <si>
    <t>Sulu Archipelago (Bongao, Jolo, Tawitawi and Basbas)</t>
  </si>
  <si>
    <t>683_9</t>
  </si>
  <si>
    <t>Sibutu group, sw Sulu Arch. (far s Philippines)</t>
  </si>
  <si>
    <t>S Philippines (Sibutu and Sitanki)</t>
  </si>
  <si>
    <t>683_10</t>
  </si>
  <si>
    <t>Cebu, Masbate, Negros, Panay, Sibuyan, Tablas, Romblon, Ticao</t>
  </si>
  <si>
    <t>683_11</t>
  </si>
  <si>
    <t>Mapun (=Cagayan Sulu, far sw Philippines)</t>
  </si>
  <si>
    <t>684_1</t>
  </si>
  <si>
    <t>684_2</t>
  </si>
  <si>
    <t>East Visayas and e Mindanao (ec, se Philippines)</t>
  </si>
  <si>
    <t>Philippines (Samar, Leyte, Sakuyok, Camiguin Sur, ne Mindanao)</t>
  </si>
  <si>
    <t>n Luzon and islands to n (n Philippines)</t>
  </si>
  <si>
    <t>Philippines (northern Luzon and adjacent islets)</t>
  </si>
  <si>
    <t>c, s Luzon, Polillo, Marinduque and Catanduanes (n Philippines)</t>
  </si>
  <si>
    <t>Philippines (central and southern Luzon, Polillo, and Catanduanes; intergrades with henkei in central Luzon)</t>
  </si>
  <si>
    <t>685_3</t>
  </si>
  <si>
    <t>Mindoro, Visayas, Palawan group and east Mindanao (nc, c, sw, s Philippines) and Maratua (e of ne Borneo)</t>
  </si>
  <si>
    <t>southern Philippines (Mindoro east to Samar, south to Palawan and eastern Mindanao)</t>
  </si>
  <si>
    <t>685_4</t>
  </si>
  <si>
    <t>w, s Mindanao and Sulu Arch. (s Philippines)</t>
  </si>
  <si>
    <t>southern Philippines (central and western Mindanao, Basilan and Sulu Archipelago; intergrades with trochilus in central Mindanao)</t>
  </si>
  <si>
    <t>687_1</t>
  </si>
  <si>
    <t>garden sunbird</t>
  </si>
  <si>
    <t>n Luzon and Babuyan Is. (n Philippines)</t>
  </si>
  <si>
    <t>687_2</t>
  </si>
  <si>
    <t>c, s Luzon group, Mindoro, Visayas and Mindanao group (n to s Philippines)</t>
  </si>
  <si>
    <t>S Luzon, central and s Philippine Is.</t>
  </si>
  <si>
    <t>687_3</t>
  </si>
  <si>
    <t>Sulu Archipelago (s Philippines)</t>
  </si>
  <si>
    <t>689_1</t>
  </si>
  <si>
    <t>S Philippines (Mt. Hilong Hilong on Mindanao)</t>
  </si>
  <si>
    <t>689_2</t>
  </si>
  <si>
    <t>S Philippines (montane forests of central and e Mindanao)</t>
  </si>
  <si>
    <t>S Philippines (montane forests of Mt. Malindang on w Mindanao)</t>
  </si>
  <si>
    <t>montane ec, e Mindanao (s Philippines)</t>
  </si>
  <si>
    <t>montane s Mindanao (s Philippines)</t>
  </si>
  <si>
    <t>693_1</t>
  </si>
  <si>
    <t>Panay and Guimaras (wc Philippines)</t>
  </si>
  <si>
    <t>Philippines (Panay and Guimaras)</t>
  </si>
  <si>
    <t>693_2</t>
  </si>
  <si>
    <t>metallic-winged sunbird</t>
  </si>
  <si>
    <t>pulcherrima</t>
  </si>
  <si>
    <t>East Visayas and Mindanao group (c, s Philippines)</t>
  </si>
  <si>
    <t>jefferyi</t>
  </si>
  <si>
    <t>decorosa</t>
  </si>
  <si>
    <t>696_1</t>
  </si>
  <si>
    <t>696_2</t>
  </si>
  <si>
    <t>c, s Luzon, Polillo, Marinduque and Mindoro (n Philippines)</t>
  </si>
  <si>
    <t>N Philippines (c Luzon, Mindoro, Polillo, and Marinduque)</t>
  </si>
  <si>
    <t>696_3</t>
  </si>
  <si>
    <t>Lubang (n of Mindoro in n Philippines)</t>
  </si>
  <si>
    <t>N Philippines (Lubang)</t>
  </si>
  <si>
    <t>696_4</t>
  </si>
  <si>
    <t>S Philippines (Samar, Leyte, Dinagat, Siargao and Mindanao)</t>
  </si>
  <si>
    <t>696_5</t>
  </si>
  <si>
    <t>Philippines (Ticao, Masbate, Panay, Negros and Cebu)</t>
  </si>
  <si>
    <t>696_6</t>
  </si>
  <si>
    <t>698_1</t>
  </si>
  <si>
    <t>Samar, Leyte, Bohol, Dinagat and Mindanao (e, s Philippines)</t>
  </si>
  <si>
    <t>Philippines (Samar, Leyte, Bohol, Mindanao, Dinagat and Biliran)</t>
  </si>
  <si>
    <t>698_2</t>
  </si>
  <si>
    <t>S Philippines (Basilan I.)</t>
  </si>
  <si>
    <t>700_1</t>
  </si>
  <si>
    <t>N Philippines (Sierra Madre Mts. of e-central Luzon)</t>
  </si>
  <si>
    <t>Samar, Biliran and Leyte (ec Philippines)</t>
  </si>
  <si>
    <t>700_3</t>
  </si>
  <si>
    <t>S Philippines (e Mindanao in Davao area)</t>
  </si>
  <si>
    <t>700_4</t>
  </si>
  <si>
    <t>S Philippines (central and w Mindanao); Basilan?</t>
  </si>
  <si>
    <t>702_7</t>
  </si>
  <si>
    <t>Sakhalin and Kuril Is. and Japan through e China to Taiwan and n Philippines</t>
  </si>
  <si>
    <t>east central and southeastern China, Taiwan, southern South Korea, southern Kuril Islands, and Japan south to the Ryukyu Islands</t>
  </si>
  <si>
    <t>702_9</t>
  </si>
  <si>
    <t>w Nepal to Bhutan and ne India (Assam), s China, se Asia, Indonesian Arch. and s Philippines</t>
  </si>
  <si>
    <t>Central Myanmar, Malaya, Hainan, Vietnam and w Indonesia</t>
  </si>
  <si>
    <t>705_4</t>
  </si>
  <si>
    <t>s Myanmar, Thailand, se China, Taiwan, Hainan and Indochina</t>
  </si>
  <si>
    <t>S China to n Thailand, Indochina, Hainan and Taiwan</t>
  </si>
  <si>
    <t>705_5</t>
  </si>
  <si>
    <t>Philippines (Luzon, Mindoro, Panay, Cebu, Calauit and Palawan)</t>
  </si>
  <si>
    <t>705_7</t>
  </si>
  <si>
    <t>Java, Bali to Sumbawa (w Lesser Sundas) and s, w Borneo</t>
  </si>
  <si>
    <t>Java, Bali, Lombok and Sumbawa</t>
  </si>
  <si>
    <t>Palawan group (sw Philippines), Sulu Arch. (s Philippines) and n, e Borneo</t>
  </si>
  <si>
    <t>Palawan, islands in Sulu Archipelago and Borneo</t>
  </si>
  <si>
    <t>707_5</t>
  </si>
  <si>
    <t>Luzon, Mindoro, Camiguin Norte, Catanduanes and Polillo</t>
  </si>
  <si>
    <t>707_6</t>
  </si>
  <si>
    <t>708_6</t>
  </si>
  <si>
    <t>Taiwan and n Luzon (n Philippines)</t>
  </si>
  <si>
    <t>Taiwan and n Philippines</t>
  </si>
  <si>
    <t>708_7</t>
  </si>
  <si>
    <t>Philippines (except n Luzon), Borneo, Sulawesi and satellite islands (Togian Is., Muna and Buton)</t>
  </si>
  <si>
    <t>Philippines, Sulu Islands, Palawan, Borneo, Sulawesi, Muna and Butung</t>
  </si>
  <si>
    <t>709_2</t>
  </si>
  <si>
    <t>Borneo and ?Palawan (sw Philippines)</t>
  </si>
  <si>
    <t>711_1</t>
  </si>
  <si>
    <t>Luzon, Mindoro, Panay and Palawan (n, wc, sw Philippines)</t>
  </si>
  <si>
    <t>Philippines (montane forests of Luzon and Mindoro)</t>
  </si>
  <si>
    <t>s Siberia, n Mongolia, e Kazakhstan and nw China to ne Siberia and nw North America</t>
  </si>
  <si>
    <t>s, se Asia and Philippines to Australia</t>
  </si>
  <si>
    <t>Breeds eastern Siberia south to western Transbaikalia, southern Siberia, northern Mongolia, Kamchatka, Commander and northern Kurile Islands, and extreme northwestern North America; winters to southeastern China (and Taiwan?), the Philippines, and southeastern Asia from Myanmar east to Indochina and south to Indonesia</t>
  </si>
  <si>
    <t>714_3</t>
  </si>
  <si>
    <t>sc Siberia, ne Mongolia and ne China</t>
  </si>
  <si>
    <t>se Asia to n Australia</t>
  </si>
  <si>
    <t>Ussuriland to ne Mongolia and c Manchuria; &gt;SE Asia, se China</t>
  </si>
  <si>
    <t>714_4</t>
  </si>
  <si>
    <t>se Siberia to Sakhalin (e Russia), and far n Hokkaido (n Japan)</t>
  </si>
  <si>
    <t>to Ryukyu Is. (s Japan), Philippines and Greater Sundas</t>
  </si>
  <si>
    <t>SE Siberia to Sea of Okhotsk and n Japan; &gt;s Asia, Indonesia</t>
  </si>
  <si>
    <t>715_1</t>
  </si>
  <si>
    <t>n, e Europe to c Siberia, Mongolia and ne China</t>
  </si>
  <si>
    <t>India and se Asia</t>
  </si>
  <si>
    <t>NE Russia to Siberia, Mongolia and Manchuria; &gt;to India</t>
  </si>
  <si>
    <t>716_3</t>
  </si>
  <si>
    <t>w Europe, w, c Canary Is. (c Macaronesia, nw of w Africa), nw Africa e to e Russia through Mongolia, ne China, Korean Pen., and Kyushu (s Japan); also e Kazakhstan to Afghanistan and w, c Himalayas</t>
  </si>
  <si>
    <t>to e, w Africa, s Asia, Philippines, Indonesian Arch., New Guinea and satellites</t>
  </si>
  <si>
    <t>breeds in Eurasia, from the Canary Islands, Europe, and north Africa (Atlas Mountains) east to Siberia and Japan; winters to north and east Africa, southern Asia, and southeastern Asia</t>
  </si>
  <si>
    <t>717_5</t>
  </si>
  <si>
    <t>sc Siberia to ne China</t>
  </si>
  <si>
    <t>India to c Indochina</t>
  </si>
  <si>
    <t>S-c Siberia to Mongolia and ne China; &gt;ne India to c Indochina</t>
  </si>
  <si>
    <t>717_6</t>
  </si>
  <si>
    <t>n Siberia to nw Alaska</t>
  </si>
  <si>
    <t>s Asia to n Philippines</t>
  </si>
  <si>
    <t>breeds northern Siberia and western Alaska; winters from northeastern India and China south to the Philippines, the Malay Peninsula and Borneo</t>
  </si>
  <si>
    <t>717_7</t>
  </si>
  <si>
    <t>coastal Sea of Okhotsk, c Kamchatka, Commander Is. and Sakhalin (e Russia), n Korean Pen. and Hokkaido to Kyushu (n to s Japan)</t>
  </si>
  <si>
    <t>to se Asia, se China, Taiwan and Japan to Ryukyu Is.</t>
  </si>
  <si>
    <t>SE Russia to n Korea and Japan.; &gt;Myanmar to se China</t>
  </si>
  <si>
    <t>717_8</t>
  </si>
  <si>
    <t>c, e China, Amurland and Ussuriland (se Russia), Korean Pen. and sw Honshu and n Kyushu (c to sw Japan)</t>
  </si>
  <si>
    <t>India, se Asia, se China and Taiwan</t>
  </si>
  <si>
    <t>C &amp; e China, Russian Far East, Korea, sw Japan; &gt;n India, s Asia</t>
  </si>
  <si>
    <t>719_3</t>
  </si>
  <si>
    <t>Philippine, Palawan and (?) n Borneo</t>
  </si>
  <si>
    <t>720_1</t>
  </si>
  <si>
    <t>Himalayas to ec China, n Korean Pen. (race?), Hokkaido (race?) and Honshu (n, c Japan)</t>
  </si>
  <si>
    <t>Himalayas through se Asia, se China and c Honshu through Ryukyu Is. (Japan) and Philippines</t>
  </si>
  <si>
    <t>Himalayas to China and Japan; &gt;SE Asia</t>
  </si>
  <si>
    <t>nw Russia to Kamchatka, Sakhalin and Kuril Is. (e Russia) s to n Mongolia and ne China</t>
  </si>
  <si>
    <t>s, se Asia to Philippines</t>
  </si>
  <si>
    <t>NE Eurasia; &gt;India, Myanmar, Philippines and Borneo</t>
  </si>
  <si>
    <t>nw Russia to the Kamchatka Pen. and Commander Is.</t>
  </si>
  <si>
    <t>e Asia to n Borneo and Indonesia</t>
  </si>
  <si>
    <t>N Eurasia; &gt;Philippines, n Borneo and Wallacea</t>
  </si>
  <si>
    <t>se Siberia and ne China</t>
  </si>
  <si>
    <t>Russian Far East and extreme ne China; winter area unknown</t>
  </si>
  <si>
    <t>723_1</t>
  </si>
  <si>
    <t>nc, sc through e Siberia, probably to Chukotskiy Pen., Kamchatka, Sakhalin and Kuril Is.</t>
  </si>
  <si>
    <t>s, se Asia, s China, Korean Pen. and Honshu to Ryukyu Is. (c to s Japan)</t>
  </si>
  <si>
    <t>E Siberia (s of rubescens); &gt;s China, India and Myanmar</t>
  </si>
  <si>
    <t>725_6</t>
  </si>
  <si>
    <t>Kamchatka, Sakhalin and Kuril Is. (se Russian) and Japan</t>
  </si>
  <si>
    <t>Sakhalin, Hokkaido and n Honshu; winters to e China and Bonin Is.</t>
  </si>
  <si>
    <t>726_1</t>
  </si>
  <si>
    <t>se Siberia, ne China and Korea</t>
  </si>
  <si>
    <t>E Manchuria to North Korea; winters to e China</t>
  </si>
  <si>
    <t>727_2</t>
  </si>
  <si>
    <t>se Siberia, ne China and ?n Korean Pen.</t>
  </si>
  <si>
    <t>s China</t>
  </si>
  <si>
    <t>E Manchuria to ne China (Shandong)</t>
  </si>
  <si>
    <t>728_1</t>
  </si>
  <si>
    <t>N Philippines (mountains of nw Luzon)</t>
  </si>
  <si>
    <t>728_2</t>
  </si>
  <si>
    <t>montane Panay and Mindanao (wc, s Philippines)</t>
  </si>
  <si>
    <t>S Philippines (mountains of Mindanao)</t>
  </si>
  <si>
    <t>730_11</t>
  </si>
  <si>
    <t>738_1</t>
  </si>
  <si>
    <t>Murmansk (far nw Russia; formerly e Finland) e to e Siberia and s to far n Kazakhstan and c Mongolia</t>
  </si>
  <si>
    <t>Boreal forests of Finland to Bering Sea; &gt; to Indochina</t>
  </si>
  <si>
    <t>742_1</t>
  </si>
  <si>
    <t>sc Russia and n Mongolia e to Sea of Okhotsk and n Sakhalin (se Russia) and s to ne Inner Mongolia, n Heilongjiang (ne China) and n, c Korean Pen.</t>
  </si>
  <si>
    <t>s, e China, Taiwan and Ryukyu Is. (s Japan)</t>
  </si>
  <si>
    <t>Central and e Asia; &gt; to e China and Taiwan</t>
  </si>
  <si>
    <r>
      <t>WILD BIRD CLUB OF THE PHILIPPINES (WBCP) - Checklist of Birds of the Philippines 2024</t>
    </r>
    <r>
      <rPr>
        <sz val="12"/>
        <rFont val="Arial"/>
        <family val="2"/>
      </rPr>
      <t xml:space="preserve"> (Brinkman, J.J. [Editor]. Contributors: D. Allen, R. Hutchinson, A. E. Jensen, G. Dobbs, M. A. Chua, W. Limparungpatthanakij, C. Perez)</t>
    </r>
  </si>
  <si>
    <t>Abundance and Seasonality:</t>
  </si>
  <si>
    <t>Abundance and Seasonality</t>
  </si>
  <si>
    <t>NrRecs: 4. First record: Gabu Fishponds, Laoag, Ilocos Norte, 30 Nov - 14 Dec 2013 by Richard Ruiz (Jensen et al. (2015))</t>
  </si>
  <si>
    <t>NrRecs: 4. First record: Candaba Marsh, Pampanga, 09 Jan - 24 Feb 2016 by Robert Hutchinson, Melanie Tan, Mark Villa, Irene Dy (Hutchinson et al. (2022))</t>
  </si>
  <si>
    <t>NrRecs: 6. First record: Candaba Marsh, Pampanga, 07 - 23 Jan 2016 by Kevin Artiaga, Robert Hutchinson, Melanie Tan, Irene Dy, Mark Villa (Hutchinson et al. (2022))</t>
  </si>
  <si>
    <t>Rare resident and winter visitor (N, C &amp; SE Philippines).</t>
  </si>
  <si>
    <t>Scarce migrant (Batanes, Cebu, Luzon, Palawan).</t>
  </si>
  <si>
    <t>NrRecs: 1. First record: Sayad Bridge, Basco, Batanes, 31 Dec 2022 - 02 Jan 2023 by Albert Patimo, Amado Bajarias, and Lu-Ann Fuentes-Bajarias</t>
  </si>
  <si>
    <t>Confirmed so far on Luzon (appears to be common in Manila Bay) and Negros but undoubtedly overlooked elsewhere.</t>
  </si>
  <si>
    <t>Rare and localised winter visitor (Cebu, Luzon, Mindanao, Negros, Palawan).</t>
  </si>
  <si>
    <t>Localised winter visitor (Luzon, Panay).</t>
  </si>
  <si>
    <t>Rare winter visitor (Mindanao, Negros).</t>
  </si>
  <si>
    <t>Rare winter visitor/passage migrant (Bohol, Luzon, Negros, Palawan, Siargao, Siquijor).</t>
  </si>
  <si>
    <t>Local winter visitor (Luzon, Mindoro, Negros, Panay, Palawan) and passage migrant (Batanes).</t>
  </si>
  <si>
    <t>NrRecs: 2. First record: Balanga, Bataan, 04 Feb 2013 by Robert Hutchinson (Jensen et al. (2015))</t>
  </si>
  <si>
    <t>NrRecs: 1. First record: North of Jessie Beazley Reef, Palawan, 11 May 2013 by Robert Hutchinson , Arne Jensen (Jensen et al. (2015))</t>
  </si>
  <si>
    <t>Previously extirpated as breeding species in the Philippines with last record of an adult bird  from Bird Islet, Tubbataha Reefs Natural Park, Palawan (1995) by Jose Ma. Lorenzo Tan. Since 2016 an adult regularly at the same locality and a pair breeding from 2020 onwards (Jensen et al. 2020) .</t>
  </si>
  <si>
    <t>Vagrant (Luzon, Palawan, Batanes).</t>
  </si>
  <si>
    <t>Common winter visitor (widespread), rare resident (Mindanao), breeding in Luzon.</t>
  </si>
  <si>
    <t>NrRecs: 1. First record: Songsong Iraya Road, Batanes (20.470737, 121.983872), 29 Nov 2019 by Robert Hutchinson, Mark Bezuijen (Hutchinson et al. (2022))</t>
  </si>
  <si>
    <t>The population in the Cordilleras, Luzon is known to breed. Recorded in single numbers on seasonal migration in Taiwan and on one occasion on Batan Island, seen migrating through the Cordillera, but not reported among raptor species migrating in the Sierra Madre Mountain Range, Luzon</t>
  </si>
  <si>
    <t>Vagrant and rare resident (S Mindanao).</t>
  </si>
  <si>
    <t>Apparently extirpated from most of its former range. N. J. COLLAR, R. O. HUTCHINSON, P. G. C. JAKOSALEM, I. D. LACERNA-WIDMANN, L. J. PAGUNTALAN &amp; P. WIDMANN 
The conservation status of the Blue-backed Parrot Tanygnathus everetti FORKTAIL 36 (2020): 25–34</t>
  </si>
  <si>
    <t>Near endemic: also resident on Talaud Islands, Indonesia</t>
  </si>
  <si>
    <t>cucullata: Vagrant, recorded on Itbayat, Batanes, 21 April 2023
mulleri, sordida, palawanensis: Fairly common and widespread resident.</t>
  </si>
  <si>
    <t>Near endemic: also resident on Talaud Island, Indonesia</t>
  </si>
  <si>
    <t>NrRecs: 3. First record: Sabang, Puerto Princesa, Palawan, 05 Sep 2016 by Rommel Cruz (Hutchinson et al. (2022))</t>
  </si>
  <si>
    <t>NrRecs: 4. First record: Chadpidan, Basco, Batanes, 11 Aug 2019 - 04 Mar 2020 by Charls Lee Ibañes (Hutchinson et al. (2022))</t>
  </si>
  <si>
    <t>NrRecs: 1. First record: Basco Dump near Song Song Beach, Batan, 28 Nov 2023 by Carmela Balcazar, Albert Patimo, Ian Ballada, Mikeli Mapua</t>
  </si>
  <si>
    <t>personata: Vagrant (Batanes).
baicalensis: Vagrant (Luzon).
ocularis: Uncommon winter visitor (N islets, Luzon), rare or vagrant (elsewhere).
lugens: Rare winter visitor (Batanes, Calayan, Luzon).
leucopsis: Vagrant (Batanes, Luzon, Palawan).</t>
  </si>
  <si>
    <t>NrRecs: 9. First record: Basco Airport, Batanes, 15 Oct 2013 by Robert Hutchinson, Irene Dy (Jensen et al. (2015))</t>
  </si>
  <si>
    <t>NrRecs: 3. First record: Basco Plaza, Batanes, 27 Nov 2019 by Robert Hutchinson, Martin Kennewell, Mark Bezuijen (Hutchinson et al. (2022))</t>
  </si>
  <si>
    <t>NrRecs: 1. First record: Basco Plaza, Batanes, 26 - 30 Nov 2019 by Robert Hutchinson, Martin Kennewell, Mark Bezuijen (Hutchinson et al. (2022))</t>
  </si>
  <si>
    <t>NrRecs: 6. First record: Basco Dump near Song Song Beach, Batanes, 12 - 13 Nov 2019 by Robert Hutchinson (Hutchinson et al. (2022))</t>
  </si>
  <si>
    <t>Lesser Sand Plover</t>
  </si>
  <si>
    <t>426_1</t>
  </si>
  <si>
    <t>cucullata</t>
  </si>
  <si>
    <t>Vagrant, recorded on Itbayat, Batanes, 21 April 2023</t>
  </si>
  <si>
    <t>n India to s China and Indochina</t>
  </si>
  <si>
    <t>to Sumatra and Java. Recorded on Itbayat, Batanes.</t>
  </si>
  <si>
    <t>breeds Himalayan foothills of northern India east to southern China (Yunnan), northern Myanmar and Indochina, south to Bangladesh, Thailand, and northwestern peninsular Malaysia; winters to southern peninsula Malaysia, Sumatra, and Java</t>
  </si>
  <si>
    <t>717_4</t>
  </si>
  <si>
    <t>Masked Wagtail</t>
  </si>
  <si>
    <t>Motacilla (alba) personata</t>
  </si>
  <si>
    <t>n Iran to sw Siberia, w Mongolia, nw China and w Himalayas</t>
  </si>
  <si>
    <t>e Arabia to India, Philippines</t>
  </si>
  <si>
    <t>C Siberia to nw Mongolia, n Iran, Afghanistan and n India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</si>
</sst>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409]d\-mmm\-yyyy;@"/>
    <numFmt numFmtId="166" formatCode="dd\-mmm\-yy"/>
  </numFmts>
  <fonts count="52" x14ac:knownFonts="1">
    <font>
      <sz val="11"/>
      <color theme="1"/>
      <name val="Calibri"/>
      <family val="2"/>
      <scheme val="minor"/>
    </font>
    <font>
      <sz val="8"/>
      <color theme="1"/>
      <name val="Calibri"/>
      <family val="2"/>
      <scheme val="minor"/>
    </font>
    <font>
      <sz val="11"/>
      <color theme="1"/>
      <name val="Calibri"/>
      <family val="2"/>
      <scheme val="minor"/>
    </font>
    <font>
      <sz val="10"/>
      <name val="Arial"/>
      <family val="1"/>
      <charset val="1"/>
    </font>
    <font>
      <sz val="12"/>
      <color theme="1"/>
      <name val="Calibri"/>
      <family val="2"/>
      <scheme val="minor"/>
    </font>
    <font>
      <sz val="8"/>
      <name val="Arial"/>
      <family val="2"/>
    </font>
    <font>
      <sz val="10"/>
      <name val="Arial"/>
      <family val="2"/>
    </font>
    <font>
      <b/>
      <sz val="8"/>
      <name val="Arial"/>
      <family val="2"/>
    </font>
    <font>
      <sz val="8"/>
      <color theme="1"/>
      <name val="Arial"/>
      <family val="2"/>
    </font>
    <font>
      <i/>
      <sz val="8"/>
      <color theme="1"/>
      <name val="Arial"/>
      <family val="2"/>
    </font>
    <font>
      <i/>
      <sz val="8"/>
      <name val="Arial"/>
      <family val="2"/>
    </font>
    <font>
      <i/>
      <sz val="10"/>
      <name val="Arial"/>
      <family val="2"/>
    </font>
    <font>
      <b/>
      <sz val="9"/>
      <name val="Arial"/>
      <family val="2"/>
    </font>
    <font>
      <sz val="8"/>
      <color indexed="12"/>
      <name val="Arial"/>
      <family val="2"/>
    </font>
    <font>
      <sz val="8"/>
      <color rgb="FFFF0000"/>
      <name val="Arial"/>
      <family val="2"/>
    </font>
    <font>
      <u/>
      <sz val="8"/>
      <name val="Arial"/>
      <family val="2"/>
    </font>
    <font>
      <b/>
      <sz val="9"/>
      <color indexed="8"/>
      <name val="Arial"/>
      <family val="2"/>
    </font>
    <font>
      <sz val="8"/>
      <color indexed="8"/>
      <name val="Arial"/>
      <family val="2"/>
    </font>
    <font>
      <b/>
      <sz val="6"/>
      <color theme="1"/>
      <name val="Arial"/>
      <family val="2"/>
    </font>
    <font>
      <b/>
      <sz val="5.5"/>
      <color theme="1"/>
      <name val="Arial"/>
      <family val="2"/>
    </font>
    <font>
      <b/>
      <sz val="8"/>
      <color theme="1"/>
      <name val="Arial"/>
      <family val="2"/>
    </font>
    <font>
      <b/>
      <i/>
      <sz val="8"/>
      <color theme="1"/>
      <name val="Arial"/>
      <family val="2"/>
    </font>
    <font>
      <b/>
      <sz val="9"/>
      <color rgb="FF000000"/>
      <name val="Arial"/>
      <family val="2"/>
    </font>
    <font>
      <b/>
      <i/>
      <sz val="9"/>
      <color rgb="FF000000"/>
      <name val="Arial"/>
      <family val="2"/>
    </font>
    <font>
      <u/>
      <sz val="11"/>
      <color theme="10"/>
      <name val="Calibri"/>
      <family val="2"/>
      <scheme val="minor"/>
    </font>
    <font>
      <sz val="8"/>
      <color rgb="FF000000"/>
      <name val="Arial"/>
      <family val="2"/>
    </font>
    <font>
      <i/>
      <sz val="8"/>
      <color rgb="FF000000"/>
      <name val="Arial"/>
      <family val="2"/>
    </font>
    <font>
      <i/>
      <sz val="8"/>
      <color rgb="FFFF0000"/>
      <name val="Arial"/>
      <family val="2"/>
    </font>
    <font>
      <u/>
      <sz val="8"/>
      <color rgb="FF000000"/>
      <name val="Arial"/>
      <family val="2"/>
    </font>
    <font>
      <b/>
      <sz val="8"/>
      <color rgb="FF000000"/>
      <name val="Arial"/>
      <family val="2"/>
    </font>
    <font>
      <b/>
      <i/>
      <sz val="8"/>
      <color rgb="FF000000"/>
      <name val="Arial"/>
      <family val="2"/>
    </font>
    <font>
      <u/>
      <sz val="8"/>
      <color rgb="FF0000FF"/>
      <name val="Arial"/>
      <family val="2"/>
    </font>
    <font>
      <i/>
      <sz val="8"/>
      <color rgb="FF0000FF"/>
      <name val="Arial"/>
      <family val="2"/>
    </font>
    <font>
      <b/>
      <u/>
      <sz val="8"/>
      <color rgb="FF000000"/>
      <name val="Arial"/>
      <family val="2"/>
    </font>
    <font>
      <b/>
      <sz val="8"/>
      <color theme="1"/>
      <name val="Calibri"/>
      <family val="2"/>
      <scheme val="minor"/>
    </font>
    <font>
      <b/>
      <i/>
      <sz val="8"/>
      <color theme="1"/>
      <name val="Calibri"/>
      <family val="2"/>
      <scheme val="minor"/>
    </font>
    <font>
      <i/>
      <sz val="8"/>
      <color theme="1"/>
      <name val="Calibri"/>
      <family val="2"/>
      <scheme val="minor"/>
    </font>
    <font>
      <b/>
      <sz val="9"/>
      <color theme="1"/>
      <name val="Arial"/>
      <family val="2"/>
    </font>
    <font>
      <sz val="6"/>
      <color theme="1"/>
      <name val="Arial"/>
      <family val="2"/>
    </font>
    <font>
      <sz val="9"/>
      <name val="Arial"/>
      <family val="2"/>
    </font>
    <font>
      <sz val="9"/>
      <color indexed="8"/>
      <name val="Arial"/>
      <family val="2"/>
    </font>
    <font>
      <sz val="9"/>
      <color rgb="FF333333"/>
      <name val="Arial"/>
      <family val="2"/>
    </font>
    <font>
      <b/>
      <sz val="8"/>
      <color rgb="FF0000FF"/>
      <name val="Arial"/>
      <family val="2"/>
    </font>
    <font>
      <b/>
      <i/>
      <sz val="8"/>
      <color rgb="FF0000FF"/>
      <name val="Arial"/>
      <family val="2"/>
    </font>
    <font>
      <sz val="8"/>
      <color rgb="FF0000FF"/>
      <name val="Arial"/>
      <family val="2"/>
    </font>
    <font>
      <b/>
      <sz val="11"/>
      <color rgb="FFFF0000"/>
      <name val="Calibri"/>
      <family val="2"/>
      <scheme val="minor"/>
    </font>
    <font>
      <b/>
      <sz val="12"/>
      <name val="Arial"/>
      <family val="2"/>
      <charset val="1"/>
    </font>
    <font>
      <sz val="10"/>
      <name val="Arial"/>
      <family val="2"/>
      <charset val="1"/>
    </font>
    <font>
      <b/>
      <sz val="10"/>
      <name val="Arial"/>
      <family val="2"/>
      <charset val="1"/>
    </font>
    <font>
      <sz val="10"/>
      <color rgb="FF0000FF"/>
      <name val="Arial"/>
      <family val="2"/>
      <charset val="1"/>
    </font>
    <font>
      <b/>
      <sz val="11"/>
      <color rgb="FF000000"/>
      <name val="Calibri"/>
      <family val="2"/>
      <charset val="1"/>
    </font>
    <font>
      <sz val="12"/>
      <name val="Arial"/>
      <family val="2"/>
    </font>
  </fonts>
  <fills count="10">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3743705557422"/>
        <bgColor indexed="64"/>
      </patternFill>
    </fill>
    <fill>
      <patternFill patternType="solid">
        <fgColor theme="0" tint="-0.24994659260841701"/>
        <bgColor indexed="64"/>
      </patternFill>
    </fill>
    <fill>
      <patternFill patternType="solid">
        <fgColor rgb="FFAAAAAA"/>
        <bgColor indexed="64"/>
      </patternFill>
    </fill>
    <fill>
      <patternFill patternType="solid">
        <fgColor theme="0" tint="-0.34998626667073579"/>
        <bgColor indexed="64"/>
      </patternFill>
    </fill>
    <fill>
      <patternFill patternType="solid">
        <fgColor theme="0" tint="-0.499984740745262"/>
        <bgColor indexed="64"/>
      </patternFill>
    </fill>
  </fills>
  <borders count="1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indexed="64"/>
      </bottom>
      <diagonal/>
    </border>
    <border>
      <left/>
      <right/>
      <top style="hair">
        <color auto="1"/>
      </top>
      <bottom/>
      <diagonal/>
    </border>
    <border>
      <left/>
      <right/>
      <top style="thin">
        <color auto="1"/>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style="thin">
        <color rgb="FFD9D9D9"/>
      </left>
      <right style="thin">
        <color rgb="FFD9D9D9"/>
      </right>
      <top style="thin">
        <color rgb="FFD9D9D9"/>
      </top>
      <bottom style="thin">
        <color rgb="FFD9D9D9"/>
      </bottom>
      <diagonal/>
    </border>
    <border>
      <left style="thin">
        <color auto="1"/>
      </left>
      <right/>
      <top style="thin">
        <color theme="0" tint="-0.14996795556505021"/>
      </top>
      <bottom style="thin">
        <color indexed="64"/>
      </bottom>
      <diagonal/>
    </border>
  </borders>
  <cellStyleXfs count="9">
    <xf numFmtId="0" fontId="0" fillId="0" borderId="0"/>
    <xf numFmtId="0" fontId="3" fillId="0" borderId="0"/>
    <xf numFmtId="0" fontId="2" fillId="0" borderId="0"/>
    <xf numFmtId="0" fontId="4" fillId="0" borderId="0"/>
    <xf numFmtId="0" fontId="5" fillId="0" borderId="0"/>
    <xf numFmtId="0" fontId="6" fillId="0" borderId="0"/>
    <xf numFmtId="0" fontId="4" fillId="0" borderId="0"/>
    <xf numFmtId="0" fontId="5" fillId="0" borderId="0"/>
    <xf numFmtId="0" fontId="24" fillId="0" borderId="0" applyNumberFormat="0" applyFill="0" applyBorder="0" applyAlignment="0" applyProtection="0"/>
  </cellStyleXfs>
  <cellXfs count="131">
    <xf numFmtId="0" fontId="0" fillId="0" borderId="0" xfId="0"/>
    <xf numFmtId="164" fontId="8" fillId="0" borderId="0" xfId="0" applyNumberFormat="1" applyFont="1" applyAlignment="1">
      <alignment vertical="top"/>
    </xf>
    <xf numFmtId="0" fontId="8" fillId="0" borderId="0" xfId="0" applyFont="1" applyAlignment="1">
      <alignment vertical="top" wrapText="1"/>
    </xf>
    <xf numFmtId="0" fontId="5" fillId="2" borderId="2" xfId="0" applyFont="1" applyFill="1" applyBorder="1" applyAlignment="1" applyProtection="1">
      <alignment horizontal="left" vertical="top"/>
      <protection locked="0"/>
    </xf>
    <xf numFmtId="0" fontId="12" fillId="3" borderId="1" xfId="0" applyFont="1" applyFill="1" applyBorder="1" applyAlignment="1" applyProtection="1">
      <alignment vertical="top"/>
      <protection locked="0"/>
    </xf>
    <xf numFmtId="0" fontId="5" fillId="2" borderId="4" xfId="0" applyFont="1" applyFill="1" applyBorder="1" applyAlignment="1" applyProtection="1">
      <alignment horizontal="left" vertical="top"/>
      <protection locked="0"/>
    </xf>
    <xf numFmtId="0" fontId="5" fillId="0" borderId="1" xfId="0" applyFont="1" applyBorder="1" applyAlignment="1" applyProtection="1">
      <alignment vertical="top"/>
      <protection locked="0"/>
    </xf>
    <xf numFmtId="0" fontId="16" fillId="3" borderId="1" xfId="0" applyFont="1" applyFill="1" applyBorder="1" applyAlignment="1" applyProtection="1">
      <alignment vertical="top"/>
      <protection locked="0"/>
    </xf>
    <xf numFmtId="0" fontId="8" fillId="0" borderId="0" xfId="0" applyFont="1" applyAlignment="1">
      <alignment vertical="top"/>
    </xf>
    <xf numFmtId="0" fontId="17" fillId="0" borderId="1" xfId="0" applyFont="1" applyBorder="1" applyAlignment="1" applyProtection="1">
      <alignment vertical="top"/>
      <protection locked="0"/>
    </xf>
    <xf numFmtId="164" fontId="18" fillId="0" borderId="0" xfId="0" applyNumberFormat="1" applyFont="1" applyAlignment="1">
      <alignment vertical="top"/>
    </xf>
    <xf numFmtId="164" fontId="18" fillId="0" borderId="0" xfId="0" applyNumberFormat="1" applyFont="1" applyAlignment="1">
      <alignment horizontal="center" vertical="top" wrapText="1"/>
    </xf>
    <xf numFmtId="0" fontId="19" fillId="4" borderId="0" xfId="0" applyFont="1" applyFill="1" applyAlignment="1">
      <alignment vertical="top" textRotation="255"/>
    </xf>
    <xf numFmtId="0" fontId="19" fillId="5" borderId="0" xfId="0" applyFont="1" applyFill="1" applyAlignment="1">
      <alignment vertical="top" textRotation="255"/>
    </xf>
    <xf numFmtId="0" fontId="34" fillId="0" borderId="0" xfId="0" applyFont="1" applyAlignment="1">
      <alignment horizontal="center" vertical="top"/>
    </xf>
    <xf numFmtId="0" fontId="35" fillId="0" borderId="0" xfId="0" applyFont="1" applyAlignment="1">
      <alignment vertical="top"/>
    </xf>
    <xf numFmtId="0" fontId="34" fillId="0" borderId="0" xfId="0" applyFont="1" applyAlignment="1">
      <alignment vertical="top"/>
    </xf>
    <xf numFmtId="0" fontId="34" fillId="0" borderId="0" xfId="0" applyFont="1" applyAlignment="1">
      <alignment horizontal="left" vertical="top"/>
    </xf>
    <xf numFmtId="0" fontId="36" fillId="0" borderId="0" xfId="0" applyFont="1" applyAlignment="1">
      <alignment vertical="top"/>
    </xf>
    <xf numFmtId="0" fontId="36" fillId="5" borderId="8" xfId="0" applyFont="1" applyFill="1" applyBorder="1" applyAlignment="1">
      <alignment vertical="top"/>
    </xf>
    <xf numFmtId="0" fontId="36" fillId="4" borderId="0" xfId="0" applyFont="1" applyFill="1" applyAlignment="1">
      <alignment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left" vertical="top"/>
    </xf>
    <xf numFmtId="0" fontId="1" fillId="5" borderId="8" xfId="0" applyFont="1" applyFill="1" applyBorder="1" applyAlignment="1">
      <alignment horizontal="left" vertical="top"/>
    </xf>
    <xf numFmtId="0" fontId="1" fillId="5" borderId="8" xfId="0" applyFont="1" applyFill="1" applyBorder="1" applyAlignment="1">
      <alignment vertical="top"/>
    </xf>
    <xf numFmtId="0" fontId="1" fillId="5" borderId="8" xfId="0" applyFont="1" applyFill="1" applyBorder="1" applyAlignment="1">
      <alignment horizontal="center" vertical="top"/>
    </xf>
    <xf numFmtId="0" fontId="1" fillId="4" borderId="0" xfId="0" applyFont="1" applyFill="1" applyAlignment="1">
      <alignment horizontal="left" vertical="top"/>
    </xf>
    <xf numFmtId="0" fontId="1" fillId="4" borderId="0" xfId="0" applyFont="1" applyFill="1" applyAlignment="1">
      <alignment vertical="top"/>
    </xf>
    <xf numFmtId="0" fontId="1" fillId="4" borderId="0" xfId="0" applyFont="1" applyFill="1" applyAlignment="1">
      <alignment horizontal="center" vertical="top"/>
    </xf>
    <xf numFmtId="0" fontId="8"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horizontal="center" vertical="top"/>
    </xf>
    <xf numFmtId="0" fontId="11" fillId="2" borderId="3" xfId="0" applyFont="1" applyFill="1" applyBorder="1" applyAlignment="1" applyProtection="1">
      <alignment horizontal="left" vertical="top"/>
      <protection locked="0"/>
    </xf>
    <xf numFmtId="0" fontId="8" fillId="3" borderId="0" xfId="0" applyFont="1" applyFill="1" applyAlignment="1">
      <alignment vertical="top"/>
    </xf>
    <xf numFmtId="0" fontId="10" fillId="2" borderId="5" xfId="0" applyFont="1" applyFill="1" applyBorder="1" applyAlignment="1" applyProtection="1">
      <alignment horizontal="left" vertical="top"/>
      <protection locked="0"/>
    </xf>
    <xf numFmtId="0" fontId="13" fillId="0" borderId="1" xfId="0" applyFont="1" applyBorder="1" applyAlignment="1" applyProtection="1">
      <alignment vertical="top"/>
      <protection locked="0"/>
    </xf>
    <xf numFmtId="0" fontId="14" fillId="0" borderId="1" xfId="0" applyFont="1" applyBorder="1" applyAlignment="1" applyProtection="1">
      <alignment vertical="top"/>
      <protection locked="0"/>
    </xf>
    <xf numFmtId="0" fontId="7" fillId="0" borderId="1" xfId="0" applyFont="1" applyBorder="1" applyAlignment="1" applyProtection="1">
      <alignment vertical="top"/>
      <protection locked="0"/>
    </xf>
    <xf numFmtId="0" fontId="11" fillId="2" borderId="5" xfId="0" applyFont="1" applyFill="1" applyBorder="1" applyAlignment="1" applyProtection="1">
      <alignment horizontal="left" vertical="top"/>
      <protection locked="0"/>
    </xf>
    <xf numFmtId="0" fontId="15" fillId="0" borderId="1" xfId="0" applyFont="1" applyBorder="1" applyAlignment="1" applyProtection="1">
      <alignment vertical="top"/>
      <protection locked="0"/>
    </xf>
    <xf numFmtId="0" fontId="10" fillId="2" borderId="6" xfId="0" applyFont="1" applyFill="1" applyBorder="1" applyAlignment="1" applyProtection="1">
      <alignment horizontal="left" vertical="top"/>
      <protection locked="0"/>
    </xf>
    <xf numFmtId="0" fontId="0" fillId="0" borderId="0" xfId="0" applyAlignment="1">
      <alignment vertical="top"/>
    </xf>
    <xf numFmtId="0" fontId="5" fillId="2" borderId="10"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5" fillId="2" borderId="12" xfId="0" applyFont="1" applyFill="1" applyBorder="1" applyAlignment="1" applyProtection="1">
      <alignment horizontal="left" vertical="top"/>
      <protection locked="0"/>
    </xf>
    <xf numFmtId="0" fontId="8" fillId="0" borderId="0" xfId="0" quotePrefix="1" applyFont="1" applyAlignment="1">
      <alignment vertical="top"/>
    </xf>
    <xf numFmtId="0" fontId="37" fillId="3" borderId="9" xfId="0" applyFont="1" applyFill="1" applyBorder="1" applyAlignment="1">
      <alignment vertical="top"/>
    </xf>
    <xf numFmtId="0" fontId="8" fillId="3" borderId="9" xfId="0" applyFont="1" applyFill="1" applyBorder="1" applyAlignment="1">
      <alignment vertical="top"/>
    </xf>
    <xf numFmtId="0" fontId="8" fillId="0" borderId="9" xfId="0" applyFont="1" applyBorder="1" applyAlignment="1">
      <alignment vertical="top"/>
    </xf>
    <xf numFmtId="0" fontId="9" fillId="0" borderId="0" xfId="0" applyFont="1" applyAlignment="1">
      <alignment vertical="top"/>
    </xf>
    <xf numFmtId="0" fontId="9" fillId="0" borderId="0" xfId="0" applyFont="1" applyAlignment="1">
      <alignment horizontal="right" vertical="top"/>
    </xf>
    <xf numFmtId="0" fontId="8" fillId="0" borderId="0" xfId="0" applyFont="1" applyAlignment="1">
      <alignment horizontal="right" vertical="top"/>
    </xf>
    <xf numFmtId="0" fontId="8" fillId="0" borderId="9" xfId="0" applyFont="1" applyBorder="1" applyAlignment="1">
      <alignment horizontal="right" vertical="top"/>
    </xf>
    <xf numFmtId="0" fontId="9" fillId="0" borderId="9" xfId="0" applyFont="1" applyBorder="1" applyAlignment="1">
      <alignment vertical="top"/>
    </xf>
    <xf numFmtId="0" fontId="20" fillId="0" borderId="8" xfId="0" applyFont="1" applyBorder="1" applyAlignment="1">
      <alignment vertical="top"/>
    </xf>
    <xf numFmtId="0" fontId="20" fillId="0" borderId="8" xfId="0" applyFont="1" applyBorder="1" applyAlignment="1">
      <alignment horizontal="right" vertical="top"/>
    </xf>
    <xf numFmtId="0" fontId="8" fillId="0" borderId="8" xfId="0" applyFont="1" applyBorder="1" applyAlignment="1">
      <alignment vertical="top"/>
    </xf>
    <xf numFmtId="0" fontId="37" fillId="3" borderId="0" xfId="0" applyFont="1" applyFill="1" applyAlignment="1">
      <alignment vertical="top"/>
    </xf>
    <xf numFmtId="0" fontId="9" fillId="0" borderId="9" xfId="0" applyFont="1" applyBorder="1" applyAlignment="1">
      <alignment horizontal="left" vertical="top"/>
    </xf>
    <xf numFmtId="0" fontId="8" fillId="0" borderId="9" xfId="0" applyFont="1" applyBorder="1" applyAlignment="1">
      <alignment horizontal="left" vertical="top"/>
    </xf>
    <xf numFmtId="0" fontId="20" fillId="0" borderId="8" xfId="0" applyFont="1" applyBorder="1" applyAlignment="1">
      <alignment horizontal="left" vertical="top"/>
    </xf>
    <xf numFmtId="0" fontId="36" fillId="0" borderId="0" xfId="0" applyFont="1" applyAlignment="1">
      <alignment horizontal="left" vertical="top"/>
    </xf>
    <xf numFmtId="0" fontId="36" fillId="5" borderId="8" xfId="0" applyFont="1" applyFill="1" applyBorder="1" applyAlignment="1">
      <alignment horizontal="left" vertical="top"/>
    </xf>
    <xf numFmtId="0" fontId="36" fillId="4" borderId="0" xfId="0" applyFont="1" applyFill="1" applyAlignment="1">
      <alignment horizontal="left" vertical="top"/>
    </xf>
    <xf numFmtId="0" fontId="35" fillId="0" borderId="0" xfId="0" applyFont="1" applyAlignment="1">
      <alignment horizontal="left" vertical="top"/>
    </xf>
    <xf numFmtId="0" fontId="19" fillId="7" borderId="0" xfId="0" applyFont="1" applyFill="1" applyAlignment="1">
      <alignment horizontal="center" vertical="top" textRotation="255" wrapText="1"/>
    </xf>
    <xf numFmtId="0" fontId="5" fillId="0" borderId="0" xfId="0" applyFont="1" applyAlignment="1" applyProtection="1">
      <alignment vertical="top"/>
      <protection locked="0"/>
    </xf>
    <xf numFmtId="0" fontId="8" fillId="4" borderId="0" xfId="0" applyFont="1" applyFill="1" applyAlignment="1">
      <alignment horizontal="left" vertical="top"/>
    </xf>
    <xf numFmtId="0" fontId="8" fillId="5" borderId="0" xfId="0" applyFont="1" applyFill="1" applyAlignment="1">
      <alignment horizontal="left" vertical="top"/>
    </xf>
    <xf numFmtId="0" fontId="8" fillId="6" borderId="0" xfId="0" applyFont="1" applyFill="1" applyAlignment="1">
      <alignment horizontal="left" vertical="top"/>
    </xf>
    <xf numFmtId="0" fontId="8" fillId="7" borderId="0" xfId="0" applyFont="1" applyFill="1" applyAlignment="1">
      <alignment horizontal="left" vertical="top"/>
    </xf>
    <xf numFmtId="0" fontId="5" fillId="0" borderId="1" xfId="0" applyFont="1" applyBorder="1" applyAlignment="1" applyProtection="1">
      <alignment horizontal="left" vertical="top"/>
      <protection locked="0"/>
    </xf>
    <xf numFmtId="0" fontId="10" fillId="0" borderId="1" xfId="0" applyFont="1" applyBorder="1" applyAlignment="1" applyProtection="1">
      <alignment vertical="top"/>
      <protection locked="0"/>
    </xf>
    <xf numFmtId="164" fontId="24" fillId="4" borderId="0" xfId="8" applyNumberFormat="1" applyFill="1" applyAlignment="1">
      <alignment vertical="top"/>
    </xf>
    <xf numFmtId="164" fontId="24" fillId="5" borderId="0" xfId="8" applyNumberFormat="1" applyFill="1" applyAlignment="1">
      <alignment vertical="top"/>
    </xf>
    <xf numFmtId="164" fontId="24" fillId="4" borderId="7" xfId="8" applyNumberFormat="1" applyFill="1" applyBorder="1" applyAlignment="1">
      <alignment vertical="top"/>
    </xf>
    <xf numFmtId="164" fontId="24" fillId="5" borderId="7" xfId="8" applyNumberFormat="1" applyFill="1" applyBorder="1" applyAlignment="1">
      <alignment vertical="top"/>
    </xf>
    <xf numFmtId="0" fontId="41" fillId="0" borderId="0" xfId="0" applyFont="1"/>
    <xf numFmtId="0" fontId="20" fillId="7" borderId="0" xfId="0" applyFont="1" applyFill="1" applyAlignment="1">
      <alignment horizontal="center" vertical="top"/>
    </xf>
    <xf numFmtId="0" fontId="19" fillId="6" borderId="0" xfId="0" applyFont="1" applyFill="1" applyAlignment="1">
      <alignment horizontal="center" vertical="top" textRotation="255" wrapText="1"/>
    </xf>
    <xf numFmtId="0" fontId="20" fillId="7" borderId="0" xfId="0" applyFont="1" applyFill="1" applyAlignment="1">
      <alignment horizontal="left" vertical="top" wrapText="1"/>
    </xf>
    <xf numFmtId="0" fontId="21" fillId="7" borderId="0" xfId="0" applyFont="1" applyFill="1" applyAlignment="1">
      <alignment horizontal="left" vertical="top" wrapText="1"/>
    </xf>
    <xf numFmtId="0" fontId="20" fillId="7" borderId="0" xfId="0" applyFont="1" applyFill="1" applyAlignment="1">
      <alignment horizontal="center" vertical="top" wrapText="1"/>
    </xf>
    <xf numFmtId="0" fontId="20" fillId="7" borderId="0" xfId="0" applyFont="1" applyFill="1" applyAlignment="1">
      <alignment vertical="top" wrapText="1"/>
    </xf>
    <xf numFmtId="0" fontId="38" fillId="0" borderId="0" xfId="0" applyFont="1" applyAlignment="1">
      <alignment horizontal="center" vertical="top"/>
    </xf>
    <xf numFmtId="0" fontId="8" fillId="0" borderId="0" xfId="0" applyFont="1" applyAlignment="1">
      <alignment horizontal="left" vertical="top" wrapText="1"/>
    </xf>
    <xf numFmtId="0" fontId="9"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8" fillId="0" borderId="0" xfId="0" applyFont="1" applyAlignment="1">
      <alignment horizontal="center" vertical="top" wrapText="1"/>
    </xf>
    <xf numFmtId="164" fontId="24" fillId="6" borderId="0" xfId="8" applyNumberFormat="1" applyFill="1" applyAlignment="1">
      <alignment horizontal="center" vertical="top" wrapText="1"/>
    </xf>
    <xf numFmtId="0" fontId="28" fillId="0" borderId="0" xfId="0" applyFont="1" applyAlignment="1">
      <alignment horizontal="left" vertical="top" wrapText="1"/>
    </xf>
    <xf numFmtId="0" fontId="26" fillId="0" borderId="0" xfId="0" applyFont="1" applyAlignment="1">
      <alignment horizontal="left" vertical="top" wrapText="1"/>
    </xf>
    <xf numFmtId="164" fontId="24" fillId="6" borderId="7" xfId="8" applyNumberFormat="1" applyFill="1" applyBorder="1" applyAlignment="1">
      <alignment horizontal="center" vertical="top" wrapText="1"/>
    </xf>
    <xf numFmtId="0" fontId="25"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29" fillId="0" borderId="0" xfId="0" applyFont="1" applyAlignment="1">
      <alignment horizontal="left" vertical="top" wrapText="1"/>
    </xf>
    <xf numFmtId="0" fontId="30" fillId="0" borderId="0" xfId="0" applyFont="1" applyAlignment="1">
      <alignment horizontal="left" vertical="top" wrapText="1"/>
    </xf>
    <xf numFmtId="0" fontId="14" fillId="0" borderId="0" xfId="0" applyFont="1" applyAlignment="1">
      <alignment horizontal="left" vertical="top" wrapText="1"/>
    </xf>
    <xf numFmtId="0" fontId="27" fillId="0" borderId="0" xfId="0" applyFont="1" applyAlignment="1">
      <alignment horizontal="left" vertical="top" wrapText="1"/>
    </xf>
    <xf numFmtId="0" fontId="33" fillId="0" borderId="0" xfId="0" applyFont="1" applyAlignment="1">
      <alignment horizontal="left" vertical="top" wrapText="1"/>
    </xf>
    <xf numFmtId="0" fontId="1" fillId="5" borderId="8" xfId="0" applyFont="1" applyFill="1" applyBorder="1" applyAlignment="1">
      <alignment horizontal="left" vertical="top" wrapText="1"/>
    </xf>
    <xf numFmtId="0" fontId="42" fillId="0" borderId="0" xfId="0" applyFont="1" applyAlignment="1">
      <alignment horizontal="left" vertical="top" wrapText="1"/>
    </xf>
    <xf numFmtId="0" fontId="43" fillId="0" borderId="0" xfId="0" applyFont="1" applyAlignment="1">
      <alignment horizontal="left" vertical="top" wrapText="1"/>
    </xf>
    <xf numFmtId="0" fontId="44" fillId="0" borderId="0" xfId="0" applyFont="1" applyAlignment="1">
      <alignment horizontal="left" vertical="top" wrapText="1"/>
    </xf>
    <xf numFmtId="1" fontId="36" fillId="0" borderId="0" xfId="0" applyNumberFormat="1" applyFont="1" applyAlignment="1">
      <alignment horizontal="left" vertical="top"/>
    </xf>
    <xf numFmtId="165" fontId="1" fillId="0" borderId="0" xfId="0" applyNumberFormat="1" applyFont="1" applyAlignment="1">
      <alignment horizontal="right" vertical="top"/>
    </xf>
    <xf numFmtId="0" fontId="1" fillId="0" borderId="0" xfId="0" applyFont="1" applyAlignment="1">
      <alignment horizontal="left" vertical="top" wrapText="1"/>
    </xf>
    <xf numFmtId="1" fontId="36" fillId="0" borderId="0" xfId="0" applyNumberFormat="1" applyFont="1" applyAlignment="1">
      <alignment horizontal="left" vertical="top" wrapText="1"/>
    </xf>
    <xf numFmtId="1" fontId="35" fillId="0" borderId="0" xfId="0" applyNumberFormat="1" applyFont="1" applyAlignment="1">
      <alignment horizontal="left" vertical="top"/>
    </xf>
    <xf numFmtId="165" fontId="34" fillId="0" borderId="0" xfId="0" applyNumberFormat="1" applyFont="1" applyAlignment="1">
      <alignment horizontal="right" vertical="top"/>
    </xf>
    <xf numFmtId="0" fontId="45" fillId="0" borderId="0" xfId="0" applyFont="1" applyAlignment="1">
      <alignment vertical="top"/>
    </xf>
    <xf numFmtId="0" fontId="8" fillId="0" borderId="9" xfId="0" quotePrefix="1" applyFont="1" applyBorder="1" applyAlignment="1">
      <alignment horizontal="right" vertical="top"/>
    </xf>
    <xf numFmtId="0" fontId="8" fillId="0" borderId="0" xfId="0" quotePrefix="1" applyFont="1" applyAlignment="1">
      <alignment horizontal="right" vertical="top"/>
    </xf>
    <xf numFmtId="0" fontId="19" fillId="8" borderId="0" xfId="0" applyFont="1" applyFill="1" applyAlignment="1">
      <alignment horizontal="left" vertical="top" textRotation="255" wrapText="1"/>
    </xf>
    <xf numFmtId="0" fontId="19" fillId="9" borderId="0" xfId="0" applyFont="1" applyFill="1" applyAlignment="1">
      <alignment horizontal="center" vertical="top" textRotation="255" wrapText="1"/>
    </xf>
    <xf numFmtId="164" fontId="38" fillId="0" borderId="0" xfId="0" applyNumberFormat="1" applyFont="1" applyAlignment="1">
      <alignment horizontal="left" vertical="top" wrapText="1"/>
    </xf>
    <xf numFmtId="164" fontId="38" fillId="0" borderId="0" xfId="0" applyNumberFormat="1" applyFont="1" applyAlignment="1">
      <alignment horizontal="center" vertical="top" wrapText="1"/>
    </xf>
    <xf numFmtId="164" fontId="24" fillId="8" borderId="0" xfId="8" applyNumberFormat="1" applyFill="1" applyAlignment="1">
      <alignment horizontal="left" vertical="top" wrapText="1"/>
    </xf>
    <xf numFmtId="164" fontId="24" fillId="9" borderId="0" xfId="8" applyNumberFormat="1" applyFill="1" applyAlignment="1">
      <alignment horizontal="center" vertical="top" wrapText="1"/>
    </xf>
    <xf numFmtId="164" fontId="24" fillId="8" borderId="7" xfId="8" applyNumberFormat="1" applyFill="1" applyBorder="1" applyAlignment="1">
      <alignment horizontal="left" vertical="top" wrapText="1"/>
    </xf>
    <xf numFmtId="164" fontId="24" fillId="9" borderId="7" xfId="8" applyNumberFormat="1" applyFill="1" applyBorder="1" applyAlignment="1">
      <alignment horizontal="center" vertical="top" wrapText="1"/>
    </xf>
    <xf numFmtId="165" fontId="1" fillId="0" borderId="0" xfId="0" applyNumberFormat="1" applyFont="1" applyAlignment="1">
      <alignment horizontal="left" vertical="top"/>
    </xf>
    <xf numFmtId="165" fontId="34" fillId="0" borderId="0" xfId="0" applyNumberFormat="1" applyFont="1" applyAlignment="1">
      <alignment horizontal="left" vertical="top"/>
    </xf>
    <xf numFmtId="0" fontId="46" fillId="0" borderId="13" xfId="0" applyFont="1" applyBorder="1" applyAlignment="1" applyProtection="1">
      <alignment horizontal="left" vertical="top"/>
      <protection locked="0"/>
    </xf>
    <xf numFmtId="166" fontId="48" fillId="0" borderId="13" xfId="0" applyNumberFormat="1" applyFont="1" applyBorder="1" applyAlignment="1" applyProtection="1">
      <alignment horizontal="left" vertical="top"/>
      <protection locked="0"/>
    </xf>
    <xf numFmtId="0" fontId="49" fillId="0" borderId="13" xfId="0" applyFont="1" applyBorder="1" applyAlignment="1" applyProtection="1">
      <alignment horizontal="left" vertical="top"/>
      <protection locked="0"/>
    </xf>
    <xf numFmtId="0" fontId="5" fillId="2" borderId="14" xfId="0" applyFont="1" applyFill="1" applyBorder="1" applyAlignment="1" applyProtection="1">
      <alignment horizontal="left" vertical="top"/>
      <protection locked="0"/>
    </xf>
    <xf numFmtId="165" fontId="1" fillId="0" borderId="0" xfId="0" applyNumberFormat="1" applyFont="1" applyAlignment="1">
      <alignment horizontal="left" vertical="top" wrapText="1"/>
    </xf>
  </cellXfs>
  <cellStyles count="9">
    <cellStyle name="Excel Built-in Normal" xfId="1" xr:uid="{00000000-0005-0000-0000-000000000000}"/>
    <cellStyle name="Hyperlink" xfId="8" builtinId="8"/>
    <cellStyle name="Normal" xfId="0" builtinId="0"/>
    <cellStyle name="Normal 2" xfId="2" xr:uid="{00000000-0005-0000-0000-000003000000}"/>
    <cellStyle name="Normal 2 2" xfId="6" xr:uid="{00000000-0005-0000-0000-000004000000}"/>
    <cellStyle name="Normal 3" xfId="3" xr:uid="{00000000-0005-0000-0000-000005000000}"/>
    <cellStyle name="Normal 3 2" xfId="7" xr:uid="{00000000-0005-0000-0000-000006000000}"/>
    <cellStyle name="Normal 4" xfId="4" xr:uid="{00000000-0005-0000-0000-000007000000}"/>
    <cellStyle name="Normální 2"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orldbirdnames.or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google.com/search?q=Ptilinopus%20melanospilus&amp;tbm=isch" TargetMode="External"/><Relationship Id="rId299" Type="http://schemas.openxmlformats.org/officeDocument/2006/relationships/hyperlink" Target="https://www.google.com/search?q=Pandion%20haliaetus&amp;tbm=isch" TargetMode="External"/><Relationship Id="rId671" Type="http://schemas.openxmlformats.org/officeDocument/2006/relationships/hyperlink" Target="https://www.google.com/search?q=Dicaeum%20nigrilore&amp;tbm=isch" TargetMode="External"/><Relationship Id="rId727" Type="http://schemas.openxmlformats.org/officeDocument/2006/relationships/hyperlink" Target="https://www.google.com/search?q=Eophona%20personata&amp;tbm=isch" TargetMode="External"/><Relationship Id="rId21" Type="http://schemas.openxmlformats.org/officeDocument/2006/relationships/hyperlink" Target="https://www.google.com/search?q=Anas%20luzonica&amp;tbm=isch" TargetMode="External"/><Relationship Id="rId63" Type="http://schemas.openxmlformats.org/officeDocument/2006/relationships/hyperlink" Target="https://www.google.com/search?q=Apus%20nipalensis&amp;tbm=isch" TargetMode="External"/><Relationship Id="rId159" Type="http://schemas.openxmlformats.org/officeDocument/2006/relationships/hyperlink" Target="https://www.google.com/search?q=Charadrius%20dubius&amp;tbm=isch" TargetMode="External"/><Relationship Id="rId324" Type="http://schemas.openxmlformats.org/officeDocument/2006/relationships/hyperlink" Target="https://www.google.com/search?q=Butastur%20indicus&amp;tbm=isch" TargetMode="External"/><Relationship Id="rId366" Type="http://schemas.openxmlformats.org/officeDocument/2006/relationships/hyperlink" Target="https://www.google.com/search?q=Pelargopsis%20capensis&amp;tbm=isch" TargetMode="External"/><Relationship Id="rId531" Type="http://schemas.openxmlformats.org/officeDocument/2006/relationships/hyperlink" Target="https://www.google.com/search?q=Acrocephalus%20stentoreus&amp;tbm=isch" TargetMode="External"/><Relationship Id="rId573" Type="http://schemas.openxmlformats.org/officeDocument/2006/relationships/hyperlink" Target="https://www.google.com/search?q=Zosterops%20meyeni&amp;tbm=isch" TargetMode="External"/><Relationship Id="rId629" Type="http://schemas.openxmlformats.org/officeDocument/2006/relationships/hyperlink" Target="https://www.google.com/search?q=Muscicapa%20striata&amp;tbm=isch" TargetMode="External"/><Relationship Id="rId170" Type="http://schemas.openxmlformats.org/officeDocument/2006/relationships/hyperlink" Target="https://www.google.com/search?q=Hydrophasianus%20chirurgus&amp;tbm=isch" TargetMode="External"/><Relationship Id="rId226" Type="http://schemas.openxmlformats.org/officeDocument/2006/relationships/hyperlink" Target="https://www.google.com/search?q=Sterna%20hirundo&amp;tbm=isch" TargetMode="External"/><Relationship Id="rId433" Type="http://schemas.openxmlformats.org/officeDocument/2006/relationships/hyperlink" Target="https://www.google.com/search?q=Pericrocotus%20speciosus&amp;tbm=isch" TargetMode="External"/><Relationship Id="rId268" Type="http://schemas.openxmlformats.org/officeDocument/2006/relationships/hyperlink" Target="https://www.google.com/search?q=Anhinga%20melanogaster&amp;tbm=isch" TargetMode="External"/><Relationship Id="rId475" Type="http://schemas.openxmlformats.org/officeDocument/2006/relationships/hyperlink" Target="https://www.google.com/search?q=Lanius%20validirostris&amp;tbm=isch" TargetMode="External"/><Relationship Id="rId640" Type="http://schemas.openxmlformats.org/officeDocument/2006/relationships/hyperlink" Target="https://www.google.com/search?q=Calliope%20calliope&amp;tbm=isch" TargetMode="External"/><Relationship Id="rId682" Type="http://schemas.openxmlformats.org/officeDocument/2006/relationships/hyperlink" Target="https://www.google.com/search?q=Dicaeum%20luzoniense&amp;tbm=isch" TargetMode="External"/><Relationship Id="rId738" Type="http://schemas.openxmlformats.org/officeDocument/2006/relationships/hyperlink" Target="https://www.google.com/search?q=Emberiza%20aureola&amp;tbm=isch" TargetMode="External"/><Relationship Id="rId32" Type="http://schemas.openxmlformats.org/officeDocument/2006/relationships/hyperlink" Target="https://www.google.com/search?q=Megapodius%20cumingii&amp;tbm=isch" TargetMode="External"/><Relationship Id="rId74" Type="http://schemas.openxmlformats.org/officeDocument/2006/relationships/hyperlink" Target="https://www.google.com/search?q=Clamator%20jacobinus&amp;tbm=isch" TargetMode="External"/><Relationship Id="rId128" Type="http://schemas.openxmlformats.org/officeDocument/2006/relationships/hyperlink" Target="https://www.google.com/search?q=Hypotaenidia%20torquata&amp;tbm=isch" TargetMode="External"/><Relationship Id="rId335" Type="http://schemas.openxmlformats.org/officeDocument/2006/relationships/hyperlink" Target="https://www.google.com/search?q=Ninox%20spilonotus&amp;tbm=isch" TargetMode="External"/><Relationship Id="rId377" Type="http://schemas.openxmlformats.org/officeDocument/2006/relationships/hyperlink" Target="https://www.google.com/search?q=Ceyx%20margarethae&amp;tbm=isch" TargetMode="External"/><Relationship Id="rId500" Type="http://schemas.openxmlformats.org/officeDocument/2006/relationships/hyperlink" Target="https://www.google.com/search?q=Poliolophus%20urostictus&amp;tbm=isch" TargetMode="External"/><Relationship Id="rId542" Type="http://schemas.openxmlformats.org/officeDocument/2006/relationships/hyperlink" Target="https://www.google.com/search?q=Locustella%20seebohmi&amp;tbm=isch" TargetMode="External"/><Relationship Id="rId584" Type="http://schemas.openxmlformats.org/officeDocument/2006/relationships/hyperlink" Target="https://www.google.com/search?q=Sitta%20frontalis&amp;tbm=isch" TargetMode="External"/><Relationship Id="rId5" Type="http://schemas.openxmlformats.org/officeDocument/2006/relationships/hyperlink" Target="https://www.google.com/search?q=Anser%20anser&amp;tbm=isch" TargetMode="External"/><Relationship Id="rId181" Type="http://schemas.openxmlformats.org/officeDocument/2006/relationships/hyperlink" Target="https://www.google.com/search?q=Lymnocryptes%20minimus&amp;tbm=isch" TargetMode="External"/><Relationship Id="rId237" Type="http://schemas.openxmlformats.org/officeDocument/2006/relationships/hyperlink" Target="https://www.google.com/search?q=Larus%20crassirostris&amp;tbm=isch" TargetMode="External"/><Relationship Id="rId402" Type="http://schemas.openxmlformats.org/officeDocument/2006/relationships/hyperlink" Target="https://www.google.com/search?q=Falco%20severus&amp;tbm=isch" TargetMode="External"/><Relationship Id="rId279" Type="http://schemas.openxmlformats.org/officeDocument/2006/relationships/hyperlink" Target="https://www.google.com/search?q=Ixobrychus%20sinensis&amp;tbm=isch" TargetMode="External"/><Relationship Id="rId444" Type="http://schemas.openxmlformats.org/officeDocument/2006/relationships/hyperlink" Target="https://www.google.com/search?q=Pachycephala%20albiventris&amp;tbm=isch" TargetMode="External"/><Relationship Id="rId486" Type="http://schemas.openxmlformats.org/officeDocument/2006/relationships/hyperlink" Target="https://www.google.com/search?q=Mirafra%20javanica&amp;tbm=isch" TargetMode="External"/><Relationship Id="rId651" Type="http://schemas.openxmlformats.org/officeDocument/2006/relationships/hyperlink" Target="https://www.google.com/search?q=Ficedula%20parva&amp;tbm=isch" TargetMode="External"/><Relationship Id="rId693" Type="http://schemas.openxmlformats.org/officeDocument/2006/relationships/hyperlink" Target="https://www.google.com/search?q=Aethopyga%20guimarasensis&amp;tbm=isch" TargetMode="External"/><Relationship Id="rId707" Type="http://schemas.openxmlformats.org/officeDocument/2006/relationships/hyperlink" Target="https://www.google.com/search?q=Lonchura%20leucogastra&amp;tbm=isch" TargetMode="External"/><Relationship Id="rId43" Type="http://schemas.openxmlformats.org/officeDocument/2006/relationships/hyperlink" Target="https://www.google.com/search?q=Caprimulgus%20griseatus&amp;tbm=isch" TargetMode="External"/><Relationship Id="rId139" Type="http://schemas.openxmlformats.org/officeDocument/2006/relationships/hyperlink" Target="https://www.google.com/search?q=Gallicrex%20cinerea&amp;tbm=isch" TargetMode="External"/><Relationship Id="rId290" Type="http://schemas.openxmlformats.org/officeDocument/2006/relationships/hyperlink" Target="https://www.google.com/search?q=Bubulcus%20coromandus&amp;tbm=isch" TargetMode="External"/><Relationship Id="rId304" Type="http://schemas.openxmlformats.org/officeDocument/2006/relationships/hyperlink" Target="https://www.google.com/search?q=Aegypius%20monachus&amp;tbm=isch" TargetMode="External"/><Relationship Id="rId346" Type="http://schemas.openxmlformats.org/officeDocument/2006/relationships/hyperlink" Target="https://www.google.com/search?q=Otus%20everetti&amp;tbm=isch" TargetMode="External"/><Relationship Id="rId388" Type="http://schemas.openxmlformats.org/officeDocument/2006/relationships/hyperlink" Target="https://www.google.com/search?q=Dinopium%20everetti&amp;tbm=isch" TargetMode="External"/><Relationship Id="rId511" Type="http://schemas.openxmlformats.org/officeDocument/2006/relationships/hyperlink" Target="https://www.google.com/search?q=Delichon%20dasypus&amp;tbm=isch" TargetMode="External"/><Relationship Id="rId553" Type="http://schemas.openxmlformats.org/officeDocument/2006/relationships/hyperlink" Target="https://www.google.com/search?q=Orthotomus%20sericeus&amp;tbm=isch" TargetMode="External"/><Relationship Id="rId609" Type="http://schemas.openxmlformats.org/officeDocument/2006/relationships/hyperlink" Target="https://www.google.com/search?q=Turdus%20mandarinus&amp;tbm=isch" TargetMode="External"/><Relationship Id="rId85" Type="http://schemas.openxmlformats.org/officeDocument/2006/relationships/hyperlink" Target="https://www.google.com/search?q=Hierococcyx%20pectoralis&amp;tbm=isch" TargetMode="External"/><Relationship Id="rId150" Type="http://schemas.openxmlformats.org/officeDocument/2006/relationships/hyperlink" Target="https://www.google.com/search?q=Turnix%20worcesteri&amp;tbm=isch" TargetMode="External"/><Relationship Id="rId192" Type="http://schemas.openxmlformats.org/officeDocument/2006/relationships/hyperlink" Target="https://www.google.com/search?q=Tringa%20ochropus&amp;tbm=isch" TargetMode="External"/><Relationship Id="rId206" Type="http://schemas.openxmlformats.org/officeDocument/2006/relationships/hyperlink" Target="https://www.google.com/search?q=Calidris%20ferruginea&amp;tbm=isch" TargetMode="External"/><Relationship Id="rId413" Type="http://schemas.openxmlformats.org/officeDocument/2006/relationships/hyperlink" Target="https://www.google.com/search?q=Tanygnathus%20lucionensis&amp;tbm=isch" TargetMode="External"/><Relationship Id="rId595" Type="http://schemas.openxmlformats.org/officeDocument/2006/relationships/hyperlink" Target="https://www.google.com/search?q=Agropsar%20sturninus&amp;tbm=isch" TargetMode="External"/><Relationship Id="rId248" Type="http://schemas.openxmlformats.org/officeDocument/2006/relationships/hyperlink" Target="https://www.google.com/search?q=Hydrobates%20monorhis&amp;tbm=isch" TargetMode="External"/><Relationship Id="rId455" Type="http://schemas.openxmlformats.org/officeDocument/2006/relationships/hyperlink" Target="https://www.google.com/search?q=Dicrurus%20palawanensis&amp;tbm=isch" TargetMode="External"/><Relationship Id="rId497" Type="http://schemas.openxmlformats.org/officeDocument/2006/relationships/hyperlink" Target="https://www.google.com/search?q=Hypsipetes%20rufigularis&amp;tbm=isch" TargetMode="External"/><Relationship Id="rId620" Type="http://schemas.openxmlformats.org/officeDocument/2006/relationships/hyperlink" Target="https://www.google.com/search?q=Copsychus%20luzoniensis&amp;tbm=isch" TargetMode="External"/><Relationship Id="rId662" Type="http://schemas.openxmlformats.org/officeDocument/2006/relationships/hyperlink" Target="https://www.google.com/search?q=Saxicola%20caprata&amp;tbm=isch" TargetMode="External"/><Relationship Id="rId718" Type="http://schemas.openxmlformats.org/officeDocument/2006/relationships/hyperlink" Target="https://www.google.com/search?q=Anthus%20richardi&amp;tbm=isch" TargetMode="External"/><Relationship Id="rId12" Type="http://schemas.openxmlformats.org/officeDocument/2006/relationships/hyperlink" Target="https://www.google.com/search?q=Tadorna%20ferruginea&amp;tbm=isch" TargetMode="External"/><Relationship Id="rId108" Type="http://schemas.openxmlformats.org/officeDocument/2006/relationships/hyperlink" Target="https://www.google.com/search?q=Treron%20vernans&amp;tbm=isch" TargetMode="External"/><Relationship Id="rId315" Type="http://schemas.openxmlformats.org/officeDocument/2006/relationships/hyperlink" Target="https://www.google.com/search?q=Accipiter%20gularis&amp;tbm=isch" TargetMode="External"/><Relationship Id="rId357" Type="http://schemas.openxmlformats.org/officeDocument/2006/relationships/hyperlink" Target="https://www.google.com/search?q=Rhabdotorrhinus%20leucocephalus&amp;tbm=isch" TargetMode="External"/><Relationship Id="rId522" Type="http://schemas.openxmlformats.org/officeDocument/2006/relationships/hyperlink" Target="https://www.google.com/search?q=Phylloscopus%20ijimae&amp;tbm=isch" TargetMode="External"/><Relationship Id="rId54" Type="http://schemas.openxmlformats.org/officeDocument/2006/relationships/hyperlink" Target="https://www.google.com/search?q=Aerodramus%20amelis&amp;tbm=isch" TargetMode="External"/><Relationship Id="rId96" Type="http://schemas.openxmlformats.org/officeDocument/2006/relationships/hyperlink" Target="https://www.google.com/search?q=Chalcophaps%20indica&amp;tbm=isch" TargetMode="External"/><Relationship Id="rId161" Type="http://schemas.openxmlformats.org/officeDocument/2006/relationships/hyperlink" Target="https://www.google.com/search?q=Vanellus%20vanellus&amp;tbm=isch" TargetMode="External"/><Relationship Id="rId217" Type="http://schemas.openxmlformats.org/officeDocument/2006/relationships/hyperlink" Target="https://www.google.com/search?q=Anous%20minutus&amp;tbm=isch" TargetMode="External"/><Relationship Id="rId399" Type="http://schemas.openxmlformats.org/officeDocument/2006/relationships/hyperlink" Target="https://www.google.com/search?q=Falco%20amurensis&amp;tbm=isch" TargetMode="External"/><Relationship Id="rId564" Type="http://schemas.openxmlformats.org/officeDocument/2006/relationships/hyperlink" Target="https://www.google.com/search?q=Sterrhoptilus%20nigrocapitatus&amp;tbm=isch" TargetMode="External"/><Relationship Id="rId259" Type="http://schemas.openxmlformats.org/officeDocument/2006/relationships/hyperlink" Target="https://www.google.com/search?q=Ciconia%20episcopus&amp;tbm=isch" TargetMode="External"/><Relationship Id="rId424" Type="http://schemas.openxmlformats.org/officeDocument/2006/relationships/hyperlink" Target="https://www.google.com/search?q=Erythropitta%20erythrogaster&amp;tbm=isch" TargetMode="External"/><Relationship Id="rId466" Type="http://schemas.openxmlformats.org/officeDocument/2006/relationships/hyperlink" Target="https://www.google.com/search?q=Rhipidura%20nigrocinnamomea&amp;tbm=isch" TargetMode="External"/><Relationship Id="rId631" Type="http://schemas.openxmlformats.org/officeDocument/2006/relationships/hyperlink" Target="https://www.google.com/search?q=Eumyias%20thalassinus&amp;tbm=isch" TargetMode="External"/><Relationship Id="rId673" Type="http://schemas.openxmlformats.org/officeDocument/2006/relationships/hyperlink" Target="https://www.google.com/search?q=Dicaeum%20kampalili&amp;tbm=isch" TargetMode="External"/><Relationship Id="rId729" Type="http://schemas.openxmlformats.org/officeDocument/2006/relationships/hyperlink" Target="https://www.google.com/search?q=Carpodacus%20erythrinus&amp;tbm=isch" TargetMode="External"/><Relationship Id="rId23" Type="http://schemas.openxmlformats.org/officeDocument/2006/relationships/hyperlink" Target="https://www.google.com/search?q=Anas%20platyrhynchos&amp;tbm=isch" TargetMode="External"/><Relationship Id="rId119" Type="http://schemas.openxmlformats.org/officeDocument/2006/relationships/hyperlink" Target="https://www.google.com/search?q=Ducula%20poliocephala&amp;tbm=isch" TargetMode="External"/><Relationship Id="rId270" Type="http://schemas.openxmlformats.org/officeDocument/2006/relationships/hyperlink" Target="https://www.google.com/search?q=Phalacrocorax%20carbo&amp;tbm=isch" TargetMode="External"/><Relationship Id="rId326" Type="http://schemas.openxmlformats.org/officeDocument/2006/relationships/hyperlink" Target="https://www.google.com/search?q=Tyto%20longimembris&amp;tbm=isch" TargetMode="External"/><Relationship Id="rId533" Type="http://schemas.openxmlformats.org/officeDocument/2006/relationships/hyperlink" Target="https://www.google.com/search?q=Acrocephalus%20sorghophilus&amp;tbm=isch" TargetMode="External"/><Relationship Id="rId65" Type="http://schemas.openxmlformats.org/officeDocument/2006/relationships/hyperlink" Target="https://www.google.com/search?q=Centropus%20melanops&amp;tbm=isch" TargetMode="External"/><Relationship Id="rId130" Type="http://schemas.openxmlformats.org/officeDocument/2006/relationships/hyperlink" Target="https://www.google.com/search?q=Gallinula%20chloropus&amp;tbm=isch" TargetMode="External"/><Relationship Id="rId368" Type="http://schemas.openxmlformats.org/officeDocument/2006/relationships/hyperlink" Target="https://www.google.com/search?q=Halcyon%20gularis&amp;tbm=isch" TargetMode="External"/><Relationship Id="rId575" Type="http://schemas.openxmlformats.org/officeDocument/2006/relationships/hyperlink" Target="https://www.google.com/search?q=Mixornis%20gularis&amp;tbm=isch" TargetMode="External"/><Relationship Id="rId740" Type="http://schemas.openxmlformats.org/officeDocument/2006/relationships/hyperlink" Target="https://www.google.com/search?q=Emberiza%20melanocephala&amp;tbm=isch" TargetMode="External"/><Relationship Id="rId172" Type="http://schemas.openxmlformats.org/officeDocument/2006/relationships/hyperlink" Target="https://www.google.com/search?q=Numenius%20tahitiensis&amp;tbm=isch" TargetMode="External"/><Relationship Id="rId228" Type="http://schemas.openxmlformats.org/officeDocument/2006/relationships/hyperlink" Target="https://www.google.com/search?q=Sterna%20dougallii&amp;tbm=isch" TargetMode="External"/><Relationship Id="rId435" Type="http://schemas.openxmlformats.org/officeDocument/2006/relationships/hyperlink" Target="https://www.google.com/search?q=Coracina%20striata&amp;tbm=isch" TargetMode="External"/><Relationship Id="rId477" Type="http://schemas.openxmlformats.org/officeDocument/2006/relationships/hyperlink" Target="https://www.google.com/search?q=Lanius%20schach&amp;tbm=isch" TargetMode="External"/><Relationship Id="rId600" Type="http://schemas.openxmlformats.org/officeDocument/2006/relationships/hyperlink" Target="https://www.google.com/search?q=Rhabdornis%20mystacalis&amp;tbm=isch" TargetMode="External"/><Relationship Id="rId642" Type="http://schemas.openxmlformats.org/officeDocument/2006/relationships/hyperlink" Target="https://www.google.com/search?q=Vauriella%20insignis&amp;tbm=isch" TargetMode="External"/><Relationship Id="rId684" Type="http://schemas.openxmlformats.org/officeDocument/2006/relationships/hyperlink" Target="https://www.google.com/search?q=Anthreptes%20griseigularis&amp;tbm=isch" TargetMode="External"/><Relationship Id="rId281" Type="http://schemas.openxmlformats.org/officeDocument/2006/relationships/hyperlink" Target="https://www.google.com/search?q=Nycticorax%20caledonicus&amp;tbm=isch" TargetMode="External"/><Relationship Id="rId337" Type="http://schemas.openxmlformats.org/officeDocument/2006/relationships/hyperlink" Target="https://www.google.com/search?q=Otus%20gurneyi&amp;tbm=isch" TargetMode="External"/><Relationship Id="rId502" Type="http://schemas.openxmlformats.org/officeDocument/2006/relationships/hyperlink" Target="https://www.google.com/search?q=Pycnonotus%20plumosus&amp;tbm=isch" TargetMode="External"/><Relationship Id="rId34" Type="http://schemas.openxmlformats.org/officeDocument/2006/relationships/hyperlink" Target="https://www.google.com/search?q=Polyplectron%20napoleonis&amp;tbm=isch" TargetMode="External"/><Relationship Id="rId76" Type="http://schemas.openxmlformats.org/officeDocument/2006/relationships/hyperlink" Target="https://www.google.com/search?q=Scythrops%20novaehollandiae&amp;tbm=isch" TargetMode="External"/><Relationship Id="rId141" Type="http://schemas.openxmlformats.org/officeDocument/2006/relationships/hyperlink" Target="https://www.google.com/search?q=Amaurornis%20olivacea&amp;tbm=isch" TargetMode="External"/><Relationship Id="rId379" Type="http://schemas.openxmlformats.org/officeDocument/2006/relationships/hyperlink" Target="https://www.google.com/search?q=Ceyx%20argentatus&amp;tbm=isch" TargetMode="External"/><Relationship Id="rId544" Type="http://schemas.openxmlformats.org/officeDocument/2006/relationships/hyperlink" Target="https://www.google.com/search?q=Megalurus%20palustris&amp;tbm=isch" TargetMode="External"/><Relationship Id="rId586" Type="http://schemas.openxmlformats.org/officeDocument/2006/relationships/hyperlink" Target="https://www.google.com/search?q=Aplonis%20panayensis&amp;tbm=isch" TargetMode="External"/><Relationship Id="rId7" Type="http://schemas.openxmlformats.org/officeDocument/2006/relationships/hyperlink" Target="https://www.google.com/search?q=Anser%20serrirostris&amp;tbm=isch" TargetMode="External"/><Relationship Id="rId183" Type="http://schemas.openxmlformats.org/officeDocument/2006/relationships/hyperlink" Target="https://www.google.com/search?q=Scolopax%20bukidnonensis&amp;tbm=isch" TargetMode="External"/><Relationship Id="rId239" Type="http://schemas.openxmlformats.org/officeDocument/2006/relationships/hyperlink" Target="https://www.google.com/search?q=Larus%20vegae&amp;tbm=isch" TargetMode="External"/><Relationship Id="rId390" Type="http://schemas.openxmlformats.org/officeDocument/2006/relationships/hyperlink" Target="https://www.google.com/search?q=Chrysocolaptes%20haematribon&amp;tbm=isch" TargetMode="External"/><Relationship Id="rId404" Type="http://schemas.openxmlformats.org/officeDocument/2006/relationships/hyperlink" Target="https://www.google.com/search?q=Cacatua%20haematuropygia&amp;tbm=isch" TargetMode="External"/><Relationship Id="rId446" Type="http://schemas.openxmlformats.org/officeDocument/2006/relationships/hyperlink" Target="https://www.google.com/search?q=Pachycephala%20philippinensis&amp;tbm=isch" TargetMode="External"/><Relationship Id="rId611" Type="http://schemas.openxmlformats.org/officeDocument/2006/relationships/hyperlink" Target="https://www.google.com/search?q=Turdus%20hortulorum&amp;tbm=isch" TargetMode="External"/><Relationship Id="rId653" Type="http://schemas.openxmlformats.org/officeDocument/2006/relationships/hyperlink" Target="https://www.google.com/search?q=Ficedula%20disposita&amp;tbm=isch" TargetMode="External"/><Relationship Id="rId250" Type="http://schemas.openxmlformats.org/officeDocument/2006/relationships/hyperlink" Target="https://www.google.com/search?q=Pterodroma%20neglecta&amp;tbm=isch" TargetMode="External"/><Relationship Id="rId292" Type="http://schemas.openxmlformats.org/officeDocument/2006/relationships/hyperlink" Target="https://www.google.com/search?q=Ardea%20intermedia&amp;tbm=isch" TargetMode="External"/><Relationship Id="rId306" Type="http://schemas.openxmlformats.org/officeDocument/2006/relationships/hyperlink" Target="https://www.google.com/search?q=Spilornis%20holospilus&amp;tbm=isch" TargetMode="External"/><Relationship Id="rId488" Type="http://schemas.openxmlformats.org/officeDocument/2006/relationships/hyperlink" Target="https://www.google.com/search?q=Alauda%20arvensis&amp;tbm=isch" TargetMode="External"/><Relationship Id="rId695" Type="http://schemas.openxmlformats.org/officeDocument/2006/relationships/hyperlink" Target="https://www.google.com/search?q=Aethopyga%20shelleyi&amp;tbm=isch" TargetMode="External"/><Relationship Id="rId709" Type="http://schemas.openxmlformats.org/officeDocument/2006/relationships/hyperlink" Target="https://www.google.com/search?q=Erythrura%20prasina&amp;tbm=isch" TargetMode="External"/><Relationship Id="rId45" Type="http://schemas.openxmlformats.org/officeDocument/2006/relationships/hyperlink" Target="https://www.google.com/search?q=Batrachostomus%20chaseni&amp;tbm=isch" TargetMode="External"/><Relationship Id="rId87" Type="http://schemas.openxmlformats.org/officeDocument/2006/relationships/hyperlink" Target="https://www.google.com/search?q=Cuculus%20saturatus&amp;tbm=isch" TargetMode="External"/><Relationship Id="rId110" Type="http://schemas.openxmlformats.org/officeDocument/2006/relationships/hyperlink" Target="https://www.google.com/search?q=Treron%20curvirostra&amp;tbm=isch" TargetMode="External"/><Relationship Id="rId348" Type="http://schemas.openxmlformats.org/officeDocument/2006/relationships/hyperlink" Target="https://www.google.com/search?q=Asio%20flammeus&amp;tbm=isch" TargetMode="External"/><Relationship Id="rId513" Type="http://schemas.openxmlformats.org/officeDocument/2006/relationships/hyperlink" Target="https://www.google.com/search?q=Phyllergates%20cucullatus&amp;tbm=isch" TargetMode="External"/><Relationship Id="rId555" Type="http://schemas.openxmlformats.org/officeDocument/2006/relationships/hyperlink" Target="https://www.google.com/search?q=Orthotomus%20cinereiceps&amp;tbm=isch" TargetMode="External"/><Relationship Id="rId597" Type="http://schemas.openxmlformats.org/officeDocument/2006/relationships/hyperlink" Target="https://www.google.com/search?q=Sturnia%20sinensis&amp;tbm=isch" TargetMode="External"/><Relationship Id="rId720" Type="http://schemas.openxmlformats.org/officeDocument/2006/relationships/hyperlink" Target="https://www.google.com/search?q=Anthus%20hodgsoni&amp;tbm=isch" TargetMode="External"/><Relationship Id="rId152" Type="http://schemas.openxmlformats.org/officeDocument/2006/relationships/hyperlink" Target="https://www.google.com/search?q=Haematopus%20ostralegus&amp;tbm=isch" TargetMode="External"/><Relationship Id="rId194" Type="http://schemas.openxmlformats.org/officeDocument/2006/relationships/hyperlink" Target="https://www.google.com/search?q=Tringa%20stagnatilis&amp;tbm=isch" TargetMode="External"/><Relationship Id="rId208" Type="http://schemas.openxmlformats.org/officeDocument/2006/relationships/hyperlink" Target="https://www.google.com/search?q=Calidris%20subminuta&amp;tbm=isch" TargetMode="External"/><Relationship Id="rId415" Type="http://schemas.openxmlformats.org/officeDocument/2006/relationships/hyperlink" Target="https://www.google.com/search?q=Psittacula%20krameri&amp;tbm=isch" TargetMode="External"/><Relationship Id="rId457" Type="http://schemas.openxmlformats.org/officeDocument/2006/relationships/hyperlink" Target="https://www.google.com/search?q=Dicrurus%20striatus&amp;tbm=isch" TargetMode="External"/><Relationship Id="rId622" Type="http://schemas.openxmlformats.org/officeDocument/2006/relationships/hyperlink" Target="https://www.google.com/search?q=Copsychus%20niger&amp;tbm=isch" TargetMode="External"/><Relationship Id="rId261" Type="http://schemas.openxmlformats.org/officeDocument/2006/relationships/hyperlink" Target="https://www.google.com/search?q=Ciconia%20boyciana&amp;tbm=isch" TargetMode="External"/><Relationship Id="rId499" Type="http://schemas.openxmlformats.org/officeDocument/2006/relationships/hyperlink" Target="https://www.google.com/search?q=Hypsipetes%20leucocephalus&amp;tbm=isch" TargetMode="External"/><Relationship Id="rId664" Type="http://schemas.openxmlformats.org/officeDocument/2006/relationships/hyperlink" Target="https://www.google.com/search?q=Oenanthe%20oenanthe&amp;tbm=isch" TargetMode="External"/><Relationship Id="rId14" Type="http://schemas.openxmlformats.org/officeDocument/2006/relationships/hyperlink" Target="https://www.google.com/search?q=Nettapus%20coromandelianus&amp;tbm=isch" TargetMode="External"/><Relationship Id="rId56" Type="http://schemas.openxmlformats.org/officeDocument/2006/relationships/hyperlink" Target="https://www.google.com/search?q=Aerodramus%20germani&amp;tbm=isch" TargetMode="External"/><Relationship Id="rId317" Type="http://schemas.openxmlformats.org/officeDocument/2006/relationships/hyperlink" Target="https://www.google.com/search?q=Accipiter%20nisus&amp;tbm=isch" TargetMode="External"/><Relationship Id="rId359" Type="http://schemas.openxmlformats.org/officeDocument/2006/relationships/hyperlink" Target="https://www.google.com/search?q=Penelopides%20mindorensis&amp;tbm=isch" TargetMode="External"/><Relationship Id="rId524" Type="http://schemas.openxmlformats.org/officeDocument/2006/relationships/hyperlink" Target="https://www.google.com/search?q=Phylloscopus%20cebuensis&amp;tbm=isch" TargetMode="External"/><Relationship Id="rId566" Type="http://schemas.openxmlformats.org/officeDocument/2006/relationships/hyperlink" Target="https://www.google.com/search?q=Zosterornis%20striatus&amp;tbm=isch" TargetMode="External"/><Relationship Id="rId731" Type="http://schemas.openxmlformats.org/officeDocument/2006/relationships/hyperlink" Target="https://www.google.com/search?q=Chrysocorythus%20mindanensis&amp;tbm=isch" TargetMode="External"/><Relationship Id="rId98" Type="http://schemas.openxmlformats.org/officeDocument/2006/relationships/hyperlink" Target="https://www.google.com/search?q=Caloenas%20nicobarica&amp;tbm=isch" TargetMode="External"/><Relationship Id="rId121" Type="http://schemas.openxmlformats.org/officeDocument/2006/relationships/hyperlink" Target="https://www.google.com/search?q=Ducula%20carola&amp;tbm=isch" TargetMode="External"/><Relationship Id="rId163" Type="http://schemas.openxmlformats.org/officeDocument/2006/relationships/hyperlink" Target="https://www.google.com/search?q=Anarhynchus%20veredus&amp;tbm=isch" TargetMode="External"/><Relationship Id="rId219" Type="http://schemas.openxmlformats.org/officeDocument/2006/relationships/hyperlink" Target="https://www.google.com/search?q=Onychoprion%20fuscatus&amp;tbm=isch" TargetMode="External"/><Relationship Id="rId370" Type="http://schemas.openxmlformats.org/officeDocument/2006/relationships/hyperlink" Target="https://www.google.com/search?q=Todiramphus%20winchelli&amp;tbm=isch" TargetMode="External"/><Relationship Id="rId426" Type="http://schemas.openxmlformats.org/officeDocument/2006/relationships/hyperlink" Target="https://www.google.com/search?q=Pitta%20sordida&amp;tbm=isch" TargetMode="External"/><Relationship Id="rId633" Type="http://schemas.openxmlformats.org/officeDocument/2006/relationships/hyperlink" Target="https://www.google.com/search?q=Cyornis%20lemprieri&amp;tbm=isch" TargetMode="External"/><Relationship Id="rId230" Type="http://schemas.openxmlformats.org/officeDocument/2006/relationships/hyperlink" Target="https://www.google.com/search?q=Thalasseus%20bergii&amp;tbm=isch" TargetMode="External"/><Relationship Id="rId468" Type="http://schemas.openxmlformats.org/officeDocument/2006/relationships/hyperlink" Target="https://www.google.com/search?q=Hypothymis%20helenae&amp;tbm=isch" TargetMode="External"/><Relationship Id="rId675" Type="http://schemas.openxmlformats.org/officeDocument/2006/relationships/hyperlink" Target="https://www.google.com/search?q=Dicaeum%20australe&amp;tbm=isch" TargetMode="External"/><Relationship Id="rId25" Type="http://schemas.openxmlformats.org/officeDocument/2006/relationships/hyperlink" Target="https://www.google.com/search?q=Anas%20crecca&amp;tbm=isch" TargetMode="External"/><Relationship Id="rId67" Type="http://schemas.openxmlformats.org/officeDocument/2006/relationships/hyperlink" Target="https://www.google.com/search?q=Centropus%20sinensis&amp;tbm=isch" TargetMode="External"/><Relationship Id="rId272" Type="http://schemas.openxmlformats.org/officeDocument/2006/relationships/hyperlink" Target="https://www.google.com/search?q=Plegadis%20falcinellus&amp;tbm=isch" TargetMode="External"/><Relationship Id="rId328" Type="http://schemas.openxmlformats.org/officeDocument/2006/relationships/hyperlink" Target="https://www.google.com/search?q=Ninox%20scutulata&amp;tbm=isch" TargetMode="External"/><Relationship Id="rId535" Type="http://schemas.openxmlformats.org/officeDocument/2006/relationships/hyperlink" Target="https://www.google.com/search?q=Robsonius%20thompsoni&amp;tbm=isch" TargetMode="External"/><Relationship Id="rId577" Type="http://schemas.openxmlformats.org/officeDocument/2006/relationships/hyperlink" Target="https://www.google.com/search?q=Macronus%20striaticeps&amp;tbm=isch" TargetMode="External"/><Relationship Id="rId700" Type="http://schemas.openxmlformats.org/officeDocument/2006/relationships/hyperlink" Target="https://www.google.com/search?q=Arachnothera%20clarae&amp;tbm=isch" TargetMode="External"/><Relationship Id="rId742" Type="http://schemas.openxmlformats.org/officeDocument/2006/relationships/hyperlink" Target="https://www.google.com/search?q=Emberiza%20spodocephala&amp;tbm=isch" TargetMode="External"/><Relationship Id="rId132" Type="http://schemas.openxmlformats.org/officeDocument/2006/relationships/hyperlink" Target="https://www.google.com/search?q=Porphyrio%20pulverulentus&amp;tbm=isch" TargetMode="External"/><Relationship Id="rId174" Type="http://schemas.openxmlformats.org/officeDocument/2006/relationships/hyperlink" Target="https://www.google.com/search?q=Numenius%20minutus&amp;tbm=isch" TargetMode="External"/><Relationship Id="rId381" Type="http://schemas.openxmlformats.org/officeDocument/2006/relationships/hyperlink" Target="https://www.google.com/search?q=Merops%20philippinus&amp;tbm=isch" TargetMode="External"/><Relationship Id="rId602" Type="http://schemas.openxmlformats.org/officeDocument/2006/relationships/hyperlink" Target="https://www.google.com/search?q=Rhabdornis%20rabori&amp;tbm=isch" TargetMode="External"/><Relationship Id="rId241" Type="http://schemas.openxmlformats.org/officeDocument/2006/relationships/hyperlink" Target="https://www.google.com/search?q=Larus%20schistisagus&amp;tbm=isch" TargetMode="External"/><Relationship Id="rId437" Type="http://schemas.openxmlformats.org/officeDocument/2006/relationships/hyperlink" Target="https://www.google.com/search?q=Edolisoma%20ostentum&amp;tbm=isch" TargetMode="External"/><Relationship Id="rId479" Type="http://schemas.openxmlformats.org/officeDocument/2006/relationships/hyperlink" Target="https://www.google.com/search?q=Corvus%20pusillus&amp;tbm=isch" TargetMode="External"/><Relationship Id="rId644" Type="http://schemas.openxmlformats.org/officeDocument/2006/relationships/hyperlink" Target="https://www.google.com/search?q=Leonardina%20woodi&amp;tbm=isch" TargetMode="External"/><Relationship Id="rId686" Type="http://schemas.openxmlformats.org/officeDocument/2006/relationships/hyperlink" Target="https://www.google.com/search?q=Leptocoma%20calcostetha&amp;tbm=isch" TargetMode="External"/><Relationship Id="rId36" Type="http://schemas.openxmlformats.org/officeDocument/2006/relationships/hyperlink" Target="https://www.google.com/search?q=Francolinus%20pintadeanus&amp;tbm=isch" TargetMode="External"/><Relationship Id="rId283" Type="http://schemas.openxmlformats.org/officeDocument/2006/relationships/hyperlink" Target="https://www.google.com/search?q=Gorsachius%20goisagi&amp;tbm=isch" TargetMode="External"/><Relationship Id="rId339" Type="http://schemas.openxmlformats.org/officeDocument/2006/relationships/hyperlink" Target="https://www.google.com/search?q=Otus%20longicornis&amp;tbm=isch" TargetMode="External"/><Relationship Id="rId490" Type="http://schemas.openxmlformats.org/officeDocument/2006/relationships/hyperlink" Target="https://www.google.com/search?q=Iole%20palawanensis&amp;tbm=isch" TargetMode="External"/><Relationship Id="rId504" Type="http://schemas.openxmlformats.org/officeDocument/2006/relationships/hyperlink" Target="https://www.google.com/search?q=Pycnonotus%20sinensis&amp;tbm=isch" TargetMode="External"/><Relationship Id="rId546" Type="http://schemas.openxmlformats.org/officeDocument/2006/relationships/hyperlink" Target="https://www.google.com/search?q=Cisticola%20exilis&amp;tbm=isch" TargetMode="External"/><Relationship Id="rId711" Type="http://schemas.openxmlformats.org/officeDocument/2006/relationships/hyperlink" Target="https://www.google.com/search?q=Erythrura%20hyperythra&amp;tbm=isch" TargetMode="External"/><Relationship Id="rId78" Type="http://schemas.openxmlformats.org/officeDocument/2006/relationships/hyperlink" Target="https://www.google.com/search?q=Chrysococcyx%20minutillus&amp;tbm=isch" TargetMode="External"/><Relationship Id="rId101" Type="http://schemas.openxmlformats.org/officeDocument/2006/relationships/hyperlink" Target="https://www.google.com/search?q=Gallicolumba%20platenae&amp;tbm=isch" TargetMode="External"/><Relationship Id="rId143" Type="http://schemas.openxmlformats.org/officeDocument/2006/relationships/hyperlink" Target="https://www.google.com/search?q=Grus%20virgo&amp;tbm=isch" TargetMode="External"/><Relationship Id="rId185" Type="http://schemas.openxmlformats.org/officeDocument/2006/relationships/hyperlink" Target="https://www.google.com/search?q=Gallinago%20stenura&amp;tbm=isch" TargetMode="External"/><Relationship Id="rId350" Type="http://schemas.openxmlformats.org/officeDocument/2006/relationships/hyperlink" Target="https://www.google.com/search?q=Strix%20seloputo&amp;tbm=isch" TargetMode="External"/><Relationship Id="rId406" Type="http://schemas.openxmlformats.org/officeDocument/2006/relationships/hyperlink" Target="https://www.google.com/search?q=Prioniturus%20montanus&amp;tbm=isch" TargetMode="External"/><Relationship Id="rId588" Type="http://schemas.openxmlformats.org/officeDocument/2006/relationships/hyperlink" Target="https://www.google.com/search?q=Goodfellowia%20miranda&amp;tbm=isch" TargetMode="External"/><Relationship Id="rId9" Type="http://schemas.openxmlformats.org/officeDocument/2006/relationships/hyperlink" Target="https://www.google.com/search?q=Anser%20erythropus&amp;tbm=isch" TargetMode="External"/><Relationship Id="rId210" Type="http://schemas.openxmlformats.org/officeDocument/2006/relationships/hyperlink" Target="https://www.google.com/search?q=Calidris%20alba&amp;tbm=isch" TargetMode="External"/><Relationship Id="rId392" Type="http://schemas.openxmlformats.org/officeDocument/2006/relationships/hyperlink" Target="https://www.google.com/search?q=Chrysocolaptes%20erythrocephalus&amp;tbm=isch" TargetMode="External"/><Relationship Id="rId448" Type="http://schemas.openxmlformats.org/officeDocument/2006/relationships/hyperlink" Target="https://www.google.com/search?q=Oriolus%20consobrinus&amp;tbm=isch" TargetMode="External"/><Relationship Id="rId613" Type="http://schemas.openxmlformats.org/officeDocument/2006/relationships/hyperlink" Target="https://www.google.com/search?q=Turdus%20pallidus&amp;tbm=isch" TargetMode="External"/><Relationship Id="rId655" Type="http://schemas.openxmlformats.org/officeDocument/2006/relationships/hyperlink" Target="https://www.google.com/search?q=Ficedula%20basilanica&amp;tbm=isch" TargetMode="External"/><Relationship Id="rId697" Type="http://schemas.openxmlformats.org/officeDocument/2006/relationships/hyperlink" Target="https://www.google.com/search?q=Aethopyga%20magnifica&amp;tbm=isch" TargetMode="External"/><Relationship Id="rId252" Type="http://schemas.openxmlformats.org/officeDocument/2006/relationships/hyperlink" Target="https://www.google.com/search?q=Pterodroma%20nigripennis&amp;tbm=isch" TargetMode="External"/><Relationship Id="rId294" Type="http://schemas.openxmlformats.org/officeDocument/2006/relationships/hyperlink" Target="https://www.google.com/search?q=Ardea%20purpurea&amp;tbm=isch" TargetMode="External"/><Relationship Id="rId308" Type="http://schemas.openxmlformats.org/officeDocument/2006/relationships/hyperlink" Target="https://www.google.com/search?q=Nisaetus%20pinskeri&amp;tbm=isch" TargetMode="External"/><Relationship Id="rId515" Type="http://schemas.openxmlformats.org/officeDocument/2006/relationships/hyperlink" Target="https://www.google.com/search?q=Horornis%20seebohmi&amp;tbm=isch" TargetMode="External"/><Relationship Id="rId722" Type="http://schemas.openxmlformats.org/officeDocument/2006/relationships/hyperlink" Target="https://www.google.com/search?q=Anthus%20cervinus&amp;tbm=isch" TargetMode="External"/><Relationship Id="rId47" Type="http://schemas.openxmlformats.org/officeDocument/2006/relationships/hyperlink" Target="https://www.google.com/search?q=Hemiprocne%20comata&amp;tbm=isch" TargetMode="External"/><Relationship Id="rId89" Type="http://schemas.openxmlformats.org/officeDocument/2006/relationships/hyperlink" Target="https://www.google.com/search?q=Columba%20livia&amp;tbm=isch" TargetMode="External"/><Relationship Id="rId112" Type="http://schemas.openxmlformats.org/officeDocument/2006/relationships/hyperlink" Target="https://www.google.com/search?q=Ptilinopus%20marchei&amp;tbm=isch" TargetMode="External"/><Relationship Id="rId154" Type="http://schemas.openxmlformats.org/officeDocument/2006/relationships/hyperlink" Target="https://www.google.com/search?q=Himantopus%20leucocephalus&amp;tbm=isch" TargetMode="External"/><Relationship Id="rId361" Type="http://schemas.openxmlformats.org/officeDocument/2006/relationships/hyperlink" Target="https://www.google.com/search?q=Penelopides%20samarensis&amp;tbm=isch" TargetMode="External"/><Relationship Id="rId557" Type="http://schemas.openxmlformats.org/officeDocument/2006/relationships/hyperlink" Target="https://www.google.com/search?q=Orthotomus%20samarensis&amp;tbm=isch" TargetMode="External"/><Relationship Id="rId599" Type="http://schemas.openxmlformats.org/officeDocument/2006/relationships/hyperlink" Target="https://www.google.com/search?q=Sturnus%20vulgaris&amp;tbm=isch" TargetMode="External"/><Relationship Id="rId196" Type="http://schemas.openxmlformats.org/officeDocument/2006/relationships/hyperlink" Target="https://www.google.com/search?q=Tringa%20totanus&amp;tbm=isch" TargetMode="External"/><Relationship Id="rId417" Type="http://schemas.openxmlformats.org/officeDocument/2006/relationships/hyperlink" Target="https://www.google.com/search?q=Bolbopsittacus%20lunulatus&amp;tbm=isch" TargetMode="External"/><Relationship Id="rId459" Type="http://schemas.openxmlformats.org/officeDocument/2006/relationships/hyperlink" Target="https://www.google.com/search?q=Dicrurus%20macrocercus&amp;tbm=isch" TargetMode="External"/><Relationship Id="rId624" Type="http://schemas.openxmlformats.org/officeDocument/2006/relationships/hyperlink" Target="https://www.google.com/search?q=Muscicapa%20griseisticta&amp;tbm=isch" TargetMode="External"/><Relationship Id="rId666" Type="http://schemas.openxmlformats.org/officeDocument/2006/relationships/hyperlink" Target="https://www.google.com/search?q=Chloropsis%20palawanensis&amp;tbm=isch" TargetMode="External"/><Relationship Id="rId16" Type="http://schemas.openxmlformats.org/officeDocument/2006/relationships/hyperlink" Target="https://www.google.com/search?q=Spatula%20querquedula&amp;tbm=isch" TargetMode="External"/><Relationship Id="rId221" Type="http://schemas.openxmlformats.org/officeDocument/2006/relationships/hyperlink" Target="https://www.google.com/search?q=Sternula%20albifrons&amp;tbm=isch" TargetMode="External"/><Relationship Id="rId263" Type="http://schemas.openxmlformats.org/officeDocument/2006/relationships/hyperlink" Target="https://www.google.com/search?q=Fregata%20minor&amp;tbm=isch" TargetMode="External"/><Relationship Id="rId319" Type="http://schemas.openxmlformats.org/officeDocument/2006/relationships/hyperlink" Target="https://www.google.com/search?q=Circus%20melanoleucos&amp;tbm=isch" TargetMode="External"/><Relationship Id="rId470" Type="http://schemas.openxmlformats.org/officeDocument/2006/relationships/hyperlink" Target="https://www.google.com/search?q=Terpsiphone%20incei&amp;tbm=isch" TargetMode="External"/><Relationship Id="rId526" Type="http://schemas.openxmlformats.org/officeDocument/2006/relationships/hyperlink" Target="https://www.google.com/search?q=Phylloscopus%20examinandus&amp;tbm=isch" TargetMode="External"/><Relationship Id="rId58" Type="http://schemas.openxmlformats.org/officeDocument/2006/relationships/hyperlink" Target="https://www.google.com/search?q=Hirundapus%20caudacutus&amp;tbm=isch" TargetMode="External"/><Relationship Id="rId123" Type="http://schemas.openxmlformats.org/officeDocument/2006/relationships/hyperlink" Target="https://www.google.com/search?q=Ducula%20pickeringii&amp;tbm=isch" TargetMode="External"/><Relationship Id="rId330" Type="http://schemas.openxmlformats.org/officeDocument/2006/relationships/hyperlink" Target="https://www.google.com/search?q=Ninox%20philippensis&amp;tbm=isch" TargetMode="External"/><Relationship Id="rId568" Type="http://schemas.openxmlformats.org/officeDocument/2006/relationships/hyperlink" Target="https://www.google.com/search?q=Zosterornis%20latistriatus&amp;tbm=isch" TargetMode="External"/><Relationship Id="rId733" Type="http://schemas.openxmlformats.org/officeDocument/2006/relationships/hyperlink" Target="https://www.google.com/search?q=Calcarius%20lapponicus&amp;tbm=isch" TargetMode="External"/><Relationship Id="rId165" Type="http://schemas.openxmlformats.org/officeDocument/2006/relationships/hyperlink" Target="https://www.google.com/search?q=Anarhynchus%20mongolus&amp;tbm=isch" TargetMode="External"/><Relationship Id="rId372" Type="http://schemas.openxmlformats.org/officeDocument/2006/relationships/hyperlink" Target="https://www.google.com/search?q=Todiramphus%20sanctus&amp;tbm=isch" TargetMode="External"/><Relationship Id="rId428" Type="http://schemas.openxmlformats.org/officeDocument/2006/relationships/hyperlink" Target="https://www.google.com/search?q=Pitta%20steerii&amp;tbm=isch" TargetMode="External"/><Relationship Id="rId635" Type="http://schemas.openxmlformats.org/officeDocument/2006/relationships/hyperlink" Target="https://www.google.com/search?q=Cyornis%20camarinensis&amp;tbm=isch" TargetMode="External"/><Relationship Id="rId677" Type="http://schemas.openxmlformats.org/officeDocument/2006/relationships/hyperlink" Target="https://www.google.com/search?q=Dicaeum%20retrocinctum&amp;tbm=isch" TargetMode="External"/><Relationship Id="rId232" Type="http://schemas.openxmlformats.org/officeDocument/2006/relationships/hyperlink" Target="https://www.google.com/search?q=Hydrocoloeus%20minutus&amp;tbm=isch" TargetMode="External"/><Relationship Id="rId274" Type="http://schemas.openxmlformats.org/officeDocument/2006/relationships/hyperlink" Target="https://www.google.com/search?q=Platalea%20minor&amp;tbm=isch" TargetMode="External"/><Relationship Id="rId481" Type="http://schemas.openxmlformats.org/officeDocument/2006/relationships/hyperlink" Target="https://www.google.com/search?q=Bombycilla%20japonica&amp;tbm=isch" TargetMode="External"/><Relationship Id="rId702" Type="http://schemas.openxmlformats.org/officeDocument/2006/relationships/hyperlink" Target="https://www.google.com/search?q=Passer%20montanus&amp;tbm=isch" TargetMode="External"/><Relationship Id="rId27" Type="http://schemas.openxmlformats.org/officeDocument/2006/relationships/hyperlink" Target="https://www.google.com/search?q=Aythya%20baeri&amp;tbm=isch" TargetMode="External"/><Relationship Id="rId69" Type="http://schemas.openxmlformats.org/officeDocument/2006/relationships/hyperlink" Target="https://www.google.com/search?q=Centropus%20bengalensis&amp;tbm=isch" TargetMode="External"/><Relationship Id="rId134" Type="http://schemas.openxmlformats.org/officeDocument/2006/relationships/hyperlink" Target="https://www.google.com/search?q=Zapornia%20pusilla&amp;tbm=isch" TargetMode="External"/><Relationship Id="rId537" Type="http://schemas.openxmlformats.org/officeDocument/2006/relationships/hyperlink" Target="https://www.google.com/search?q=Helopsaltes%20fasciolatus&amp;tbm=isch" TargetMode="External"/><Relationship Id="rId579" Type="http://schemas.openxmlformats.org/officeDocument/2006/relationships/hyperlink" Target="https://www.google.com/search?q=Pellorneum%20cinereiceps&amp;tbm=isch" TargetMode="External"/><Relationship Id="rId744" Type="http://schemas.openxmlformats.org/officeDocument/2006/relationships/printerSettings" Target="../printerSettings/printerSettings2.bin"/><Relationship Id="rId80" Type="http://schemas.openxmlformats.org/officeDocument/2006/relationships/hyperlink" Target="https://www.google.com/search?q=Cacomantis%20merulinus&amp;tbm=isch" TargetMode="External"/><Relationship Id="rId176" Type="http://schemas.openxmlformats.org/officeDocument/2006/relationships/hyperlink" Target="https://www.google.com/search?q=Numenius%20arquata&amp;tbm=isch" TargetMode="External"/><Relationship Id="rId341" Type="http://schemas.openxmlformats.org/officeDocument/2006/relationships/hyperlink" Target="https://www.google.com/search?q=Otus%20sunia&amp;tbm=isch" TargetMode="External"/><Relationship Id="rId383" Type="http://schemas.openxmlformats.org/officeDocument/2006/relationships/hyperlink" Target="https://www.google.com/search?q=Psilopogon%20haemacephalus&amp;tbm=isch" TargetMode="External"/><Relationship Id="rId439" Type="http://schemas.openxmlformats.org/officeDocument/2006/relationships/hyperlink" Target="https://www.google.com/search?q=Edolisoma%20mindanense&amp;tbm=isch" TargetMode="External"/><Relationship Id="rId590" Type="http://schemas.openxmlformats.org/officeDocument/2006/relationships/hyperlink" Target="https://www.google.com/search?q=Gracula%20religiosa&amp;tbm=isch" TargetMode="External"/><Relationship Id="rId604" Type="http://schemas.openxmlformats.org/officeDocument/2006/relationships/hyperlink" Target="https://www.google.com/search?q=Zoothera%20andromedae&amp;tbm=isch" TargetMode="External"/><Relationship Id="rId646" Type="http://schemas.openxmlformats.org/officeDocument/2006/relationships/hyperlink" Target="https://www.google.com/search?q=Larvivora%20cyane&amp;tbm=isch" TargetMode="External"/><Relationship Id="rId201" Type="http://schemas.openxmlformats.org/officeDocument/2006/relationships/hyperlink" Target="https://www.google.com/search?q=Calidris%20tenuirostris&amp;tbm=isch" TargetMode="External"/><Relationship Id="rId243" Type="http://schemas.openxmlformats.org/officeDocument/2006/relationships/hyperlink" Target="https://www.google.com/search?q=Stercorarius%20parasiticus&amp;tbm=isch" TargetMode="External"/><Relationship Id="rId285" Type="http://schemas.openxmlformats.org/officeDocument/2006/relationships/hyperlink" Target="https://www.google.com/search?q=Egretta%20eulophotes&amp;tbm=isch" TargetMode="External"/><Relationship Id="rId450" Type="http://schemas.openxmlformats.org/officeDocument/2006/relationships/hyperlink" Target="https://www.google.com/search?q=Oriolus%20albiloris&amp;tbm=isch" TargetMode="External"/><Relationship Id="rId506" Type="http://schemas.openxmlformats.org/officeDocument/2006/relationships/hyperlink" Target="https://www.google.com/search?q=Riparia%20chinensis&amp;tbm=isch" TargetMode="External"/><Relationship Id="rId688" Type="http://schemas.openxmlformats.org/officeDocument/2006/relationships/hyperlink" Target="https://www.google.com/search?q=Cinnyris%20aurora&amp;tbm=isch" TargetMode="External"/><Relationship Id="rId38" Type="http://schemas.openxmlformats.org/officeDocument/2006/relationships/hyperlink" Target="https://www.google.com/search?q=Coturnix%20japonica&amp;tbm=isch" TargetMode="External"/><Relationship Id="rId103" Type="http://schemas.openxmlformats.org/officeDocument/2006/relationships/hyperlink" Target="https://www.google.com/search?q=Gallicolumba%20menagei&amp;tbm=isch" TargetMode="External"/><Relationship Id="rId310" Type="http://schemas.openxmlformats.org/officeDocument/2006/relationships/hyperlink" Target="https://www.google.com/search?q=Nisaetus%20cirrhatus&amp;tbm=isch" TargetMode="External"/><Relationship Id="rId492" Type="http://schemas.openxmlformats.org/officeDocument/2006/relationships/hyperlink" Target="https://www.google.com/search?q=Hypsipetes%20mindorensis&amp;tbm=isch" TargetMode="External"/><Relationship Id="rId548" Type="http://schemas.openxmlformats.org/officeDocument/2006/relationships/hyperlink" Target="https://www.google.com/search?q=Micromacronus%20sordidus&amp;tbm=isch" TargetMode="External"/><Relationship Id="rId713" Type="http://schemas.openxmlformats.org/officeDocument/2006/relationships/hyperlink" Target="https://www.google.com/search?q=Dendronanthus%20indicus&amp;tbm=isch" TargetMode="External"/><Relationship Id="rId91" Type="http://schemas.openxmlformats.org/officeDocument/2006/relationships/hyperlink" Target="https://www.google.com/search?q=Streptopelia%20orientalis&amp;tbm=isch" TargetMode="External"/><Relationship Id="rId145" Type="http://schemas.openxmlformats.org/officeDocument/2006/relationships/hyperlink" Target="https://www.google.com/search?q=Tachybaptus%20ruficollis&amp;tbm=isch" TargetMode="External"/><Relationship Id="rId187" Type="http://schemas.openxmlformats.org/officeDocument/2006/relationships/hyperlink" Target="https://www.google.com/search?q=Gallinago%20gallinago&amp;tbm=isch" TargetMode="External"/><Relationship Id="rId352" Type="http://schemas.openxmlformats.org/officeDocument/2006/relationships/hyperlink" Target="https://www.google.com/search?q=Upupa%20epops&amp;tbm=isch" TargetMode="External"/><Relationship Id="rId394" Type="http://schemas.openxmlformats.org/officeDocument/2006/relationships/hyperlink" Target="https://www.google.com/search?q=Mulleripicus%20fuliginosus&amp;tbm=isch" TargetMode="External"/><Relationship Id="rId408" Type="http://schemas.openxmlformats.org/officeDocument/2006/relationships/hyperlink" Target="https://www.google.com/search?q=Prioniturus%20mindorensis&amp;tbm=isch" TargetMode="External"/><Relationship Id="rId615" Type="http://schemas.openxmlformats.org/officeDocument/2006/relationships/hyperlink" Target="https://www.google.com/search?q=Turdus%20poliocephalus&amp;tbm=isch" TargetMode="External"/><Relationship Id="rId212" Type="http://schemas.openxmlformats.org/officeDocument/2006/relationships/hyperlink" Target="https://www.google.com/search?q=Calidris%20minuta&amp;tbm=isch" TargetMode="External"/><Relationship Id="rId254" Type="http://schemas.openxmlformats.org/officeDocument/2006/relationships/hyperlink" Target="https://www.google.com/search?q=Pseudobulweria%20rostrata&amp;tbm=isch" TargetMode="External"/><Relationship Id="rId657" Type="http://schemas.openxmlformats.org/officeDocument/2006/relationships/hyperlink" Target="https://www.google.com/search?q=Ficedula%20crypta&amp;tbm=isch" TargetMode="External"/><Relationship Id="rId699" Type="http://schemas.openxmlformats.org/officeDocument/2006/relationships/hyperlink" Target="https://www.google.com/search?q=Arachnothera%20dilutior&amp;tbm=isch" TargetMode="External"/><Relationship Id="rId49" Type="http://schemas.openxmlformats.org/officeDocument/2006/relationships/hyperlink" Target="https://www.google.com/search?q=Collocalia%20isonota&amp;tbm=isch" TargetMode="External"/><Relationship Id="rId114" Type="http://schemas.openxmlformats.org/officeDocument/2006/relationships/hyperlink" Target="https://www.google.com/search?q=Ptilinopus%20occipitalis&amp;tbm=isch" TargetMode="External"/><Relationship Id="rId296" Type="http://schemas.openxmlformats.org/officeDocument/2006/relationships/hyperlink" Target="https://www.google.com/search?q=Pelecanus%20philippensis&amp;tbm=isch" TargetMode="External"/><Relationship Id="rId461" Type="http://schemas.openxmlformats.org/officeDocument/2006/relationships/hyperlink" Target="https://www.google.com/search?q=Rhipidura%20samarensis&amp;tbm=isch" TargetMode="External"/><Relationship Id="rId517" Type="http://schemas.openxmlformats.org/officeDocument/2006/relationships/hyperlink" Target="https://www.google.com/search?q=Horornis%20flavolivaceus&amp;tbm=isch" TargetMode="External"/><Relationship Id="rId559" Type="http://schemas.openxmlformats.org/officeDocument/2006/relationships/hyperlink" Target="https://www.google.com/search?q=Dasycrotapha%20pygmaea&amp;tbm=isch" TargetMode="External"/><Relationship Id="rId724" Type="http://schemas.openxmlformats.org/officeDocument/2006/relationships/hyperlink" Target="https://www.google.com/search?q=Fringilla%20montifringilla&amp;tbm=isch" TargetMode="External"/><Relationship Id="rId60" Type="http://schemas.openxmlformats.org/officeDocument/2006/relationships/hyperlink" Target="https://www.google.com/search?q=Hirundapus%20celebensis&amp;tbm=isch" TargetMode="External"/><Relationship Id="rId156" Type="http://schemas.openxmlformats.org/officeDocument/2006/relationships/hyperlink" Target="https://www.google.com/search?q=Pluvialis%20squatarola&amp;tbm=isch" TargetMode="External"/><Relationship Id="rId198" Type="http://schemas.openxmlformats.org/officeDocument/2006/relationships/hyperlink" Target="https://www.google.com/search?q=Tringa%20erythropus&amp;tbm=isch" TargetMode="External"/><Relationship Id="rId321" Type="http://schemas.openxmlformats.org/officeDocument/2006/relationships/hyperlink" Target="https://www.google.com/search?q=Haliastur%20indus&amp;tbm=isch" TargetMode="External"/><Relationship Id="rId363" Type="http://schemas.openxmlformats.org/officeDocument/2006/relationships/hyperlink" Target="https://www.google.com/search?q=Eurystomus%20orientalis&amp;tbm=isch" TargetMode="External"/><Relationship Id="rId419" Type="http://schemas.openxmlformats.org/officeDocument/2006/relationships/hyperlink" Target="https://www.google.com/search?q=Loriculus%20camiguinensis&amp;tbm=isch" TargetMode="External"/><Relationship Id="rId570" Type="http://schemas.openxmlformats.org/officeDocument/2006/relationships/hyperlink" Target="https://www.google.com/search?q=Heleia%20goodfellowi&amp;tbm=isch" TargetMode="External"/><Relationship Id="rId626" Type="http://schemas.openxmlformats.org/officeDocument/2006/relationships/hyperlink" Target="https://www.google.com/search?q=Muscicapa%20ferruginea&amp;tbm=isch" TargetMode="External"/><Relationship Id="rId223" Type="http://schemas.openxmlformats.org/officeDocument/2006/relationships/hyperlink" Target="https://www.google.com/search?q=Hydroprogne%20caspia&amp;tbm=isch" TargetMode="External"/><Relationship Id="rId430" Type="http://schemas.openxmlformats.org/officeDocument/2006/relationships/hyperlink" Target="https://www.google.com/search?q=Artamus%20leucorynchus&amp;tbm=isch" TargetMode="External"/><Relationship Id="rId668" Type="http://schemas.openxmlformats.org/officeDocument/2006/relationships/hyperlink" Target="https://www.google.com/search?q=Prionochilus%20plateni&amp;tbm=isch" TargetMode="External"/><Relationship Id="rId18" Type="http://schemas.openxmlformats.org/officeDocument/2006/relationships/hyperlink" Target="https://www.google.com/search?q=Mareca%20strepera&amp;tbm=isch" TargetMode="External"/><Relationship Id="rId265" Type="http://schemas.openxmlformats.org/officeDocument/2006/relationships/hyperlink" Target="https://www.google.com/search?q=Sula%20sula&amp;tbm=isch" TargetMode="External"/><Relationship Id="rId472" Type="http://schemas.openxmlformats.org/officeDocument/2006/relationships/hyperlink" Target="https://www.google.com/search?q=Terpsiphone%20cyanescens&amp;tbm=isch" TargetMode="External"/><Relationship Id="rId528" Type="http://schemas.openxmlformats.org/officeDocument/2006/relationships/hyperlink" Target="https://www.google.com/search?q=Phylloscopus%20montis&amp;tbm=isch" TargetMode="External"/><Relationship Id="rId735" Type="http://schemas.openxmlformats.org/officeDocument/2006/relationships/hyperlink" Target="https://www.google.com/search?q=Emberiza%20pusilla&amp;tbm=isch" TargetMode="External"/><Relationship Id="rId125" Type="http://schemas.openxmlformats.org/officeDocument/2006/relationships/hyperlink" Target="https://www.google.com/search?q=Lewinia%20striata&amp;tbm=isch" TargetMode="External"/><Relationship Id="rId167" Type="http://schemas.openxmlformats.org/officeDocument/2006/relationships/hyperlink" Target="https://www.google.com/search?q=Anarhynchus%20peronii&amp;tbm=isch" TargetMode="External"/><Relationship Id="rId332" Type="http://schemas.openxmlformats.org/officeDocument/2006/relationships/hyperlink" Target="https://www.google.com/search?q=Ninox%20leventisi&amp;tbm=isch" TargetMode="External"/><Relationship Id="rId374" Type="http://schemas.openxmlformats.org/officeDocument/2006/relationships/hyperlink" Target="https://www.google.com/search?q=Alcedo%20atthis&amp;tbm=isch" TargetMode="External"/><Relationship Id="rId581" Type="http://schemas.openxmlformats.org/officeDocument/2006/relationships/hyperlink" Target="https://www.google.com/search?q=Ptilocichla%20falcata&amp;tbm=isch" TargetMode="External"/><Relationship Id="rId71" Type="http://schemas.openxmlformats.org/officeDocument/2006/relationships/hyperlink" Target="https://www.google.com/search?q=Dasylophus%20superciliosus&amp;tbm=isch" TargetMode="External"/><Relationship Id="rId234" Type="http://schemas.openxmlformats.org/officeDocument/2006/relationships/hyperlink" Target="https://www.google.com/search?q=Chroicocephalus%20ridibundus&amp;tbm=isch" TargetMode="External"/><Relationship Id="rId637" Type="http://schemas.openxmlformats.org/officeDocument/2006/relationships/hyperlink" Target="https://www.google.com/search?q=Cyornis%20ocularis&amp;tbm=isch" TargetMode="External"/><Relationship Id="rId679" Type="http://schemas.openxmlformats.org/officeDocument/2006/relationships/hyperlink" Target="https://www.google.com/search?q=Dicaeum%20trigonostigma&amp;tbm=isch" TargetMode="External"/><Relationship Id="rId2" Type="http://schemas.openxmlformats.org/officeDocument/2006/relationships/hyperlink" Target="https://www.google.com/search?q=Dendrocygna%20arcuata&amp;tbm=isch" TargetMode="External"/><Relationship Id="rId29" Type="http://schemas.openxmlformats.org/officeDocument/2006/relationships/hyperlink" Target="https://www.google.com/search?q=Aythya%20fuligula&amp;tbm=isch" TargetMode="External"/><Relationship Id="rId276" Type="http://schemas.openxmlformats.org/officeDocument/2006/relationships/hyperlink" Target="https://www.google.com/search?q=Ixobrychus%20flavicollis&amp;tbm=isch" TargetMode="External"/><Relationship Id="rId441" Type="http://schemas.openxmlformats.org/officeDocument/2006/relationships/hyperlink" Target="https://www.google.com/search?q=Lalage%20nigra&amp;tbm=isch" TargetMode="External"/><Relationship Id="rId483" Type="http://schemas.openxmlformats.org/officeDocument/2006/relationships/hyperlink" Target="https://www.google.com/search?q=Pardaliparus%20elegans&amp;tbm=isch" TargetMode="External"/><Relationship Id="rId539" Type="http://schemas.openxmlformats.org/officeDocument/2006/relationships/hyperlink" Target="https://www.google.com/search?q=Helopsaltes%20ochotensis&amp;tbm=isch" TargetMode="External"/><Relationship Id="rId690" Type="http://schemas.openxmlformats.org/officeDocument/2006/relationships/hyperlink" Target="https://www.google.com/search?q=Aethopyga%20boltoni&amp;tbm=isch" TargetMode="External"/><Relationship Id="rId704" Type="http://schemas.openxmlformats.org/officeDocument/2006/relationships/hyperlink" Target="https://www.google.com/search?q=Padda%20oryzivora&amp;tbm=isch" TargetMode="External"/><Relationship Id="rId40" Type="http://schemas.openxmlformats.org/officeDocument/2006/relationships/hyperlink" Target="https://www.google.com/search?q=Caprimulgus%20jotaka&amp;tbm=isch" TargetMode="External"/><Relationship Id="rId136" Type="http://schemas.openxmlformats.org/officeDocument/2006/relationships/hyperlink" Target="https://www.google.com/search?q=Rallina%20eurizonoides&amp;tbm=isch" TargetMode="External"/><Relationship Id="rId178" Type="http://schemas.openxmlformats.org/officeDocument/2006/relationships/hyperlink" Target="https://www.google.com/search?q=Limosa%20limosa&amp;tbm=isch" TargetMode="External"/><Relationship Id="rId301" Type="http://schemas.openxmlformats.org/officeDocument/2006/relationships/hyperlink" Target="https://www.google.com/search?q=Pernis%20ptilorhynchus&amp;tbm=isch" TargetMode="External"/><Relationship Id="rId343" Type="http://schemas.openxmlformats.org/officeDocument/2006/relationships/hyperlink" Target="https://www.google.com/search?q=Otus%20mantananensis&amp;tbm=isch" TargetMode="External"/><Relationship Id="rId550" Type="http://schemas.openxmlformats.org/officeDocument/2006/relationships/hyperlink" Target="https://www.google.com/search?q=Orthotomus%20chloronotus&amp;tbm=isch" TargetMode="External"/><Relationship Id="rId82" Type="http://schemas.openxmlformats.org/officeDocument/2006/relationships/hyperlink" Target="https://www.google.com/search?q=Surniculus%20velutinus&amp;tbm=isch" TargetMode="External"/><Relationship Id="rId203" Type="http://schemas.openxmlformats.org/officeDocument/2006/relationships/hyperlink" Target="https://www.google.com/search?q=Calidris%20pugnax&amp;tbm=isch" TargetMode="External"/><Relationship Id="rId385" Type="http://schemas.openxmlformats.org/officeDocument/2006/relationships/hyperlink" Target="https://www.google.com/search?q=Yungipicus%20maculatus&amp;tbm=isch" TargetMode="External"/><Relationship Id="rId592" Type="http://schemas.openxmlformats.org/officeDocument/2006/relationships/hyperlink" Target="https://www.google.com/search?q=Acridotheres%20tristis&amp;tbm=isch" TargetMode="External"/><Relationship Id="rId606" Type="http://schemas.openxmlformats.org/officeDocument/2006/relationships/hyperlink" Target="https://www.google.com/search?q=Geokichla%20sibirica&amp;tbm=isch" TargetMode="External"/><Relationship Id="rId648" Type="http://schemas.openxmlformats.org/officeDocument/2006/relationships/hyperlink" Target="https://www.google.com/search?q=Ficedula%20narcissina&amp;tbm=isch" TargetMode="External"/><Relationship Id="rId245" Type="http://schemas.openxmlformats.org/officeDocument/2006/relationships/hyperlink" Target="https://www.google.com/search?q=Phaethon%20rubricauda&amp;tbm=isch" TargetMode="External"/><Relationship Id="rId287" Type="http://schemas.openxmlformats.org/officeDocument/2006/relationships/hyperlink" Target="https://www.google.com/search?q=Butorides%20striata&amp;tbm=isch" TargetMode="External"/><Relationship Id="rId410" Type="http://schemas.openxmlformats.org/officeDocument/2006/relationships/hyperlink" Target="https://www.google.com/search?q=Prioniturus%20luconensis&amp;tbm=isch" TargetMode="External"/><Relationship Id="rId452" Type="http://schemas.openxmlformats.org/officeDocument/2006/relationships/hyperlink" Target="https://www.google.com/search?q=Dicrurus%20annectens&amp;tbm=isch" TargetMode="External"/><Relationship Id="rId494" Type="http://schemas.openxmlformats.org/officeDocument/2006/relationships/hyperlink" Target="https://www.google.com/search?q=Hypsipetes%20guimarasensis&amp;tbm=isch" TargetMode="External"/><Relationship Id="rId508" Type="http://schemas.openxmlformats.org/officeDocument/2006/relationships/hyperlink" Target="https://www.google.com/search?q=Hirundo%20tahitica&amp;tbm=isch" TargetMode="External"/><Relationship Id="rId715" Type="http://schemas.openxmlformats.org/officeDocument/2006/relationships/hyperlink" Target="https://www.google.com/search?q=Motacilla%20citreola&amp;tbm=isch" TargetMode="External"/><Relationship Id="rId105" Type="http://schemas.openxmlformats.org/officeDocument/2006/relationships/hyperlink" Target="https://www.google.com/search?q=Phapitreron%20amethystinus&amp;tbm=isch" TargetMode="External"/><Relationship Id="rId147" Type="http://schemas.openxmlformats.org/officeDocument/2006/relationships/hyperlink" Target="https://www.google.com/search?q=Turnix%20suscitator&amp;tbm=isch" TargetMode="External"/><Relationship Id="rId312" Type="http://schemas.openxmlformats.org/officeDocument/2006/relationships/hyperlink" Target="https://www.google.com/search?q=Accipiter%20trivirgatus&amp;tbm=isch" TargetMode="External"/><Relationship Id="rId354" Type="http://schemas.openxmlformats.org/officeDocument/2006/relationships/hyperlink" Target="https://www.google.com/search?q=Anthracoceros%20marchei&amp;tbm=isch" TargetMode="External"/><Relationship Id="rId51" Type="http://schemas.openxmlformats.org/officeDocument/2006/relationships/hyperlink" Target="https://www.google.com/search?q=Aerodramus%20mearnsi&amp;tbm=isch" TargetMode="External"/><Relationship Id="rId93" Type="http://schemas.openxmlformats.org/officeDocument/2006/relationships/hyperlink" Target="https://www.google.com/search?q=Streptopelia%20tranquebarica&amp;tbm=isch" TargetMode="External"/><Relationship Id="rId189" Type="http://schemas.openxmlformats.org/officeDocument/2006/relationships/hyperlink" Target="https://www.google.com/search?q=Phalaropus%20lobatus&amp;tbm=isch" TargetMode="External"/><Relationship Id="rId396" Type="http://schemas.openxmlformats.org/officeDocument/2006/relationships/hyperlink" Target="https://www.google.com/search?q=Microhierax%20erythrogenys&amp;tbm=isch" TargetMode="External"/><Relationship Id="rId561" Type="http://schemas.openxmlformats.org/officeDocument/2006/relationships/hyperlink" Target="https://www.google.com/search?q=Sterrhoptilus%20capitalis&amp;tbm=isch" TargetMode="External"/><Relationship Id="rId617" Type="http://schemas.openxmlformats.org/officeDocument/2006/relationships/hyperlink" Target="https://www.google.com/search?q=Turdus%20eunomus&amp;tbm=isch" TargetMode="External"/><Relationship Id="rId659" Type="http://schemas.openxmlformats.org/officeDocument/2006/relationships/hyperlink" Target="https://www.google.com/search?q=Phoenicurus%20bicolor&amp;tbm=isch" TargetMode="External"/><Relationship Id="rId214" Type="http://schemas.openxmlformats.org/officeDocument/2006/relationships/hyperlink" Target="https://www.google.com/search?q=Glareola%20maldivarum&amp;tbm=isch" TargetMode="External"/><Relationship Id="rId256" Type="http://schemas.openxmlformats.org/officeDocument/2006/relationships/hyperlink" Target="https://www.google.com/search?q=Ardenna%20pacifica&amp;tbm=isch" TargetMode="External"/><Relationship Id="rId298" Type="http://schemas.openxmlformats.org/officeDocument/2006/relationships/hyperlink" Target="https://www.google.com/search?q=Pelecanus%20conspicillatus&amp;tbm=isch" TargetMode="External"/><Relationship Id="rId421" Type="http://schemas.openxmlformats.org/officeDocument/2006/relationships/hyperlink" Target="https://www.google.com/search?q=Sarcophanops%20samarensis&amp;tbm=isch" TargetMode="External"/><Relationship Id="rId463" Type="http://schemas.openxmlformats.org/officeDocument/2006/relationships/hyperlink" Target="https://www.google.com/search?q=Rhipidura%20sauli&amp;tbm=isch" TargetMode="External"/><Relationship Id="rId519" Type="http://schemas.openxmlformats.org/officeDocument/2006/relationships/hyperlink" Target="https://www.google.com/search?q=Phylloscopus%20inornatus&amp;tbm=isch" TargetMode="External"/><Relationship Id="rId670" Type="http://schemas.openxmlformats.org/officeDocument/2006/relationships/hyperlink" Target="https://www.google.com/search?q=Dicaeum%20proprium&amp;tbm=isch" TargetMode="External"/><Relationship Id="rId116" Type="http://schemas.openxmlformats.org/officeDocument/2006/relationships/hyperlink" Target="https://www.google.com/search?q=Ptilinopus%20superbus&amp;tbm=isch" TargetMode="External"/><Relationship Id="rId158" Type="http://schemas.openxmlformats.org/officeDocument/2006/relationships/hyperlink" Target="https://www.google.com/search?q=Charadrius%20hiaticula&amp;tbm=isch" TargetMode="External"/><Relationship Id="rId323" Type="http://schemas.openxmlformats.org/officeDocument/2006/relationships/hyperlink" Target="https://www.google.com/search?q=Icthyophaga%20ichthyaetus&amp;tbm=isch" TargetMode="External"/><Relationship Id="rId530" Type="http://schemas.openxmlformats.org/officeDocument/2006/relationships/hyperlink" Target="https://www.google.com/search?q=Acrocephalus%20orientalis&amp;tbm=isch" TargetMode="External"/><Relationship Id="rId726" Type="http://schemas.openxmlformats.org/officeDocument/2006/relationships/hyperlink" Target="https://www.google.com/search?q=Eophona%20migratoria&amp;tbm=isch" TargetMode="External"/><Relationship Id="rId20" Type="http://schemas.openxmlformats.org/officeDocument/2006/relationships/hyperlink" Target="https://www.google.com/search?q=Mareca%20penelope&amp;tbm=isch" TargetMode="External"/><Relationship Id="rId62" Type="http://schemas.openxmlformats.org/officeDocument/2006/relationships/hyperlink" Target="https://www.google.com/search?q=Apus%20pacificus&amp;tbm=isch" TargetMode="External"/><Relationship Id="rId365" Type="http://schemas.openxmlformats.org/officeDocument/2006/relationships/hyperlink" Target="https://www.google.com/search?q=Actenoides%20hombroni&amp;tbm=isch" TargetMode="External"/><Relationship Id="rId572" Type="http://schemas.openxmlformats.org/officeDocument/2006/relationships/hyperlink" Target="https://www.google.com/search?q=Zosterops%20japonicus&amp;tbm=isch" TargetMode="External"/><Relationship Id="rId628" Type="http://schemas.openxmlformats.org/officeDocument/2006/relationships/hyperlink" Target="https://www.google.com/search?q=Muscicapa%20dauurica&amp;tbm=isch" TargetMode="External"/><Relationship Id="rId190" Type="http://schemas.openxmlformats.org/officeDocument/2006/relationships/hyperlink" Target="https://www.google.com/search?q=Xenus%20cinereus&amp;tbm=isch" TargetMode="External"/><Relationship Id="rId204" Type="http://schemas.openxmlformats.org/officeDocument/2006/relationships/hyperlink" Target="https://www.google.com/search?q=Calidris%20falcinellus&amp;tbm=isch" TargetMode="External"/><Relationship Id="rId225" Type="http://schemas.openxmlformats.org/officeDocument/2006/relationships/hyperlink" Target="https://www.google.com/search?q=Chlidonias%20leucopterus&amp;tbm=isch" TargetMode="External"/><Relationship Id="rId246" Type="http://schemas.openxmlformats.org/officeDocument/2006/relationships/hyperlink" Target="https://www.google.com/search?q=Phaethon%20lepturus&amp;tbm=isch" TargetMode="External"/><Relationship Id="rId267" Type="http://schemas.openxmlformats.org/officeDocument/2006/relationships/hyperlink" Target="https://www.google.com/search?q=Sula%20dactylatra&amp;tbm=isch" TargetMode="External"/><Relationship Id="rId288" Type="http://schemas.openxmlformats.org/officeDocument/2006/relationships/hyperlink" Target="https://www.google.com/search?q=Ardeola%20bacchus&amp;tbm=isch" TargetMode="External"/><Relationship Id="rId411" Type="http://schemas.openxmlformats.org/officeDocument/2006/relationships/hyperlink" Target="https://www.google.com/search?q=Prioniturus%20discurus&amp;tbm=isch" TargetMode="External"/><Relationship Id="rId432" Type="http://schemas.openxmlformats.org/officeDocument/2006/relationships/hyperlink" Target="https://www.google.com/search?q=Pericrocotus%20igneus&amp;tbm=isch" TargetMode="External"/><Relationship Id="rId453" Type="http://schemas.openxmlformats.org/officeDocument/2006/relationships/hyperlink" Target="https://www.google.com/search?q=Dicrurus%20hottentottus&amp;tbm=isch" TargetMode="External"/><Relationship Id="rId474" Type="http://schemas.openxmlformats.org/officeDocument/2006/relationships/hyperlink" Target="https://www.google.com/search?q=Lanius%20tigrinus&amp;tbm=isch" TargetMode="External"/><Relationship Id="rId509" Type="http://schemas.openxmlformats.org/officeDocument/2006/relationships/hyperlink" Target="https://www.google.com/search?q=Hirundo%20rustica&amp;tbm=isch" TargetMode="External"/><Relationship Id="rId660" Type="http://schemas.openxmlformats.org/officeDocument/2006/relationships/hyperlink" Target="https://www.google.com/search?q=Phoenicurus%20auroreus&amp;tbm=isch" TargetMode="External"/><Relationship Id="rId106" Type="http://schemas.openxmlformats.org/officeDocument/2006/relationships/hyperlink" Target="https://www.google.com/search?q=Phapitreron%20cinereiceps&amp;tbm=isch" TargetMode="External"/><Relationship Id="rId127" Type="http://schemas.openxmlformats.org/officeDocument/2006/relationships/hyperlink" Target="https://www.google.com/search?q=Aptenorallus%20calayanensis&amp;tbm=isch" TargetMode="External"/><Relationship Id="rId313" Type="http://schemas.openxmlformats.org/officeDocument/2006/relationships/hyperlink" Target="https://www.google.com/search?q=Accipiter%20badius&amp;tbm=isch" TargetMode="External"/><Relationship Id="rId495" Type="http://schemas.openxmlformats.org/officeDocument/2006/relationships/hyperlink" Target="https://www.google.com/search?q=Hypsipetes%20everetti&amp;tbm=isch" TargetMode="External"/><Relationship Id="rId681" Type="http://schemas.openxmlformats.org/officeDocument/2006/relationships/hyperlink" Target="https://www.google.com/search?q=Dicaeum%20pygmaeum&amp;tbm=isch" TargetMode="External"/><Relationship Id="rId716" Type="http://schemas.openxmlformats.org/officeDocument/2006/relationships/hyperlink" Target="https://www.google.com/search?q=Motacilla%20cinerea&amp;tbm=isch" TargetMode="External"/><Relationship Id="rId737" Type="http://schemas.openxmlformats.org/officeDocument/2006/relationships/hyperlink" Target="https://www.google.com/search?q=Emberiza%20rustica&amp;tbm=isch" TargetMode="External"/><Relationship Id="rId10" Type="http://schemas.openxmlformats.org/officeDocument/2006/relationships/hyperlink" Target="https://www.google.com/search?q=Cygnus%20columbianus&amp;tbm=isch" TargetMode="External"/><Relationship Id="rId31" Type="http://schemas.openxmlformats.org/officeDocument/2006/relationships/hyperlink" Target="https://www.google.com/search?q=Mergus%20squamatus&amp;tbm=isch" TargetMode="External"/><Relationship Id="rId52" Type="http://schemas.openxmlformats.org/officeDocument/2006/relationships/hyperlink" Target="https://www.google.com/search?q=Aerodramus%20whiteheadi&amp;tbm=isch" TargetMode="External"/><Relationship Id="rId73" Type="http://schemas.openxmlformats.org/officeDocument/2006/relationships/hyperlink" Target="https://www.google.com/search?q=Clamator%20coromandus&amp;tbm=isch" TargetMode="External"/><Relationship Id="rId94" Type="http://schemas.openxmlformats.org/officeDocument/2006/relationships/hyperlink" Target="https://www.google.com/search?q=Spilopelia%20chinensis&amp;tbm=isch" TargetMode="External"/><Relationship Id="rId148" Type="http://schemas.openxmlformats.org/officeDocument/2006/relationships/hyperlink" Target="https://www.google.com/search?q=Turnix%20ocellatus&amp;tbm=isch" TargetMode="External"/><Relationship Id="rId169" Type="http://schemas.openxmlformats.org/officeDocument/2006/relationships/hyperlink" Target="https://www.google.com/search?q=Rostratula%20benghalensis&amp;tbm=isch" TargetMode="External"/><Relationship Id="rId334" Type="http://schemas.openxmlformats.org/officeDocument/2006/relationships/hyperlink" Target="https://www.google.com/search?q=Ninox%20rumseyi&amp;tbm=isch" TargetMode="External"/><Relationship Id="rId355" Type="http://schemas.openxmlformats.org/officeDocument/2006/relationships/hyperlink" Target="https://www.google.com/search?q=Anthracoceros%20montani&amp;tbm=isch" TargetMode="External"/><Relationship Id="rId376" Type="http://schemas.openxmlformats.org/officeDocument/2006/relationships/hyperlink" Target="https://www.google.com/search?q=Ceyx%20melanurus&amp;tbm=isch" TargetMode="External"/><Relationship Id="rId397" Type="http://schemas.openxmlformats.org/officeDocument/2006/relationships/hyperlink" Target="https://www.google.com/search?q=Falco%20tinnunculus&amp;tbm=isch" TargetMode="External"/><Relationship Id="rId520" Type="http://schemas.openxmlformats.org/officeDocument/2006/relationships/hyperlink" Target="https://www.google.com/search?q=Phylloscopus%20fuscatus&amp;tbm=isch" TargetMode="External"/><Relationship Id="rId541" Type="http://schemas.openxmlformats.org/officeDocument/2006/relationships/hyperlink" Target="https://www.google.com/search?q=Locustella%20caudata&amp;tbm=isch" TargetMode="External"/><Relationship Id="rId562" Type="http://schemas.openxmlformats.org/officeDocument/2006/relationships/hyperlink" Target="https://www.google.com/search?q=Sterrhoptilus%20dennistouni&amp;tbm=isch" TargetMode="External"/><Relationship Id="rId583" Type="http://schemas.openxmlformats.org/officeDocument/2006/relationships/hyperlink" Target="https://www.google.com/search?q=Irena%20cyanogastra&amp;tbm=isch" TargetMode="External"/><Relationship Id="rId618" Type="http://schemas.openxmlformats.org/officeDocument/2006/relationships/hyperlink" Target="https://www.google.com/search?q=Turdus%20naumanni&amp;tbm=isch" TargetMode="External"/><Relationship Id="rId639" Type="http://schemas.openxmlformats.org/officeDocument/2006/relationships/hyperlink" Target="https://www.google.com/search?q=Luscinia%20svecica&amp;tbm=isch" TargetMode="External"/><Relationship Id="rId4" Type="http://schemas.openxmlformats.org/officeDocument/2006/relationships/hyperlink" Target="https://www.google.com/search?q=Anser%20indicus&amp;tbm=isch" TargetMode="External"/><Relationship Id="rId180" Type="http://schemas.openxmlformats.org/officeDocument/2006/relationships/hyperlink" Target="https://www.google.com/search?q=Limnodromus%20scolopaceus&amp;tbm=isch" TargetMode="External"/><Relationship Id="rId215" Type="http://schemas.openxmlformats.org/officeDocument/2006/relationships/hyperlink" Target="https://www.google.com/search?q=Gygis%20alba&amp;tbm=isch" TargetMode="External"/><Relationship Id="rId236" Type="http://schemas.openxmlformats.org/officeDocument/2006/relationships/hyperlink" Target="https://www.google.com/search?q=Leucophaeus%20pipixcan&amp;tbm=isch" TargetMode="External"/><Relationship Id="rId257" Type="http://schemas.openxmlformats.org/officeDocument/2006/relationships/hyperlink" Target="https://www.google.com/search?q=Ardenna%20tenuirostris&amp;tbm=isch" TargetMode="External"/><Relationship Id="rId278" Type="http://schemas.openxmlformats.org/officeDocument/2006/relationships/hyperlink" Target="https://www.google.com/search?q=Ixobrychus%20eurhythmus&amp;tbm=isch" TargetMode="External"/><Relationship Id="rId401" Type="http://schemas.openxmlformats.org/officeDocument/2006/relationships/hyperlink" Target="https://www.google.com/search?q=Falco%20subbuteo&amp;tbm=isch" TargetMode="External"/><Relationship Id="rId422" Type="http://schemas.openxmlformats.org/officeDocument/2006/relationships/hyperlink" Target="https://www.google.com/search?q=Sarcophanops%20steerii&amp;tbm=isch" TargetMode="External"/><Relationship Id="rId443" Type="http://schemas.openxmlformats.org/officeDocument/2006/relationships/hyperlink" Target="https://www.google.com/search?q=Pachycephala%20cinerea&amp;tbm=isch" TargetMode="External"/><Relationship Id="rId464" Type="http://schemas.openxmlformats.org/officeDocument/2006/relationships/hyperlink" Target="https://www.google.com/search?q=Rhipidura%20albiventris&amp;tbm=isch" TargetMode="External"/><Relationship Id="rId650" Type="http://schemas.openxmlformats.org/officeDocument/2006/relationships/hyperlink" Target="https://www.google.com/search?q=Ficedula%20westermanni&amp;tbm=isch" TargetMode="External"/><Relationship Id="rId303" Type="http://schemas.openxmlformats.org/officeDocument/2006/relationships/hyperlink" Target="https://www.google.com/search?q=Aviceda%20jerdoni&amp;tbm=isch" TargetMode="External"/><Relationship Id="rId485" Type="http://schemas.openxmlformats.org/officeDocument/2006/relationships/hyperlink" Target="https://www.google.com/search?q=Sittiparus%20semilarvatus&amp;tbm=isch" TargetMode="External"/><Relationship Id="rId692" Type="http://schemas.openxmlformats.org/officeDocument/2006/relationships/hyperlink" Target="https://www.google.com/search?q=Aethopyga%20flagrans&amp;tbm=isch" TargetMode="External"/><Relationship Id="rId706" Type="http://schemas.openxmlformats.org/officeDocument/2006/relationships/hyperlink" Target="https://www.google.com/search?q=Lonchura%20fuscans&amp;tbm=isch" TargetMode="External"/><Relationship Id="rId42" Type="http://schemas.openxmlformats.org/officeDocument/2006/relationships/hyperlink" Target="https://www.google.com/search?q=Caprimulgus%20manillensis&amp;tbm=isch" TargetMode="External"/><Relationship Id="rId84" Type="http://schemas.openxmlformats.org/officeDocument/2006/relationships/hyperlink" Target="https://www.google.com/search?q=Hierococcyx%20sparverioides&amp;tbm=isch" TargetMode="External"/><Relationship Id="rId138" Type="http://schemas.openxmlformats.org/officeDocument/2006/relationships/hyperlink" Target="https://www.google.com/search?q=Poliolimnas%20cinereus&amp;tbm=isch" TargetMode="External"/><Relationship Id="rId345" Type="http://schemas.openxmlformats.org/officeDocument/2006/relationships/hyperlink" Target="https://www.google.com/search?q=Otus%20nigrorum&amp;tbm=isch" TargetMode="External"/><Relationship Id="rId387" Type="http://schemas.openxmlformats.org/officeDocument/2006/relationships/hyperlink" Target="https://www.google.com/search?q=Dryocopus%20javensis&amp;tbm=isch" TargetMode="External"/><Relationship Id="rId510" Type="http://schemas.openxmlformats.org/officeDocument/2006/relationships/hyperlink" Target="https://www.google.com/search?q=Delichon%20lagopodum&amp;tbm=isch" TargetMode="External"/><Relationship Id="rId552" Type="http://schemas.openxmlformats.org/officeDocument/2006/relationships/hyperlink" Target="https://www.google.com/search?q=Orthotomus%20derbianus&amp;tbm=isch" TargetMode="External"/><Relationship Id="rId594" Type="http://schemas.openxmlformats.org/officeDocument/2006/relationships/hyperlink" Target="https://www.google.com/search?q=Spodiopsar%20cineraceus&amp;tbm=isch" TargetMode="External"/><Relationship Id="rId608" Type="http://schemas.openxmlformats.org/officeDocument/2006/relationships/hyperlink" Target="https://www.google.com/search?q=Geokichla%20cinerea&amp;tbm=isch" TargetMode="External"/><Relationship Id="rId191" Type="http://schemas.openxmlformats.org/officeDocument/2006/relationships/hyperlink" Target="https://www.google.com/search?q=Actitis%20hypoleucos&amp;tbm=isch" TargetMode="External"/><Relationship Id="rId205" Type="http://schemas.openxmlformats.org/officeDocument/2006/relationships/hyperlink" Target="https://www.google.com/search?q=Calidris%20acuminata&amp;tbm=isch" TargetMode="External"/><Relationship Id="rId247" Type="http://schemas.openxmlformats.org/officeDocument/2006/relationships/hyperlink" Target="https://www.google.com/search?q=Phoebastria%20immutabilis&amp;tbm=isch" TargetMode="External"/><Relationship Id="rId412" Type="http://schemas.openxmlformats.org/officeDocument/2006/relationships/hyperlink" Target="https://www.google.com/search?q=Tanygnathus%20megalorynchos&amp;tbm=isch" TargetMode="External"/><Relationship Id="rId107" Type="http://schemas.openxmlformats.org/officeDocument/2006/relationships/hyperlink" Target="https://www.google.com/search?q=Phapitreron%20brunneiceps&amp;tbm=isch" TargetMode="External"/><Relationship Id="rId289" Type="http://schemas.openxmlformats.org/officeDocument/2006/relationships/hyperlink" Target="https://www.google.com/search?q=Ardeola%20speciosa&amp;tbm=isch" TargetMode="External"/><Relationship Id="rId454" Type="http://schemas.openxmlformats.org/officeDocument/2006/relationships/hyperlink" Target="https://www.google.com/search?q=Dicrurus%20menagei&amp;tbm=isch" TargetMode="External"/><Relationship Id="rId496" Type="http://schemas.openxmlformats.org/officeDocument/2006/relationships/hyperlink" Target="https://www.google.com/search?q=Hypsipetes%20catarmanensis&amp;tbm=isch" TargetMode="External"/><Relationship Id="rId661" Type="http://schemas.openxmlformats.org/officeDocument/2006/relationships/hyperlink" Target="https://www.google.com/search?q=Monticola%20solitarius&amp;tbm=isch" TargetMode="External"/><Relationship Id="rId717" Type="http://schemas.openxmlformats.org/officeDocument/2006/relationships/hyperlink" Target="https://www.google.com/search?q=Motacilla%20alba&amp;tbm=isch" TargetMode="External"/><Relationship Id="rId11" Type="http://schemas.openxmlformats.org/officeDocument/2006/relationships/hyperlink" Target="https://www.google.com/search?q=Tadorna%20tadorna&amp;tbm=isch" TargetMode="External"/><Relationship Id="rId53" Type="http://schemas.openxmlformats.org/officeDocument/2006/relationships/hyperlink" Target="https://www.google.com/search?q=Aerodramus%20salangana&amp;tbm=isch" TargetMode="External"/><Relationship Id="rId149" Type="http://schemas.openxmlformats.org/officeDocument/2006/relationships/hyperlink" Target="https://www.google.com/search?q=Turnix%20sylvaticus&amp;tbm=isch" TargetMode="External"/><Relationship Id="rId314" Type="http://schemas.openxmlformats.org/officeDocument/2006/relationships/hyperlink" Target="https://www.google.com/search?q=Accipiter%20soloensis&amp;tbm=isch" TargetMode="External"/><Relationship Id="rId356" Type="http://schemas.openxmlformats.org/officeDocument/2006/relationships/hyperlink" Target="https://www.google.com/search?q=Rhabdotorrhinus%20waldeni&amp;tbm=isch" TargetMode="External"/><Relationship Id="rId398" Type="http://schemas.openxmlformats.org/officeDocument/2006/relationships/hyperlink" Target="https://www.google.com/search?q=Falco%20moluccensis&amp;tbm=isch" TargetMode="External"/><Relationship Id="rId521" Type="http://schemas.openxmlformats.org/officeDocument/2006/relationships/hyperlink" Target="https://www.google.com/search?q=Phylloscopus%20trochilus&amp;tbm=isch" TargetMode="External"/><Relationship Id="rId563" Type="http://schemas.openxmlformats.org/officeDocument/2006/relationships/hyperlink" Target="https://www.google.com/search?q=Sterrhoptilus%20affinis&amp;tbm=isch" TargetMode="External"/><Relationship Id="rId619" Type="http://schemas.openxmlformats.org/officeDocument/2006/relationships/hyperlink" Target="https://www.google.com/search?q=Copsychus%20mindanensis&amp;tbm=isch" TargetMode="External"/><Relationship Id="rId95" Type="http://schemas.openxmlformats.org/officeDocument/2006/relationships/hyperlink" Target="https://www.google.com/search?q=Macropygia%20tenuirostris&amp;tbm=isch" TargetMode="External"/><Relationship Id="rId160" Type="http://schemas.openxmlformats.org/officeDocument/2006/relationships/hyperlink" Target="https://www.google.com/search?q=Charadrius%20placidus&amp;tbm=isch" TargetMode="External"/><Relationship Id="rId216" Type="http://schemas.openxmlformats.org/officeDocument/2006/relationships/hyperlink" Target="https://www.google.com/search?q=Anous%20stolidus&amp;tbm=isch" TargetMode="External"/><Relationship Id="rId423" Type="http://schemas.openxmlformats.org/officeDocument/2006/relationships/hyperlink" Target="https://www.google.com/search?q=Erythropitta%20kochi&amp;tbm=isch" TargetMode="External"/><Relationship Id="rId258" Type="http://schemas.openxmlformats.org/officeDocument/2006/relationships/hyperlink" Target="https://www.google.com/search?q=Bulweria%20bulwerii&amp;tbm=isch" TargetMode="External"/><Relationship Id="rId465" Type="http://schemas.openxmlformats.org/officeDocument/2006/relationships/hyperlink" Target="https://www.google.com/search?q=Rhipidura%20nigritorquis&amp;tbm=isch" TargetMode="External"/><Relationship Id="rId630" Type="http://schemas.openxmlformats.org/officeDocument/2006/relationships/hyperlink" Target="https://www.google.com/search?q=Cyanoptila%20cyanomelana&amp;tbm=isch" TargetMode="External"/><Relationship Id="rId672" Type="http://schemas.openxmlformats.org/officeDocument/2006/relationships/hyperlink" Target="https://www.google.com/search?q=Dicaeum%20anthonyi&amp;tbm=isch" TargetMode="External"/><Relationship Id="rId728" Type="http://schemas.openxmlformats.org/officeDocument/2006/relationships/hyperlink" Target="https://www.google.com/search?q=Pyrrhula%20leucogenis&amp;tbm=isch" TargetMode="External"/><Relationship Id="rId22" Type="http://schemas.openxmlformats.org/officeDocument/2006/relationships/hyperlink" Target="https://www.google.com/search?q=Anas%20zonorhyncha&amp;tbm=isch" TargetMode="External"/><Relationship Id="rId64" Type="http://schemas.openxmlformats.org/officeDocument/2006/relationships/hyperlink" Target="https://www.google.com/search?q=Centropus%20unirufus&amp;tbm=isch" TargetMode="External"/><Relationship Id="rId118" Type="http://schemas.openxmlformats.org/officeDocument/2006/relationships/hyperlink" Target="https://www.google.com/search?q=Ptilinopus%20arcanus&amp;tbm=isch" TargetMode="External"/><Relationship Id="rId325" Type="http://schemas.openxmlformats.org/officeDocument/2006/relationships/hyperlink" Target="https://www.google.com/search?q=Buteo%20japonicus&amp;tbm=isch" TargetMode="External"/><Relationship Id="rId367" Type="http://schemas.openxmlformats.org/officeDocument/2006/relationships/hyperlink" Target="https://www.google.com/search?q=Halcyon%20coromanda&amp;tbm=isch" TargetMode="External"/><Relationship Id="rId532" Type="http://schemas.openxmlformats.org/officeDocument/2006/relationships/hyperlink" Target="https://www.google.com/search?q=Acrocephalus%20bistrigiceps&amp;tbm=isch" TargetMode="External"/><Relationship Id="rId574" Type="http://schemas.openxmlformats.org/officeDocument/2006/relationships/hyperlink" Target="https://www.google.com/search?q=Zosterops%20everetti&amp;tbm=isch" TargetMode="External"/><Relationship Id="rId171" Type="http://schemas.openxmlformats.org/officeDocument/2006/relationships/hyperlink" Target="https://www.google.com/search?q=Irediparra%20gallinacea&amp;tbm=isch" TargetMode="External"/><Relationship Id="rId227" Type="http://schemas.openxmlformats.org/officeDocument/2006/relationships/hyperlink" Target="https://www.google.com/search?q=Sterna%20sumatrana&amp;tbm=isch" TargetMode="External"/><Relationship Id="rId269" Type="http://schemas.openxmlformats.org/officeDocument/2006/relationships/hyperlink" Target="https://www.google.com/search?q=Phalacrocorax%20sulcirostris&amp;tbm=isch" TargetMode="External"/><Relationship Id="rId434" Type="http://schemas.openxmlformats.org/officeDocument/2006/relationships/hyperlink" Target="https://www.google.com/search?q=Pericrocotus%20divaricatus&amp;tbm=isch" TargetMode="External"/><Relationship Id="rId476" Type="http://schemas.openxmlformats.org/officeDocument/2006/relationships/hyperlink" Target="https://www.google.com/search?q=Lanius%20cristatus&amp;tbm=isch" TargetMode="External"/><Relationship Id="rId641" Type="http://schemas.openxmlformats.org/officeDocument/2006/relationships/hyperlink" Target="https://www.google.com/search?q=Vauriella%20albigularis&amp;tbm=isch" TargetMode="External"/><Relationship Id="rId683" Type="http://schemas.openxmlformats.org/officeDocument/2006/relationships/hyperlink" Target="https://www.google.com/search?q=Anthreptes%20malacensis&amp;tbm=isch" TargetMode="External"/><Relationship Id="rId739" Type="http://schemas.openxmlformats.org/officeDocument/2006/relationships/hyperlink" Target="https://www.google.com/search?q=Emberiza%20rutila&amp;tbm=isch" TargetMode="External"/><Relationship Id="rId33" Type="http://schemas.openxmlformats.org/officeDocument/2006/relationships/hyperlink" Target="https://www.google.com/search?q=Perdix%20dauurica&amp;tbm=isch" TargetMode="External"/><Relationship Id="rId129" Type="http://schemas.openxmlformats.org/officeDocument/2006/relationships/hyperlink" Target="https://www.google.com/search?q=Hypotaenidia%20philippensis&amp;tbm=isch" TargetMode="External"/><Relationship Id="rId280" Type="http://schemas.openxmlformats.org/officeDocument/2006/relationships/hyperlink" Target="https://www.google.com/search?q=Nycticorax%20nycticorax&amp;tbm=isch" TargetMode="External"/><Relationship Id="rId336" Type="http://schemas.openxmlformats.org/officeDocument/2006/relationships/hyperlink" Target="https://www.google.com/search?q=Ninox%20mindorensis&amp;tbm=isch" TargetMode="External"/><Relationship Id="rId501" Type="http://schemas.openxmlformats.org/officeDocument/2006/relationships/hyperlink" Target="https://www.google.com/search?q=Brachypodius%20melanocephalos&amp;tbm=isch" TargetMode="External"/><Relationship Id="rId543" Type="http://schemas.openxmlformats.org/officeDocument/2006/relationships/hyperlink" Target="https://www.google.com/search?q=Cincloramphus%20timoriensis&amp;tbm=isch" TargetMode="External"/><Relationship Id="rId75" Type="http://schemas.openxmlformats.org/officeDocument/2006/relationships/hyperlink" Target="https://www.google.com/search?q=Eudynamys%20scolopaceus&amp;tbm=isch" TargetMode="External"/><Relationship Id="rId140" Type="http://schemas.openxmlformats.org/officeDocument/2006/relationships/hyperlink" Target="https://www.google.com/search?q=Amaurornis%20phoenicurus&amp;tbm=isch" TargetMode="External"/><Relationship Id="rId182" Type="http://schemas.openxmlformats.org/officeDocument/2006/relationships/hyperlink" Target="https://www.google.com/search?q=Scolopax%20rusticola&amp;tbm=isch" TargetMode="External"/><Relationship Id="rId378" Type="http://schemas.openxmlformats.org/officeDocument/2006/relationships/hyperlink" Target="https://www.google.com/search?q=Ceyx%20cyanopectus&amp;tbm=isch" TargetMode="External"/><Relationship Id="rId403" Type="http://schemas.openxmlformats.org/officeDocument/2006/relationships/hyperlink" Target="https://www.google.com/search?q=Falco%20peregrinus&amp;tbm=isch" TargetMode="External"/><Relationship Id="rId585" Type="http://schemas.openxmlformats.org/officeDocument/2006/relationships/hyperlink" Target="https://www.google.com/search?q=Sitta%20oenochlamys&amp;tbm=isch" TargetMode="External"/><Relationship Id="rId6" Type="http://schemas.openxmlformats.org/officeDocument/2006/relationships/hyperlink" Target="https://www.google.com/search?q=Anser%20fabalis&amp;tbm=isch" TargetMode="External"/><Relationship Id="rId238" Type="http://schemas.openxmlformats.org/officeDocument/2006/relationships/hyperlink" Target="https://www.google.com/search?q=Larus%20canus&amp;tbm=isch" TargetMode="External"/><Relationship Id="rId445" Type="http://schemas.openxmlformats.org/officeDocument/2006/relationships/hyperlink" Target="https://www.google.com/search?q=Pachycephala%20homeyeri&amp;tbm=isch" TargetMode="External"/><Relationship Id="rId487" Type="http://schemas.openxmlformats.org/officeDocument/2006/relationships/hyperlink" Target="https://www.google.com/search?q=Alauda%20gulgula&amp;tbm=isch" TargetMode="External"/><Relationship Id="rId610" Type="http://schemas.openxmlformats.org/officeDocument/2006/relationships/hyperlink" Target="https://www.google.com/search?q=Turdus%20cardis&amp;tbm=isch" TargetMode="External"/><Relationship Id="rId652" Type="http://schemas.openxmlformats.org/officeDocument/2006/relationships/hyperlink" Target="https://www.google.com/search?q=Ficedula%20albicilla&amp;tbm=isch" TargetMode="External"/><Relationship Id="rId694" Type="http://schemas.openxmlformats.org/officeDocument/2006/relationships/hyperlink" Target="https://www.google.com/search?q=Aethopyga%20pulcherrima&amp;tbm=isch" TargetMode="External"/><Relationship Id="rId708" Type="http://schemas.openxmlformats.org/officeDocument/2006/relationships/hyperlink" Target="https://www.google.com/search?q=Lonchura%20atricapilla&amp;tbm=isch" TargetMode="External"/><Relationship Id="rId291" Type="http://schemas.openxmlformats.org/officeDocument/2006/relationships/hyperlink" Target="https://www.google.com/search?q=Ardea%20alba&amp;tbm=isch" TargetMode="External"/><Relationship Id="rId305" Type="http://schemas.openxmlformats.org/officeDocument/2006/relationships/hyperlink" Target="https://www.google.com/search?q=Spilornis%20cheela&amp;tbm=isch" TargetMode="External"/><Relationship Id="rId347" Type="http://schemas.openxmlformats.org/officeDocument/2006/relationships/hyperlink" Target="https://www.google.com/search?q=Otus%20fuliginosus&amp;tbm=isch" TargetMode="External"/><Relationship Id="rId512" Type="http://schemas.openxmlformats.org/officeDocument/2006/relationships/hyperlink" Target="https://www.google.com/search?q=Cecropis%20striolata&amp;tbm=isch" TargetMode="External"/><Relationship Id="rId44" Type="http://schemas.openxmlformats.org/officeDocument/2006/relationships/hyperlink" Target="https://www.google.com/search?q=Batrachostomus%20septimus&amp;tbm=isch" TargetMode="External"/><Relationship Id="rId86" Type="http://schemas.openxmlformats.org/officeDocument/2006/relationships/hyperlink" Target="https://www.google.com/search?q=Cuculus%20micropterus&amp;tbm=isch" TargetMode="External"/><Relationship Id="rId151" Type="http://schemas.openxmlformats.org/officeDocument/2006/relationships/hyperlink" Target="https://www.google.com/search?q=Esacus%20magnirostris&amp;tbm=isch" TargetMode="External"/><Relationship Id="rId389" Type="http://schemas.openxmlformats.org/officeDocument/2006/relationships/hyperlink" Target="https://www.google.com/search?q=Chrysocolaptes%20lucidus&amp;tbm=isch" TargetMode="External"/><Relationship Id="rId554" Type="http://schemas.openxmlformats.org/officeDocument/2006/relationships/hyperlink" Target="https://www.google.com/search?q=Orthotomus%20ruficeps&amp;tbm=isch" TargetMode="External"/><Relationship Id="rId596" Type="http://schemas.openxmlformats.org/officeDocument/2006/relationships/hyperlink" Target="https://www.google.com/search?q=Agropsar%20philippensis&amp;tbm=isch" TargetMode="External"/><Relationship Id="rId193" Type="http://schemas.openxmlformats.org/officeDocument/2006/relationships/hyperlink" Target="https://www.google.com/search?q=Tringa%20brevipes&amp;tbm=isch" TargetMode="External"/><Relationship Id="rId207" Type="http://schemas.openxmlformats.org/officeDocument/2006/relationships/hyperlink" Target="https://www.google.com/search?q=Calidris%20temminckii&amp;tbm=isch" TargetMode="External"/><Relationship Id="rId249" Type="http://schemas.openxmlformats.org/officeDocument/2006/relationships/hyperlink" Target="https://www.google.com/search?q=Hydrobates%20leucorhous&amp;tbm=isch" TargetMode="External"/><Relationship Id="rId414" Type="http://schemas.openxmlformats.org/officeDocument/2006/relationships/hyperlink" Target="https://www.google.com/search?q=Tanygnathus%20everetti&amp;tbm=isch" TargetMode="External"/><Relationship Id="rId456" Type="http://schemas.openxmlformats.org/officeDocument/2006/relationships/hyperlink" Target="https://www.google.com/search?q=Dicrurus%20balicassius&amp;tbm=isch" TargetMode="External"/><Relationship Id="rId498" Type="http://schemas.openxmlformats.org/officeDocument/2006/relationships/hyperlink" Target="https://www.google.com/search?q=Hypsipetes%20amaurotis&amp;tbm=isch" TargetMode="External"/><Relationship Id="rId621" Type="http://schemas.openxmlformats.org/officeDocument/2006/relationships/hyperlink" Target="https://www.google.com/search?q=Copsychus%20superciliaris&amp;tbm=isch" TargetMode="External"/><Relationship Id="rId663" Type="http://schemas.openxmlformats.org/officeDocument/2006/relationships/hyperlink" Target="https://www.google.com/search?q=Saxicola%20stejnegeri&amp;tbm=isch" TargetMode="External"/><Relationship Id="rId13" Type="http://schemas.openxmlformats.org/officeDocument/2006/relationships/hyperlink" Target="https://www.google.com/search?q=Aix%20galericulata&amp;tbm=isch" TargetMode="External"/><Relationship Id="rId109" Type="http://schemas.openxmlformats.org/officeDocument/2006/relationships/hyperlink" Target="https://www.google.com/search?q=Treron%20axillaris&amp;tbm=isch" TargetMode="External"/><Relationship Id="rId260" Type="http://schemas.openxmlformats.org/officeDocument/2006/relationships/hyperlink" Target="https://www.google.com/search?q=Ciconia%20nigra&amp;tbm=isch" TargetMode="External"/><Relationship Id="rId316" Type="http://schemas.openxmlformats.org/officeDocument/2006/relationships/hyperlink" Target="https://www.google.com/search?q=Accipiter%20virgatus&amp;tbm=isch" TargetMode="External"/><Relationship Id="rId523" Type="http://schemas.openxmlformats.org/officeDocument/2006/relationships/hyperlink" Target="https://www.google.com/search?q=Phylloscopus%20olivaceus&amp;tbm=isch" TargetMode="External"/><Relationship Id="rId719" Type="http://schemas.openxmlformats.org/officeDocument/2006/relationships/hyperlink" Target="https://www.google.com/search?q=Anthus%20rufulus&amp;tbm=isch" TargetMode="External"/><Relationship Id="rId55" Type="http://schemas.openxmlformats.org/officeDocument/2006/relationships/hyperlink" Target="https://www.google.com/search?q=Aerodramus%20maximus&amp;tbm=isch" TargetMode="External"/><Relationship Id="rId97" Type="http://schemas.openxmlformats.org/officeDocument/2006/relationships/hyperlink" Target="https://www.google.com/search?q=Geopelia%20striata&amp;tbm=isch" TargetMode="External"/><Relationship Id="rId120" Type="http://schemas.openxmlformats.org/officeDocument/2006/relationships/hyperlink" Target="https://www.google.com/search?q=Ducula%20mindorensis&amp;tbm=isch" TargetMode="External"/><Relationship Id="rId358" Type="http://schemas.openxmlformats.org/officeDocument/2006/relationships/hyperlink" Target="https://www.google.com/search?q=Penelopides%20manillae&amp;tbm=isch" TargetMode="External"/><Relationship Id="rId565" Type="http://schemas.openxmlformats.org/officeDocument/2006/relationships/hyperlink" Target="https://www.google.com/search?q=Zosterornis%20hypogrammicus&amp;tbm=isch" TargetMode="External"/><Relationship Id="rId730" Type="http://schemas.openxmlformats.org/officeDocument/2006/relationships/hyperlink" Target="https://www.google.com/search?q=Loxia%20curvirostra&amp;tbm=isch" TargetMode="External"/><Relationship Id="rId162" Type="http://schemas.openxmlformats.org/officeDocument/2006/relationships/hyperlink" Target="https://www.google.com/search?q=Vanellus%20cinereus&amp;tbm=isch" TargetMode="External"/><Relationship Id="rId218" Type="http://schemas.openxmlformats.org/officeDocument/2006/relationships/hyperlink" Target="https://www.google.com/search?q=Onychoprion%20aleuticus&amp;tbm=isch" TargetMode="External"/><Relationship Id="rId425" Type="http://schemas.openxmlformats.org/officeDocument/2006/relationships/hyperlink" Target="https://www.google.com/search?q=Pitta%20moluccensis&amp;tbm=isch" TargetMode="External"/><Relationship Id="rId467" Type="http://schemas.openxmlformats.org/officeDocument/2006/relationships/hyperlink" Target="https://www.google.com/search?q=Hypothymis%20azurea&amp;tbm=isch" TargetMode="External"/><Relationship Id="rId632" Type="http://schemas.openxmlformats.org/officeDocument/2006/relationships/hyperlink" Target="https://www.google.com/search?q=Eumyias%20panayensis&amp;tbm=isch" TargetMode="External"/><Relationship Id="rId271" Type="http://schemas.openxmlformats.org/officeDocument/2006/relationships/hyperlink" Target="https://www.google.com/search?q=Threskiornis%20melanocephalus&amp;tbm=isch" TargetMode="External"/><Relationship Id="rId674" Type="http://schemas.openxmlformats.org/officeDocument/2006/relationships/hyperlink" Target="https://www.google.com/search?q=Dicaeum%20bicolor&amp;tbm=isch" TargetMode="External"/><Relationship Id="rId24" Type="http://schemas.openxmlformats.org/officeDocument/2006/relationships/hyperlink" Target="https://www.google.com/search?q=Anas%20acuta&amp;tbm=isch" TargetMode="External"/><Relationship Id="rId66" Type="http://schemas.openxmlformats.org/officeDocument/2006/relationships/hyperlink" Target="https://www.google.com/search?q=Centropus%20steerii&amp;tbm=isch" TargetMode="External"/><Relationship Id="rId131" Type="http://schemas.openxmlformats.org/officeDocument/2006/relationships/hyperlink" Target="https://www.google.com/search?q=Fulica%20atra&amp;tbm=isch" TargetMode="External"/><Relationship Id="rId327" Type="http://schemas.openxmlformats.org/officeDocument/2006/relationships/hyperlink" Target="https://www.google.com/search?q=Ninox%20japonica&amp;tbm=isch" TargetMode="External"/><Relationship Id="rId369" Type="http://schemas.openxmlformats.org/officeDocument/2006/relationships/hyperlink" Target="https://www.google.com/search?q=Halcyon%20pileata&amp;tbm=isch" TargetMode="External"/><Relationship Id="rId534" Type="http://schemas.openxmlformats.org/officeDocument/2006/relationships/hyperlink" Target="https://www.google.com/search?q=Robsonius%20rabori&amp;tbm=isch" TargetMode="External"/><Relationship Id="rId576" Type="http://schemas.openxmlformats.org/officeDocument/2006/relationships/hyperlink" Target="https://www.google.com/search?q=Mixornis%20bornensis&amp;tbm=isch" TargetMode="External"/><Relationship Id="rId741" Type="http://schemas.openxmlformats.org/officeDocument/2006/relationships/hyperlink" Target="https://www.google.com/search?q=Emberiza%20sulphurata&amp;tbm=isch" TargetMode="External"/><Relationship Id="rId173" Type="http://schemas.openxmlformats.org/officeDocument/2006/relationships/hyperlink" Target="https://www.google.com/search?q=Numenius%20phaeopus&amp;tbm=isch" TargetMode="External"/><Relationship Id="rId229" Type="http://schemas.openxmlformats.org/officeDocument/2006/relationships/hyperlink" Target="https://www.google.com/search?q=Thalasseus%20bengalensis&amp;tbm=isch" TargetMode="External"/><Relationship Id="rId380" Type="http://schemas.openxmlformats.org/officeDocument/2006/relationships/hyperlink" Target="https://www.google.com/search?q=Ceyx%20flumenicola&amp;tbm=isch" TargetMode="External"/><Relationship Id="rId436" Type="http://schemas.openxmlformats.org/officeDocument/2006/relationships/hyperlink" Target="https://www.google.com/search?q=Malindangia%20mcgregori&amp;tbm=isch" TargetMode="External"/><Relationship Id="rId601" Type="http://schemas.openxmlformats.org/officeDocument/2006/relationships/hyperlink" Target="https://www.google.com/search?q=Rhabdornis%20inornatus&amp;tbm=isch" TargetMode="External"/><Relationship Id="rId643" Type="http://schemas.openxmlformats.org/officeDocument/2006/relationships/hyperlink" Target="https://www.google.com/search?q=Vauriella%20goodfellowi&amp;tbm=isch" TargetMode="External"/><Relationship Id="rId240" Type="http://schemas.openxmlformats.org/officeDocument/2006/relationships/hyperlink" Target="https://www.google.com/search?q=Larus%20fuscus&amp;tbm=isch" TargetMode="External"/><Relationship Id="rId478" Type="http://schemas.openxmlformats.org/officeDocument/2006/relationships/hyperlink" Target="https://www.google.com/search?q=Corvus%20samarensis&amp;tbm=isch" TargetMode="External"/><Relationship Id="rId685" Type="http://schemas.openxmlformats.org/officeDocument/2006/relationships/hyperlink" Target="https://www.google.com/search?q=Leptocoma%20sperata&amp;tbm=isch" TargetMode="External"/><Relationship Id="rId35" Type="http://schemas.openxmlformats.org/officeDocument/2006/relationships/hyperlink" Target="https://www.google.com/search?q=Gallus%20gallus&amp;tbm=isch" TargetMode="External"/><Relationship Id="rId77" Type="http://schemas.openxmlformats.org/officeDocument/2006/relationships/hyperlink" Target="https://www.google.com/search?q=Chrysococcyx%20xanthorhynchus&amp;tbm=isch" TargetMode="External"/><Relationship Id="rId100" Type="http://schemas.openxmlformats.org/officeDocument/2006/relationships/hyperlink" Target="https://www.google.com/search?q=Gallicolumba%20crinigera&amp;tbm=isch" TargetMode="External"/><Relationship Id="rId282" Type="http://schemas.openxmlformats.org/officeDocument/2006/relationships/hyperlink" Target="https://www.google.com/search?q=Gorsachius%20melanolophus&amp;tbm=isch" TargetMode="External"/><Relationship Id="rId338" Type="http://schemas.openxmlformats.org/officeDocument/2006/relationships/hyperlink" Target="https://www.google.com/search?q=Otus%20mirus&amp;tbm=isch" TargetMode="External"/><Relationship Id="rId503" Type="http://schemas.openxmlformats.org/officeDocument/2006/relationships/hyperlink" Target="https://www.google.com/search?q=Pycnonotus%20cinereifrons&amp;tbm=isch" TargetMode="External"/><Relationship Id="rId545" Type="http://schemas.openxmlformats.org/officeDocument/2006/relationships/hyperlink" Target="https://www.google.com/search?q=Cisticola%20juncidis&amp;tbm=isch" TargetMode="External"/><Relationship Id="rId587" Type="http://schemas.openxmlformats.org/officeDocument/2006/relationships/hyperlink" Target="https://www.google.com/search?q=Aplonis%20minor&amp;tbm=isch" TargetMode="External"/><Relationship Id="rId710" Type="http://schemas.openxmlformats.org/officeDocument/2006/relationships/hyperlink" Target="https://www.google.com/search?q=Erythrura%20viridifacies&amp;tbm=isch" TargetMode="External"/><Relationship Id="rId8" Type="http://schemas.openxmlformats.org/officeDocument/2006/relationships/hyperlink" Target="https://www.google.com/search?q=Anser%20albifrons&amp;tbm=isch" TargetMode="External"/><Relationship Id="rId142" Type="http://schemas.openxmlformats.org/officeDocument/2006/relationships/hyperlink" Target="https://www.google.com/search?q=Antigone%20antigone&amp;tbm=isch" TargetMode="External"/><Relationship Id="rId184" Type="http://schemas.openxmlformats.org/officeDocument/2006/relationships/hyperlink" Target="https://www.google.com/search?q=Gallinago%20megala&amp;tbm=isch" TargetMode="External"/><Relationship Id="rId391" Type="http://schemas.openxmlformats.org/officeDocument/2006/relationships/hyperlink" Target="https://www.google.com/search?q=Chrysocolaptes%20xanthocephalus&amp;tbm=isch" TargetMode="External"/><Relationship Id="rId405" Type="http://schemas.openxmlformats.org/officeDocument/2006/relationships/hyperlink" Target="https://www.google.com/search?q=Prioniturus%20waterstradti&amp;tbm=isch" TargetMode="External"/><Relationship Id="rId447" Type="http://schemas.openxmlformats.org/officeDocument/2006/relationships/hyperlink" Target="https://www.google.com/search?q=Oriolus%20isabellae&amp;tbm=isch" TargetMode="External"/><Relationship Id="rId612" Type="http://schemas.openxmlformats.org/officeDocument/2006/relationships/hyperlink" Target="https://www.google.com/search?q=Turdus%20obscurus&amp;tbm=isch" TargetMode="External"/><Relationship Id="rId251" Type="http://schemas.openxmlformats.org/officeDocument/2006/relationships/hyperlink" Target="https://www.google.com/search?q=Pterodroma%20sandwichensis&amp;tbm=isch" TargetMode="External"/><Relationship Id="rId489" Type="http://schemas.openxmlformats.org/officeDocument/2006/relationships/hyperlink" Target="https://www.google.com/search?q=Alophoixus%20frater&amp;tbm=isch" TargetMode="External"/><Relationship Id="rId654" Type="http://schemas.openxmlformats.org/officeDocument/2006/relationships/hyperlink" Target="https://www.google.com/search?q=Ficedula%20platenae&amp;tbm=isch" TargetMode="External"/><Relationship Id="rId696" Type="http://schemas.openxmlformats.org/officeDocument/2006/relationships/hyperlink" Target="https://www.google.com/search?q=Aethopyga%20bella&amp;tbm=isch" TargetMode="External"/><Relationship Id="rId46" Type="http://schemas.openxmlformats.org/officeDocument/2006/relationships/hyperlink" Target="https://www.google.com/search?q=Hemiprocne%20longipennis&amp;tbm=isch" TargetMode="External"/><Relationship Id="rId293" Type="http://schemas.openxmlformats.org/officeDocument/2006/relationships/hyperlink" Target="https://www.google.com/search?q=Ardea%20cinerea&amp;tbm=isch" TargetMode="External"/><Relationship Id="rId307" Type="http://schemas.openxmlformats.org/officeDocument/2006/relationships/hyperlink" Target="https://www.google.com/search?q=Pithecophaga%20jefferyi&amp;tbm=isch" TargetMode="External"/><Relationship Id="rId349" Type="http://schemas.openxmlformats.org/officeDocument/2006/relationships/hyperlink" Target="https://www.google.com/search?q=Ketupa%20philippensis&amp;tbm=isch" TargetMode="External"/><Relationship Id="rId514" Type="http://schemas.openxmlformats.org/officeDocument/2006/relationships/hyperlink" Target="https://www.google.com/search?q=Phyllergates%20heterolaemus&amp;tbm=isch" TargetMode="External"/><Relationship Id="rId556" Type="http://schemas.openxmlformats.org/officeDocument/2006/relationships/hyperlink" Target="https://www.google.com/search?q=Orthotomus%20nigriceps&amp;tbm=isch" TargetMode="External"/><Relationship Id="rId721" Type="http://schemas.openxmlformats.org/officeDocument/2006/relationships/hyperlink" Target="https://www.google.com/search?q=Anthus%20gustavi&amp;tbm=isch" TargetMode="External"/><Relationship Id="rId88" Type="http://schemas.openxmlformats.org/officeDocument/2006/relationships/hyperlink" Target="https://www.google.com/search?q=Cuculus%20optatus&amp;tbm=isch" TargetMode="External"/><Relationship Id="rId111" Type="http://schemas.openxmlformats.org/officeDocument/2006/relationships/hyperlink" Target="https://www.google.com/search?q=Treron%20formosae&amp;tbm=isch" TargetMode="External"/><Relationship Id="rId153" Type="http://schemas.openxmlformats.org/officeDocument/2006/relationships/hyperlink" Target="https://www.google.com/search?q=Himantopus%20himantopus&amp;tbm=isch" TargetMode="External"/><Relationship Id="rId195" Type="http://schemas.openxmlformats.org/officeDocument/2006/relationships/hyperlink" Target="https://www.google.com/search?q=Tringa%20glareola&amp;tbm=isch" TargetMode="External"/><Relationship Id="rId209" Type="http://schemas.openxmlformats.org/officeDocument/2006/relationships/hyperlink" Target="https://www.google.com/search?q=Calidris%20ruficollis&amp;tbm=isch" TargetMode="External"/><Relationship Id="rId360" Type="http://schemas.openxmlformats.org/officeDocument/2006/relationships/hyperlink" Target="https://www.google.com/search?q=Penelopides%20affinis&amp;tbm=isch" TargetMode="External"/><Relationship Id="rId416" Type="http://schemas.openxmlformats.org/officeDocument/2006/relationships/hyperlink" Target="https://www.google.com/search?q=Saudareos%20johnstoniae&amp;tbm=isch" TargetMode="External"/><Relationship Id="rId598" Type="http://schemas.openxmlformats.org/officeDocument/2006/relationships/hyperlink" Target="https://www.google.com/search?q=Pastor%20roseus&amp;tbm=isch" TargetMode="External"/><Relationship Id="rId220" Type="http://schemas.openxmlformats.org/officeDocument/2006/relationships/hyperlink" Target="https://www.google.com/search?q=Onychoprion%20anaethetus&amp;tbm=isch" TargetMode="External"/><Relationship Id="rId458" Type="http://schemas.openxmlformats.org/officeDocument/2006/relationships/hyperlink" Target="https://www.google.com/search?q=Dicrurus%20leucophaeus&amp;tbm=isch" TargetMode="External"/><Relationship Id="rId623" Type="http://schemas.openxmlformats.org/officeDocument/2006/relationships/hyperlink" Target="https://www.google.com/search?q=Copsychus%20cebuensis&amp;tbm=isch" TargetMode="External"/><Relationship Id="rId665" Type="http://schemas.openxmlformats.org/officeDocument/2006/relationships/hyperlink" Target="https://www.google.com/search?q=Chloropsis%20flavipennis&amp;tbm=isch" TargetMode="External"/><Relationship Id="rId15" Type="http://schemas.openxmlformats.org/officeDocument/2006/relationships/hyperlink" Target="https://www.google.com/search?q=Sibirionetta%20formosa&amp;tbm=isch" TargetMode="External"/><Relationship Id="rId57" Type="http://schemas.openxmlformats.org/officeDocument/2006/relationships/hyperlink" Target="https://www.google.com/search?q=Mearnsia%20picina&amp;tbm=isch" TargetMode="External"/><Relationship Id="rId262" Type="http://schemas.openxmlformats.org/officeDocument/2006/relationships/hyperlink" Target="https://www.google.com/search?q=Fregata%20ariel&amp;tbm=isch" TargetMode="External"/><Relationship Id="rId318" Type="http://schemas.openxmlformats.org/officeDocument/2006/relationships/hyperlink" Target="https://www.google.com/search?q=Circus%20spilonotus&amp;tbm=isch" TargetMode="External"/><Relationship Id="rId525" Type="http://schemas.openxmlformats.org/officeDocument/2006/relationships/hyperlink" Target="https://www.google.com/search?q=Phylloscopus%20xanthodryas&amp;tbm=isch" TargetMode="External"/><Relationship Id="rId567" Type="http://schemas.openxmlformats.org/officeDocument/2006/relationships/hyperlink" Target="https://www.google.com/search?q=Zosterornis%20whiteheadi&amp;tbm=isch" TargetMode="External"/><Relationship Id="rId732" Type="http://schemas.openxmlformats.org/officeDocument/2006/relationships/hyperlink" Target="https://www.google.com/search?q=Spinus%20spinus&amp;tbm=isch" TargetMode="External"/><Relationship Id="rId99" Type="http://schemas.openxmlformats.org/officeDocument/2006/relationships/hyperlink" Target="https://www.google.com/search?q=Gallicolumba%20luzonica&amp;tbm=isch" TargetMode="External"/><Relationship Id="rId122" Type="http://schemas.openxmlformats.org/officeDocument/2006/relationships/hyperlink" Target="https://www.google.com/search?q=Ducula%20aenea&amp;tbm=isch" TargetMode="External"/><Relationship Id="rId164" Type="http://schemas.openxmlformats.org/officeDocument/2006/relationships/hyperlink" Target="https://www.google.com/search?q=Anarhynchus%20atrifrons&amp;tbm=isch" TargetMode="External"/><Relationship Id="rId371" Type="http://schemas.openxmlformats.org/officeDocument/2006/relationships/hyperlink" Target="https://www.google.com/search?q=Todiramphus%20chloris&amp;tbm=isch" TargetMode="External"/><Relationship Id="rId427" Type="http://schemas.openxmlformats.org/officeDocument/2006/relationships/hyperlink" Target="https://www.google.com/search?q=Pitta%20nympha&amp;tbm=isch" TargetMode="External"/><Relationship Id="rId469" Type="http://schemas.openxmlformats.org/officeDocument/2006/relationships/hyperlink" Target="https://www.google.com/search?q=Hypothymis%20coelestis&amp;tbm=isch" TargetMode="External"/><Relationship Id="rId634" Type="http://schemas.openxmlformats.org/officeDocument/2006/relationships/hyperlink" Target="https://www.google.com/search?q=Cyornis%20herioti&amp;tbm=isch" TargetMode="External"/><Relationship Id="rId676" Type="http://schemas.openxmlformats.org/officeDocument/2006/relationships/hyperlink" Target="https://www.google.com/search?q=Dicaeum%20haematostictum&amp;tbm=isch" TargetMode="External"/><Relationship Id="rId26" Type="http://schemas.openxmlformats.org/officeDocument/2006/relationships/hyperlink" Target="https://www.google.com/search?q=Aythya%20ferina&amp;tbm=isch" TargetMode="External"/><Relationship Id="rId231" Type="http://schemas.openxmlformats.org/officeDocument/2006/relationships/hyperlink" Target="https://www.google.com/search?q=Thalasseus%20bernsteini&amp;tbm=isch" TargetMode="External"/><Relationship Id="rId273" Type="http://schemas.openxmlformats.org/officeDocument/2006/relationships/hyperlink" Target="https://www.google.com/search?q=Platalea%20leucorodia&amp;tbm=isch" TargetMode="External"/><Relationship Id="rId329" Type="http://schemas.openxmlformats.org/officeDocument/2006/relationships/hyperlink" Target="https://www.google.com/search?q=Ninox%20randi&amp;tbm=isch" TargetMode="External"/><Relationship Id="rId480" Type="http://schemas.openxmlformats.org/officeDocument/2006/relationships/hyperlink" Target="https://www.google.com/search?q=Corvus%20macrorhynchos&amp;tbm=isch" TargetMode="External"/><Relationship Id="rId536" Type="http://schemas.openxmlformats.org/officeDocument/2006/relationships/hyperlink" Target="https://www.google.com/search?q=Robsonius%20sorsogonensis&amp;tbm=isch" TargetMode="External"/><Relationship Id="rId701" Type="http://schemas.openxmlformats.org/officeDocument/2006/relationships/hyperlink" Target="https://www.google.com/search?q=Hypocryptadius%20cinnamomeus&amp;tbm=isch" TargetMode="External"/><Relationship Id="rId68" Type="http://schemas.openxmlformats.org/officeDocument/2006/relationships/hyperlink" Target="https://www.google.com/search?q=Centropus%20viridis&amp;tbm=isch" TargetMode="External"/><Relationship Id="rId133" Type="http://schemas.openxmlformats.org/officeDocument/2006/relationships/hyperlink" Target="https://www.google.com/search?q=Zapornia%20fusca&amp;tbm=isch" TargetMode="External"/><Relationship Id="rId175" Type="http://schemas.openxmlformats.org/officeDocument/2006/relationships/hyperlink" Target="https://www.google.com/search?q=Numenius%20madagascariensis&amp;tbm=isch" TargetMode="External"/><Relationship Id="rId340" Type="http://schemas.openxmlformats.org/officeDocument/2006/relationships/hyperlink" Target="https://www.google.com/search?q=Otus%20mindorensis&amp;tbm=isch" TargetMode="External"/><Relationship Id="rId578" Type="http://schemas.openxmlformats.org/officeDocument/2006/relationships/hyperlink" Target="https://www.google.com/search?q=Malacopteron%20palawanense&amp;tbm=isch" TargetMode="External"/><Relationship Id="rId743" Type="http://schemas.openxmlformats.org/officeDocument/2006/relationships/hyperlink" Target="https://www.google.com/search?q=Emberiza%20schoeniclus&amp;tbm=isch" TargetMode="External"/><Relationship Id="rId200" Type="http://schemas.openxmlformats.org/officeDocument/2006/relationships/hyperlink" Target="https://www.google.com/search?q=Arenaria%20interpres&amp;tbm=isch" TargetMode="External"/><Relationship Id="rId382" Type="http://schemas.openxmlformats.org/officeDocument/2006/relationships/hyperlink" Target="https://www.google.com/search?q=Merops%20americanus&amp;tbm=isch" TargetMode="External"/><Relationship Id="rId438" Type="http://schemas.openxmlformats.org/officeDocument/2006/relationships/hyperlink" Target="https://www.google.com/search?q=Edolisoma%20coerulescens&amp;tbm=isch" TargetMode="External"/><Relationship Id="rId603" Type="http://schemas.openxmlformats.org/officeDocument/2006/relationships/hyperlink" Target="https://www.google.com/search?q=Rhabdornis%20grandis&amp;tbm=isch" TargetMode="External"/><Relationship Id="rId645" Type="http://schemas.openxmlformats.org/officeDocument/2006/relationships/hyperlink" Target="https://www.google.com/search?q=Brachypteryx%20poliogyna&amp;tbm=isch" TargetMode="External"/><Relationship Id="rId687" Type="http://schemas.openxmlformats.org/officeDocument/2006/relationships/hyperlink" Target="https://www.google.com/search?q=Cinnyris%20jugularis&amp;tbm=isch" TargetMode="External"/><Relationship Id="rId242" Type="http://schemas.openxmlformats.org/officeDocument/2006/relationships/hyperlink" Target="https://www.google.com/search?q=Stercorarius%20longicaudus&amp;tbm=isch" TargetMode="External"/><Relationship Id="rId284" Type="http://schemas.openxmlformats.org/officeDocument/2006/relationships/hyperlink" Target="https://www.google.com/search?q=Egretta%20sacra&amp;tbm=isch" TargetMode="External"/><Relationship Id="rId491" Type="http://schemas.openxmlformats.org/officeDocument/2006/relationships/hyperlink" Target="https://www.google.com/search?q=Hypsipetes%20philippinus&amp;tbm=isch" TargetMode="External"/><Relationship Id="rId505" Type="http://schemas.openxmlformats.org/officeDocument/2006/relationships/hyperlink" Target="https://www.google.com/search?q=Pycnonotus%20goiavier&amp;tbm=isch" TargetMode="External"/><Relationship Id="rId712" Type="http://schemas.openxmlformats.org/officeDocument/2006/relationships/hyperlink" Target="https://www.google.com/search?q=Erythrura%20coloria&amp;tbm=isch" TargetMode="External"/><Relationship Id="rId37" Type="http://schemas.openxmlformats.org/officeDocument/2006/relationships/hyperlink" Target="https://www.google.com/search?q=Synoicus%20chinensis&amp;tbm=isch" TargetMode="External"/><Relationship Id="rId79" Type="http://schemas.openxmlformats.org/officeDocument/2006/relationships/hyperlink" Target="https://www.google.com/search?q=Cacomantis%20sonneratii&amp;tbm=isch" TargetMode="External"/><Relationship Id="rId102" Type="http://schemas.openxmlformats.org/officeDocument/2006/relationships/hyperlink" Target="https://www.google.com/search?q=Gallicolumba%20keayi&amp;tbm=isch" TargetMode="External"/><Relationship Id="rId144" Type="http://schemas.openxmlformats.org/officeDocument/2006/relationships/hyperlink" Target="https://www.google.com/search?q=Grus%20monacha&amp;tbm=isch" TargetMode="External"/><Relationship Id="rId547" Type="http://schemas.openxmlformats.org/officeDocument/2006/relationships/hyperlink" Target="https://www.google.com/search?q=Micromacronus%20leytensis&amp;tbm=isch" TargetMode="External"/><Relationship Id="rId589" Type="http://schemas.openxmlformats.org/officeDocument/2006/relationships/hyperlink" Target="https://www.google.com/search?q=Sarcops%20calvus&amp;tbm=isch" TargetMode="External"/><Relationship Id="rId90" Type="http://schemas.openxmlformats.org/officeDocument/2006/relationships/hyperlink" Target="https://www.google.com/search?q=Columba%20vitiensis&amp;tbm=isch" TargetMode="External"/><Relationship Id="rId186" Type="http://schemas.openxmlformats.org/officeDocument/2006/relationships/hyperlink" Target="https://www.google.com/search?q=Gallinago%20hardwickii&amp;tbm=isch" TargetMode="External"/><Relationship Id="rId351" Type="http://schemas.openxmlformats.org/officeDocument/2006/relationships/hyperlink" Target="https://www.google.com/search?q=Harpactes%20ardens&amp;tbm=isch" TargetMode="External"/><Relationship Id="rId393" Type="http://schemas.openxmlformats.org/officeDocument/2006/relationships/hyperlink" Target="https://www.google.com/search?q=Mulleripicus%20funebris&amp;tbm=isch" TargetMode="External"/><Relationship Id="rId407" Type="http://schemas.openxmlformats.org/officeDocument/2006/relationships/hyperlink" Target="https://www.google.com/search?q=Prioniturus%20platenae&amp;tbm=isch" TargetMode="External"/><Relationship Id="rId449" Type="http://schemas.openxmlformats.org/officeDocument/2006/relationships/hyperlink" Target="https://www.google.com/search?q=Oriolus%20steerii&amp;tbm=isch" TargetMode="External"/><Relationship Id="rId614" Type="http://schemas.openxmlformats.org/officeDocument/2006/relationships/hyperlink" Target="https://www.google.com/search?q=Turdus%20chrysolaus&amp;tbm=isch" TargetMode="External"/><Relationship Id="rId656" Type="http://schemas.openxmlformats.org/officeDocument/2006/relationships/hyperlink" Target="https://www.google.com/search?q=Ficedula%20luzoniensis&amp;tbm=isch" TargetMode="External"/><Relationship Id="rId211" Type="http://schemas.openxmlformats.org/officeDocument/2006/relationships/hyperlink" Target="https://www.google.com/search?q=Calidris%20alpina&amp;tbm=isch" TargetMode="External"/><Relationship Id="rId253" Type="http://schemas.openxmlformats.org/officeDocument/2006/relationships/hyperlink" Target="https://www.google.com/search?q=Pterodroma%20hypoleuca&amp;tbm=isch" TargetMode="External"/><Relationship Id="rId295" Type="http://schemas.openxmlformats.org/officeDocument/2006/relationships/hyperlink" Target="https://www.google.com/search?q=Ardea%20sumatrana&amp;tbm=isch" TargetMode="External"/><Relationship Id="rId309" Type="http://schemas.openxmlformats.org/officeDocument/2006/relationships/hyperlink" Target="https://www.google.com/search?q=Nisaetus%20philippensis&amp;tbm=isch" TargetMode="External"/><Relationship Id="rId460" Type="http://schemas.openxmlformats.org/officeDocument/2006/relationships/hyperlink" Target="https://www.google.com/search?q=Rhipidura%20superciliaris&amp;tbm=isch" TargetMode="External"/><Relationship Id="rId516" Type="http://schemas.openxmlformats.org/officeDocument/2006/relationships/hyperlink" Target="https://www.google.com/search?q=Horornis%20canturians&amp;tbm=isch" TargetMode="External"/><Relationship Id="rId698" Type="http://schemas.openxmlformats.org/officeDocument/2006/relationships/hyperlink" Target="https://www.google.com/search?q=Arachnothera%20flammifera&amp;tbm=isch" TargetMode="External"/><Relationship Id="rId48" Type="http://schemas.openxmlformats.org/officeDocument/2006/relationships/hyperlink" Target="https://www.google.com/search?q=Collocalia%20marginata&amp;tbm=isch" TargetMode="External"/><Relationship Id="rId113" Type="http://schemas.openxmlformats.org/officeDocument/2006/relationships/hyperlink" Target="https://www.google.com/search?q=Ptilinopus%20merrilli&amp;tbm=isch" TargetMode="External"/><Relationship Id="rId320" Type="http://schemas.openxmlformats.org/officeDocument/2006/relationships/hyperlink" Target="https://www.google.com/search?q=Milvus%20migrans&amp;tbm=isch" TargetMode="External"/><Relationship Id="rId558" Type="http://schemas.openxmlformats.org/officeDocument/2006/relationships/hyperlink" Target="https://www.google.com/search?q=Dasycrotapha%20speciosa&amp;tbm=isch" TargetMode="External"/><Relationship Id="rId723" Type="http://schemas.openxmlformats.org/officeDocument/2006/relationships/hyperlink" Target="https://www.google.com/search?q=Anthus%20rubescens&amp;tbm=isch" TargetMode="External"/><Relationship Id="rId155" Type="http://schemas.openxmlformats.org/officeDocument/2006/relationships/hyperlink" Target="https://www.google.com/search?q=Recurvirostra%20avosetta&amp;tbm=isch" TargetMode="External"/><Relationship Id="rId197" Type="http://schemas.openxmlformats.org/officeDocument/2006/relationships/hyperlink" Target="https://www.google.com/search?q=Tringa%20guttifer&amp;tbm=isch" TargetMode="External"/><Relationship Id="rId362" Type="http://schemas.openxmlformats.org/officeDocument/2006/relationships/hyperlink" Target="https://www.google.com/search?q=Penelopides%20panini&amp;tbm=isch" TargetMode="External"/><Relationship Id="rId418" Type="http://schemas.openxmlformats.org/officeDocument/2006/relationships/hyperlink" Target="https://www.google.com/search?q=Loriculus%20philippensis&amp;tbm=isch" TargetMode="External"/><Relationship Id="rId625" Type="http://schemas.openxmlformats.org/officeDocument/2006/relationships/hyperlink" Target="https://www.google.com/search?q=Muscicapa%20sibirica&amp;tbm=isch" TargetMode="External"/><Relationship Id="rId222" Type="http://schemas.openxmlformats.org/officeDocument/2006/relationships/hyperlink" Target="https://www.google.com/search?q=Gelochelidon%20nilotica&amp;tbm=isch" TargetMode="External"/><Relationship Id="rId264" Type="http://schemas.openxmlformats.org/officeDocument/2006/relationships/hyperlink" Target="https://www.google.com/search?q=Fregata%20andrewsi&amp;tbm=isch" TargetMode="External"/><Relationship Id="rId471" Type="http://schemas.openxmlformats.org/officeDocument/2006/relationships/hyperlink" Target="https://www.google.com/search?q=Terpsiphone%20atrocaudata&amp;tbm=isch" TargetMode="External"/><Relationship Id="rId667" Type="http://schemas.openxmlformats.org/officeDocument/2006/relationships/hyperlink" Target="https://www.google.com/search?q=Prionochilus%20olivaceus&amp;tbm=isch" TargetMode="External"/><Relationship Id="rId17" Type="http://schemas.openxmlformats.org/officeDocument/2006/relationships/hyperlink" Target="https://www.google.com/search?q=Spatula%20clypeata&amp;tbm=isch" TargetMode="External"/><Relationship Id="rId59" Type="http://schemas.openxmlformats.org/officeDocument/2006/relationships/hyperlink" Target="https://www.google.com/search?q=Hirundapus%20giganteus&amp;tbm=isch" TargetMode="External"/><Relationship Id="rId124" Type="http://schemas.openxmlformats.org/officeDocument/2006/relationships/hyperlink" Target="https://www.google.com/search?q=Ducula%20bicolor&amp;tbm=isch" TargetMode="External"/><Relationship Id="rId527" Type="http://schemas.openxmlformats.org/officeDocument/2006/relationships/hyperlink" Target="https://www.google.com/search?q=Phylloscopus%20borealis&amp;tbm=isch" TargetMode="External"/><Relationship Id="rId569" Type="http://schemas.openxmlformats.org/officeDocument/2006/relationships/hyperlink" Target="https://www.google.com/search?q=Zosterornis%20nigrorum&amp;tbm=isch" TargetMode="External"/><Relationship Id="rId734" Type="http://schemas.openxmlformats.org/officeDocument/2006/relationships/hyperlink" Target="https://www.google.com/search?q=Emberiza%20fucata&amp;tbm=isch" TargetMode="External"/><Relationship Id="rId70" Type="http://schemas.openxmlformats.org/officeDocument/2006/relationships/hyperlink" Target="https://www.google.com/search?q=Phaenicophaeus%20curvirostris&amp;tbm=isch" TargetMode="External"/><Relationship Id="rId166" Type="http://schemas.openxmlformats.org/officeDocument/2006/relationships/hyperlink" Target="https://www.google.com/search?q=Anarhynchus%20leschenaultii&amp;tbm=isch" TargetMode="External"/><Relationship Id="rId331" Type="http://schemas.openxmlformats.org/officeDocument/2006/relationships/hyperlink" Target="https://www.google.com/search?q=Ninox%20spilocephala&amp;tbm=isch" TargetMode="External"/><Relationship Id="rId373" Type="http://schemas.openxmlformats.org/officeDocument/2006/relationships/hyperlink" Target="https://www.google.com/search?q=Alcedo%20meninting&amp;tbm=isch" TargetMode="External"/><Relationship Id="rId429" Type="http://schemas.openxmlformats.org/officeDocument/2006/relationships/hyperlink" Target="https://www.google.com/search?q=Gerygone%20sulphurea&amp;tbm=isch" TargetMode="External"/><Relationship Id="rId580" Type="http://schemas.openxmlformats.org/officeDocument/2006/relationships/hyperlink" Target="https://www.google.com/search?q=Ptilocichla%20mindanensis&amp;tbm=isch" TargetMode="External"/><Relationship Id="rId636" Type="http://schemas.openxmlformats.org/officeDocument/2006/relationships/hyperlink" Target="https://www.google.com/search?q=Cyornis%20ruficauda&amp;tbm=isch" TargetMode="External"/><Relationship Id="rId1" Type="http://schemas.openxmlformats.org/officeDocument/2006/relationships/hyperlink" Target="https://www.google.com/search?q=Dendrocygna%20guttata&amp;tbm=isch" TargetMode="External"/><Relationship Id="rId233" Type="http://schemas.openxmlformats.org/officeDocument/2006/relationships/hyperlink" Target="https://www.google.com/search?q=Saundersilarus%20saundersi&amp;tbm=isch" TargetMode="External"/><Relationship Id="rId440" Type="http://schemas.openxmlformats.org/officeDocument/2006/relationships/hyperlink" Target="https://www.google.com/search?q=Lalage%20melanoleuca&amp;tbm=isch" TargetMode="External"/><Relationship Id="rId678" Type="http://schemas.openxmlformats.org/officeDocument/2006/relationships/hyperlink" Target="https://www.google.com/search?q=Dicaeum%20quadricolor&amp;tbm=isch" TargetMode="External"/><Relationship Id="rId28" Type="http://schemas.openxmlformats.org/officeDocument/2006/relationships/hyperlink" Target="https://www.google.com/search?q=Aythya%20nyroca&amp;tbm=isch" TargetMode="External"/><Relationship Id="rId275" Type="http://schemas.openxmlformats.org/officeDocument/2006/relationships/hyperlink" Target="https://www.google.com/search?q=Botaurus%20stellaris&amp;tbm=isch" TargetMode="External"/><Relationship Id="rId300" Type="http://schemas.openxmlformats.org/officeDocument/2006/relationships/hyperlink" Target="https://www.google.com/search?q=Elanus%20caeruleus&amp;tbm=isch" TargetMode="External"/><Relationship Id="rId482" Type="http://schemas.openxmlformats.org/officeDocument/2006/relationships/hyperlink" Target="https://www.google.com/search?q=Culicicapa%20helianthea&amp;tbm=isch" TargetMode="External"/><Relationship Id="rId538" Type="http://schemas.openxmlformats.org/officeDocument/2006/relationships/hyperlink" Target="https://www.google.com/search?q=Helopsaltes%20certhiola&amp;tbm=isch" TargetMode="External"/><Relationship Id="rId703" Type="http://schemas.openxmlformats.org/officeDocument/2006/relationships/hyperlink" Target="https://www.google.com/search?q=Passer%20domesticus&amp;tbm=isch" TargetMode="External"/><Relationship Id="rId81" Type="http://schemas.openxmlformats.org/officeDocument/2006/relationships/hyperlink" Target="https://www.google.com/search?q=Cacomantis%20sepulcralis&amp;tbm=isch" TargetMode="External"/><Relationship Id="rId135" Type="http://schemas.openxmlformats.org/officeDocument/2006/relationships/hyperlink" Target="https://www.google.com/search?q=Zapornia%20tabuensis&amp;tbm=isch" TargetMode="External"/><Relationship Id="rId177" Type="http://schemas.openxmlformats.org/officeDocument/2006/relationships/hyperlink" Target="https://www.google.com/search?q=Limosa%20lapponica&amp;tbm=isch" TargetMode="External"/><Relationship Id="rId342" Type="http://schemas.openxmlformats.org/officeDocument/2006/relationships/hyperlink" Target="https://www.google.com/search?q=Otus%20elegans&amp;tbm=isch" TargetMode="External"/><Relationship Id="rId384" Type="http://schemas.openxmlformats.org/officeDocument/2006/relationships/hyperlink" Target="https://www.google.com/search?q=Jynx%20torquilla&amp;tbm=isch" TargetMode="External"/><Relationship Id="rId591" Type="http://schemas.openxmlformats.org/officeDocument/2006/relationships/hyperlink" Target="https://www.google.com/search?q=Acridotheres%20cristatellus&amp;tbm=isch" TargetMode="External"/><Relationship Id="rId605" Type="http://schemas.openxmlformats.org/officeDocument/2006/relationships/hyperlink" Target="https://www.google.com/search?q=Zoothera%20aurea&amp;tbm=isch" TargetMode="External"/><Relationship Id="rId202" Type="http://schemas.openxmlformats.org/officeDocument/2006/relationships/hyperlink" Target="https://www.google.com/search?q=Calidris%20canutus&amp;tbm=isch" TargetMode="External"/><Relationship Id="rId244" Type="http://schemas.openxmlformats.org/officeDocument/2006/relationships/hyperlink" Target="https://www.google.com/search?q=Stercorarius%20pomarinus&amp;tbm=isch" TargetMode="External"/><Relationship Id="rId647" Type="http://schemas.openxmlformats.org/officeDocument/2006/relationships/hyperlink" Target="https://www.google.com/search?q=Ficedula%20zanthopygia&amp;tbm=isch" TargetMode="External"/><Relationship Id="rId689" Type="http://schemas.openxmlformats.org/officeDocument/2006/relationships/hyperlink" Target="https://www.google.com/search?q=Aethopyga%20primigenia&amp;tbm=isch" TargetMode="External"/><Relationship Id="rId39" Type="http://schemas.openxmlformats.org/officeDocument/2006/relationships/hyperlink" Target="https://www.google.com/search?q=Lyncornis%20macrotis&amp;tbm=isch" TargetMode="External"/><Relationship Id="rId286" Type="http://schemas.openxmlformats.org/officeDocument/2006/relationships/hyperlink" Target="https://www.google.com/search?q=Egretta%20garzetta&amp;tbm=isch" TargetMode="External"/><Relationship Id="rId451" Type="http://schemas.openxmlformats.org/officeDocument/2006/relationships/hyperlink" Target="https://www.google.com/search?q=Oriolus%20chinensis&amp;tbm=isch" TargetMode="External"/><Relationship Id="rId493" Type="http://schemas.openxmlformats.org/officeDocument/2006/relationships/hyperlink" Target="https://www.google.com/search?q=Hypsipetes%20siquijorensis&amp;tbm=isch" TargetMode="External"/><Relationship Id="rId507" Type="http://schemas.openxmlformats.org/officeDocument/2006/relationships/hyperlink" Target="https://www.google.com/search?q=Riparia%20riparia&amp;tbm=isch" TargetMode="External"/><Relationship Id="rId549" Type="http://schemas.openxmlformats.org/officeDocument/2006/relationships/hyperlink" Target="https://www.google.com/search?q=Orthotomus%20castaneiceps&amp;tbm=isch" TargetMode="External"/><Relationship Id="rId714" Type="http://schemas.openxmlformats.org/officeDocument/2006/relationships/hyperlink" Target="https://www.google.com/search?q=Motacilla%20tschutschensis&amp;tbm=isch" TargetMode="External"/><Relationship Id="rId50" Type="http://schemas.openxmlformats.org/officeDocument/2006/relationships/hyperlink" Target="https://www.google.com/search?q=Collocalia%20troglodytes&amp;tbm=isch" TargetMode="External"/><Relationship Id="rId104" Type="http://schemas.openxmlformats.org/officeDocument/2006/relationships/hyperlink" Target="https://www.google.com/search?q=Phapitreron%20leucotis&amp;tbm=isch" TargetMode="External"/><Relationship Id="rId146" Type="http://schemas.openxmlformats.org/officeDocument/2006/relationships/hyperlink" Target="https://www.google.com/search?q=Podiceps%20nigricollis&amp;tbm=isch" TargetMode="External"/><Relationship Id="rId188" Type="http://schemas.openxmlformats.org/officeDocument/2006/relationships/hyperlink" Target="https://www.google.com/search?q=Phalaropus%20fulicarius&amp;tbm=isch" TargetMode="External"/><Relationship Id="rId311" Type="http://schemas.openxmlformats.org/officeDocument/2006/relationships/hyperlink" Target="https://www.google.com/search?q=Lophotriorchis%20kienerii&amp;tbm=isch" TargetMode="External"/><Relationship Id="rId353" Type="http://schemas.openxmlformats.org/officeDocument/2006/relationships/hyperlink" Target="https://www.google.com/search?q=Buceros%20hydrocorax&amp;tbm=isch" TargetMode="External"/><Relationship Id="rId395" Type="http://schemas.openxmlformats.org/officeDocument/2006/relationships/hyperlink" Target="https://www.google.com/search?q=Mulleripicus%20pulverulentus&amp;tbm=isch" TargetMode="External"/><Relationship Id="rId409" Type="http://schemas.openxmlformats.org/officeDocument/2006/relationships/hyperlink" Target="https://www.google.com/search?q=Prioniturus%20verticalis&amp;tbm=isch" TargetMode="External"/><Relationship Id="rId560" Type="http://schemas.openxmlformats.org/officeDocument/2006/relationships/hyperlink" Target="https://www.google.com/search?q=Dasycrotapha%20plateni&amp;tbm=isch" TargetMode="External"/><Relationship Id="rId92" Type="http://schemas.openxmlformats.org/officeDocument/2006/relationships/hyperlink" Target="https://www.google.com/search?q=Streptopelia%20dusumieri&amp;tbm=isch" TargetMode="External"/><Relationship Id="rId213" Type="http://schemas.openxmlformats.org/officeDocument/2006/relationships/hyperlink" Target="https://www.google.com/search?q=Calidris%20melanotos&amp;tbm=isch" TargetMode="External"/><Relationship Id="rId420" Type="http://schemas.openxmlformats.org/officeDocument/2006/relationships/hyperlink" Target="https://www.google.com/search?q=Loriculus%20bonapartei&amp;tbm=isch" TargetMode="External"/><Relationship Id="rId616" Type="http://schemas.openxmlformats.org/officeDocument/2006/relationships/hyperlink" Target="https://www.google.com/search?q=Turdus%20ruficollis&amp;tbm=isch" TargetMode="External"/><Relationship Id="rId658" Type="http://schemas.openxmlformats.org/officeDocument/2006/relationships/hyperlink" Target="https://www.google.com/search?q=Tarsiger%20cyanurus&amp;tbm=isch" TargetMode="External"/><Relationship Id="rId255" Type="http://schemas.openxmlformats.org/officeDocument/2006/relationships/hyperlink" Target="https://www.google.com/search?q=Calonectris%20leucomelas&amp;tbm=isch" TargetMode="External"/><Relationship Id="rId297" Type="http://schemas.openxmlformats.org/officeDocument/2006/relationships/hyperlink" Target="https://www.google.com/search?q=Pelecanus%20crispus&amp;tbm=isch" TargetMode="External"/><Relationship Id="rId462" Type="http://schemas.openxmlformats.org/officeDocument/2006/relationships/hyperlink" Target="https://www.google.com/search?q=Rhipidura%20cyaniceps&amp;tbm=isch" TargetMode="External"/><Relationship Id="rId518" Type="http://schemas.openxmlformats.org/officeDocument/2006/relationships/hyperlink" Target="https://www.google.com/search?q=Urosphena%20squameiceps&amp;tbm=isch" TargetMode="External"/><Relationship Id="rId725" Type="http://schemas.openxmlformats.org/officeDocument/2006/relationships/hyperlink" Target="https://www.google.com/search?q=Coccothraustes%20coccothraustes&amp;tbm=isch" TargetMode="External"/><Relationship Id="rId115" Type="http://schemas.openxmlformats.org/officeDocument/2006/relationships/hyperlink" Target="https://www.google.com/search?q=Ptilinopus%20leclancheri&amp;tbm=isch" TargetMode="External"/><Relationship Id="rId157" Type="http://schemas.openxmlformats.org/officeDocument/2006/relationships/hyperlink" Target="https://www.google.com/search?q=Pluvialis%20fulva&amp;tbm=isch" TargetMode="External"/><Relationship Id="rId322" Type="http://schemas.openxmlformats.org/officeDocument/2006/relationships/hyperlink" Target="https://www.google.com/search?q=Icthyophaga%20leucogaster&amp;tbm=isch" TargetMode="External"/><Relationship Id="rId364" Type="http://schemas.openxmlformats.org/officeDocument/2006/relationships/hyperlink" Target="https://www.google.com/search?q=Actenoides%20lindsayi&amp;tbm=isch" TargetMode="External"/><Relationship Id="rId61" Type="http://schemas.openxmlformats.org/officeDocument/2006/relationships/hyperlink" Target="https://www.google.com/search?q=Cypsiurus%20balasiensis&amp;tbm=isch" TargetMode="External"/><Relationship Id="rId199" Type="http://schemas.openxmlformats.org/officeDocument/2006/relationships/hyperlink" Target="https://www.google.com/search?q=Tringa%20nebularia&amp;tbm=isch" TargetMode="External"/><Relationship Id="rId571" Type="http://schemas.openxmlformats.org/officeDocument/2006/relationships/hyperlink" Target="https://www.google.com/search?q=Zosterops%20nigrorum&amp;tbm=isch" TargetMode="External"/><Relationship Id="rId627" Type="http://schemas.openxmlformats.org/officeDocument/2006/relationships/hyperlink" Target="https://www.google.com/search?q=Muscicapa%20randi&amp;tbm=isch" TargetMode="External"/><Relationship Id="rId669" Type="http://schemas.openxmlformats.org/officeDocument/2006/relationships/hyperlink" Target="https://www.google.com/search?q=Dicaeum%20aeruginosum&amp;tbm=isch" TargetMode="External"/><Relationship Id="rId19" Type="http://schemas.openxmlformats.org/officeDocument/2006/relationships/hyperlink" Target="https://www.google.com/search?q=Mareca%20falcata&amp;tbm=isch" TargetMode="External"/><Relationship Id="rId224" Type="http://schemas.openxmlformats.org/officeDocument/2006/relationships/hyperlink" Target="https://www.google.com/search?q=Chlidonias%20hybrida&amp;tbm=isch" TargetMode="External"/><Relationship Id="rId266" Type="http://schemas.openxmlformats.org/officeDocument/2006/relationships/hyperlink" Target="https://www.google.com/search?q=Sula%20leucogaster&amp;tbm=isch" TargetMode="External"/><Relationship Id="rId431" Type="http://schemas.openxmlformats.org/officeDocument/2006/relationships/hyperlink" Target="https://www.google.com/search?q=Aegithina%20tiphia&amp;tbm=isch" TargetMode="External"/><Relationship Id="rId473" Type="http://schemas.openxmlformats.org/officeDocument/2006/relationships/hyperlink" Target="https://www.google.com/search?q=Terpsiphone%20cinnamomea&amp;tbm=isch" TargetMode="External"/><Relationship Id="rId529" Type="http://schemas.openxmlformats.org/officeDocument/2006/relationships/hyperlink" Target="https://www.google.com/search?q=Phylloscopus%20nigrorum&amp;tbm=isch" TargetMode="External"/><Relationship Id="rId680" Type="http://schemas.openxmlformats.org/officeDocument/2006/relationships/hyperlink" Target="https://www.google.com/search?q=Dicaeum%20hypoleucum&amp;tbm=isch" TargetMode="External"/><Relationship Id="rId736" Type="http://schemas.openxmlformats.org/officeDocument/2006/relationships/hyperlink" Target="https://www.google.com/search?q=Emberiza%20chrysophrys&amp;tbm=isch" TargetMode="External"/><Relationship Id="rId30" Type="http://schemas.openxmlformats.org/officeDocument/2006/relationships/hyperlink" Target="https://www.google.com/search?q=Aythya%20marila&amp;tbm=isch" TargetMode="External"/><Relationship Id="rId126" Type="http://schemas.openxmlformats.org/officeDocument/2006/relationships/hyperlink" Target="https://www.google.com/search?q=Lewinia%20mirifica&amp;tbm=isch" TargetMode="External"/><Relationship Id="rId168" Type="http://schemas.openxmlformats.org/officeDocument/2006/relationships/hyperlink" Target="https://www.google.com/search?q=Anarhynchus%20alexandrinus&amp;tbm=isch" TargetMode="External"/><Relationship Id="rId333" Type="http://schemas.openxmlformats.org/officeDocument/2006/relationships/hyperlink" Target="https://www.google.com/search?q=Ninox%20reyi&amp;tbm=isch" TargetMode="External"/><Relationship Id="rId540" Type="http://schemas.openxmlformats.org/officeDocument/2006/relationships/hyperlink" Target="https://www.google.com/search?q=Locustella%20lanceolata&amp;tbm=isch" TargetMode="External"/><Relationship Id="rId72" Type="http://schemas.openxmlformats.org/officeDocument/2006/relationships/hyperlink" Target="https://www.google.com/search?q=Dasylophus%20cumingi&amp;tbm=isch" TargetMode="External"/><Relationship Id="rId375" Type="http://schemas.openxmlformats.org/officeDocument/2006/relationships/hyperlink" Target="https://www.google.com/search?q=Ceyx%20rufidorsa&amp;tbm=isch" TargetMode="External"/><Relationship Id="rId582" Type="http://schemas.openxmlformats.org/officeDocument/2006/relationships/hyperlink" Target="https://www.google.com/search?q=Irena%20tweeddalii&amp;tbm=isch" TargetMode="External"/><Relationship Id="rId638" Type="http://schemas.openxmlformats.org/officeDocument/2006/relationships/hyperlink" Target="https://www.google.com/search?q=Cyornis%20rufigastra&amp;tbm=isch" TargetMode="External"/><Relationship Id="rId3" Type="http://schemas.openxmlformats.org/officeDocument/2006/relationships/hyperlink" Target="https://www.google.com/search?q=Branta%20bernicla&amp;tbm=isch" TargetMode="External"/><Relationship Id="rId235" Type="http://schemas.openxmlformats.org/officeDocument/2006/relationships/hyperlink" Target="https://www.google.com/search?q=Leucophaeus%20atricilla&amp;tbm=isch" TargetMode="External"/><Relationship Id="rId277" Type="http://schemas.openxmlformats.org/officeDocument/2006/relationships/hyperlink" Target="https://www.google.com/search?q=Ixobrychus%20cinnamomeus&amp;tbm=isch" TargetMode="External"/><Relationship Id="rId400" Type="http://schemas.openxmlformats.org/officeDocument/2006/relationships/hyperlink" Target="https://www.google.com/search?q=Falco%20columbarius&amp;tbm=isch" TargetMode="External"/><Relationship Id="rId442" Type="http://schemas.openxmlformats.org/officeDocument/2006/relationships/hyperlink" Target="https://www.google.com/search?q=Lalage%20melaschistos&amp;tbm=isch" TargetMode="External"/><Relationship Id="rId484" Type="http://schemas.openxmlformats.org/officeDocument/2006/relationships/hyperlink" Target="https://www.google.com/search?q=Pardaliparus%20amabilis&amp;tbm=isch" TargetMode="External"/><Relationship Id="rId705" Type="http://schemas.openxmlformats.org/officeDocument/2006/relationships/hyperlink" Target="https://www.google.com/search?q=Lonchura%20punctulata&amp;tbm=isch" TargetMode="External"/><Relationship Id="rId137" Type="http://schemas.openxmlformats.org/officeDocument/2006/relationships/hyperlink" Target="https://www.google.com/search?q=Rallina%20fasciata&amp;tbm=isch" TargetMode="External"/><Relationship Id="rId302" Type="http://schemas.openxmlformats.org/officeDocument/2006/relationships/hyperlink" Target="https://www.google.com/search?q=Pernis%20steerei&amp;tbm=isch" TargetMode="External"/><Relationship Id="rId344" Type="http://schemas.openxmlformats.org/officeDocument/2006/relationships/hyperlink" Target="https://www.google.com/search?q=Otus%20megalotis&amp;tbm=isch" TargetMode="External"/><Relationship Id="rId691" Type="http://schemas.openxmlformats.org/officeDocument/2006/relationships/hyperlink" Target="https://www.google.com/search?q=Aethopyga%20linaraborae&amp;tbm=isch" TargetMode="External"/><Relationship Id="rId41" Type="http://schemas.openxmlformats.org/officeDocument/2006/relationships/hyperlink" Target="https://www.google.com/search?q=Caprimulgus%20macrurus&amp;tbm=isch" TargetMode="External"/><Relationship Id="rId83" Type="http://schemas.openxmlformats.org/officeDocument/2006/relationships/hyperlink" Target="https://www.google.com/search?q=Surniculus%20lugubris&amp;tbm=isch" TargetMode="External"/><Relationship Id="rId179" Type="http://schemas.openxmlformats.org/officeDocument/2006/relationships/hyperlink" Target="https://www.google.com/search?q=Limnodromus%20semipalmatus&amp;tbm=isch" TargetMode="External"/><Relationship Id="rId386" Type="http://schemas.openxmlformats.org/officeDocument/2006/relationships/hyperlink" Target="https://www.google.com/search?q=Yungipicus%20ramsayi&amp;tbm=isch" TargetMode="External"/><Relationship Id="rId551" Type="http://schemas.openxmlformats.org/officeDocument/2006/relationships/hyperlink" Target="https://www.google.com/search?q=Orthotomus%20frontalis&amp;tbm=isch" TargetMode="External"/><Relationship Id="rId593" Type="http://schemas.openxmlformats.org/officeDocument/2006/relationships/hyperlink" Target="https://www.google.com/search?q=Spodiopsar%20sericeus&amp;tbm=isch" TargetMode="External"/><Relationship Id="rId607" Type="http://schemas.openxmlformats.org/officeDocument/2006/relationships/hyperlink" Target="https://www.google.com/search?q=Geokichla%20interpres&amp;tbm=isch" TargetMode="External"/><Relationship Id="rId649" Type="http://schemas.openxmlformats.org/officeDocument/2006/relationships/hyperlink" Target="https://www.google.com/search?q=Ficedula%20mugimaki&amp;tbm=is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5045-A3CC-4D10-89BF-5F5986D5E3DC}">
  <sheetPr codeName="Sheet21"/>
  <dimension ref="A1:R109"/>
  <sheetViews>
    <sheetView workbookViewId="0">
      <selection activeCell="A5" sqref="A5"/>
    </sheetView>
  </sheetViews>
  <sheetFormatPr defaultRowHeight="14.4" x14ac:dyDescent="0.3"/>
  <cols>
    <col min="1" max="1" width="8.88671875" style="42"/>
    <col min="2" max="2" width="10.6640625" style="42" customWidth="1"/>
    <col min="3" max="3" width="12.44140625" style="42" customWidth="1"/>
    <col min="4" max="4" width="9.88671875" style="42" customWidth="1"/>
    <col min="5" max="5" width="9" style="42" customWidth="1"/>
    <col min="6" max="6" width="37.6640625" style="42" customWidth="1"/>
    <col min="7" max="7" width="8.88671875" style="42"/>
    <col min="8" max="8" width="11" style="42" customWidth="1"/>
    <col min="9" max="9" width="12" style="42" customWidth="1"/>
    <col min="10" max="16384" width="8.88671875" style="42"/>
  </cols>
  <sheetData>
    <row r="1" spans="1:9" ht="15.6" x14ac:dyDescent="0.3">
      <c r="A1" s="126" t="s">
        <v>8544</v>
      </c>
    </row>
    <row r="2" spans="1:9" x14ac:dyDescent="0.3">
      <c r="A2" s="127" t="s">
        <v>6479</v>
      </c>
    </row>
    <row r="3" spans="1:9" x14ac:dyDescent="0.3">
      <c r="A3" s="128" t="s">
        <v>6480</v>
      </c>
    </row>
    <row r="4" spans="1:9" x14ac:dyDescent="0.3">
      <c r="A4" s="42" t="s">
        <v>6481</v>
      </c>
    </row>
    <row r="5" spans="1:9" x14ac:dyDescent="0.3">
      <c r="A5" s="113"/>
    </row>
    <row r="6" spans="1:9" s="8" customFormat="1" ht="10.199999999999999" x14ac:dyDescent="0.3">
      <c r="A6" s="1"/>
      <c r="B6" s="30"/>
      <c r="C6" s="30"/>
      <c r="D6" s="30"/>
      <c r="E6" s="30"/>
      <c r="F6" s="31"/>
      <c r="G6" s="32"/>
      <c r="H6" s="73"/>
    </row>
    <row r="7" spans="1:9" s="8" customFormat="1" ht="13.2" x14ac:dyDescent="0.3">
      <c r="A7" s="1"/>
      <c r="B7" s="3" t="s">
        <v>0</v>
      </c>
      <c r="C7" s="43"/>
      <c r="D7" s="43"/>
      <c r="E7" s="43"/>
      <c r="F7" s="33"/>
      <c r="G7" s="32"/>
      <c r="H7" s="4" t="s">
        <v>3013</v>
      </c>
      <c r="I7" s="34"/>
    </row>
    <row r="8" spans="1:9" s="8" customFormat="1" ht="10.199999999999999" x14ac:dyDescent="0.3">
      <c r="A8" s="1"/>
      <c r="B8" s="5" t="s">
        <v>1</v>
      </c>
      <c r="C8" s="44"/>
      <c r="D8" s="44"/>
      <c r="E8" s="44"/>
      <c r="F8" s="35"/>
      <c r="G8" s="32"/>
      <c r="H8" s="36" t="s">
        <v>2964</v>
      </c>
      <c r="I8" s="8" t="s">
        <v>5789</v>
      </c>
    </row>
    <row r="9" spans="1:9" s="8" customFormat="1" ht="10.199999999999999" x14ac:dyDescent="0.3">
      <c r="A9" s="1"/>
      <c r="B9" s="5"/>
      <c r="C9" s="44"/>
      <c r="D9" s="44"/>
      <c r="E9" s="44"/>
      <c r="F9" s="35"/>
      <c r="G9" s="32"/>
      <c r="H9" s="37" t="s">
        <v>2965</v>
      </c>
      <c r="I9" s="8" t="s">
        <v>2966</v>
      </c>
    </row>
    <row r="10" spans="1:9" s="8" customFormat="1" ht="10.199999999999999" x14ac:dyDescent="0.3">
      <c r="A10" s="1"/>
      <c r="B10" s="5" t="s">
        <v>2</v>
      </c>
      <c r="C10" s="44"/>
      <c r="D10" s="44"/>
      <c r="E10" s="44"/>
      <c r="F10" s="35"/>
      <c r="G10" s="32"/>
      <c r="H10" s="38" t="s">
        <v>2967</v>
      </c>
      <c r="I10" s="8" t="s">
        <v>2924</v>
      </c>
    </row>
    <row r="11" spans="1:9" s="8" customFormat="1" ht="13.2" x14ac:dyDescent="0.3">
      <c r="A11" s="1"/>
      <c r="B11" s="5" t="s">
        <v>3</v>
      </c>
      <c r="C11" s="44"/>
      <c r="D11" s="44"/>
      <c r="E11" s="44"/>
      <c r="F11" s="39"/>
      <c r="G11" s="32"/>
      <c r="H11" s="40" t="s">
        <v>2968</v>
      </c>
      <c r="I11" s="8" t="s">
        <v>2969</v>
      </c>
    </row>
    <row r="12" spans="1:9" s="8" customFormat="1" ht="13.2" x14ac:dyDescent="0.3">
      <c r="A12" s="1"/>
      <c r="B12" s="5"/>
      <c r="C12" s="44"/>
      <c r="D12" s="44"/>
      <c r="E12" s="44"/>
      <c r="F12" s="39"/>
      <c r="G12" s="32"/>
      <c r="H12" s="6"/>
    </row>
    <row r="13" spans="1:9" s="8" customFormat="1" ht="13.2" x14ac:dyDescent="0.3">
      <c r="A13" s="1"/>
      <c r="B13" s="5" t="s">
        <v>4</v>
      </c>
      <c r="C13" s="44"/>
      <c r="D13" s="44"/>
      <c r="E13" s="44"/>
      <c r="F13" s="39"/>
      <c r="G13" s="32"/>
      <c r="H13" s="4" t="s">
        <v>5</v>
      </c>
      <c r="I13" s="34"/>
    </row>
    <row r="14" spans="1:9" s="8" customFormat="1" ht="10.199999999999999" x14ac:dyDescent="0.3">
      <c r="A14" s="1"/>
      <c r="B14" s="5" t="s">
        <v>6</v>
      </c>
      <c r="C14" s="44"/>
      <c r="D14" s="44"/>
      <c r="E14" s="44"/>
      <c r="F14" s="35"/>
      <c r="G14" s="32"/>
      <c r="H14" s="6" t="s">
        <v>30</v>
      </c>
      <c r="I14" s="8" t="s">
        <v>2970</v>
      </c>
    </row>
    <row r="15" spans="1:9" s="8" customFormat="1" ht="10.199999999999999" x14ac:dyDescent="0.3">
      <c r="A15" s="1"/>
      <c r="B15" s="5" t="s">
        <v>7</v>
      </c>
      <c r="C15" s="44"/>
      <c r="D15" s="44"/>
      <c r="E15" s="44"/>
      <c r="F15" s="35"/>
      <c r="G15" s="32"/>
      <c r="H15" s="6" t="s">
        <v>24</v>
      </c>
      <c r="I15" s="8" t="s">
        <v>2971</v>
      </c>
    </row>
    <row r="16" spans="1:9" s="8" customFormat="1" ht="10.199999999999999" x14ac:dyDescent="0.3">
      <c r="A16" s="1"/>
      <c r="B16" s="5"/>
      <c r="C16" s="44"/>
      <c r="D16" s="44"/>
      <c r="E16" s="44"/>
      <c r="F16" s="35"/>
      <c r="G16" s="32"/>
      <c r="H16" s="6" t="s">
        <v>2972</v>
      </c>
      <c r="I16" s="8" t="s">
        <v>2973</v>
      </c>
    </row>
    <row r="17" spans="1:16" s="8" customFormat="1" ht="10.199999999999999" x14ac:dyDescent="0.3">
      <c r="A17" s="1"/>
      <c r="B17" s="5" t="s">
        <v>6482</v>
      </c>
      <c r="C17" s="44"/>
      <c r="D17" s="44"/>
      <c r="E17" s="44"/>
      <c r="F17" s="35"/>
      <c r="G17" s="32"/>
      <c r="H17" s="6" t="s">
        <v>2974</v>
      </c>
      <c r="I17" s="8" t="s">
        <v>4753</v>
      </c>
    </row>
    <row r="18" spans="1:16" s="8" customFormat="1" ht="10.199999999999999" x14ac:dyDescent="0.3">
      <c r="A18" s="1"/>
      <c r="B18" s="129" t="s">
        <v>8</v>
      </c>
      <c r="C18" s="45"/>
      <c r="D18" s="45"/>
      <c r="E18" s="45"/>
      <c r="F18" s="41"/>
      <c r="G18" s="32"/>
      <c r="H18" s="6" t="s">
        <v>2975</v>
      </c>
      <c r="I18" s="8" t="s">
        <v>2976</v>
      </c>
    </row>
    <row r="19" spans="1:16" s="8" customFormat="1" ht="10.199999999999999" x14ac:dyDescent="0.3">
      <c r="A19" s="1"/>
      <c r="B19" s="30"/>
      <c r="C19" s="30"/>
      <c r="D19" s="30"/>
      <c r="E19" s="30"/>
      <c r="F19" s="31"/>
      <c r="G19" s="32"/>
      <c r="H19" s="6" t="s">
        <v>4754</v>
      </c>
      <c r="I19" s="8" t="s">
        <v>4755</v>
      </c>
    </row>
    <row r="20" spans="1:16" s="8" customFormat="1" ht="10.199999999999999" x14ac:dyDescent="0.3">
      <c r="A20" s="1"/>
      <c r="B20" s="30"/>
      <c r="C20" s="30"/>
      <c r="D20" s="30"/>
      <c r="E20" s="30"/>
      <c r="F20" s="31"/>
      <c r="G20" s="32"/>
      <c r="H20" s="6" t="s">
        <v>9</v>
      </c>
    </row>
    <row r="21" spans="1:16" s="8" customFormat="1" ht="12" x14ac:dyDescent="0.3">
      <c r="A21" s="1"/>
      <c r="B21" s="30"/>
      <c r="C21" s="30"/>
      <c r="D21" s="30"/>
      <c r="E21" s="30"/>
      <c r="F21" s="31"/>
      <c r="G21" s="32"/>
      <c r="H21" s="7" t="s">
        <v>6483</v>
      </c>
      <c r="I21" s="34"/>
      <c r="K21" s="4" t="s">
        <v>10</v>
      </c>
      <c r="L21" s="34"/>
      <c r="N21" s="4" t="s">
        <v>8545</v>
      </c>
      <c r="O21" s="34"/>
      <c r="P21" s="34"/>
    </row>
    <row r="22" spans="1:16" s="8" customFormat="1" ht="10.199999999999999" x14ac:dyDescent="0.3">
      <c r="A22" s="1"/>
      <c r="B22" s="30"/>
      <c r="C22" s="30"/>
      <c r="D22" s="30"/>
      <c r="E22" s="46"/>
      <c r="F22" s="31"/>
      <c r="G22" s="32"/>
      <c r="H22" s="6" t="s">
        <v>49</v>
      </c>
      <c r="I22" s="8" t="s">
        <v>2934</v>
      </c>
      <c r="K22" s="6" t="s">
        <v>112</v>
      </c>
      <c r="L22" s="8" t="s">
        <v>2954</v>
      </c>
      <c r="N22" s="8" t="s">
        <v>6484</v>
      </c>
    </row>
    <row r="23" spans="1:16" s="8" customFormat="1" ht="12" x14ac:dyDescent="0.3">
      <c r="A23" s="1"/>
      <c r="B23" s="47" t="s">
        <v>2920</v>
      </c>
      <c r="C23" s="48"/>
      <c r="D23" s="49"/>
      <c r="E23" s="114"/>
      <c r="F23" s="49"/>
      <c r="G23" s="32"/>
      <c r="H23" s="6" t="s">
        <v>253</v>
      </c>
      <c r="I23" s="8" t="s">
        <v>2926</v>
      </c>
      <c r="K23" s="6" t="s">
        <v>58</v>
      </c>
      <c r="L23" s="8" t="s">
        <v>2953</v>
      </c>
    </row>
    <row r="24" spans="1:16" s="8" customFormat="1" ht="10.199999999999999" x14ac:dyDescent="0.3">
      <c r="A24" s="1"/>
      <c r="B24" s="50" t="s">
        <v>2921</v>
      </c>
      <c r="C24" s="51">
        <v>462</v>
      </c>
      <c r="F24" s="8" t="s">
        <v>2922</v>
      </c>
      <c r="G24" s="32"/>
      <c r="H24" s="6" t="s">
        <v>57</v>
      </c>
      <c r="I24" s="8" t="s">
        <v>2924</v>
      </c>
      <c r="K24" s="6" t="s">
        <v>38</v>
      </c>
      <c r="L24" s="8" t="s">
        <v>2952</v>
      </c>
    </row>
    <row r="25" spans="1:16" s="8" customFormat="1" ht="10.199999999999999" x14ac:dyDescent="0.3">
      <c r="A25" s="1"/>
      <c r="C25" s="8" t="s">
        <v>37</v>
      </c>
      <c r="D25" s="8" t="s">
        <v>2921</v>
      </c>
      <c r="E25" s="52">
        <v>159</v>
      </c>
      <c r="F25" s="8" t="s">
        <v>2923</v>
      </c>
      <c r="G25" s="32"/>
      <c r="H25" s="6" t="s">
        <v>353</v>
      </c>
      <c r="I25" s="8" t="s">
        <v>2939</v>
      </c>
      <c r="K25" s="6" t="s">
        <v>50</v>
      </c>
      <c r="L25" s="8" t="s">
        <v>2977</v>
      </c>
    </row>
    <row r="26" spans="1:16" s="8" customFormat="1" ht="10.199999999999999" x14ac:dyDescent="0.3">
      <c r="A26" s="1"/>
      <c r="C26" s="8" t="s">
        <v>57</v>
      </c>
      <c r="D26" s="8" t="s">
        <v>2924</v>
      </c>
      <c r="E26" s="52">
        <v>260</v>
      </c>
      <c r="F26" s="8" t="s">
        <v>2925</v>
      </c>
      <c r="G26" s="32"/>
      <c r="H26" s="6" t="s">
        <v>89</v>
      </c>
      <c r="I26" s="8" t="s">
        <v>2931</v>
      </c>
      <c r="K26" s="6" t="s">
        <v>158</v>
      </c>
      <c r="L26" s="8" t="s">
        <v>2947</v>
      </c>
    </row>
    <row r="27" spans="1:16" s="8" customFormat="1" ht="10.199999999999999" x14ac:dyDescent="0.3">
      <c r="A27" s="1"/>
      <c r="C27" s="8" t="s">
        <v>253</v>
      </c>
      <c r="D27" s="8" t="s">
        <v>2926</v>
      </c>
      <c r="E27" s="52">
        <v>12</v>
      </c>
      <c r="F27" s="8" t="s">
        <v>2927</v>
      </c>
      <c r="G27" s="32"/>
      <c r="H27" s="6" t="s">
        <v>37</v>
      </c>
      <c r="I27" s="8" t="s">
        <v>2921</v>
      </c>
      <c r="K27" s="6" t="s">
        <v>2978</v>
      </c>
      <c r="L27" s="8" t="s">
        <v>2979</v>
      </c>
    </row>
    <row r="28" spans="1:16" s="8" customFormat="1" ht="10.199999999999999" x14ac:dyDescent="0.3">
      <c r="A28" s="1"/>
      <c r="C28" s="8" t="s">
        <v>42</v>
      </c>
      <c r="D28" s="8" t="s">
        <v>2928</v>
      </c>
      <c r="E28" s="52">
        <v>7</v>
      </c>
      <c r="F28" s="8" t="s">
        <v>2929</v>
      </c>
      <c r="G28" s="32"/>
      <c r="H28" s="6" t="s">
        <v>42</v>
      </c>
      <c r="I28" s="8" t="s">
        <v>2928</v>
      </c>
      <c r="K28" s="6" t="s">
        <v>186</v>
      </c>
      <c r="L28" s="8" t="s">
        <v>2980</v>
      </c>
    </row>
    <row r="29" spans="1:16" s="8" customFormat="1" ht="10.199999999999999" x14ac:dyDescent="0.3">
      <c r="A29" s="1"/>
      <c r="B29" s="49"/>
      <c r="C29" s="49" t="s">
        <v>695</v>
      </c>
      <c r="D29" s="49"/>
      <c r="E29" s="53">
        <v>3</v>
      </c>
      <c r="F29" s="49" t="s">
        <v>2930</v>
      </c>
      <c r="G29" s="32"/>
      <c r="H29" s="6" t="s">
        <v>63</v>
      </c>
      <c r="I29" s="8" t="s">
        <v>2981</v>
      </c>
      <c r="K29" s="6" t="s">
        <v>253</v>
      </c>
      <c r="L29" s="8" t="s">
        <v>2982</v>
      </c>
    </row>
    <row r="30" spans="1:16" s="8" customFormat="1" ht="10.199999999999999" x14ac:dyDescent="0.3">
      <c r="A30" s="1"/>
      <c r="B30" s="50" t="s">
        <v>2931</v>
      </c>
      <c r="C30" s="51">
        <v>296</v>
      </c>
      <c r="F30" s="8" t="s">
        <v>2932</v>
      </c>
      <c r="G30" s="32"/>
      <c r="H30" s="6"/>
      <c r="K30" s="67"/>
    </row>
    <row r="31" spans="1:16" s="8" customFormat="1" ht="12" x14ac:dyDescent="0.3">
      <c r="A31" s="1"/>
      <c r="C31" s="8" t="s">
        <v>89</v>
      </c>
      <c r="D31" s="8" t="s">
        <v>2931</v>
      </c>
      <c r="E31" s="52">
        <v>123</v>
      </c>
      <c r="F31" s="8" t="s">
        <v>2933</v>
      </c>
      <c r="G31" s="32"/>
      <c r="H31" s="7" t="s">
        <v>3014</v>
      </c>
      <c r="I31" s="34"/>
      <c r="J31" s="34"/>
      <c r="K31" s="34"/>
      <c r="L31" s="34"/>
    </row>
    <row r="32" spans="1:16" s="8" customFormat="1" ht="10.199999999999999" x14ac:dyDescent="0.3">
      <c r="A32" s="1"/>
      <c r="C32" s="8" t="s">
        <v>49</v>
      </c>
      <c r="D32" s="8" t="s">
        <v>2934</v>
      </c>
      <c r="E32" s="52">
        <v>149</v>
      </c>
      <c r="F32" s="8" t="s">
        <v>2935</v>
      </c>
      <c r="G32" s="32"/>
      <c r="H32" s="68" t="s">
        <v>21</v>
      </c>
      <c r="I32" s="8" t="s">
        <v>3036</v>
      </c>
      <c r="K32" s="67"/>
    </row>
    <row r="33" spans="1:11" s="8" customFormat="1" ht="10.199999999999999" x14ac:dyDescent="0.3">
      <c r="A33" s="1"/>
      <c r="B33" s="49"/>
      <c r="C33" s="49" t="s">
        <v>178</v>
      </c>
      <c r="D33" s="49"/>
      <c r="E33" s="53">
        <v>3</v>
      </c>
      <c r="F33" s="49" t="s">
        <v>2936</v>
      </c>
      <c r="G33" s="32"/>
      <c r="H33" s="69" t="s">
        <v>22</v>
      </c>
      <c r="I33" s="8" t="s">
        <v>3037</v>
      </c>
      <c r="K33" s="67"/>
    </row>
    <row r="34" spans="1:11" s="8" customFormat="1" ht="10.199999999999999" x14ac:dyDescent="0.3">
      <c r="A34" s="1"/>
      <c r="B34" s="50" t="s">
        <v>2937</v>
      </c>
      <c r="C34" s="8" t="s">
        <v>346</v>
      </c>
      <c r="E34" s="52">
        <v>21</v>
      </c>
      <c r="F34" s="8" t="s">
        <v>2938</v>
      </c>
      <c r="G34" s="32"/>
      <c r="H34" s="70" t="s">
        <v>23</v>
      </c>
      <c r="I34" s="8" t="s">
        <v>3038</v>
      </c>
      <c r="K34" s="67"/>
    </row>
    <row r="35" spans="1:11" s="8" customFormat="1" ht="10.199999999999999" x14ac:dyDescent="0.3">
      <c r="A35" s="1"/>
      <c r="B35" s="50" t="s">
        <v>2939</v>
      </c>
      <c r="C35" s="8" t="s">
        <v>353</v>
      </c>
      <c r="E35" s="52">
        <v>2</v>
      </c>
      <c r="F35" s="8" t="s">
        <v>2940</v>
      </c>
      <c r="G35" s="32"/>
      <c r="H35" s="71" t="s">
        <v>6472</v>
      </c>
      <c r="I35" s="8" t="s">
        <v>6485</v>
      </c>
      <c r="K35" s="67"/>
    </row>
    <row r="36" spans="1:11" s="8" customFormat="1" ht="10.199999999999999" x14ac:dyDescent="0.3">
      <c r="A36" s="1"/>
      <c r="B36" s="54" t="s">
        <v>2941</v>
      </c>
      <c r="C36" s="49" t="s">
        <v>63</v>
      </c>
      <c r="D36" s="49"/>
      <c r="E36" s="53">
        <v>4</v>
      </c>
      <c r="F36" s="49" t="s">
        <v>2942</v>
      </c>
      <c r="G36" s="32"/>
      <c r="H36" s="71" t="s">
        <v>4754</v>
      </c>
      <c r="I36" s="8" t="s">
        <v>6486</v>
      </c>
      <c r="K36" s="67"/>
    </row>
    <row r="37" spans="1:11" s="8" customFormat="1" ht="10.199999999999999" x14ac:dyDescent="0.3">
      <c r="A37" s="1"/>
      <c r="B37" s="55" t="s">
        <v>2943</v>
      </c>
      <c r="C37" s="55"/>
      <c r="D37" s="55"/>
      <c r="E37" s="56">
        <v>743</v>
      </c>
      <c r="F37" s="57"/>
      <c r="G37" s="32"/>
      <c r="H37" s="8" t="s">
        <v>3039</v>
      </c>
      <c r="I37" s="8" t="s">
        <v>6487</v>
      </c>
      <c r="K37" s="67"/>
    </row>
    <row r="38" spans="1:11" s="8" customFormat="1" ht="10.199999999999999" x14ac:dyDescent="0.3">
      <c r="A38" s="1"/>
      <c r="B38" s="30"/>
      <c r="C38" s="30"/>
      <c r="D38" s="30"/>
      <c r="E38" s="30"/>
      <c r="F38" s="31"/>
      <c r="G38" s="32"/>
      <c r="H38" s="8" t="s">
        <v>4754</v>
      </c>
      <c r="I38" s="8" t="s">
        <v>6488</v>
      </c>
      <c r="K38" s="67"/>
    </row>
    <row r="39" spans="1:11" s="8" customFormat="1" ht="10.199999999999999" x14ac:dyDescent="0.3">
      <c r="A39" s="1"/>
      <c r="B39" s="30"/>
      <c r="C39" s="30"/>
      <c r="D39" s="30"/>
      <c r="E39" s="30"/>
      <c r="F39" s="31"/>
      <c r="G39" s="32"/>
      <c r="H39" s="6"/>
      <c r="K39" s="67"/>
    </row>
    <row r="40" spans="1:11" s="8" customFormat="1" ht="12" x14ac:dyDescent="0.3">
      <c r="A40" s="1"/>
      <c r="D40" s="46"/>
      <c r="E40" s="46"/>
      <c r="G40" s="32"/>
      <c r="H40" s="7" t="s">
        <v>3015</v>
      </c>
      <c r="I40" s="34"/>
      <c r="J40" s="34"/>
      <c r="K40" s="67"/>
    </row>
    <row r="41" spans="1:11" s="8" customFormat="1" ht="12" x14ac:dyDescent="0.3">
      <c r="A41" s="1"/>
      <c r="B41" s="58" t="s">
        <v>2944</v>
      </c>
      <c r="C41" s="34"/>
      <c r="D41" s="115"/>
      <c r="E41" s="115"/>
      <c r="G41" s="32"/>
      <c r="H41" s="6" t="s">
        <v>49</v>
      </c>
      <c r="I41" s="8" t="s">
        <v>3016</v>
      </c>
      <c r="K41" s="67"/>
    </row>
    <row r="42" spans="1:11" s="8" customFormat="1" ht="10.199999999999999" x14ac:dyDescent="0.3">
      <c r="A42" s="1"/>
      <c r="B42" s="1"/>
      <c r="C42" s="1"/>
      <c r="D42" s="51" t="s">
        <v>24</v>
      </c>
      <c r="E42" s="51" t="s">
        <v>30</v>
      </c>
      <c r="G42" s="32"/>
      <c r="H42" s="6" t="s">
        <v>3017</v>
      </c>
      <c r="I42" s="8" t="s">
        <v>3018</v>
      </c>
    </row>
    <row r="43" spans="1:11" s="8" customFormat="1" ht="10.199999999999999" x14ac:dyDescent="0.3">
      <c r="A43" s="1"/>
      <c r="B43" s="8" t="s">
        <v>253</v>
      </c>
      <c r="C43" s="8" t="s">
        <v>2946</v>
      </c>
      <c r="D43" s="52">
        <v>1</v>
      </c>
      <c r="E43" s="52">
        <v>0</v>
      </c>
      <c r="G43" s="32"/>
      <c r="H43" s="6" t="s">
        <v>3019</v>
      </c>
      <c r="I43" s="8" t="s">
        <v>3020</v>
      </c>
      <c r="K43" s="67"/>
    </row>
    <row r="44" spans="1:11" s="8" customFormat="1" ht="10.199999999999999" x14ac:dyDescent="0.3">
      <c r="A44" s="1"/>
      <c r="B44" s="8" t="s">
        <v>158</v>
      </c>
      <c r="C44" s="8" t="s">
        <v>2947</v>
      </c>
      <c r="D44" s="52">
        <v>4</v>
      </c>
      <c r="E44" s="52">
        <v>0</v>
      </c>
      <c r="G44" s="32"/>
      <c r="H44" s="6" t="s">
        <v>1650</v>
      </c>
      <c r="I44" s="8" t="s">
        <v>3021</v>
      </c>
      <c r="K44" s="67"/>
    </row>
    <row r="45" spans="1:11" s="8" customFormat="1" ht="10.199999999999999" x14ac:dyDescent="0.3">
      <c r="A45" s="1"/>
      <c r="B45" s="8" t="s">
        <v>2948</v>
      </c>
      <c r="C45" s="8" t="s">
        <v>2949</v>
      </c>
      <c r="D45" s="52">
        <v>556</v>
      </c>
      <c r="E45" s="52">
        <v>560</v>
      </c>
      <c r="G45" s="32"/>
      <c r="H45" s="6" t="s">
        <v>57</v>
      </c>
      <c r="I45" s="8" t="s">
        <v>3022</v>
      </c>
      <c r="K45" s="67"/>
    </row>
    <row r="46" spans="1:11" s="8" customFormat="1" ht="10.199999999999999" x14ac:dyDescent="0.3">
      <c r="A46" s="1"/>
      <c r="B46" s="8" t="s">
        <v>2950</v>
      </c>
      <c r="C46" s="8" t="s">
        <v>2951</v>
      </c>
      <c r="D46" s="52">
        <v>87</v>
      </c>
      <c r="E46" s="52">
        <v>32</v>
      </c>
      <c r="F46" s="46"/>
      <c r="G46" s="32"/>
      <c r="H46" s="6"/>
      <c r="K46" s="67"/>
    </row>
    <row r="47" spans="1:11" s="8" customFormat="1" ht="12" x14ac:dyDescent="0.3">
      <c r="A47" s="1"/>
      <c r="B47" s="8" t="s">
        <v>38</v>
      </c>
      <c r="C47" s="8" t="s">
        <v>2952</v>
      </c>
      <c r="D47" s="52">
        <v>51</v>
      </c>
      <c r="E47" s="52">
        <v>78</v>
      </c>
      <c r="F47" s="46"/>
      <c r="G47" s="32"/>
      <c r="H47" s="7" t="s">
        <v>3023</v>
      </c>
      <c r="I47" s="34"/>
      <c r="J47" s="34"/>
      <c r="K47" s="67"/>
    </row>
    <row r="48" spans="1:11" s="8" customFormat="1" ht="10.199999999999999" x14ac:dyDescent="0.3">
      <c r="A48" s="1"/>
      <c r="B48" s="8" t="s">
        <v>58</v>
      </c>
      <c r="C48" s="8" t="s">
        <v>2953</v>
      </c>
      <c r="D48" s="52">
        <v>28</v>
      </c>
      <c r="E48" s="52">
        <v>42</v>
      </c>
      <c r="G48" s="32"/>
      <c r="H48" s="6" t="s">
        <v>3024</v>
      </c>
      <c r="I48" s="8" t="s">
        <v>3025</v>
      </c>
      <c r="K48" s="67"/>
    </row>
    <row r="49" spans="1:18" s="8" customFormat="1" ht="10.199999999999999" x14ac:dyDescent="0.3">
      <c r="A49" s="1"/>
      <c r="B49" s="8" t="s">
        <v>112</v>
      </c>
      <c r="C49" s="8" t="s">
        <v>2954</v>
      </c>
      <c r="D49" s="52">
        <v>16</v>
      </c>
      <c r="E49" s="52">
        <v>31</v>
      </c>
      <c r="G49" s="32"/>
      <c r="H49" s="72">
        <v>-1</v>
      </c>
      <c r="I49" s="8" t="s">
        <v>3026</v>
      </c>
    </row>
    <row r="50" spans="1:18" s="8" customFormat="1" ht="10.199999999999999" x14ac:dyDescent="0.3">
      <c r="A50" s="1"/>
      <c r="B50" s="55" t="s">
        <v>2943</v>
      </c>
      <c r="C50" s="57"/>
      <c r="D50" s="56">
        <v>743</v>
      </c>
      <c r="E50" s="56">
        <v>743</v>
      </c>
      <c r="G50" s="32"/>
      <c r="H50" s="6"/>
      <c r="K50" s="67"/>
    </row>
    <row r="51" spans="1:18" s="8" customFormat="1" ht="12" x14ac:dyDescent="0.3">
      <c r="A51" s="1"/>
      <c r="B51" s="30"/>
      <c r="C51" s="30"/>
      <c r="D51" s="30"/>
      <c r="E51" s="30"/>
      <c r="G51" s="32"/>
      <c r="H51" s="4" t="s">
        <v>11</v>
      </c>
      <c r="I51" s="34"/>
      <c r="K51" s="67"/>
    </row>
    <row r="52" spans="1:18" s="8" customFormat="1" ht="10.199999999999999" x14ac:dyDescent="0.3">
      <c r="A52" s="1"/>
      <c r="B52" s="30"/>
      <c r="C52" s="30"/>
      <c r="D52" s="30"/>
      <c r="E52" s="30"/>
      <c r="F52" s="31"/>
      <c r="G52" s="32"/>
      <c r="H52" s="6" t="s">
        <v>2983</v>
      </c>
    </row>
    <row r="53" spans="1:18" s="8" customFormat="1" ht="11.4" x14ac:dyDescent="0.2">
      <c r="A53" s="1"/>
      <c r="C53" s="115"/>
      <c r="E53" s="30"/>
      <c r="F53" s="78"/>
      <c r="G53" s="32"/>
      <c r="H53" s="6" t="s">
        <v>2984</v>
      </c>
    </row>
    <row r="54" spans="1:18" s="8" customFormat="1" ht="10.199999999999999" customHeight="1" x14ac:dyDescent="0.3">
      <c r="A54" s="1"/>
      <c r="B54" s="58" t="s">
        <v>1595</v>
      </c>
      <c r="C54" s="34"/>
      <c r="E54" s="30"/>
      <c r="F54" s="31"/>
      <c r="G54" s="32"/>
      <c r="H54" s="6" t="s">
        <v>5141</v>
      </c>
    </row>
    <row r="55" spans="1:18" s="8" customFormat="1" ht="10.199999999999999" customHeight="1" x14ac:dyDescent="0.3">
      <c r="A55" s="1"/>
      <c r="C55" s="51" t="s">
        <v>2945</v>
      </c>
      <c r="D55" s="51" t="s">
        <v>2943</v>
      </c>
      <c r="E55" s="30"/>
      <c r="F55" s="31"/>
      <c r="G55" s="32"/>
      <c r="H55" s="6" t="s">
        <v>3040</v>
      </c>
    </row>
    <row r="56" spans="1:18" s="8" customFormat="1" ht="10.199999999999999" customHeight="1" x14ac:dyDescent="0.3">
      <c r="A56" s="1"/>
      <c r="B56" s="59" t="s">
        <v>1632</v>
      </c>
      <c r="C56" s="53">
        <v>94</v>
      </c>
      <c r="D56" s="53">
        <v>245</v>
      </c>
      <c r="E56" s="30"/>
      <c r="F56" s="31"/>
      <c r="G56" s="32"/>
      <c r="H56" s="6" t="s">
        <v>5125</v>
      </c>
    </row>
    <row r="57" spans="1:18" s="8" customFormat="1" ht="10.199999999999999" customHeight="1" x14ac:dyDescent="0.3">
      <c r="A57" s="1"/>
      <c r="B57" s="31" t="s">
        <v>1669</v>
      </c>
      <c r="C57" s="52">
        <v>29</v>
      </c>
      <c r="D57" s="52">
        <v>51</v>
      </c>
      <c r="E57" s="30"/>
      <c r="F57" s="31"/>
      <c r="G57" s="32"/>
      <c r="H57" s="6" t="s">
        <v>5142</v>
      </c>
    </row>
    <row r="58" spans="1:18" s="8" customFormat="1" ht="10.199999999999999" customHeight="1" x14ac:dyDescent="0.3">
      <c r="A58" s="1"/>
      <c r="B58" s="30" t="s">
        <v>1914</v>
      </c>
      <c r="C58" s="52">
        <v>22</v>
      </c>
      <c r="D58" s="52"/>
      <c r="E58" s="42"/>
      <c r="F58" s="31"/>
      <c r="G58" s="32"/>
      <c r="H58" s="8" t="s">
        <v>6489</v>
      </c>
    </row>
    <row r="59" spans="1:18" ht="10.199999999999999" customHeight="1" x14ac:dyDescent="0.3">
      <c r="B59" s="60" t="s">
        <v>2243</v>
      </c>
      <c r="C59" s="53">
        <v>0</v>
      </c>
      <c r="D59" s="53"/>
      <c r="H59" s="6" t="s">
        <v>3041</v>
      </c>
      <c r="I59" s="8"/>
      <c r="J59" s="8"/>
      <c r="K59" s="8"/>
      <c r="L59" s="8"/>
      <c r="M59" s="8"/>
      <c r="N59" s="8"/>
      <c r="O59" s="8"/>
      <c r="P59" s="8"/>
      <c r="Q59" s="8"/>
      <c r="R59" s="8"/>
    </row>
    <row r="60" spans="1:18" ht="10.199999999999999" customHeight="1" x14ac:dyDescent="0.3">
      <c r="B60" s="31" t="s">
        <v>1668</v>
      </c>
      <c r="C60" s="52">
        <v>12</v>
      </c>
      <c r="D60" s="52">
        <v>35</v>
      </c>
      <c r="H60" s="6" t="s">
        <v>3042</v>
      </c>
      <c r="I60" s="8"/>
      <c r="J60" s="8"/>
      <c r="K60" s="8"/>
      <c r="L60" s="8"/>
      <c r="M60" s="8"/>
    </row>
    <row r="61" spans="1:18" ht="10.199999999999999" customHeight="1" x14ac:dyDescent="0.3">
      <c r="B61" s="60" t="s">
        <v>1712</v>
      </c>
      <c r="C61" s="53">
        <v>23</v>
      </c>
      <c r="D61" s="53"/>
      <c r="H61" s="6" t="s">
        <v>2985</v>
      </c>
      <c r="I61" s="8"/>
      <c r="J61" s="8"/>
      <c r="K61" s="8"/>
      <c r="L61" s="8"/>
      <c r="M61" s="8"/>
    </row>
    <row r="62" spans="1:18" ht="10.199999999999999" customHeight="1" x14ac:dyDescent="0.3">
      <c r="B62" s="31" t="s">
        <v>1647</v>
      </c>
      <c r="C62" s="52">
        <v>15</v>
      </c>
      <c r="D62" s="52">
        <v>24</v>
      </c>
      <c r="H62" s="6" t="s">
        <v>2986</v>
      </c>
      <c r="I62" s="8"/>
      <c r="J62" s="8"/>
      <c r="K62" s="8"/>
      <c r="L62" s="8"/>
      <c r="M62" s="8"/>
    </row>
    <row r="63" spans="1:18" ht="10.199999999999999" customHeight="1" x14ac:dyDescent="0.3">
      <c r="B63" s="60" t="s">
        <v>1610</v>
      </c>
      <c r="C63" s="53">
        <v>9</v>
      </c>
      <c r="D63" s="53"/>
      <c r="H63" s="6" t="s">
        <v>2987</v>
      </c>
      <c r="I63" s="8"/>
      <c r="J63" s="8"/>
      <c r="K63" s="8"/>
      <c r="L63" s="8"/>
      <c r="M63" s="8"/>
    </row>
    <row r="64" spans="1:18" ht="10.199999999999999" customHeight="1" x14ac:dyDescent="0.3">
      <c r="B64" s="31" t="s">
        <v>2066</v>
      </c>
      <c r="C64" s="52">
        <v>1</v>
      </c>
      <c r="D64" s="52">
        <v>9</v>
      </c>
      <c r="H64" s="6" t="s">
        <v>2988</v>
      </c>
      <c r="I64" s="8"/>
      <c r="J64" s="8"/>
      <c r="K64" s="8"/>
      <c r="L64" s="8"/>
      <c r="M64" s="8"/>
    </row>
    <row r="65" spans="2:13" ht="10.199999999999999" customHeight="1" x14ac:dyDescent="0.3">
      <c r="B65" s="60" t="s">
        <v>1671</v>
      </c>
      <c r="C65" s="53">
        <v>8</v>
      </c>
      <c r="D65" s="53"/>
      <c r="H65" s="6" t="s">
        <v>3043</v>
      </c>
      <c r="I65" s="8"/>
      <c r="J65" s="8"/>
      <c r="K65" s="8"/>
      <c r="L65" s="8"/>
      <c r="M65" s="8"/>
    </row>
    <row r="66" spans="2:13" ht="10.199999999999999" customHeight="1" x14ac:dyDescent="0.3">
      <c r="B66" s="31" t="s">
        <v>1701</v>
      </c>
      <c r="C66" s="52">
        <v>13</v>
      </c>
      <c r="D66" s="52">
        <v>19</v>
      </c>
      <c r="H66" s="6" t="s">
        <v>12</v>
      </c>
      <c r="I66" s="8"/>
      <c r="J66" s="8"/>
      <c r="K66" s="8"/>
      <c r="L66" s="8"/>
      <c r="M66" s="8"/>
    </row>
    <row r="67" spans="2:13" ht="10.199999999999999" customHeight="1" x14ac:dyDescent="0.3">
      <c r="B67" s="30" t="s">
        <v>1720</v>
      </c>
      <c r="C67" s="52">
        <v>2</v>
      </c>
      <c r="D67" s="52"/>
      <c r="H67" s="6" t="s">
        <v>3044</v>
      </c>
      <c r="I67" s="8"/>
      <c r="J67" s="8"/>
      <c r="K67" s="8"/>
      <c r="L67" s="8"/>
      <c r="M67" s="8"/>
    </row>
    <row r="68" spans="2:13" ht="10.199999999999999" customHeight="1" x14ac:dyDescent="0.3">
      <c r="B68" s="30" t="s">
        <v>2138</v>
      </c>
      <c r="C68" s="52">
        <v>1</v>
      </c>
      <c r="D68" s="52"/>
      <c r="H68" s="6" t="s">
        <v>3045</v>
      </c>
      <c r="I68" s="8"/>
      <c r="J68" s="8"/>
      <c r="K68" s="8"/>
      <c r="L68" s="8"/>
      <c r="M68" s="8"/>
    </row>
    <row r="69" spans="2:13" ht="10.199999999999999" customHeight="1" x14ac:dyDescent="0.3">
      <c r="B69" s="60" t="s">
        <v>1930</v>
      </c>
      <c r="C69" s="53">
        <v>3</v>
      </c>
      <c r="D69" s="53"/>
      <c r="H69" s="6" t="s">
        <v>3046</v>
      </c>
      <c r="I69" s="8"/>
      <c r="J69" s="8"/>
      <c r="K69" s="8"/>
      <c r="L69" s="8"/>
      <c r="M69" s="8"/>
    </row>
    <row r="70" spans="2:13" ht="10.199999999999999" customHeight="1" x14ac:dyDescent="0.3">
      <c r="B70" s="31" t="s">
        <v>1937</v>
      </c>
      <c r="C70" s="52">
        <v>5</v>
      </c>
      <c r="D70" s="52">
        <v>7</v>
      </c>
      <c r="H70" s="6" t="s">
        <v>3047</v>
      </c>
      <c r="I70" s="8"/>
      <c r="J70" s="8"/>
      <c r="K70" s="8"/>
      <c r="L70" s="8"/>
      <c r="M70" s="8"/>
    </row>
    <row r="71" spans="2:13" ht="10.199999999999999" customHeight="1" x14ac:dyDescent="0.3">
      <c r="B71" s="60" t="s">
        <v>1703</v>
      </c>
      <c r="C71" s="53">
        <v>2</v>
      </c>
      <c r="D71" s="53"/>
      <c r="H71" s="6" t="s">
        <v>3048</v>
      </c>
      <c r="I71" s="8"/>
      <c r="J71" s="8"/>
      <c r="K71" s="8"/>
      <c r="L71" s="8"/>
      <c r="M71" s="8"/>
    </row>
    <row r="72" spans="2:13" ht="10.199999999999999" customHeight="1" x14ac:dyDescent="0.3">
      <c r="B72" s="31" t="s">
        <v>1927</v>
      </c>
      <c r="C72" s="52">
        <v>1</v>
      </c>
      <c r="D72" s="52">
        <v>3</v>
      </c>
      <c r="H72" s="6" t="s">
        <v>3049</v>
      </c>
      <c r="I72" s="8"/>
      <c r="J72" s="8"/>
      <c r="K72" s="8"/>
      <c r="L72" s="8"/>
      <c r="M72" s="8"/>
    </row>
    <row r="73" spans="2:13" ht="10.199999999999999" customHeight="1" x14ac:dyDescent="0.3">
      <c r="B73" s="60" t="s">
        <v>2042</v>
      </c>
      <c r="C73" s="53">
        <v>2</v>
      </c>
      <c r="D73" s="53"/>
      <c r="H73" s="6" t="s">
        <v>2989</v>
      </c>
      <c r="I73" s="8"/>
      <c r="J73" s="8"/>
      <c r="K73" s="8"/>
      <c r="L73" s="8"/>
      <c r="M73" s="8"/>
    </row>
    <row r="74" spans="2:13" ht="10.199999999999999" customHeight="1" x14ac:dyDescent="0.3">
      <c r="B74" s="30" t="s">
        <v>1934</v>
      </c>
      <c r="C74" s="52">
        <v>2</v>
      </c>
      <c r="D74" s="52"/>
      <c r="H74" s="6" t="s">
        <v>6375</v>
      </c>
      <c r="I74" s="8"/>
      <c r="J74" s="8"/>
      <c r="K74" s="8"/>
      <c r="L74" s="8"/>
      <c r="M74" s="8"/>
    </row>
    <row r="75" spans="2:13" ht="10.199999999999999" customHeight="1" x14ac:dyDescent="0.3">
      <c r="B75" s="60" t="s">
        <v>1726</v>
      </c>
      <c r="C75" s="53">
        <v>1</v>
      </c>
      <c r="D75" s="53"/>
      <c r="H75" s="6" t="s">
        <v>13</v>
      </c>
      <c r="I75" s="8"/>
      <c r="J75" s="8"/>
      <c r="K75" s="8"/>
      <c r="L75" s="8"/>
      <c r="M75" s="8"/>
    </row>
    <row r="76" spans="2:13" ht="10.199999999999999" customHeight="1" x14ac:dyDescent="0.3">
      <c r="B76" s="61" t="s">
        <v>2943</v>
      </c>
      <c r="C76" s="56">
        <v>245</v>
      </c>
      <c r="D76" s="56"/>
      <c r="H76" s="6" t="s">
        <v>14</v>
      </c>
      <c r="I76" s="8"/>
      <c r="J76" s="8"/>
      <c r="K76" s="8"/>
      <c r="L76" s="8"/>
      <c r="M76" s="8"/>
    </row>
    <row r="77" spans="2:13" ht="10.199999999999999" customHeight="1" x14ac:dyDescent="0.3">
      <c r="H77" s="6" t="s">
        <v>2990</v>
      </c>
      <c r="I77" s="8"/>
      <c r="J77" s="8"/>
      <c r="K77" s="8"/>
      <c r="L77" s="8"/>
      <c r="M77" s="8"/>
    </row>
    <row r="78" spans="2:13" ht="10.199999999999999" customHeight="1" x14ac:dyDescent="0.3">
      <c r="H78" s="6" t="s">
        <v>2991</v>
      </c>
      <c r="I78" s="8"/>
      <c r="J78" s="8"/>
      <c r="K78" s="8"/>
      <c r="L78" s="8"/>
      <c r="M78" s="8"/>
    </row>
    <row r="79" spans="2:13" ht="10.199999999999999" customHeight="1" x14ac:dyDescent="0.3">
      <c r="H79" s="6" t="s">
        <v>3050</v>
      </c>
      <c r="I79" s="8"/>
      <c r="J79" s="8"/>
      <c r="K79" s="8"/>
      <c r="L79" s="8"/>
      <c r="M79" s="8"/>
    </row>
    <row r="80" spans="2:13" ht="10.199999999999999" customHeight="1" x14ac:dyDescent="0.3">
      <c r="H80" s="6" t="s">
        <v>3051</v>
      </c>
      <c r="K80" s="8"/>
      <c r="L80" s="8"/>
      <c r="M80" s="8"/>
    </row>
    <row r="81" spans="8:13" ht="10.199999999999999" customHeight="1" x14ac:dyDescent="0.3">
      <c r="H81" s="6" t="s">
        <v>3052</v>
      </c>
      <c r="K81" s="8"/>
      <c r="L81" s="8"/>
      <c r="M81" s="8"/>
    </row>
    <row r="82" spans="8:13" ht="10.199999999999999" customHeight="1" x14ac:dyDescent="0.3">
      <c r="H82" s="6" t="s">
        <v>2992</v>
      </c>
      <c r="L82" s="8"/>
      <c r="M82" s="8"/>
    </row>
    <row r="83" spans="8:13" ht="10.199999999999999" customHeight="1" x14ac:dyDescent="0.3">
      <c r="H83" s="6" t="s">
        <v>4753</v>
      </c>
      <c r="L83" s="8"/>
      <c r="M83" s="8"/>
    </row>
    <row r="84" spans="8:13" ht="10.199999999999999" customHeight="1" x14ac:dyDescent="0.3">
      <c r="H84" s="6" t="s">
        <v>2993</v>
      </c>
      <c r="L84" s="8"/>
      <c r="M84" s="8"/>
    </row>
    <row r="85" spans="8:13" ht="10.199999999999999" customHeight="1" x14ac:dyDescent="0.3">
      <c r="H85" s="9" t="s">
        <v>15</v>
      </c>
      <c r="L85" s="8"/>
      <c r="M85" s="8"/>
    </row>
    <row r="86" spans="8:13" ht="10.199999999999999" customHeight="1" x14ac:dyDescent="0.3">
      <c r="H86" s="9" t="s">
        <v>16</v>
      </c>
      <c r="L86" s="8"/>
      <c r="M86" s="8"/>
    </row>
    <row r="87" spans="8:13" ht="10.199999999999999" customHeight="1" x14ac:dyDescent="0.3">
      <c r="H87" s="9" t="s">
        <v>3053</v>
      </c>
    </row>
    <row r="88" spans="8:13" ht="10.199999999999999" customHeight="1" x14ac:dyDescent="0.3">
      <c r="H88" s="9" t="s">
        <v>3054</v>
      </c>
    </row>
    <row r="89" spans="8:13" ht="10.199999999999999" customHeight="1" x14ac:dyDescent="0.3">
      <c r="H89" s="9" t="s">
        <v>3055</v>
      </c>
    </row>
    <row r="90" spans="8:13" ht="10.199999999999999" customHeight="1" x14ac:dyDescent="0.3">
      <c r="H90" s="9" t="s">
        <v>3056</v>
      </c>
    </row>
    <row r="91" spans="8:13" ht="10.199999999999999" customHeight="1" x14ac:dyDescent="0.3">
      <c r="H91" s="9" t="s">
        <v>3057</v>
      </c>
    </row>
    <row r="92" spans="8:13" ht="10.199999999999999" customHeight="1" x14ac:dyDescent="0.3">
      <c r="H92" s="9" t="s">
        <v>3058</v>
      </c>
    </row>
    <row r="93" spans="8:13" ht="10.199999999999999" customHeight="1" x14ac:dyDescent="0.3">
      <c r="H93" s="9" t="s">
        <v>3059</v>
      </c>
    </row>
    <row r="94" spans="8:13" ht="10.199999999999999" customHeight="1" x14ac:dyDescent="0.3">
      <c r="H94" s="9" t="s">
        <v>3060</v>
      </c>
    </row>
    <row r="95" spans="8:13" ht="10.199999999999999" customHeight="1" x14ac:dyDescent="0.3">
      <c r="H95" s="9" t="s">
        <v>3061</v>
      </c>
    </row>
    <row r="96" spans="8:13" ht="10.199999999999999" customHeight="1" x14ac:dyDescent="0.3">
      <c r="H96" s="9" t="s">
        <v>3062</v>
      </c>
    </row>
    <row r="97" spans="8:8" ht="10.199999999999999" customHeight="1" x14ac:dyDescent="0.3">
      <c r="H97" s="9" t="s">
        <v>2994</v>
      </c>
    </row>
    <row r="98" spans="8:8" ht="10.199999999999999" customHeight="1" x14ac:dyDescent="0.3">
      <c r="H98" s="9" t="s">
        <v>2995</v>
      </c>
    </row>
    <row r="99" spans="8:8" ht="10.199999999999999" customHeight="1" x14ac:dyDescent="0.3">
      <c r="H99" s="9" t="s">
        <v>17</v>
      </c>
    </row>
    <row r="100" spans="8:8" ht="10.199999999999999" customHeight="1" x14ac:dyDescent="0.3">
      <c r="H100" s="9" t="s">
        <v>3063</v>
      </c>
    </row>
    <row r="101" spans="8:8" ht="10.199999999999999" customHeight="1" x14ac:dyDescent="0.3">
      <c r="H101" s="6" t="s">
        <v>18</v>
      </c>
    </row>
    <row r="102" spans="8:8" ht="10.199999999999999" customHeight="1" x14ac:dyDescent="0.3">
      <c r="H102" s="6" t="s">
        <v>3064</v>
      </c>
    </row>
    <row r="103" spans="8:8" ht="10.199999999999999" customHeight="1" x14ac:dyDescent="0.3">
      <c r="H103" s="6" t="s">
        <v>2996</v>
      </c>
    </row>
    <row r="104" spans="8:8" ht="10.199999999999999" customHeight="1" x14ac:dyDescent="0.3">
      <c r="H104" s="6" t="s">
        <v>2997</v>
      </c>
    </row>
    <row r="105" spans="8:8" ht="10.199999999999999" customHeight="1" x14ac:dyDescent="0.3">
      <c r="H105" s="6" t="s">
        <v>19</v>
      </c>
    </row>
    <row r="106" spans="8:8" ht="10.199999999999999" customHeight="1" x14ac:dyDescent="0.3">
      <c r="H106" s="6" t="s">
        <v>20</v>
      </c>
    </row>
    <row r="107" spans="8:8" ht="10.199999999999999" customHeight="1" x14ac:dyDescent="0.3">
      <c r="H107" s="6" t="s">
        <v>2998</v>
      </c>
    </row>
    <row r="108" spans="8:8" x14ac:dyDescent="0.3">
      <c r="H108" s="6" t="s">
        <v>2999</v>
      </c>
    </row>
    <row r="109" spans="8:8" x14ac:dyDescent="0.3">
      <c r="H109" s="8" t="s">
        <v>3065</v>
      </c>
    </row>
  </sheetData>
  <hyperlinks>
    <hyperlink ref="A3" r:id="rId1" xr:uid="{6A0F6B03-BC9D-4889-A9A2-6A1BA74A6B70}"/>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2CE88-6621-4735-8799-7002CFB40CA3}">
  <sheetPr codeName="Sheet14"/>
  <dimension ref="A2:R927"/>
  <sheetViews>
    <sheetView tabSelected="1" topLeftCell="A2" zoomScale="85" zoomScaleNormal="85" workbookViewId="0">
      <pane ySplit="1" topLeftCell="A3" activePane="bottomLeft" state="frozen"/>
      <selection activeCell="N26" sqref="N26"/>
      <selection pane="bottomLeft" activeCell="A3" sqref="A3"/>
    </sheetView>
  </sheetViews>
  <sheetFormatPr defaultRowHeight="10.199999999999999" x14ac:dyDescent="0.3"/>
  <cols>
    <col min="1" max="1" width="2.77734375" style="85" customWidth="1"/>
    <col min="2" max="3" width="1.77734375" style="10" customWidth="1"/>
    <col min="4" max="4" width="1.77734375" style="11" customWidth="1"/>
    <col min="5" max="5" width="1.77734375" style="118" customWidth="1"/>
    <col min="6" max="6" width="1.77734375" style="119" customWidth="1"/>
    <col min="7" max="7" width="2.33203125" style="90" customWidth="1"/>
    <col min="8" max="8" width="3" style="90" customWidth="1"/>
    <col min="9" max="9" width="2.33203125" style="86" customWidth="1"/>
    <col min="10" max="10" width="13.77734375" style="87" customWidth="1"/>
    <col min="11" max="12" width="26.77734375" style="86" customWidth="1"/>
    <col min="13" max="13" width="26.77734375" style="87" customWidth="1"/>
    <col min="14" max="16" width="6" style="90" customWidth="1"/>
    <col min="17" max="18" width="50.77734375" style="2" customWidth="1"/>
    <col min="19" max="16384" width="8.88671875" style="2"/>
  </cols>
  <sheetData>
    <row r="2" spans="1:18" ht="60" customHeight="1" x14ac:dyDescent="0.3">
      <c r="A2" s="79" t="s">
        <v>25</v>
      </c>
      <c r="B2" s="12" t="s">
        <v>3066</v>
      </c>
      <c r="C2" s="13" t="s">
        <v>3067</v>
      </c>
      <c r="D2" s="80" t="s">
        <v>23</v>
      </c>
      <c r="E2" s="116" t="s">
        <v>6472</v>
      </c>
      <c r="F2" s="117" t="s">
        <v>24</v>
      </c>
      <c r="G2" s="66" t="s">
        <v>3039</v>
      </c>
      <c r="H2" s="66" t="s">
        <v>4754</v>
      </c>
      <c r="I2" s="81"/>
      <c r="J2" s="82" t="s">
        <v>26</v>
      </c>
      <c r="K2" s="81" t="s">
        <v>27</v>
      </c>
      <c r="L2" s="81" t="s">
        <v>4756</v>
      </c>
      <c r="M2" s="82" t="s">
        <v>28</v>
      </c>
      <c r="N2" s="83" t="s">
        <v>29</v>
      </c>
      <c r="O2" s="83" t="s">
        <v>24</v>
      </c>
      <c r="P2" s="83" t="s">
        <v>30</v>
      </c>
      <c r="Q2" s="84" t="s">
        <v>8546</v>
      </c>
      <c r="R2" s="84" t="s">
        <v>32</v>
      </c>
    </row>
    <row r="4" spans="1:18" ht="12" x14ac:dyDescent="0.3">
      <c r="K4" s="88" t="s">
        <v>5790</v>
      </c>
      <c r="M4" s="89" t="s">
        <v>60</v>
      </c>
    </row>
    <row r="5" spans="1:18" ht="40.799999999999997" x14ac:dyDescent="0.3">
      <c r="A5" s="85">
        <v>1</v>
      </c>
      <c r="B5" s="74" t="s">
        <v>3068</v>
      </c>
      <c r="C5" s="75" t="str">
        <f>HYPERLINK("https://www.xeno-canto.org/species/Dendrocygna-guttata")</f>
        <v>https://www.xeno-canto.org/species/Dendrocygna-guttata</v>
      </c>
      <c r="D5" s="91" t="str">
        <f>HYPERLINK("https://ebird.org/species/spwduc1")</f>
        <v>https://ebird.org/species/spwduc1</v>
      </c>
      <c r="E5" s="120" t="str">
        <f>HYPERLINK("https://en.wikipedia.org/wiki/Spotted_Whistling_Duck")</f>
        <v>https://en.wikipedia.org/wiki/Spotted_Whistling_Duck</v>
      </c>
      <c r="F5" s="121" t="str">
        <f>HYPERLINK("https://apiv3.iucnredlist.org/api/v3/website/Dendrocygna guttata")</f>
        <v>https://apiv3.iucnredlist.org/api/v3/website/Dendrocygna guttata</v>
      </c>
      <c r="G5" s="90">
        <v>6</v>
      </c>
      <c r="H5" s="90">
        <v>37</v>
      </c>
      <c r="J5" s="87" t="s">
        <v>60</v>
      </c>
      <c r="K5" s="92" t="s">
        <v>61</v>
      </c>
      <c r="M5" s="93" t="s">
        <v>62</v>
      </c>
      <c r="N5" s="90" t="s">
        <v>63</v>
      </c>
      <c r="Q5" s="2" t="s">
        <v>3069</v>
      </c>
      <c r="R5" s="2" t="s">
        <v>3070</v>
      </c>
    </row>
    <row r="6" spans="1:18" ht="14.4" x14ac:dyDescent="0.3">
      <c r="A6" s="85">
        <v>2</v>
      </c>
      <c r="B6" s="76" t="s">
        <v>3071</v>
      </c>
      <c r="C6" s="77" t="str">
        <f>HYPERLINK("https://www.xeno-canto.org/species/Dendrocygna-arcuata")</f>
        <v>https://www.xeno-canto.org/species/Dendrocygna-arcuata</v>
      </c>
      <c r="D6" s="94" t="str">
        <f>HYPERLINK("https://ebird.org/species/wawduc1")</f>
        <v>https://ebird.org/species/wawduc1</v>
      </c>
      <c r="E6" s="122" t="str">
        <f>HYPERLINK("https://en.wikipedia.org/wiki/Wandering_Whistling_Duck")</f>
        <v>https://en.wikipedia.org/wiki/Wandering_Whistling_Duck</v>
      </c>
      <c r="F6" s="123" t="str">
        <f>HYPERLINK("https://apiv3.iucnredlist.org/api/v3/website/Dendrocygna arcuata")</f>
        <v>https://apiv3.iucnredlist.org/api/v3/website/Dendrocygna arcuata</v>
      </c>
      <c r="G6" s="90">
        <v>6</v>
      </c>
      <c r="H6" s="90">
        <v>37</v>
      </c>
      <c r="J6" s="87" t="s">
        <v>60</v>
      </c>
      <c r="K6" s="95" t="s">
        <v>64</v>
      </c>
      <c r="M6" s="93" t="s">
        <v>65</v>
      </c>
      <c r="N6" s="90" t="s">
        <v>37</v>
      </c>
      <c r="Q6" s="2" t="s">
        <v>3072</v>
      </c>
    </row>
    <row r="7" spans="1:18" ht="30.6" x14ac:dyDescent="0.3">
      <c r="A7" s="85">
        <v>3</v>
      </c>
      <c r="B7" s="76" t="s">
        <v>3073</v>
      </c>
      <c r="C7" s="77" t="str">
        <f>HYPERLINK("https://www.xeno-canto.org/species/Branta-bernicla")</f>
        <v>https://www.xeno-canto.org/species/Branta-bernicla</v>
      </c>
      <c r="D7" s="94" t="str">
        <f>HYPERLINK("https://ebird.org/species/brant")</f>
        <v>https://ebird.org/species/brant</v>
      </c>
      <c r="E7" s="122" t="str">
        <f>HYPERLINK("https://en.wikipedia.org/wiki/Brant_Goose")</f>
        <v>https://en.wikipedia.org/wiki/Brant_Goose</v>
      </c>
      <c r="F7" s="123" t="str">
        <f>HYPERLINK("https://apiv3.iucnredlist.org/api/v3/website/Branta bernicla")</f>
        <v>https://apiv3.iucnredlist.org/api/v3/website/Branta bernicla</v>
      </c>
      <c r="H7" s="90">
        <v>37</v>
      </c>
      <c r="J7" s="87" t="s">
        <v>60</v>
      </c>
      <c r="K7" s="92" t="s">
        <v>66</v>
      </c>
      <c r="L7" s="86" t="s">
        <v>1614</v>
      </c>
      <c r="M7" s="93" t="s">
        <v>67</v>
      </c>
      <c r="N7" s="90" t="s">
        <v>49</v>
      </c>
      <c r="Q7" s="2" t="s">
        <v>3074</v>
      </c>
      <c r="R7" s="2" t="s">
        <v>6376</v>
      </c>
    </row>
    <row r="8" spans="1:18" ht="20.399999999999999" x14ac:dyDescent="0.3">
      <c r="A8" s="85">
        <v>4</v>
      </c>
      <c r="B8" s="76" t="s">
        <v>3075</v>
      </c>
      <c r="C8" s="77" t="str">
        <f>HYPERLINK("https://www.xeno-canto.org/species/Anser-indicus")</f>
        <v>https://www.xeno-canto.org/species/Anser-indicus</v>
      </c>
      <c r="D8" s="94" t="str">
        <f>HYPERLINK("https://ebird.org/species/bahgoo")</f>
        <v>https://ebird.org/species/bahgoo</v>
      </c>
      <c r="E8" s="122" t="str">
        <f>HYPERLINK("https://en.wikipedia.org/wiki/Bar-headed_Goose")</f>
        <v>https://en.wikipedia.org/wiki/Bar-headed_Goose</v>
      </c>
      <c r="F8" s="123" t="str">
        <f>HYPERLINK("https://apiv3.iucnredlist.org/api/v3/website/Anser indicus")</f>
        <v>https://apiv3.iucnredlist.org/api/v3/website/Anser indicus</v>
      </c>
      <c r="H8" s="90">
        <v>37</v>
      </c>
      <c r="J8" s="87" t="s">
        <v>60</v>
      </c>
      <c r="K8" s="92" t="s">
        <v>3076</v>
      </c>
      <c r="M8" s="93" t="s">
        <v>3077</v>
      </c>
      <c r="N8" s="90" t="s">
        <v>49</v>
      </c>
      <c r="Q8" s="2" t="s">
        <v>3078</v>
      </c>
      <c r="R8" s="2" t="s">
        <v>6490</v>
      </c>
    </row>
    <row r="9" spans="1:18" ht="20.399999999999999" x14ac:dyDescent="0.3">
      <c r="A9" s="85">
        <v>5</v>
      </c>
      <c r="B9" s="76" t="s">
        <v>5791</v>
      </c>
      <c r="C9" s="77" t="str">
        <f>HYPERLINK("https://www.xeno-canto.org/species/Anser-anser")</f>
        <v>https://www.xeno-canto.org/species/Anser-anser</v>
      </c>
      <c r="D9" s="94" t="str">
        <f>HYPERLINK("https://ebird.org/species/gragoo")</f>
        <v>https://ebird.org/species/gragoo</v>
      </c>
      <c r="E9" s="122" t="str">
        <f>HYPERLINK("https://en.wikipedia.org/wiki/Greylag_Goose")</f>
        <v>https://en.wikipedia.org/wiki/Greylag_Goose</v>
      </c>
      <c r="F9" s="123" t="str">
        <f>HYPERLINK("https://apiv3.iucnredlist.org/api/v3/website/Anser anser")</f>
        <v>https://apiv3.iucnredlist.org/api/v3/website/Anser anser</v>
      </c>
      <c r="J9" s="87" t="s">
        <v>60</v>
      </c>
      <c r="K9" s="92" t="s">
        <v>5792</v>
      </c>
      <c r="M9" s="93" t="s">
        <v>5793</v>
      </c>
      <c r="N9" s="90" t="s">
        <v>49</v>
      </c>
      <c r="R9" s="2" t="s">
        <v>6377</v>
      </c>
    </row>
    <row r="10" spans="1:18" ht="30.6" x14ac:dyDescent="0.3">
      <c r="A10" s="85">
        <v>6</v>
      </c>
      <c r="B10" s="76" t="s">
        <v>3079</v>
      </c>
      <c r="C10" s="77" t="str">
        <f>HYPERLINK("https://www.xeno-canto.org/species/Anser-fabalis")</f>
        <v>https://www.xeno-canto.org/species/Anser-fabalis</v>
      </c>
      <c r="D10" s="94" t="str">
        <f>HYPERLINK("https://ebird.org/species/taibeg1")</f>
        <v>https://ebird.org/species/taibeg1</v>
      </c>
      <c r="E10" s="122" t="str">
        <f>HYPERLINK("https://en.wikipedia.org/wiki/Taiga_Bean_Goose")</f>
        <v>https://en.wikipedia.org/wiki/Taiga_Bean_Goose</v>
      </c>
      <c r="F10" s="123" t="str">
        <f>HYPERLINK("https://apiv3.iucnredlist.org/api/v3/website/Anser fabalis")</f>
        <v>https://apiv3.iucnredlist.org/api/v3/website/Anser fabalis</v>
      </c>
      <c r="H10" s="90">
        <v>39</v>
      </c>
      <c r="J10" s="87" t="s">
        <v>60</v>
      </c>
      <c r="K10" s="92" t="s">
        <v>68</v>
      </c>
      <c r="M10" s="93" t="s">
        <v>69</v>
      </c>
      <c r="N10" s="90" t="s">
        <v>49</v>
      </c>
      <c r="Q10" s="2" t="s">
        <v>3078</v>
      </c>
      <c r="R10" s="2" t="s">
        <v>6378</v>
      </c>
    </row>
    <row r="11" spans="1:18" ht="20.399999999999999" x14ac:dyDescent="0.3">
      <c r="A11" s="85">
        <v>7</v>
      </c>
      <c r="B11" s="76" t="s">
        <v>3080</v>
      </c>
      <c r="C11" s="77" t="str">
        <f>HYPERLINK("https://www.xeno-canto.org/species/Anser-serrirostris")</f>
        <v>https://www.xeno-canto.org/species/Anser-serrirostris</v>
      </c>
      <c r="D11" s="94" t="str">
        <f>HYPERLINK("https://ebird.org/species/tunbeg1")</f>
        <v>https://ebird.org/species/tunbeg1</v>
      </c>
      <c r="E11" s="122" t="str">
        <f>HYPERLINK("https://en.wikipedia.org/wiki/Tundra_Bean_Goose")</f>
        <v>https://en.wikipedia.org/wiki/Tundra_Bean_Goose</v>
      </c>
      <c r="F11" s="123" t="str">
        <f>HYPERLINK("https://apiv3.iucnredlist.org/api/v3/website/Anser serrirostris")</f>
        <v>https://apiv3.iucnredlist.org/api/v3/website/Anser serrirostris</v>
      </c>
      <c r="H11" s="90">
        <v>39</v>
      </c>
      <c r="J11" s="87" t="s">
        <v>60</v>
      </c>
      <c r="K11" s="92" t="s">
        <v>70</v>
      </c>
      <c r="M11" s="93" t="s">
        <v>71</v>
      </c>
      <c r="N11" s="90" t="s">
        <v>49</v>
      </c>
      <c r="Q11" s="2" t="s">
        <v>3081</v>
      </c>
      <c r="R11" s="2" t="s">
        <v>6491</v>
      </c>
    </row>
    <row r="12" spans="1:18" ht="20.399999999999999" x14ac:dyDescent="0.3">
      <c r="A12" s="85">
        <v>8</v>
      </c>
      <c r="B12" s="76" t="s">
        <v>3082</v>
      </c>
      <c r="C12" s="77" t="str">
        <f>HYPERLINK("https://www.xeno-canto.org/species/Anser-albifrons")</f>
        <v>https://www.xeno-canto.org/species/Anser-albifrons</v>
      </c>
      <c r="D12" s="94" t="str">
        <f>HYPERLINK("https://ebird.org/species/gwfgoo")</f>
        <v>https://ebird.org/species/gwfgoo</v>
      </c>
      <c r="E12" s="122" t="str">
        <f>HYPERLINK("https://en.wikipedia.org/wiki/Greater_White-fronted_Goose")</f>
        <v>https://en.wikipedia.org/wiki/Greater_White-fronted_Goose</v>
      </c>
      <c r="F12" s="123" t="str">
        <f>HYPERLINK("https://apiv3.iucnredlist.org/api/v3/website/Anser albifrons")</f>
        <v>https://apiv3.iucnredlist.org/api/v3/website/Anser albifrons</v>
      </c>
      <c r="H12" s="90">
        <v>39</v>
      </c>
      <c r="J12" s="87" t="s">
        <v>60</v>
      </c>
      <c r="K12" s="92" t="s">
        <v>72</v>
      </c>
      <c r="M12" s="93" t="s">
        <v>73</v>
      </c>
      <c r="N12" s="90" t="s">
        <v>49</v>
      </c>
      <c r="Q12" s="2" t="s">
        <v>3083</v>
      </c>
      <c r="R12" s="2" t="s">
        <v>6492</v>
      </c>
    </row>
    <row r="13" spans="1:18" ht="20.399999999999999" x14ac:dyDescent="0.3">
      <c r="A13" s="85">
        <v>9</v>
      </c>
      <c r="B13" s="76" t="s">
        <v>5794</v>
      </c>
      <c r="C13" s="77" t="str">
        <f>HYPERLINK("https://www.xeno-canto.org/species/Anser-erythropus")</f>
        <v>https://www.xeno-canto.org/species/Anser-erythropus</v>
      </c>
      <c r="D13" s="94" t="str">
        <f>HYPERLINK("https://ebird.org/species/lwfgoo")</f>
        <v>https://ebird.org/species/lwfgoo</v>
      </c>
      <c r="E13" s="122" t="str">
        <f>HYPERLINK("https://en.wikipedia.org/wiki/Lesser_White-fronted_Goose")</f>
        <v>https://en.wikipedia.org/wiki/Lesser_White-fronted_Goose</v>
      </c>
      <c r="F13" s="123" t="str">
        <f>HYPERLINK("https://apiv3.iucnredlist.org/api/v3/website/Anser erythropus")</f>
        <v>https://apiv3.iucnredlist.org/api/v3/website/Anser erythropus</v>
      </c>
      <c r="J13" s="87" t="s">
        <v>60</v>
      </c>
      <c r="K13" s="92" t="s">
        <v>5795</v>
      </c>
      <c r="M13" s="93" t="s">
        <v>5796</v>
      </c>
      <c r="N13" s="90" t="s">
        <v>49</v>
      </c>
      <c r="R13" s="2" t="s">
        <v>6379</v>
      </c>
    </row>
    <row r="14" spans="1:18" ht="20.399999999999999" x14ac:dyDescent="0.3">
      <c r="A14" s="85">
        <v>10</v>
      </c>
      <c r="B14" s="76" t="s">
        <v>3084</v>
      </c>
      <c r="C14" s="77" t="str">
        <f>HYPERLINK("https://www.xeno-canto.org/species/Cygnus-columbianus")</f>
        <v>https://www.xeno-canto.org/species/Cygnus-columbianus</v>
      </c>
      <c r="D14" s="94" t="str">
        <f>HYPERLINK("https://ebird.org/species/tunswa")</f>
        <v>https://ebird.org/species/tunswa</v>
      </c>
      <c r="E14" s="122" t="str">
        <f>HYPERLINK("https://en.wikipedia.org/wiki/Tundra_Swan")</f>
        <v>https://en.wikipedia.org/wiki/Tundra_Swan</v>
      </c>
      <c r="F14" s="123" t="str">
        <f>HYPERLINK("https://apiv3.iucnredlist.org/api/v3/website/Cygnus columbianus")</f>
        <v>https://apiv3.iucnredlist.org/api/v3/website/Cygnus columbianus</v>
      </c>
      <c r="H14" s="90">
        <v>37</v>
      </c>
      <c r="J14" s="87" t="s">
        <v>60</v>
      </c>
      <c r="K14" s="92" t="s">
        <v>74</v>
      </c>
      <c r="M14" s="93" t="s">
        <v>75</v>
      </c>
      <c r="N14" s="90" t="s">
        <v>49</v>
      </c>
      <c r="Q14" s="2" t="s">
        <v>3083</v>
      </c>
      <c r="R14" s="2" t="s">
        <v>6380</v>
      </c>
    </row>
    <row r="15" spans="1:18" ht="20.399999999999999" x14ac:dyDescent="0.3">
      <c r="A15" s="85">
        <v>11</v>
      </c>
      <c r="B15" s="76" t="s">
        <v>3085</v>
      </c>
      <c r="C15" s="77" t="str">
        <f>HYPERLINK("https://www.xeno-canto.org/species/Tadorna-tadorna")</f>
        <v>https://www.xeno-canto.org/species/Tadorna-tadorna</v>
      </c>
      <c r="D15" s="94" t="str">
        <f>HYPERLINK("https://ebird.org/species/comshe")</f>
        <v>https://ebird.org/species/comshe</v>
      </c>
      <c r="E15" s="122" t="str">
        <f>HYPERLINK("https://en.wikipedia.org/wiki/Common_Shelduck")</f>
        <v>https://en.wikipedia.org/wiki/Common_Shelduck</v>
      </c>
      <c r="F15" s="123" t="str">
        <f>HYPERLINK("https://apiv3.iucnredlist.org/api/v3/website/Tadorna tadorna")</f>
        <v>https://apiv3.iucnredlist.org/api/v3/website/Tadorna tadorna</v>
      </c>
      <c r="G15" s="90">
        <v>6</v>
      </c>
      <c r="H15" s="90">
        <v>39</v>
      </c>
      <c r="J15" s="87" t="s">
        <v>60</v>
      </c>
      <c r="K15" s="92" t="s">
        <v>76</v>
      </c>
      <c r="M15" s="93" t="s">
        <v>77</v>
      </c>
      <c r="N15" s="90" t="s">
        <v>49</v>
      </c>
      <c r="Q15" s="2" t="s">
        <v>3086</v>
      </c>
      <c r="R15" s="2" t="s">
        <v>6493</v>
      </c>
    </row>
    <row r="16" spans="1:18" ht="20.399999999999999" x14ac:dyDescent="0.3">
      <c r="A16" s="85">
        <v>12</v>
      </c>
      <c r="B16" s="76" t="s">
        <v>3087</v>
      </c>
      <c r="C16" s="77" t="str">
        <f>HYPERLINK("https://www.xeno-canto.org/species/Tadorna-ferruginea")</f>
        <v>https://www.xeno-canto.org/species/Tadorna-ferruginea</v>
      </c>
      <c r="D16" s="94" t="str">
        <f>HYPERLINK("https://ebird.org/species/rudshe")</f>
        <v>https://ebird.org/species/rudshe</v>
      </c>
      <c r="E16" s="122" t="str">
        <f>HYPERLINK("https://en.wikipedia.org/wiki/Ruddy_Shelduck")</f>
        <v>https://en.wikipedia.org/wiki/Ruddy_Shelduck</v>
      </c>
      <c r="F16" s="123" t="str">
        <f>HYPERLINK("https://apiv3.iucnredlist.org/api/v3/website/Tadorna ferruginea")</f>
        <v>https://apiv3.iucnredlist.org/api/v3/website/Tadorna ferruginea</v>
      </c>
      <c r="G16" s="90">
        <v>6</v>
      </c>
      <c r="H16" s="90">
        <v>39</v>
      </c>
      <c r="J16" s="87" t="s">
        <v>60</v>
      </c>
      <c r="K16" s="92" t="s">
        <v>78</v>
      </c>
      <c r="M16" s="93" t="s">
        <v>79</v>
      </c>
      <c r="N16" s="90" t="s">
        <v>49</v>
      </c>
      <c r="Q16" s="2" t="s">
        <v>3081</v>
      </c>
      <c r="R16" s="2" t="s">
        <v>6381</v>
      </c>
    </row>
    <row r="17" spans="1:18" ht="20.399999999999999" x14ac:dyDescent="0.3">
      <c r="A17" s="85">
        <v>13</v>
      </c>
      <c r="B17" s="76" t="s">
        <v>3088</v>
      </c>
      <c r="C17" s="77" t="str">
        <f>HYPERLINK("https://www.xeno-canto.org/species/Aix-galericulata")</f>
        <v>https://www.xeno-canto.org/species/Aix-galericulata</v>
      </c>
      <c r="D17" s="94" t="str">
        <f>HYPERLINK("https://ebird.org/species/manduc")</f>
        <v>https://ebird.org/species/manduc</v>
      </c>
      <c r="E17" s="122" t="str">
        <f>HYPERLINK("https://en.wikipedia.org/wiki/Mandarin_Duck")</f>
        <v>https://en.wikipedia.org/wiki/Mandarin_Duck</v>
      </c>
      <c r="F17" s="123" t="str">
        <f>HYPERLINK("https://apiv3.iucnredlist.org/api/v3/website/Aix galericulata")</f>
        <v>https://apiv3.iucnredlist.org/api/v3/website/Aix galericulata</v>
      </c>
      <c r="G17" s="90">
        <v>6</v>
      </c>
      <c r="H17" s="90">
        <v>41</v>
      </c>
      <c r="J17" s="87" t="s">
        <v>60</v>
      </c>
      <c r="K17" s="92" t="s">
        <v>80</v>
      </c>
      <c r="M17" s="93" t="s">
        <v>81</v>
      </c>
      <c r="N17" s="90" t="s">
        <v>49</v>
      </c>
      <c r="Q17" s="2" t="s">
        <v>3081</v>
      </c>
      <c r="R17" s="2" t="s">
        <v>8547</v>
      </c>
    </row>
    <row r="18" spans="1:18" ht="14.4" x14ac:dyDescent="0.3">
      <c r="A18" s="85">
        <v>14</v>
      </c>
      <c r="B18" s="76" t="s">
        <v>3089</v>
      </c>
      <c r="C18" s="77" t="str">
        <f>HYPERLINK("https://www.xeno-canto.org/species/Nettapus-coromandelianus")</f>
        <v>https://www.xeno-canto.org/species/Nettapus-coromandelianus</v>
      </c>
      <c r="D18" s="94" t="str">
        <f>HYPERLINK("https://ebird.org/species/copgoo1")</f>
        <v>https://ebird.org/species/copgoo1</v>
      </c>
      <c r="E18" s="122" t="str">
        <f>HYPERLINK("https://en.wikipedia.org/wiki/Cotton_Pygmy_Goose")</f>
        <v>https://en.wikipedia.org/wiki/Cotton_Pygmy_Goose</v>
      </c>
      <c r="F18" s="123" t="str">
        <f>HYPERLINK("https://apiv3.iucnredlist.org/api/v3/website/Nettapus coromandelianus")</f>
        <v>https://apiv3.iucnredlist.org/api/v3/website/Nettapus coromandelianus</v>
      </c>
      <c r="G18" s="90">
        <v>7</v>
      </c>
      <c r="H18" s="90">
        <v>41</v>
      </c>
      <c r="J18" s="87" t="s">
        <v>60</v>
      </c>
      <c r="K18" s="92" t="s">
        <v>82</v>
      </c>
      <c r="M18" s="93" t="s">
        <v>83</v>
      </c>
      <c r="N18" s="90" t="s">
        <v>89</v>
      </c>
      <c r="Q18" s="2" t="s">
        <v>3090</v>
      </c>
    </row>
    <row r="19" spans="1:18" ht="30.6" x14ac:dyDescent="0.3">
      <c r="A19" s="85">
        <v>15</v>
      </c>
      <c r="B19" s="76" t="s">
        <v>3091</v>
      </c>
      <c r="C19" s="77" t="str">
        <f>HYPERLINK("https://www.xeno-canto.org/species/Sibirionetta-formosa")</f>
        <v>https://www.xeno-canto.org/species/Sibirionetta-formosa</v>
      </c>
      <c r="D19" s="94" t="str">
        <f>HYPERLINK("https://ebird.org/species/baitea")</f>
        <v>https://ebird.org/species/baitea</v>
      </c>
      <c r="E19" s="122" t="str">
        <f>HYPERLINK("https://en.wikipedia.org/wiki/Baikal_Teal")</f>
        <v>https://en.wikipedia.org/wiki/Baikal_Teal</v>
      </c>
      <c r="F19" s="123" t="str">
        <f>HYPERLINK("https://apiv3.iucnredlist.org/api/v3/website/Sibirionetta formosa")</f>
        <v>https://apiv3.iucnredlist.org/api/v3/website/Sibirionetta formosa</v>
      </c>
      <c r="H19" s="90">
        <v>45</v>
      </c>
      <c r="J19" s="87" t="s">
        <v>60</v>
      </c>
      <c r="K19" s="92" t="s">
        <v>85</v>
      </c>
      <c r="M19" s="93" t="s">
        <v>86</v>
      </c>
      <c r="N19" s="90" t="s">
        <v>49</v>
      </c>
      <c r="Q19" s="2" t="s">
        <v>3081</v>
      </c>
      <c r="R19" s="2" t="s">
        <v>8548</v>
      </c>
    </row>
    <row r="20" spans="1:18" ht="14.4" x14ac:dyDescent="0.3">
      <c r="A20" s="85">
        <v>16</v>
      </c>
      <c r="B20" s="76" t="s">
        <v>3092</v>
      </c>
      <c r="C20" s="77" t="str">
        <f>HYPERLINK("https://www.xeno-canto.org/species/Spatula-querquedula")</f>
        <v>https://www.xeno-canto.org/species/Spatula-querquedula</v>
      </c>
      <c r="D20" s="94" t="str">
        <f>HYPERLINK("https://ebird.org/species/gargan")</f>
        <v>https://ebird.org/species/gargan</v>
      </c>
      <c r="E20" s="122" t="str">
        <f>HYPERLINK("https://en.wikipedia.org/wiki/Garganey")</f>
        <v>https://en.wikipedia.org/wiki/Garganey</v>
      </c>
      <c r="F20" s="123" t="str">
        <f>HYPERLINK("https://apiv3.iucnredlist.org/api/v3/website/Spatula querquedula")</f>
        <v>https://apiv3.iucnredlist.org/api/v3/website/Spatula querquedula</v>
      </c>
      <c r="G20" s="90">
        <v>7</v>
      </c>
      <c r="H20" s="90">
        <v>43</v>
      </c>
      <c r="J20" s="87" t="s">
        <v>60</v>
      </c>
      <c r="K20" s="95" t="s">
        <v>87</v>
      </c>
      <c r="M20" s="93" t="s">
        <v>88</v>
      </c>
      <c r="N20" s="90" t="s">
        <v>89</v>
      </c>
      <c r="Q20" s="2" t="s">
        <v>3093</v>
      </c>
    </row>
    <row r="21" spans="1:18" ht="14.4" x14ac:dyDescent="0.3">
      <c r="A21" s="85">
        <v>17</v>
      </c>
      <c r="B21" s="76" t="s">
        <v>3094</v>
      </c>
      <c r="C21" s="77" t="str">
        <f>HYPERLINK("https://www.xeno-canto.org/species/Spatula-clypeata")</f>
        <v>https://www.xeno-canto.org/species/Spatula-clypeata</v>
      </c>
      <c r="D21" s="94" t="str">
        <f>HYPERLINK("https://ebird.org/species/norsho")</f>
        <v>https://ebird.org/species/norsho</v>
      </c>
      <c r="E21" s="122" t="str">
        <f>HYPERLINK("https://en.wikipedia.org/wiki/Northern_Shoveler")</f>
        <v>https://en.wikipedia.org/wiki/Northern_Shoveler</v>
      </c>
      <c r="F21" s="123" t="str">
        <f>HYPERLINK("https://apiv3.iucnredlist.org/api/v3/website/Spatula clypeata")</f>
        <v>https://apiv3.iucnredlist.org/api/v3/website/Spatula clypeata</v>
      </c>
      <c r="G21" s="90">
        <v>7</v>
      </c>
      <c r="H21" s="90">
        <v>43</v>
      </c>
      <c r="J21" s="87" t="s">
        <v>60</v>
      </c>
      <c r="K21" s="95" t="s">
        <v>90</v>
      </c>
      <c r="M21" s="93" t="s">
        <v>91</v>
      </c>
      <c r="N21" s="90" t="s">
        <v>89</v>
      </c>
      <c r="Q21" s="2" t="s">
        <v>3095</v>
      </c>
    </row>
    <row r="22" spans="1:18" ht="20.399999999999999" x14ac:dyDescent="0.3">
      <c r="A22" s="85">
        <v>18</v>
      </c>
      <c r="B22" s="76" t="s">
        <v>3096</v>
      </c>
      <c r="C22" s="77" t="str">
        <f>HYPERLINK("https://www.xeno-canto.org/species/Mareca-strepera")</f>
        <v>https://www.xeno-canto.org/species/Mareca-strepera</v>
      </c>
      <c r="D22" s="94" t="str">
        <f>HYPERLINK("https://ebird.org/species/gadwal")</f>
        <v>https://ebird.org/species/gadwal</v>
      </c>
      <c r="E22" s="122" t="str">
        <f>HYPERLINK("https://en.wikipedia.org/wiki/Gadwall")</f>
        <v>https://en.wikipedia.org/wiki/Gadwall</v>
      </c>
      <c r="F22" s="123" t="str">
        <f>HYPERLINK("https://apiv3.iucnredlist.org/api/v3/website/Mareca strepera")</f>
        <v>https://apiv3.iucnredlist.org/api/v3/website/Mareca strepera</v>
      </c>
      <c r="G22" s="90">
        <v>6</v>
      </c>
      <c r="H22" s="90">
        <v>45</v>
      </c>
      <c r="J22" s="87" t="s">
        <v>60</v>
      </c>
      <c r="K22" s="95" t="s">
        <v>92</v>
      </c>
      <c r="M22" s="93" t="s">
        <v>93</v>
      </c>
      <c r="N22" s="90" t="s">
        <v>89</v>
      </c>
      <c r="Q22" s="2" t="s">
        <v>3097</v>
      </c>
      <c r="R22" s="2" t="s">
        <v>6382</v>
      </c>
    </row>
    <row r="23" spans="1:18" ht="30.6" x14ac:dyDescent="0.3">
      <c r="A23" s="85">
        <v>19</v>
      </c>
      <c r="B23" s="76" t="s">
        <v>3098</v>
      </c>
      <c r="C23" s="77" t="str">
        <f>HYPERLINK("https://www.xeno-canto.org/species/Mareca-falcata")</f>
        <v>https://www.xeno-canto.org/species/Mareca-falcata</v>
      </c>
      <c r="D23" s="94" t="str">
        <f>HYPERLINK("https://ebird.org/species/falduc")</f>
        <v>https://ebird.org/species/falduc</v>
      </c>
      <c r="E23" s="122" t="str">
        <f>HYPERLINK("https://en.wikipedia.org/wiki/Falcated_Duck")</f>
        <v>https://en.wikipedia.org/wiki/Falcated_Duck</v>
      </c>
      <c r="F23" s="123" t="str">
        <f>HYPERLINK("https://apiv3.iucnredlist.org/api/v3/website/Mareca falcata")</f>
        <v>https://apiv3.iucnredlist.org/api/v3/website/Mareca falcata</v>
      </c>
      <c r="H23" s="90">
        <v>45</v>
      </c>
      <c r="J23" s="87" t="s">
        <v>60</v>
      </c>
      <c r="K23" s="92" t="s">
        <v>94</v>
      </c>
      <c r="M23" s="93" t="s">
        <v>95</v>
      </c>
      <c r="N23" s="90" t="s">
        <v>49</v>
      </c>
      <c r="O23" s="90" t="s">
        <v>50</v>
      </c>
      <c r="Q23" s="2" t="s">
        <v>3083</v>
      </c>
      <c r="R23" s="2" t="s">
        <v>8549</v>
      </c>
    </row>
    <row r="24" spans="1:18" ht="14.4" x14ac:dyDescent="0.3">
      <c r="A24" s="85">
        <v>20</v>
      </c>
      <c r="B24" s="76" t="s">
        <v>3099</v>
      </c>
      <c r="C24" s="77" t="str">
        <f>HYPERLINK("https://www.xeno-canto.org/species/Mareca-penelope")</f>
        <v>https://www.xeno-canto.org/species/Mareca-penelope</v>
      </c>
      <c r="D24" s="94" t="str">
        <f>HYPERLINK("https://ebird.org/species/eurwig")</f>
        <v>https://ebird.org/species/eurwig</v>
      </c>
      <c r="E24" s="122" t="str">
        <f>HYPERLINK("https://en.wikipedia.org/wiki/Eurasian_Wigeon")</f>
        <v>https://en.wikipedia.org/wiki/Eurasian_Wigeon</v>
      </c>
      <c r="F24" s="123" t="str">
        <f>HYPERLINK("https://apiv3.iucnredlist.org/api/v3/website/Mareca penelope")</f>
        <v>https://apiv3.iucnredlist.org/api/v3/website/Mareca penelope</v>
      </c>
      <c r="G24" s="90">
        <v>7</v>
      </c>
      <c r="H24" s="90">
        <v>45</v>
      </c>
      <c r="J24" s="87" t="s">
        <v>60</v>
      </c>
      <c r="K24" s="95" t="s">
        <v>96</v>
      </c>
      <c r="M24" s="93" t="s">
        <v>97</v>
      </c>
      <c r="N24" s="90" t="s">
        <v>89</v>
      </c>
      <c r="Q24" s="2" t="s">
        <v>3095</v>
      </c>
    </row>
    <row r="25" spans="1:18" ht="14.4" x14ac:dyDescent="0.3">
      <c r="A25" s="85">
        <v>21</v>
      </c>
      <c r="B25" s="76" t="s">
        <v>3100</v>
      </c>
      <c r="C25" s="77" t="str">
        <f>HYPERLINK("https://www.xeno-canto.org/species/Anas-luzonica")</f>
        <v>https://www.xeno-canto.org/species/Anas-luzonica</v>
      </c>
      <c r="D25" s="94" t="str">
        <f>HYPERLINK("https://ebird.org/species/phiduc1")</f>
        <v>https://ebird.org/species/phiduc1</v>
      </c>
      <c r="E25" s="122" t="str">
        <f>HYPERLINK("https://en.wikipedia.org/wiki/Philippine_Duck")</f>
        <v>https://en.wikipedia.org/wiki/Philippine_Duck</v>
      </c>
      <c r="F25" s="123" t="str">
        <f>HYPERLINK("https://apiv3.iucnredlist.org/api/v3/website/Anas luzonica")</f>
        <v>https://apiv3.iucnredlist.org/api/v3/website/Anas luzonica</v>
      </c>
      <c r="G25" s="90">
        <v>6</v>
      </c>
      <c r="H25" s="90">
        <v>47</v>
      </c>
      <c r="J25" s="87" t="s">
        <v>60</v>
      </c>
      <c r="K25" s="98" t="s">
        <v>98</v>
      </c>
      <c r="M25" s="99" t="s">
        <v>99</v>
      </c>
      <c r="N25" s="90" t="s">
        <v>57</v>
      </c>
      <c r="O25" s="90" t="s">
        <v>38</v>
      </c>
      <c r="P25" s="90" t="s">
        <v>58</v>
      </c>
      <c r="Q25" s="2" t="s">
        <v>3101</v>
      </c>
    </row>
    <row r="26" spans="1:18" ht="20.399999999999999" x14ac:dyDescent="0.3">
      <c r="A26" s="85">
        <v>22</v>
      </c>
      <c r="B26" s="76" t="s">
        <v>3102</v>
      </c>
      <c r="C26" s="77" t="str">
        <f>HYPERLINK("https://www.xeno-canto.org/species/Anas-zonorhyncha")</f>
        <v>https://www.xeno-canto.org/species/Anas-zonorhyncha</v>
      </c>
      <c r="D26" s="94" t="str">
        <f>HYPERLINK("https://ebird.org/species/spbduc")</f>
        <v>https://ebird.org/species/spbduc</v>
      </c>
      <c r="E26" s="122" t="str">
        <f>HYPERLINK("https://en.wikipedia.org/wiki/Eastern_Spot-billed_Duck")</f>
        <v>https://en.wikipedia.org/wiki/Eastern_Spot-billed_Duck</v>
      </c>
      <c r="F26" s="123" t="str">
        <f>HYPERLINK("https://apiv3.iucnredlist.org/api/v3/website/Anas zonorhyncha")</f>
        <v>https://apiv3.iucnredlist.org/api/v3/website/Anas zonorhyncha</v>
      </c>
      <c r="G26" s="90">
        <v>6</v>
      </c>
      <c r="H26" s="90">
        <v>47</v>
      </c>
      <c r="J26" s="87" t="s">
        <v>60</v>
      </c>
      <c r="K26" s="95" t="s">
        <v>100</v>
      </c>
      <c r="L26" s="86" t="s">
        <v>1636</v>
      </c>
      <c r="M26" s="93" t="s">
        <v>101</v>
      </c>
      <c r="N26" s="90" t="s">
        <v>89</v>
      </c>
      <c r="Q26" s="2" t="s">
        <v>3103</v>
      </c>
      <c r="R26" s="2" t="s">
        <v>6383</v>
      </c>
    </row>
    <row r="27" spans="1:18" ht="20.399999999999999" x14ac:dyDescent="0.3">
      <c r="A27" s="85">
        <v>23</v>
      </c>
      <c r="B27" s="76" t="s">
        <v>3104</v>
      </c>
      <c r="C27" s="77" t="str">
        <f>HYPERLINK("https://www.xeno-canto.org/species/Anas-platyrhynchos")</f>
        <v>https://www.xeno-canto.org/species/Anas-platyrhynchos</v>
      </c>
      <c r="D27" s="94" t="str">
        <f>HYPERLINK("https://ebird.org/species/mallar3")</f>
        <v>https://ebird.org/species/mallar3</v>
      </c>
      <c r="E27" s="122" t="str">
        <f>HYPERLINK("https://en.wikipedia.org/wiki/Mallard")</f>
        <v>https://en.wikipedia.org/wiki/Mallard</v>
      </c>
      <c r="F27" s="123" t="str">
        <f>HYPERLINK("https://apiv3.iucnredlist.org/api/v3/website/Anas platyrhynchos")</f>
        <v>https://apiv3.iucnredlist.org/api/v3/website/Anas platyrhynchos</v>
      </c>
      <c r="G27" s="90">
        <v>6</v>
      </c>
      <c r="H27" s="90">
        <v>47</v>
      </c>
      <c r="J27" s="87" t="s">
        <v>60</v>
      </c>
      <c r="K27" s="95" t="s">
        <v>102</v>
      </c>
      <c r="M27" s="93" t="s">
        <v>103</v>
      </c>
      <c r="N27" s="90" t="s">
        <v>89</v>
      </c>
      <c r="Q27" s="2" t="s">
        <v>3105</v>
      </c>
      <c r="R27" s="2" t="s">
        <v>6384</v>
      </c>
    </row>
    <row r="28" spans="1:18" ht="14.4" x14ac:dyDescent="0.3">
      <c r="A28" s="85">
        <v>24</v>
      </c>
      <c r="B28" s="76" t="s">
        <v>3106</v>
      </c>
      <c r="C28" s="77" t="str">
        <f>HYPERLINK("https://www.xeno-canto.org/species/Anas-acuta")</f>
        <v>https://www.xeno-canto.org/species/Anas-acuta</v>
      </c>
      <c r="D28" s="94" t="str">
        <f>HYPERLINK("https://ebird.org/species/norpin")</f>
        <v>https://ebird.org/species/norpin</v>
      </c>
      <c r="E28" s="122" t="str">
        <f>HYPERLINK("https://en.wikipedia.org/wiki/Northern_Pintail")</f>
        <v>https://en.wikipedia.org/wiki/Northern_Pintail</v>
      </c>
      <c r="F28" s="123" t="str">
        <f>HYPERLINK("https://apiv3.iucnredlist.org/api/v3/website/Anas acuta")</f>
        <v>https://apiv3.iucnredlist.org/api/v3/website/Anas acuta</v>
      </c>
      <c r="G28" s="90">
        <v>6</v>
      </c>
      <c r="H28" s="90">
        <v>47</v>
      </c>
      <c r="J28" s="87" t="s">
        <v>60</v>
      </c>
      <c r="K28" s="95" t="s">
        <v>104</v>
      </c>
      <c r="M28" s="93" t="s">
        <v>105</v>
      </c>
      <c r="N28" s="90" t="s">
        <v>89</v>
      </c>
      <c r="Q28" s="2" t="s">
        <v>3107</v>
      </c>
    </row>
    <row r="29" spans="1:18" ht="14.4" x14ac:dyDescent="0.3">
      <c r="A29" s="85">
        <v>25</v>
      </c>
      <c r="B29" s="76" t="s">
        <v>3108</v>
      </c>
      <c r="C29" s="77" t="str">
        <f>HYPERLINK("https://www.xeno-canto.org/species/Anas-crecca")</f>
        <v>https://www.xeno-canto.org/species/Anas-crecca</v>
      </c>
      <c r="D29" s="94" t="str">
        <f>HYPERLINK("https://ebird.org/species/gnwtea")</f>
        <v>https://ebird.org/species/gnwtea</v>
      </c>
      <c r="E29" s="122" t="str">
        <f>HYPERLINK("https://en.wikipedia.org/wiki/Eurasian_Teal")</f>
        <v>https://en.wikipedia.org/wiki/Eurasian_Teal</v>
      </c>
      <c r="F29" s="123" t="str">
        <f>HYPERLINK("https://apiv3.iucnredlist.org/api/v3/website/Anas crecca")</f>
        <v>https://apiv3.iucnredlist.org/api/v3/website/Anas crecca</v>
      </c>
      <c r="G29" s="90">
        <v>6</v>
      </c>
      <c r="H29" s="90">
        <v>49</v>
      </c>
      <c r="J29" s="87" t="s">
        <v>60</v>
      </c>
      <c r="K29" s="95" t="s">
        <v>106</v>
      </c>
      <c r="M29" s="93" t="s">
        <v>107</v>
      </c>
      <c r="N29" s="90" t="s">
        <v>89</v>
      </c>
      <c r="Q29" s="2" t="s">
        <v>3109</v>
      </c>
    </row>
    <row r="30" spans="1:18" ht="14.4" x14ac:dyDescent="0.3">
      <c r="A30" s="85">
        <v>26</v>
      </c>
      <c r="B30" s="76" t="s">
        <v>3110</v>
      </c>
      <c r="C30" s="77" t="str">
        <f>HYPERLINK("https://www.xeno-canto.org/species/Aythya-ferina")</f>
        <v>https://www.xeno-canto.org/species/Aythya-ferina</v>
      </c>
      <c r="D30" s="94" t="str">
        <f>HYPERLINK("https://ebird.org/species/compoc")</f>
        <v>https://ebird.org/species/compoc</v>
      </c>
      <c r="E30" s="122" t="str">
        <f>HYPERLINK("https://en.wikipedia.org/wiki/Common_Pochard")</f>
        <v>https://en.wikipedia.org/wiki/Common_Pochard</v>
      </c>
      <c r="F30" s="123" t="str">
        <f>HYPERLINK("https://apiv3.iucnredlist.org/api/v3/website/Aythya ferina")</f>
        <v>https://apiv3.iucnredlist.org/api/v3/website/Aythya ferina</v>
      </c>
      <c r="G30" s="90">
        <v>7</v>
      </c>
      <c r="H30" s="90">
        <v>41</v>
      </c>
      <c r="J30" s="87" t="s">
        <v>60</v>
      </c>
      <c r="K30" s="95" t="s">
        <v>108</v>
      </c>
      <c r="M30" s="93" t="s">
        <v>109</v>
      </c>
      <c r="N30" s="90" t="s">
        <v>89</v>
      </c>
      <c r="O30" s="90" t="s">
        <v>38</v>
      </c>
      <c r="Q30" s="2" t="s">
        <v>3111</v>
      </c>
    </row>
    <row r="31" spans="1:18" ht="20.399999999999999" x14ac:dyDescent="0.3">
      <c r="A31" s="85">
        <v>27</v>
      </c>
      <c r="B31" s="76" t="s">
        <v>3112</v>
      </c>
      <c r="C31" s="77" t="str">
        <f>HYPERLINK("https://www.xeno-canto.org/species/Aythya-baeri")</f>
        <v>https://www.xeno-canto.org/species/Aythya-baeri</v>
      </c>
      <c r="D31" s="94" t="str">
        <f>HYPERLINK("https://ebird.org/species/baepoc1")</f>
        <v>https://ebird.org/species/baepoc1</v>
      </c>
      <c r="E31" s="122" t="str">
        <f>HYPERLINK("https://en.wikipedia.org/wiki/Baer's_Pochard")</f>
        <v>https://en.wikipedia.org/wiki/Baer's_Pochard</v>
      </c>
      <c r="F31" s="123" t="str">
        <f>HYPERLINK("https://apiv3.iucnredlist.org/api/v3/website/Aythya baeri")</f>
        <v>https://apiv3.iucnredlist.org/api/v3/website/Aythya baeri</v>
      </c>
      <c r="G31" s="90">
        <v>7</v>
      </c>
      <c r="H31" s="90">
        <v>43</v>
      </c>
      <c r="J31" s="87" t="s">
        <v>60</v>
      </c>
      <c r="K31" s="92" t="s">
        <v>110</v>
      </c>
      <c r="M31" s="93" t="s">
        <v>111</v>
      </c>
      <c r="N31" s="90" t="s">
        <v>49</v>
      </c>
      <c r="O31" s="90" t="s">
        <v>112</v>
      </c>
      <c r="P31" s="90" t="s">
        <v>112</v>
      </c>
      <c r="Q31" s="2" t="s">
        <v>3083</v>
      </c>
      <c r="R31" s="2" t="s">
        <v>6385</v>
      </c>
    </row>
    <row r="32" spans="1:18" ht="20.399999999999999" x14ac:dyDescent="0.3">
      <c r="A32" s="85">
        <v>28</v>
      </c>
      <c r="B32" s="76" t="s">
        <v>3113</v>
      </c>
      <c r="C32" s="77" t="str">
        <f>HYPERLINK("https://www.xeno-canto.org/species/Aythya-nyroca")</f>
        <v>https://www.xeno-canto.org/species/Aythya-nyroca</v>
      </c>
      <c r="D32" s="94" t="str">
        <f>HYPERLINK("https://ebird.org/species/ferduc")</f>
        <v>https://ebird.org/species/ferduc</v>
      </c>
      <c r="E32" s="122" t="str">
        <f>HYPERLINK("https://en.wikipedia.org/wiki/Ferruginous_Duck")</f>
        <v>https://en.wikipedia.org/wiki/Ferruginous_Duck</v>
      </c>
      <c r="F32" s="123" t="str">
        <f>HYPERLINK("https://apiv3.iucnredlist.org/api/v3/website/Aythya nyroca")</f>
        <v>https://apiv3.iucnredlist.org/api/v3/website/Aythya nyroca</v>
      </c>
      <c r="H32" s="90">
        <v>41</v>
      </c>
      <c r="J32" s="87" t="s">
        <v>60</v>
      </c>
      <c r="K32" s="92" t="s">
        <v>113</v>
      </c>
      <c r="M32" s="93" t="s">
        <v>114</v>
      </c>
      <c r="N32" s="90" t="s">
        <v>49</v>
      </c>
      <c r="O32" s="90" t="s">
        <v>50</v>
      </c>
      <c r="Q32" s="2" t="s">
        <v>3083</v>
      </c>
      <c r="R32" s="2" t="s">
        <v>6494</v>
      </c>
    </row>
    <row r="33" spans="1:18" ht="14.4" x14ac:dyDescent="0.3">
      <c r="A33" s="85">
        <v>29</v>
      </c>
      <c r="B33" s="76" t="s">
        <v>3114</v>
      </c>
      <c r="C33" s="77" t="str">
        <f>HYPERLINK("https://www.xeno-canto.org/species/Aythya-fuligula")</f>
        <v>https://www.xeno-canto.org/species/Aythya-fuligula</v>
      </c>
      <c r="D33" s="94" t="str">
        <f>HYPERLINK("https://ebird.org/species/tufduc")</f>
        <v>https://ebird.org/species/tufduc</v>
      </c>
      <c r="E33" s="122" t="str">
        <f>HYPERLINK("https://en.wikipedia.org/wiki/Tufted_Duck")</f>
        <v>https://en.wikipedia.org/wiki/Tufted_Duck</v>
      </c>
      <c r="F33" s="123" t="str">
        <f>HYPERLINK("https://apiv3.iucnredlist.org/api/v3/website/Aythya fuligula")</f>
        <v>https://apiv3.iucnredlist.org/api/v3/website/Aythya fuligula</v>
      </c>
      <c r="G33" s="90">
        <v>7</v>
      </c>
      <c r="H33" s="90">
        <v>43</v>
      </c>
      <c r="J33" s="87" t="s">
        <v>60</v>
      </c>
      <c r="K33" s="95" t="s">
        <v>115</v>
      </c>
      <c r="M33" s="93" t="s">
        <v>116</v>
      </c>
      <c r="N33" s="90" t="s">
        <v>89</v>
      </c>
      <c r="Q33" s="2" t="s">
        <v>3095</v>
      </c>
    </row>
    <row r="34" spans="1:18" ht="20.399999999999999" x14ac:dyDescent="0.3">
      <c r="A34" s="85">
        <v>30</v>
      </c>
      <c r="B34" s="76" t="s">
        <v>3115</v>
      </c>
      <c r="C34" s="77" t="str">
        <f>HYPERLINK("https://www.xeno-canto.org/species/Aythya-marila")</f>
        <v>https://www.xeno-canto.org/species/Aythya-marila</v>
      </c>
      <c r="D34" s="94" t="str">
        <f>HYPERLINK("https://ebird.org/species/gresca")</f>
        <v>https://ebird.org/species/gresca</v>
      </c>
      <c r="E34" s="122" t="str">
        <f>HYPERLINK("https://en.wikipedia.org/wiki/Greater_Scaup")</f>
        <v>https://en.wikipedia.org/wiki/Greater_Scaup</v>
      </c>
      <c r="F34" s="123" t="str">
        <f>HYPERLINK("https://apiv3.iucnredlist.org/api/v3/website/Aythya marila")</f>
        <v>https://apiv3.iucnredlist.org/api/v3/website/Aythya marila</v>
      </c>
      <c r="G34" s="90">
        <v>7</v>
      </c>
      <c r="H34" s="90">
        <v>43</v>
      </c>
      <c r="J34" s="87" t="s">
        <v>60</v>
      </c>
      <c r="K34" s="92" t="s">
        <v>117</v>
      </c>
      <c r="M34" s="93" t="s">
        <v>118</v>
      </c>
      <c r="N34" s="90" t="s">
        <v>49</v>
      </c>
      <c r="Q34" s="2" t="s">
        <v>3083</v>
      </c>
      <c r="R34" s="2" t="s">
        <v>6495</v>
      </c>
    </row>
    <row r="35" spans="1:18" ht="20.399999999999999" x14ac:dyDescent="0.3">
      <c r="A35" s="85">
        <v>31</v>
      </c>
      <c r="B35" s="76" t="s">
        <v>3116</v>
      </c>
      <c r="C35" s="77" t="str">
        <f>HYPERLINK("https://www.xeno-canto.org/species/Mergus-squamatus")</f>
        <v>https://www.xeno-canto.org/species/Mergus-squamatus</v>
      </c>
      <c r="D35" s="94" t="str">
        <f>HYPERLINK("https://ebird.org/species/scsmer1")</f>
        <v>https://ebird.org/species/scsmer1</v>
      </c>
      <c r="E35" s="122" t="str">
        <f>HYPERLINK("https://en.wikipedia.org/wiki/Scaly-sided_Merganser")</f>
        <v>https://en.wikipedia.org/wiki/Scaly-sided_Merganser</v>
      </c>
      <c r="F35" s="123" t="str">
        <f>HYPERLINK("https://apiv3.iucnredlist.org/api/v3/website/Mergus squamatus")</f>
        <v>https://apiv3.iucnredlist.org/api/v3/website/Mergus squamatus</v>
      </c>
      <c r="H35" s="90">
        <v>39</v>
      </c>
      <c r="J35" s="87" t="s">
        <v>60</v>
      </c>
      <c r="K35" s="92" t="s">
        <v>119</v>
      </c>
      <c r="M35" s="93" t="s">
        <v>120</v>
      </c>
      <c r="N35" s="90" t="s">
        <v>49</v>
      </c>
      <c r="O35" s="90" t="s">
        <v>58</v>
      </c>
      <c r="Q35" s="2" t="s">
        <v>3078</v>
      </c>
      <c r="R35" s="2" t="s">
        <v>6386</v>
      </c>
    </row>
    <row r="37" spans="1:18" ht="12" x14ac:dyDescent="0.3">
      <c r="K37" s="88" t="s">
        <v>33</v>
      </c>
      <c r="M37" s="89" t="s">
        <v>34</v>
      </c>
    </row>
    <row r="38" spans="1:18" ht="14.4" x14ac:dyDescent="0.3">
      <c r="A38" s="85">
        <v>32</v>
      </c>
      <c r="B38" s="74" t="s">
        <v>3117</v>
      </c>
      <c r="C38" s="75" t="str">
        <f>HYPERLINK("https://www.xeno-canto.org/species/Megapodius-cumingii")</f>
        <v>https://www.xeno-canto.org/species/Megapodius-cumingii</v>
      </c>
      <c r="D38" s="91" t="str">
        <f>HYPERLINK("https://ebird.org/species/tabscr1")</f>
        <v>https://ebird.org/species/tabscr1</v>
      </c>
      <c r="E38" s="120" t="str">
        <f>HYPERLINK("https://en.wikipedia.org/wiki/Philippine_Megapode")</f>
        <v>https://en.wikipedia.org/wiki/Philippine_Megapode</v>
      </c>
      <c r="F38" s="121" t="str">
        <f>HYPERLINK("https://apiv3.iucnredlist.org/api/v3/website/Megapodius cumingii")</f>
        <v>https://apiv3.iucnredlist.org/api/v3/website/Megapodius cumingii</v>
      </c>
      <c r="G38" s="90">
        <v>11</v>
      </c>
      <c r="H38" s="90">
        <v>33</v>
      </c>
      <c r="J38" s="87" t="s">
        <v>34</v>
      </c>
      <c r="K38" s="95" t="s">
        <v>35</v>
      </c>
      <c r="L38" s="86" t="s">
        <v>1604</v>
      </c>
      <c r="M38" s="93" t="s">
        <v>36</v>
      </c>
      <c r="N38" s="90" t="s">
        <v>37</v>
      </c>
      <c r="P38" s="90" t="s">
        <v>38</v>
      </c>
      <c r="Q38" s="2" t="s">
        <v>3118</v>
      </c>
    </row>
    <row r="40" spans="1:18" ht="12" x14ac:dyDescent="0.3">
      <c r="K40" s="88" t="s">
        <v>5797</v>
      </c>
      <c r="M40" s="89" t="s">
        <v>39</v>
      </c>
    </row>
    <row r="41" spans="1:18" ht="20.399999999999999" x14ac:dyDescent="0.3">
      <c r="A41" s="85">
        <v>33</v>
      </c>
      <c r="B41" s="74" t="s">
        <v>3121</v>
      </c>
      <c r="C41" s="75" t="str">
        <f>HYPERLINK("https://www.xeno-canto.org/species/Perdix-dauurica")</f>
        <v>https://www.xeno-canto.org/species/Perdix-dauurica</v>
      </c>
      <c r="D41" s="91" t="str">
        <f>HYPERLINK("https://ebird.org/species/daupar1")</f>
        <v>https://ebird.org/species/daupar1</v>
      </c>
      <c r="E41" s="120" t="str">
        <f>HYPERLINK("https://en.wikipedia.org/wiki/Daurian_Partridge")</f>
        <v>https://en.wikipedia.org/wiki/Daurian_Partridge</v>
      </c>
      <c r="F41" s="121" t="str">
        <f>HYPERLINK("https://apiv3.iucnredlist.org/api/v3/website/Perdix dauurica")</f>
        <v>https://apiv3.iucnredlist.org/api/v3/website/Perdix dauurica</v>
      </c>
      <c r="G41" s="90">
        <v>12</v>
      </c>
      <c r="H41" s="90">
        <v>35</v>
      </c>
      <c r="J41" s="87" t="s">
        <v>39</v>
      </c>
      <c r="K41" s="100" t="s">
        <v>44</v>
      </c>
      <c r="M41" s="101" t="s">
        <v>45</v>
      </c>
      <c r="N41" s="90" t="s">
        <v>42</v>
      </c>
      <c r="Q41" s="2" t="s">
        <v>3122</v>
      </c>
      <c r="R41" s="2" t="s">
        <v>46</v>
      </c>
    </row>
    <row r="42" spans="1:18" ht="14.4" x14ac:dyDescent="0.3">
      <c r="A42" s="85">
        <v>34</v>
      </c>
      <c r="B42" s="76" t="s">
        <v>3128</v>
      </c>
      <c r="C42" s="77" t="str">
        <f>HYPERLINK("https://www.xeno-canto.org/species/Polyplectron-napoleonis")</f>
        <v>https://www.xeno-canto.org/species/Polyplectron-napoleonis</v>
      </c>
      <c r="D42" s="94" t="str">
        <f>HYPERLINK("https://ebird.org/species/palpep1")</f>
        <v>https://ebird.org/species/palpep1</v>
      </c>
      <c r="E42" s="122" t="str">
        <f>HYPERLINK("https://en.wikipedia.org/wiki/Palawan_Peacock-Pheasant")</f>
        <v>https://en.wikipedia.org/wiki/Palawan_Peacock-Pheasant</v>
      </c>
      <c r="F42" s="123" t="str">
        <f>HYPERLINK("https://apiv3.iucnredlist.org/api/v3/website/Polyplectron napoleonis")</f>
        <v>https://apiv3.iucnredlist.org/api/v3/website/Polyplectron napoleonis</v>
      </c>
      <c r="G42" s="90">
        <v>11</v>
      </c>
      <c r="H42" s="90">
        <v>33</v>
      </c>
      <c r="J42" s="87" t="s">
        <v>39</v>
      </c>
      <c r="K42" s="98" t="s">
        <v>55</v>
      </c>
      <c r="M42" s="99" t="s">
        <v>56</v>
      </c>
      <c r="N42" s="90" t="s">
        <v>57</v>
      </c>
      <c r="O42" s="90" t="s">
        <v>38</v>
      </c>
      <c r="P42" s="90" t="s">
        <v>58</v>
      </c>
      <c r="Q42" s="2" t="s">
        <v>3129</v>
      </c>
    </row>
    <row r="43" spans="1:18" ht="14.4" x14ac:dyDescent="0.3">
      <c r="A43" s="85">
        <v>35</v>
      </c>
      <c r="B43" s="76" t="s">
        <v>3126</v>
      </c>
      <c r="C43" s="77" t="str">
        <f>HYPERLINK("https://www.xeno-canto.org/species/Gallus-gallus")</f>
        <v>https://www.xeno-canto.org/species/Gallus-gallus</v>
      </c>
      <c r="D43" s="94" t="str">
        <f>HYPERLINK("https://ebird.org/species/redjun")</f>
        <v>https://ebird.org/species/redjun</v>
      </c>
      <c r="E43" s="122" t="str">
        <f>HYPERLINK("https://en.wikipedia.org/wiki/Red_Junglefowl")</f>
        <v>https://en.wikipedia.org/wiki/Red_Junglefowl</v>
      </c>
      <c r="F43" s="123" t="str">
        <f>HYPERLINK("https://apiv3.iucnredlist.org/api/v3/website/Gallus gallus")</f>
        <v>https://apiv3.iucnredlist.org/api/v3/website/Gallus gallus</v>
      </c>
      <c r="G43" s="90">
        <v>11</v>
      </c>
      <c r="H43" s="90">
        <v>35</v>
      </c>
      <c r="J43" s="87" t="s">
        <v>39</v>
      </c>
      <c r="K43" s="95" t="s">
        <v>53</v>
      </c>
      <c r="M43" s="93" t="s">
        <v>54</v>
      </c>
      <c r="N43" s="90" t="s">
        <v>37</v>
      </c>
      <c r="Q43" s="2" t="s">
        <v>3127</v>
      </c>
      <c r="R43" s="2" t="s">
        <v>9</v>
      </c>
    </row>
    <row r="44" spans="1:18" ht="20.399999999999999" x14ac:dyDescent="0.3">
      <c r="A44" s="85">
        <v>36</v>
      </c>
      <c r="B44" s="76" t="s">
        <v>3119</v>
      </c>
      <c r="C44" s="77" t="str">
        <f>HYPERLINK("https://www.xeno-canto.org/species/Francolinus-pintadeanus")</f>
        <v>https://www.xeno-canto.org/species/Francolinus-pintadeanus</v>
      </c>
      <c r="D44" s="94" t="str">
        <f>HYPERLINK("https://ebird.org/species/chifra1")</f>
        <v>https://ebird.org/species/chifra1</v>
      </c>
      <c r="E44" s="122" t="str">
        <f>HYPERLINK("https://en.wikipedia.org/wiki/Chinese_Francolin")</f>
        <v>https://en.wikipedia.org/wiki/Chinese_Francolin</v>
      </c>
      <c r="F44" s="123" t="str">
        <f>HYPERLINK("https://apiv3.iucnredlist.org/api/v3/website/Francolinus pintadeanus")</f>
        <v>https://apiv3.iucnredlist.org/api/v3/website/Francolinus pintadeanus</v>
      </c>
      <c r="G44" s="90">
        <v>12</v>
      </c>
      <c r="H44" s="90">
        <v>35</v>
      </c>
      <c r="J44" s="87" t="s">
        <v>39</v>
      </c>
      <c r="K44" s="100" t="s">
        <v>40</v>
      </c>
      <c r="M44" s="101" t="s">
        <v>41</v>
      </c>
      <c r="N44" s="90" t="s">
        <v>42</v>
      </c>
      <c r="Q44" s="2" t="s">
        <v>3120</v>
      </c>
      <c r="R44" s="2" t="s">
        <v>43</v>
      </c>
    </row>
    <row r="45" spans="1:18" ht="14.4" x14ac:dyDescent="0.3">
      <c r="A45" s="85">
        <v>37</v>
      </c>
      <c r="B45" s="76" t="s">
        <v>5143</v>
      </c>
      <c r="C45" s="77" t="str">
        <f>HYPERLINK("https://www.xeno-canto.org/species/Synoicus-chinensis")</f>
        <v>https://www.xeno-canto.org/species/Synoicus-chinensis</v>
      </c>
      <c r="D45" s="94" t="str">
        <f>HYPERLINK("https://ebird.org/species/blbqua1")</f>
        <v>https://ebird.org/species/blbqua1</v>
      </c>
      <c r="E45" s="122" t="str">
        <f>HYPERLINK("https://en.wikipedia.org/wiki/King_Quail")</f>
        <v>https://en.wikipedia.org/wiki/King_Quail</v>
      </c>
      <c r="F45" s="123" t="str">
        <f>HYPERLINK("https://apiv3.iucnredlist.org/api/v3/website/Synoicus chinensis")</f>
        <v>https://apiv3.iucnredlist.org/api/v3/website/Synoicus chinensis</v>
      </c>
      <c r="G45" s="90">
        <v>12</v>
      </c>
      <c r="H45" s="90">
        <v>35</v>
      </c>
      <c r="J45" s="87" t="s">
        <v>39</v>
      </c>
      <c r="K45" s="95" t="s">
        <v>51</v>
      </c>
      <c r="L45" s="86" t="s">
        <v>1607</v>
      </c>
      <c r="M45" s="93" t="s">
        <v>1608</v>
      </c>
      <c r="N45" s="90" t="s">
        <v>37</v>
      </c>
      <c r="Q45" s="2" t="s">
        <v>3125</v>
      </c>
    </row>
    <row r="46" spans="1:18" ht="20.399999999999999" x14ac:dyDescent="0.3">
      <c r="A46" s="85">
        <v>38</v>
      </c>
      <c r="B46" s="76" t="s">
        <v>3123</v>
      </c>
      <c r="C46" s="77" t="str">
        <f>HYPERLINK("https://www.xeno-canto.org/species/Coturnix-japonica")</f>
        <v>https://www.xeno-canto.org/species/Coturnix-japonica</v>
      </c>
      <c r="D46" s="94" t="str">
        <f>HYPERLINK("https://ebird.org/species/japqua")</f>
        <v>https://ebird.org/species/japqua</v>
      </c>
      <c r="E46" s="122" t="str">
        <f>HYPERLINK("https://en.wikipedia.org/wiki/Japanese_Quail")</f>
        <v>https://en.wikipedia.org/wiki/Japanese_Quail</v>
      </c>
      <c r="F46" s="123" t="str">
        <f>HYPERLINK("https://apiv3.iucnredlist.org/api/v3/website/Coturnix japonica")</f>
        <v>https://apiv3.iucnredlist.org/api/v3/website/Coturnix japonica</v>
      </c>
      <c r="G46" s="90">
        <v>12</v>
      </c>
      <c r="H46" s="90">
        <v>33</v>
      </c>
      <c r="J46" s="87" t="s">
        <v>39</v>
      </c>
      <c r="K46" s="92" t="s">
        <v>47</v>
      </c>
      <c r="M46" s="93" t="s">
        <v>48</v>
      </c>
      <c r="N46" s="90" t="s">
        <v>49</v>
      </c>
      <c r="O46" s="90" t="s">
        <v>50</v>
      </c>
      <c r="Q46" s="2" t="s">
        <v>3124</v>
      </c>
      <c r="R46" s="2" t="s">
        <v>6387</v>
      </c>
    </row>
    <row r="48" spans="1:18" ht="12" x14ac:dyDescent="0.3">
      <c r="K48" s="88" t="s">
        <v>127</v>
      </c>
      <c r="M48" s="89" t="s">
        <v>128</v>
      </c>
    </row>
    <row r="49" spans="1:17" ht="20.399999999999999" x14ac:dyDescent="0.3">
      <c r="A49" s="85">
        <v>39</v>
      </c>
      <c r="B49" s="74" t="s">
        <v>3135</v>
      </c>
      <c r="C49" s="75" t="str">
        <f>HYPERLINK("https://www.xeno-canto.org/species/Lyncornis-macrotis")</f>
        <v>https://www.xeno-canto.org/species/Lyncornis-macrotis</v>
      </c>
      <c r="D49" s="91" t="str">
        <f>HYPERLINK("https://ebird.org/species/grenig1")</f>
        <v>https://ebird.org/species/grenig1</v>
      </c>
      <c r="E49" s="120" t="str">
        <f>HYPERLINK("https://en.wikipedia.org/wiki/Great_Eared_Nightjar")</f>
        <v>https://en.wikipedia.org/wiki/Great_Eared_Nightjar</v>
      </c>
      <c r="F49" s="121" t="str">
        <f>HYPERLINK("https://apiv3.iucnredlist.org/api/v3/website/Lyncornis macrotis")</f>
        <v>https://apiv3.iucnredlist.org/api/v3/website/Lyncornis macrotis</v>
      </c>
      <c r="G49" s="90">
        <v>36</v>
      </c>
      <c r="H49" s="90">
        <v>73</v>
      </c>
      <c r="J49" s="87" t="s">
        <v>128</v>
      </c>
      <c r="K49" s="95" t="s">
        <v>129</v>
      </c>
      <c r="M49" s="93" t="s">
        <v>130</v>
      </c>
      <c r="N49" s="90" t="s">
        <v>37</v>
      </c>
      <c r="Q49" s="2" t="s">
        <v>3136</v>
      </c>
    </row>
    <row r="50" spans="1:17" ht="20.399999999999999" x14ac:dyDescent="0.3">
      <c r="A50" s="85">
        <v>40</v>
      </c>
      <c r="B50" s="76" t="s">
        <v>3137</v>
      </c>
      <c r="C50" s="77" t="str">
        <f>HYPERLINK("https://www.xeno-canto.org/species/Caprimulgus-jotaka")</f>
        <v>https://www.xeno-canto.org/species/Caprimulgus-jotaka</v>
      </c>
      <c r="D50" s="94" t="str">
        <f>HYPERLINK("https://ebird.org/species/grynig1")</f>
        <v>https://ebird.org/species/grynig1</v>
      </c>
      <c r="E50" s="122" t="str">
        <f>HYPERLINK("https://en.wikipedia.org/wiki/Grey_Nightjar")</f>
        <v>https://en.wikipedia.org/wiki/Grey_Nightjar</v>
      </c>
      <c r="F50" s="123" t="str">
        <f>HYPERLINK("https://apiv3.iucnredlist.org/api/v3/website/Caprimulgus jotaka")</f>
        <v>https://apiv3.iucnredlist.org/api/v3/website/Caprimulgus jotaka</v>
      </c>
      <c r="G50" s="90">
        <v>36</v>
      </c>
      <c r="H50" s="90">
        <v>73</v>
      </c>
      <c r="J50" s="87" t="s">
        <v>128</v>
      </c>
      <c r="K50" s="92" t="s">
        <v>131</v>
      </c>
      <c r="M50" s="93" t="s">
        <v>132</v>
      </c>
      <c r="N50" s="90" t="s">
        <v>89</v>
      </c>
      <c r="Q50" s="2" t="s">
        <v>3138</v>
      </c>
    </row>
    <row r="51" spans="1:17" ht="14.4" x14ac:dyDescent="0.3">
      <c r="A51" s="85">
        <v>41</v>
      </c>
      <c r="B51" s="76" t="s">
        <v>3139</v>
      </c>
      <c r="C51" s="77" t="str">
        <f>HYPERLINK("https://www.xeno-canto.org/species/Caprimulgus-macrurus")</f>
        <v>https://www.xeno-canto.org/species/Caprimulgus-macrurus</v>
      </c>
      <c r="D51" s="94" t="str">
        <f>HYPERLINK("https://ebird.org/species/latnig2")</f>
        <v>https://ebird.org/species/latnig2</v>
      </c>
      <c r="E51" s="122" t="str">
        <f>HYPERLINK("https://en.wikipedia.org/wiki/Large-tailed_Nightjar")</f>
        <v>https://en.wikipedia.org/wiki/Large-tailed_Nightjar</v>
      </c>
      <c r="F51" s="123" t="str">
        <f>HYPERLINK("https://apiv3.iucnredlist.org/api/v3/website/Caprimulgus macrurus")</f>
        <v>https://apiv3.iucnredlist.org/api/v3/website/Caprimulgus macrurus</v>
      </c>
      <c r="G51" s="90">
        <v>36</v>
      </c>
      <c r="H51" s="90">
        <v>73</v>
      </c>
      <c r="J51" s="87" t="s">
        <v>128</v>
      </c>
      <c r="K51" s="95" t="s">
        <v>134</v>
      </c>
      <c r="M51" s="93" t="s">
        <v>135</v>
      </c>
      <c r="N51" s="90" t="s">
        <v>37</v>
      </c>
      <c r="Q51" s="2" t="s">
        <v>3140</v>
      </c>
    </row>
    <row r="52" spans="1:17" ht="14.4" x14ac:dyDescent="0.3">
      <c r="A52" s="85">
        <v>42</v>
      </c>
      <c r="B52" s="76" t="s">
        <v>3141</v>
      </c>
      <c r="C52" s="77" t="str">
        <f>HYPERLINK("https://www.xeno-canto.org/species/Caprimulgus-manillensis")</f>
        <v>https://www.xeno-canto.org/species/Caprimulgus-manillensis</v>
      </c>
      <c r="D52" s="94" t="str">
        <f>HYPERLINK("https://ebird.org/species/phinig1")</f>
        <v>https://ebird.org/species/phinig1</v>
      </c>
      <c r="E52" s="122" t="str">
        <f>HYPERLINK("https://en.wikipedia.org/wiki/Philippine_Nightjar")</f>
        <v>https://en.wikipedia.org/wiki/Philippine_Nightjar</v>
      </c>
      <c r="F52" s="123" t="str">
        <f>HYPERLINK("https://apiv3.iucnredlist.org/api/v3/website/Caprimulgus manillensis")</f>
        <v>https://apiv3.iucnredlist.org/api/v3/website/Caprimulgus manillensis</v>
      </c>
      <c r="G52" s="90">
        <v>36</v>
      </c>
      <c r="H52" s="90">
        <v>73</v>
      </c>
      <c r="J52" s="87" t="s">
        <v>128</v>
      </c>
      <c r="K52" s="98" t="s">
        <v>136</v>
      </c>
      <c r="M52" s="99" t="s">
        <v>137</v>
      </c>
      <c r="N52" s="90" t="s">
        <v>57</v>
      </c>
      <c r="Q52" s="2" t="s">
        <v>3142</v>
      </c>
    </row>
    <row r="53" spans="1:17" ht="14.4" x14ac:dyDescent="0.3">
      <c r="A53" s="85">
        <v>43</v>
      </c>
      <c r="B53" s="76" t="s">
        <v>6496</v>
      </c>
      <c r="C53" s="77" t="str">
        <f>HYPERLINK("https://www.xeno-canto.org/species/Caprimulgus-griseatus")</f>
        <v>https://www.xeno-canto.org/species/Caprimulgus-griseatus</v>
      </c>
      <c r="D53" s="94" t="str">
        <f>HYPERLINK("https://ebird.org/species/kaynig1")</f>
        <v>https://ebird.org/species/kaynig1</v>
      </c>
      <c r="E53" s="122" t="str">
        <f>HYPERLINK("https://en.wikipedia.org/wiki/Chirruping_Nightjar")</f>
        <v>https://en.wikipedia.org/wiki/Chirruping_Nightjar</v>
      </c>
      <c r="F53" s="123" t="str">
        <f>HYPERLINK("https://apiv3.iucnredlist.org/api/v3/website/Caprimulgus griseatus")</f>
        <v>https://apiv3.iucnredlist.org/api/v3/website/Caprimulgus griseatus</v>
      </c>
      <c r="G53" s="90">
        <v>36</v>
      </c>
      <c r="H53" s="90">
        <v>75</v>
      </c>
      <c r="J53" s="87" t="s">
        <v>128</v>
      </c>
      <c r="K53" s="106" t="s">
        <v>6497</v>
      </c>
      <c r="L53" s="86" t="s">
        <v>138</v>
      </c>
      <c r="M53" s="97" t="s">
        <v>6498</v>
      </c>
      <c r="N53" s="90" t="s">
        <v>37</v>
      </c>
      <c r="Q53" s="2" t="s">
        <v>3143</v>
      </c>
    </row>
    <row r="55" spans="1:17" ht="12" x14ac:dyDescent="0.3">
      <c r="K55" s="88" t="s">
        <v>121</v>
      </c>
      <c r="M55" s="89" t="s">
        <v>122</v>
      </c>
    </row>
    <row r="56" spans="1:17" ht="14.4" x14ac:dyDescent="0.3">
      <c r="A56" s="85">
        <v>44</v>
      </c>
      <c r="B56" s="74" t="s">
        <v>3130</v>
      </c>
      <c r="C56" s="75" t="str">
        <f>HYPERLINK("https://www.xeno-canto.org/species/Batrachostomus-septimus")</f>
        <v>https://www.xeno-canto.org/species/Batrachostomus-septimus</v>
      </c>
      <c r="D56" s="91" t="str">
        <f>HYPERLINK("https://ebird.org/species/phifro1")</f>
        <v>https://ebird.org/species/phifro1</v>
      </c>
      <c r="E56" s="120" t="str">
        <f>HYPERLINK("https://en.wikipedia.org/wiki/Philippine_Frogmouth")</f>
        <v>https://en.wikipedia.org/wiki/Philippine_Frogmouth</v>
      </c>
      <c r="F56" s="121" t="str">
        <f>HYPERLINK("https://apiv3.iucnredlist.org/api/v3/website/Batrachostomus septimus")</f>
        <v>https://apiv3.iucnredlist.org/api/v3/website/Batrachostomus septimus</v>
      </c>
      <c r="G56" s="90">
        <v>36</v>
      </c>
      <c r="H56" s="90">
        <v>71</v>
      </c>
      <c r="J56" s="87" t="s">
        <v>122</v>
      </c>
      <c r="K56" s="98" t="s">
        <v>123</v>
      </c>
      <c r="M56" s="99" t="s">
        <v>124</v>
      </c>
      <c r="N56" s="90" t="s">
        <v>57</v>
      </c>
      <c r="Q56" s="2" t="s">
        <v>3131</v>
      </c>
    </row>
    <row r="57" spans="1:17" ht="14.4" x14ac:dyDescent="0.3">
      <c r="A57" s="85">
        <v>45</v>
      </c>
      <c r="B57" s="76" t="s">
        <v>3132</v>
      </c>
      <c r="C57" s="77" t="str">
        <f>HYPERLINK("https://www.xeno-canto.org/species/Batrachostomus-chaseni")</f>
        <v>https://www.xeno-canto.org/species/Batrachostomus-chaseni</v>
      </c>
      <c r="D57" s="94" t="str">
        <f>HYPERLINK("https://ebird.org/species/palfro1")</f>
        <v>https://ebird.org/species/palfro1</v>
      </c>
      <c r="E57" s="122" t="str">
        <f>HYPERLINK("https://en.wikipedia.org/wiki/Palawan_Frogmouth")</f>
        <v>https://en.wikipedia.org/wiki/Palawan_Frogmouth</v>
      </c>
      <c r="F57" s="123" t="str">
        <f>HYPERLINK("https://apiv3.iucnredlist.org/api/v3/website/Batrachostomus chaseni")</f>
        <v>https://apiv3.iucnredlist.org/api/v3/website/Batrachostomus chaseni</v>
      </c>
      <c r="G57" s="90">
        <v>36</v>
      </c>
      <c r="H57" s="90">
        <v>71</v>
      </c>
      <c r="J57" s="87" t="s">
        <v>122</v>
      </c>
      <c r="K57" s="98" t="s">
        <v>125</v>
      </c>
      <c r="L57" s="86" t="s">
        <v>3133</v>
      </c>
      <c r="M57" s="99" t="s">
        <v>126</v>
      </c>
      <c r="N57" s="90" t="s">
        <v>57</v>
      </c>
      <c r="P57" s="90" t="s">
        <v>38</v>
      </c>
      <c r="Q57" s="2" t="s">
        <v>3134</v>
      </c>
    </row>
    <row r="59" spans="1:17" ht="12" x14ac:dyDescent="0.3">
      <c r="K59" s="88" t="s">
        <v>140</v>
      </c>
      <c r="M59" s="89" t="s">
        <v>141</v>
      </c>
    </row>
    <row r="60" spans="1:17" ht="14.4" x14ac:dyDescent="0.3">
      <c r="A60" s="85">
        <v>46</v>
      </c>
      <c r="B60" s="74" t="s">
        <v>3144</v>
      </c>
      <c r="C60" s="75" t="str">
        <f>HYPERLINK("https://www.xeno-canto.org/species/Hemiprocne-longipennis")</f>
        <v>https://www.xeno-canto.org/species/Hemiprocne-longipennis</v>
      </c>
      <c r="D60" s="91" t="str">
        <f>HYPERLINK("https://ebird.org/species/gyrtre1")</f>
        <v>https://ebird.org/species/gyrtre1</v>
      </c>
      <c r="E60" s="120" t="str">
        <f>HYPERLINK("https://en.wikipedia.org/wiki/Grey-rumped_Treeswift")</f>
        <v>https://en.wikipedia.org/wiki/Grey-rumped_Treeswift</v>
      </c>
      <c r="F60" s="121" t="str">
        <f>HYPERLINK("https://apiv3.iucnredlist.org/api/v3/website/Hemiprocne longipennis")</f>
        <v>https://apiv3.iucnredlist.org/api/v3/website/Hemiprocne longipennis</v>
      </c>
      <c r="G60" s="90">
        <v>38</v>
      </c>
      <c r="H60" s="90">
        <v>75</v>
      </c>
      <c r="J60" s="87" t="s">
        <v>141</v>
      </c>
      <c r="K60" s="92" t="s">
        <v>142</v>
      </c>
      <c r="M60" s="93" t="s">
        <v>143</v>
      </c>
      <c r="N60" s="90" t="s">
        <v>37</v>
      </c>
      <c r="Q60" s="2" t="s">
        <v>3145</v>
      </c>
    </row>
    <row r="61" spans="1:17" ht="14.4" x14ac:dyDescent="0.3">
      <c r="A61" s="85">
        <v>47</v>
      </c>
      <c r="B61" s="76" t="s">
        <v>3146</v>
      </c>
      <c r="C61" s="77" t="str">
        <f>HYPERLINK("https://www.xeno-canto.org/species/Hemiprocne-comata")</f>
        <v>https://www.xeno-canto.org/species/Hemiprocne-comata</v>
      </c>
      <c r="D61" s="94" t="str">
        <f>HYPERLINK("https://ebird.org/species/whitre1")</f>
        <v>https://ebird.org/species/whitre1</v>
      </c>
      <c r="E61" s="122" t="str">
        <f>HYPERLINK("https://en.wikipedia.org/wiki/Whiskered_Treeswift")</f>
        <v>https://en.wikipedia.org/wiki/Whiskered_Treeswift</v>
      </c>
      <c r="F61" s="123" t="str">
        <f>HYPERLINK("https://apiv3.iucnredlist.org/api/v3/website/Hemiprocne comata")</f>
        <v>https://apiv3.iucnredlist.org/api/v3/website/Hemiprocne comata</v>
      </c>
      <c r="G61" s="90">
        <v>38</v>
      </c>
      <c r="H61" s="90">
        <v>75</v>
      </c>
      <c r="J61" s="87" t="s">
        <v>141</v>
      </c>
      <c r="K61" s="95" t="s">
        <v>144</v>
      </c>
      <c r="M61" s="93" t="s">
        <v>145</v>
      </c>
      <c r="N61" s="90" t="s">
        <v>37</v>
      </c>
      <c r="Q61" s="2" t="s">
        <v>3147</v>
      </c>
    </row>
    <row r="63" spans="1:17" ht="12" x14ac:dyDescent="0.3">
      <c r="K63" s="88" t="s">
        <v>146</v>
      </c>
      <c r="M63" s="89" t="s">
        <v>147</v>
      </c>
    </row>
    <row r="64" spans="1:17" ht="14.4" x14ac:dyDescent="0.3">
      <c r="A64" s="85">
        <v>48</v>
      </c>
      <c r="B64" s="74" t="s">
        <v>3148</v>
      </c>
      <c r="C64" s="75" t="str">
        <f>HYPERLINK("https://www.xeno-canto.org/species/Collocalia-marginata")</f>
        <v>https://www.xeno-canto.org/species/Collocalia-marginata</v>
      </c>
      <c r="D64" s="91" t="str">
        <f>HYPERLINK("https://ebird.org/species/gyrswi5")</f>
        <v>https://ebird.org/species/gyrswi5</v>
      </c>
      <c r="E64" s="120" t="str">
        <f>HYPERLINK("https://en.wikipedia.org/wiki/Grey-rumped_Swiftlet")</f>
        <v>https://en.wikipedia.org/wiki/Grey-rumped_Swiftlet</v>
      </c>
      <c r="F64" s="121" t="str">
        <f>HYPERLINK("https://apiv3.iucnredlist.org/api/v3/website/Collocalia marginata")</f>
        <v>https://apiv3.iucnredlist.org/api/v3/website/Collocalia marginata</v>
      </c>
      <c r="G64" s="90">
        <v>37</v>
      </c>
      <c r="H64" s="90">
        <v>79</v>
      </c>
      <c r="J64" s="87" t="s">
        <v>147</v>
      </c>
      <c r="K64" s="98" t="s">
        <v>148</v>
      </c>
      <c r="L64" s="86" t="s">
        <v>3149</v>
      </c>
      <c r="M64" s="99" t="s">
        <v>149</v>
      </c>
      <c r="N64" s="90" t="s">
        <v>57</v>
      </c>
      <c r="Q64" s="2" t="s">
        <v>3150</v>
      </c>
    </row>
    <row r="65" spans="1:18" ht="14.4" x14ac:dyDescent="0.3">
      <c r="A65" s="85">
        <v>49</v>
      </c>
      <c r="B65" s="76" t="s">
        <v>3151</v>
      </c>
      <c r="C65" s="77" t="str">
        <f>HYPERLINK("https://www.xeno-canto.org/species/Collocalia-isonota")</f>
        <v>https://www.xeno-canto.org/species/Collocalia-isonota</v>
      </c>
      <c r="D65" s="94" t="str">
        <f>HYPERLINK("https://ebird.org/species/ridswi1")</f>
        <v>https://ebird.org/species/ridswi1</v>
      </c>
      <c r="E65" s="122" t="str">
        <f>HYPERLINK("https://en.wikipedia.org/wiki/Ridgetop_Swiftlet")</f>
        <v>https://en.wikipedia.org/wiki/Ridgetop_Swiftlet</v>
      </c>
      <c r="F65" s="123" t="str">
        <f>HYPERLINK("https://apiv3.iucnredlist.org/api/v3/website/Collocalia isonota")</f>
        <v>https://apiv3.iucnredlist.org/api/v3/website/Collocalia isonota</v>
      </c>
      <c r="H65" s="90">
        <v>79</v>
      </c>
      <c r="J65" s="87" t="s">
        <v>147</v>
      </c>
      <c r="K65" s="98" t="s">
        <v>150</v>
      </c>
      <c r="L65" s="86" t="s">
        <v>3149</v>
      </c>
      <c r="M65" s="99" t="s">
        <v>151</v>
      </c>
      <c r="N65" s="90" t="s">
        <v>57</v>
      </c>
    </row>
    <row r="66" spans="1:18" ht="14.4" x14ac:dyDescent="0.3">
      <c r="A66" s="85">
        <v>50</v>
      </c>
      <c r="B66" s="76" t="s">
        <v>3152</v>
      </c>
      <c r="C66" s="77" t="str">
        <f>HYPERLINK("https://www.xeno-canto.org/species/Collocalia-troglodytes")</f>
        <v>https://www.xeno-canto.org/species/Collocalia-troglodytes</v>
      </c>
      <c r="D66" s="94" t="str">
        <f>HYPERLINK("https://ebird.org/species/pygswi2")</f>
        <v>https://ebird.org/species/pygswi2</v>
      </c>
      <c r="E66" s="122" t="str">
        <f>HYPERLINK("https://en.wikipedia.org/wiki/Pygmy_Swiftlet")</f>
        <v>https://en.wikipedia.org/wiki/Pygmy_Swiftlet</v>
      </c>
      <c r="F66" s="123" t="str">
        <f>HYPERLINK("https://apiv3.iucnredlist.org/api/v3/website/Collocalia troglodytes")</f>
        <v>https://apiv3.iucnredlist.org/api/v3/website/Collocalia troglodytes</v>
      </c>
      <c r="G66" s="90">
        <v>37</v>
      </c>
      <c r="H66" s="90">
        <v>77</v>
      </c>
      <c r="J66" s="87" t="s">
        <v>147</v>
      </c>
      <c r="K66" s="98" t="s">
        <v>152</v>
      </c>
      <c r="M66" s="99" t="s">
        <v>153</v>
      </c>
      <c r="N66" s="90" t="s">
        <v>57</v>
      </c>
      <c r="Q66" s="2" t="s">
        <v>3153</v>
      </c>
    </row>
    <row r="67" spans="1:18" ht="14.4" x14ac:dyDescent="0.3">
      <c r="A67" s="85">
        <v>51</v>
      </c>
      <c r="B67" s="76" t="s">
        <v>3154</v>
      </c>
      <c r="C67" s="77" t="str">
        <f>HYPERLINK("https://www.xeno-canto.org/species/Aerodramus-mearnsi")</f>
        <v>https://www.xeno-canto.org/species/Aerodramus-mearnsi</v>
      </c>
      <c r="D67" s="94" t="str">
        <f>HYPERLINK("https://ebird.org/species/phiswi1")</f>
        <v>https://ebird.org/species/phiswi1</v>
      </c>
      <c r="E67" s="122" t="str">
        <f>HYPERLINK("https://en.wikipedia.org/wiki/Philippine_Swiftlet")</f>
        <v>https://en.wikipedia.org/wiki/Philippine_Swiftlet</v>
      </c>
      <c r="F67" s="123" t="str">
        <f>HYPERLINK("https://apiv3.iucnredlist.org/api/v3/website/Aerodramus mearnsi")</f>
        <v>https://apiv3.iucnredlist.org/api/v3/website/Aerodramus mearnsi</v>
      </c>
      <c r="G67" s="90">
        <v>37</v>
      </c>
      <c r="H67" s="90">
        <v>81</v>
      </c>
      <c r="J67" s="87" t="s">
        <v>147</v>
      </c>
      <c r="K67" s="98" t="s">
        <v>154</v>
      </c>
      <c r="M67" s="99" t="s">
        <v>155</v>
      </c>
      <c r="N67" s="90" t="s">
        <v>57</v>
      </c>
      <c r="Q67" s="2" t="s">
        <v>3155</v>
      </c>
    </row>
    <row r="68" spans="1:18" ht="14.4" x14ac:dyDescent="0.3">
      <c r="A68" s="85">
        <v>52</v>
      </c>
      <c r="B68" s="76" t="s">
        <v>3156</v>
      </c>
      <c r="C68" s="77" t="str">
        <f>HYPERLINK("https://www.xeno-canto.org/species/Aerodramus-whiteheadi")</f>
        <v>https://www.xeno-canto.org/species/Aerodramus-whiteheadi</v>
      </c>
      <c r="D68" s="94" t="str">
        <f>HYPERLINK("https://ebird.org/species/whiswi1")</f>
        <v>https://ebird.org/species/whiswi1</v>
      </c>
      <c r="E68" s="122" t="str">
        <f>HYPERLINK("https://en.wikipedia.org/wiki/Whitehead's_Swiftlet")</f>
        <v>https://en.wikipedia.org/wiki/Whitehead's_Swiftlet</v>
      </c>
      <c r="F68" s="123" t="str">
        <f>HYPERLINK("https://apiv3.iucnredlist.org/api/v3/website/Aerodramus whiteheadi")</f>
        <v>https://apiv3.iucnredlist.org/api/v3/website/Aerodramus whiteheadi</v>
      </c>
      <c r="G68" s="90">
        <v>37</v>
      </c>
      <c r="H68" s="90">
        <v>79</v>
      </c>
      <c r="J68" s="87" t="s">
        <v>147</v>
      </c>
      <c r="K68" s="102" t="s">
        <v>156</v>
      </c>
      <c r="M68" s="99" t="s">
        <v>157</v>
      </c>
      <c r="N68" s="90" t="s">
        <v>57</v>
      </c>
      <c r="O68" s="90" t="s">
        <v>158</v>
      </c>
      <c r="Q68" s="2" t="s">
        <v>3157</v>
      </c>
    </row>
    <row r="69" spans="1:18" ht="14.4" x14ac:dyDescent="0.3">
      <c r="A69" s="85">
        <v>53</v>
      </c>
      <c r="B69" s="76" t="s">
        <v>3158</v>
      </c>
      <c r="C69" s="77" t="str">
        <f>HYPERLINK("https://www.xeno-canto.org/species/Aerodramus-salangana")</f>
        <v>https://www.xeno-canto.org/species/Aerodramus-salangana</v>
      </c>
      <c r="D69" s="94" t="str">
        <f>HYPERLINK("https://ebird.org/species/monswi2")</f>
        <v>https://ebird.org/species/monswi2</v>
      </c>
      <c r="E69" s="122" t="str">
        <f>HYPERLINK("https://en.wikipedia.org/wiki/Mossy-nest_Swiftlet")</f>
        <v>https://en.wikipedia.org/wiki/Mossy-nest_Swiftlet</v>
      </c>
      <c r="F69" s="123" t="str">
        <f>HYPERLINK("https://apiv3.iucnredlist.org/api/v3/website/Aerodramus salangana")</f>
        <v>https://apiv3.iucnredlist.org/api/v3/website/Aerodramus salangana</v>
      </c>
      <c r="G69" s="90">
        <v>37</v>
      </c>
      <c r="H69" s="90">
        <v>81</v>
      </c>
      <c r="J69" s="87" t="s">
        <v>147</v>
      </c>
      <c r="K69" s="92" t="s">
        <v>159</v>
      </c>
      <c r="M69" s="93" t="s">
        <v>160</v>
      </c>
      <c r="N69" s="90" t="s">
        <v>63</v>
      </c>
      <c r="Q69" s="2" t="s">
        <v>3159</v>
      </c>
    </row>
    <row r="70" spans="1:18" ht="30.6" x14ac:dyDescent="0.3">
      <c r="A70" s="85">
        <v>54</v>
      </c>
      <c r="B70" s="76" t="s">
        <v>3160</v>
      </c>
      <c r="C70" s="77" t="str">
        <f>HYPERLINK("https://www.xeno-canto.org/species/Aerodramus-amelis")</f>
        <v>https://www.xeno-canto.org/species/Aerodramus-amelis</v>
      </c>
      <c r="D70" s="94" t="str">
        <f>HYPERLINK("https://ebird.org/species/palswi2")</f>
        <v>https://ebird.org/species/palswi2</v>
      </c>
      <c r="E70" s="122" t="str">
        <f>HYPERLINK("https://en.wikipedia.org/wiki/Ameline_Swiftlet")</f>
        <v>https://en.wikipedia.org/wiki/Ameline_Swiftlet</v>
      </c>
      <c r="F70" s="123" t="str">
        <f>HYPERLINK("https://apiv3.iucnredlist.org/api/v3/website/Aerodramus amelis")</f>
        <v>https://apiv3.iucnredlist.org/api/v3/website/Aerodramus amelis</v>
      </c>
      <c r="G70" s="90">
        <v>37</v>
      </c>
      <c r="H70" s="90">
        <v>79</v>
      </c>
      <c r="J70" s="87" t="s">
        <v>147</v>
      </c>
      <c r="K70" s="98" t="s">
        <v>161</v>
      </c>
      <c r="M70" s="99" t="s">
        <v>162</v>
      </c>
      <c r="N70" s="90" t="s">
        <v>57</v>
      </c>
      <c r="Q70" s="2" t="s">
        <v>3162</v>
      </c>
    </row>
    <row r="71" spans="1:18" ht="14.4" x14ac:dyDescent="0.3">
      <c r="A71" s="85">
        <v>55</v>
      </c>
      <c r="B71" s="76" t="s">
        <v>3163</v>
      </c>
      <c r="C71" s="77" t="str">
        <f>HYPERLINK("https://www.xeno-canto.org/species/Aerodramus-maximus")</f>
        <v>https://www.xeno-canto.org/species/Aerodramus-maximus</v>
      </c>
      <c r="D71" s="94" t="str">
        <f>HYPERLINK("https://ebird.org/species/blnswi1")</f>
        <v>https://ebird.org/species/blnswi1</v>
      </c>
      <c r="E71" s="122" t="str">
        <f>HYPERLINK("https://en.wikipedia.org/wiki/Black-nest_Swiftlet")</f>
        <v>https://en.wikipedia.org/wiki/Black-nest_Swiftlet</v>
      </c>
      <c r="F71" s="123" t="str">
        <f>HYPERLINK("https://apiv3.iucnredlist.org/api/v3/website/Aerodramus maximus")</f>
        <v>https://apiv3.iucnredlist.org/api/v3/website/Aerodramus maximus</v>
      </c>
      <c r="G71" s="90">
        <v>37</v>
      </c>
      <c r="H71" s="90">
        <v>79</v>
      </c>
      <c r="J71" s="87" t="s">
        <v>147</v>
      </c>
      <c r="K71" s="92" t="s">
        <v>163</v>
      </c>
      <c r="M71" s="93" t="s">
        <v>164</v>
      </c>
      <c r="N71" s="90" t="s">
        <v>63</v>
      </c>
      <c r="Q71" s="2" t="s">
        <v>3164</v>
      </c>
    </row>
    <row r="72" spans="1:18" ht="14.4" x14ac:dyDescent="0.3">
      <c r="A72" s="85">
        <v>56</v>
      </c>
      <c r="B72" s="76" t="s">
        <v>3165</v>
      </c>
      <c r="C72" s="77" t="str">
        <f>HYPERLINK("https://www.xeno-canto.org/species/Aerodramus-germani")</f>
        <v>https://www.xeno-canto.org/species/Aerodramus-germani</v>
      </c>
      <c r="D72" s="94" t="str">
        <f>HYPERLINK("https://ebird.org/species/gerswi1")</f>
        <v>https://ebird.org/species/gerswi1</v>
      </c>
      <c r="E72" s="122" t="str">
        <f>HYPERLINK("https://en.wikipedia.org/wiki/Germain's_Swiftlet")</f>
        <v>https://en.wikipedia.org/wiki/Germain's_Swiftlet</v>
      </c>
      <c r="F72" s="123" t="str">
        <f>HYPERLINK("https://apiv3.iucnredlist.org/api/v3/website/Aerodramus germani")</f>
        <v>https://apiv3.iucnredlist.org/api/v3/website/Aerodramus germani</v>
      </c>
      <c r="G72" s="90">
        <v>37</v>
      </c>
      <c r="H72" s="90">
        <v>81</v>
      </c>
      <c r="J72" s="87" t="s">
        <v>147</v>
      </c>
      <c r="K72" s="95" t="s">
        <v>165</v>
      </c>
      <c r="M72" s="93" t="s">
        <v>166</v>
      </c>
      <c r="N72" s="90" t="s">
        <v>37</v>
      </c>
      <c r="Q72" s="2" t="s">
        <v>3166</v>
      </c>
    </row>
    <row r="73" spans="1:18" ht="20.399999999999999" x14ac:dyDescent="0.3">
      <c r="A73" s="85">
        <v>57</v>
      </c>
      <c r="B73" s="76" t="s">
        <v>3167</v>
      </c>
      <c r="C73" s="77" t="str">
        <f>HYPERLINK("https://www.xeno-canto.org/species/Mearnsia-picina")</f>
        <v>https://www.xeno-canto.org/species/Mearnsia-picina</v>
      </c>
      <c r="D73" s="94" t="str">
        <f>HYPERLINK("https://ebird.org/species/phinee1")</f>
        <v>https://ebird.org/species/phinee1</v>
      </c>
      <c r="E73" s="122" t="str">
        <f>HYPERLINK("https://en.wikipedia.org/wiki/Philippine_Spinetail")</f>
        <v>https://en.wikipedia.org/wiki/Philippine_Spinetail</v>
      </c>
      <c r="F73" s="123" t="str">
        <f>HYPERLINK("https://apiv3.iucnredlist.org/api/v3/website/Mearnsia picina")</f>
        <v>https://apiv3.iucnredlist.org/api/v3/website/Mearnsia picina</v>
      </c>
      <c r="G73" s="90">
        <v>38</v>
      </c>
      <c r="H73" s="90">
        <v>77</v>
      </c>
      <c r="J73" s="87" t="s">
        <v>147</v>
      </c>
      <c r="K73" s="98" t="s">
        <v>1663</v>
      </c>
      <c r="M73" s="99" t="s">
        <v>167</v>
      </c>
      <c r="N73" s="90" t="s">
        <v>57</v>
      </c>
      <c r="O73" s="90" t="s">
        <v>50</v>
      </c>
      <c r="P73" s="90" t="s">
        <v>38</v>
      </c>
      <c r="Q73" s="2" t="s">
        <v>3168</v>
      </c>
    </row>
    <row r="74" spans="1:18" ht="20.399999999999999" x14ac:dyDescent="0.3">
      <c r="A74" s="85">
        <v>58</v>
      </c>
      <c r="B74" s="76" t="s">
        <v>3169</v>
      </c>
      <c r="C74" s="77" t="str">
        <f>HYPERLINK("https://www.xeno-canto.org/species/Hirundapus-caudacutus")</f>
        <v>https://www.xeno-canto.org/species/Hirundapus-caudacutus</v>
      </c>
      <c r="D74" s="94" t="str">
        <f>HYPERLINK("https://ebird.org/species/whtnee")</f>
        <v>https://ebird.org/species/whtnee</v>
      </c>
      <c r="E74" s="122" t="str">
        <f>HYPERLINK("https://en.wikipedia.org/wiki/White-throated_Needletail")</f>
        <v>https://en.wikipedia.org/wiki/White-throated_Needletail</v>
      </c>
      <c r="F74" s="123" t="str">
        <f>HYPERLINK("https://apiv3.iucnredlist.org/api/v3/website/Hirundapus caudacutus")</f>
        <v>https://apiv3.iucnredlist.org/api/v3/website/Hirundapus caudacutus</v>
      </c>
      <c r="H74" s="90">
        <v>77</v>
      </c>
      <c r="J74" s="87" t="s">
        <v>147</v>
      </c>
      <c r="K74" s="92" t="s">
        <v>168</v>
      </c>
      <c r="M74" s="93" t="s">
        <v>169</v>
      </c>
      <c r="N74" s="90" t="s">
        <v>49</v>
      </c>
      <c r="Q74" s="2" t="s">
        <v>3170</v>
      </c>
      <c r="R74" s="2" t="s">
        <v>6499</v>
      </c>
    </row>
    <row r="75" spans="1:18" ht="14.4" x14ac:dyDescent="0.3">
      <c r="A75" s="85">
        <v>59</v>
      </c>
      <c r="B75" s="76" t="s">
        <v>3171</v>
      </c>
      <c r="C75" s="77" t="str">
        <f>HYPERLINK("https://www.xeno-canto.org/species/Hirundapus-giganteus")</f>
        <v>https://www.xeno-canto.org/species/Hirundapus-giganteus</v>
      </c>
      <c r="D75" s="94" t="str">
        <f>HYPERLINK("https://ebird.org/species/brbnee1")</f>
        <v>https://ebird.org/species/brbnee1</v>
      </c>
      <c r="E75" s="122" t="str">
        <f>HYPERLINK("https://en.wikipedia.org/wiki/Brown-backed_Needletail")</f>
        <v>https://en.wikipedia.org/wiki/Brown-backed_Needletail</v>
      </c>
      <c r="F75" s="123" t="str">
        <f>HYPERLINK("https://apiv3.iucnredlist.org/api/v3/website/Hirundapus giganteus")</f>
        <v>https://apiv3.iucnredlist.org/api/v3/website/Hirundapus giganteus</v>
      </c>
      <c r="G75" s="90">
        <v>38</v>
      </c>
      <c r="H75" s="90">
        <v>77</v>
      </c>
      <c r="J75" s="87" t="s">
        <v>147</v>
      </c>
      <c r="K75" s="95" t="s">
        <v>170</v>
      </c>
      <c r="M75" s="93" t="s">
        <v>171</v>
      </c>
      <c r="N75" s="90" t="s">
        <v>37</v>
      </c>
      <c r="Q75" s="2" t="s">
        <v>3172</v>
      </c>
    </row>
    <row r="76" spans="1:18" ht="14.4" x14ac:dyDescent="0.3">
      <c r="A76" s="85">
        <v>60</v>
      </c>
      <c r="B76" s="76" t="s">
        <v>3173</v>
      </c>
      <c r="C76" s="77" t="str">
        <f>HYPERLINK("https://www.xeno-canto.org/species/Hirundapus-celebensis")</f>
        <v>https://www.xeno-canto.org/species/Hirundapus-celebensis</v>
      </c>
      <c r="D76" s="94" t="str">
        <f>HYPERLINK("https://ebird.org/species/purnee1")</f>
        <v>https://ebird.org/species/purnee1</v>
      </c>
      <c r="E76" s="122" t="str">
        <f>HYPERLINK("https://en.wikipedia.org/wiki/Purple_Needletail")</f>
        <v>https://en.wikipedia.org/wiki/Purple_Needletail</v>
      </c>
      <c r="F76" s="123" t="str">
        <f>HYPERLINK("https://apiv3.iucnredlist.org/api/v3/website/Hirundapus celebensis")</f>
        <v>https://apiv3.iucnredlist.org/api/v3/website/Hirundapus celebensis</v>
      </c>
      <c r="G76" s="90">
        <v>38</v>
      </c>
      <c r="H76" s="90">
        <v>77</v>
      </c>
      <c r="J76" s="87" t="s">
        <v>147</v>
      </c>
      <c r="K76" s="95" t="s">
        <v>172</v>
      </c>
      <c r="M76" s="93" t="s">
        <v>173</v>
      </c>
      <c r="N76" s="90" t="s">
        <v>37</v>
      </c>
      <c r="Q76" s="2" t="s">
        <v>3174</v>
      </c>
    </row>
    <row r="77" spans="1:18" ht="20.399999999999999" x14ac:dyDescent="0.3">
      <c r="A77" s="85">
        <v>61</v>
      </c>
      <c r="B77" s="76" t="s">
        <v>3175</v>
      </c>
      <c r="C77" s="77" t="str">
        <f>HYPERLINK("https://www.xeno-canto.org/species/Cypsiurus-balasiensis")</f>
        <v>https://www.xeno-canto.org/species/Cypsiurus-balasiensis</v>
      </c>
      <c r="D77" s="94" t="str">
        <f>HYPERLINK("https://ebird.org/species/aspswi1")</f>
        <v>https://ebird.org/species/aspswi1</v>
      </c>
      <c r="E77" s="122" t="str">
        <f>HYPERLINK("https://en.wikipedia.org/wiki/Asian_Palm_Swift")</f>
        <v>https://en.wikipedia.org/wiki/Asian_Palm_Swift</v>
      </c>
      <c r="F77" s="123" t="str">
        <f>HYPERLINK("https://apiv3.iucnredlist.org/api/v3/website/Cypsiurus balasiensis")</f>
        <v>https://apiv3.iucnredlist.org/api/v3/website/Cypsiurus balasiensis</v>
      </c>
      <c r="G77" s="90">
        <v>38</v>
      </c>
      <c r="H77" s="90">
        <v>81</v>
      </c>
      <c r="J77" s="87" t="s">
        <v>147</v>
      </c>
      <c r="K77" s="95" t="s">
        <v>174</v>
      </c>
      <c r="M77" s="93" t="s">
        <v>175</v>
      </c>
      <c r="N77" s="90" t="s">
        <v>37</v>
      </c>
      <c r="Q77" s="2" t="s">
        <v>3176</v>
      </c>
    </row>
    <row r="78" spans="1:18" ht="20.399999999999999" x14ac:dyDescent="0.3">
      <c r="A78" s="85">
        <v>62</v>
      </c>
      <c r="B78" s="76" t="s">
        <v>3177</v>
      </c>
      <c r="C78" s="77" t="str">
        <f>HYPERLINK("https://www.xeno-canto.org/species/Apus-pacificus")</f>
        <v>https://www.xeno-canto.org/species/Apus-pacificus</v>
      </c>
      <c r="D78" s="94" t="str">
        <f>HYPERLINK("https://ebird.org/species/fotswi")</f>
        <v>https://ebird.org/species/fotswi</v>
      </c>
      <c r="E78" s="122" t="str">
        <f>HYPERLINK("https://en.wikipedia.org/wiki/Pacific_Swift")</f>
        <v>https://en.wikipedia.org/wiki/Pacific_Swift</v>
      </c>
      <c r="F78" s="123" t="str">
        <f>HYPERLINK("https://apiv3.iucnredlist.org/api/v3/website/Apus pacificus")</f>
        <v>https://apiv3.iucnredlist.org/api/v3/website/Apus pacificus</v>
      </c>
      <c r="G78" s="90">
        <v>38</v>
      </c>
      <c r="H78" s="90">
        <v>81</v>
      </c>
      <c r="J78" s="87" t="s">
        <v>147</v>
      </c>
      <c r="K78" s="95" t="s">
        <v>176</v>
      </c>
      <c r="M78" s="93" t="s">
        <v>177</v>
      </c>
      <c r="N78" s="90" t="s">
        <v>695</v>
      </c>
      <c r="Q78" s="2" t="s">
        <v>3178</v>
      </c>
      <c r="R78" s="2" t="s">
        <v>9</v>
      </c>
    </row>
    <row r="79" spans="1:18" ht="20.399999999999999" x14ac:dyDescent="0.3">
      <c r="A79" s="85">
        <v>63</v>
      </c>
      <c r="B79" s="76" t="s">
        <v>3179</v>
      </c>
      <c r="C79" s="77" t="str">
        <f>HYPERLINK("https://www.xeno-canto.org/species/Apus-nipalensis")</f>
        <v>https://www.xeno-canto.org/species/Apus-nipalensis</v>
      </c>
      <c r="D79" s="94" t="str">
        <f>HYPERLINK("https://ebird.org/species/houswi1")</f>
        <v>https://ebird.org/species/houswi1</v>
      </c>
      <c r="E79" s="122" t="str">
        <f>HYPERLINK("https://en.wikipedia.org/wiki/House_Swift")</f>
        <v>https://en.wikipedia.org/wiki/House_Swift</v>
      </c>
      <c r="F79" s="123" t="str">
        <f>HYPERLINK("https://apiv3.iucnredlist.org/api/v3/website/Apus nipalensis")</f>
        <v>https://apiv3.iucnredlist.org/api/v3/website/Apus nipalensis</v>
      </c>
      <c r="G79" s="90">
        <v>38</v>
      </c>
      <c r="H79" s="90">
        <v>83</v>
      </c>
      <c r="J79" s="87" t="s">
        <v>147</v>
      </c>
      <c r="K79" s="95" t="s">
        <v>179</v>
      </c>
      <c r="M79" s="93" t="s">
        <v>180</v>
      </c>
      <c r="N79" s="90" t="s">
        <v>37</v>
      </c>
      <c r="Q79" s="2" t="s">
        <v>3180</v>
      </c>
    </row>
    <row r="81" spans="1:18" ht="12" x14ac:dyDescent="0.3">
      <c r="K81" s="88" t="s">
        <v>182</v>
      </c>
      <c r="M81" s="89" t="s">
        <v>183</v>
      </c>
    </row>
    <row r="82" spans="1:18" ht="14.4" x14ac:dyDescent="0.3">
      <c r="A82" s="85">
        <v>64</v>
      </c>
      <c r="B82" s="74" t="s">
        <v>3181</v>
      </c>
      <c r="C82" s="75" t="str">
        <f>HYPERLINK("https://www.xeno-canto.org/species/Centropus-unirufus")</f>
        <v>https://www.xeno-canto.org/species/Centropus-unirufus</v>
      </c>
      <c r="D82" s="91" t="str">
        <f>HYPERLINK("https://ebird.org/species/rufcou1")</f>
        <v>https://ebird.org/species/rufcou1</v>
      </c>
      <c r="E82" s="120" t="str">
        <f>HYPERLINK("https://en.wikipedia.org/wiki/Rufous_Coucal")</f>
        <v>https://en.wikipedia.org/wiki/Rufous_Coucal</v>
      </c>
      <c r="F82" s="121" t="str">
        <f>HYPERLINK("https://apiv3.iucnredlist.org/api/v3/website/Centropus unirufus")</f>
        <v>https://apiv3.iucnredlist.org/api/v3/website/Centropus unirufus</v>
      </c>
      <c r="G82" s="90">
        <v>33</v>
      </c>
      <c r="H82" s="90">
        <v>83</v>
      </c>
      <c r="J82" s="87" t="s">
        <v>183</v>
      </c>
      <c r="K82" s="98" t="s">
        <v>184</v>
      </c>
      <c r="M82" s="99" t="s">
        <v>185</v>
      </c>
      <c r="N82" s="90" t="s">
        <v>57</v>
      </c>
      <c r="O82" s="90" t="s">
        <v>50</v>
      </c>
      <c r="P82" s="90" t="s">
        <v>186</v>
      </c>
      <c r="Q82" s="2" t="s">
        <v>3182</v>
      </c>
    </row>
    <row r="83" spans="1:18" ht="14.4" x14ac:dyDescent="0.3">
      <c r="A83" s="85">
        <v>65</v>
      </c>
      <c r="B83" s="76" t="s">
        <v>3183</v>
      </c>
      <c r="C83" s="77" t="str">
        <f>HYPERLINK("https://www.xeno-canto.org/species/Centropus-melanops")</f>
        <v>https://www.xeno-canto.org/species/Centropus-melanops</v>
      </c>
      <c r="D83" s="94" t="str">
        <f>HYPERLINK("https://ebird.org/species/blfcou1")</f>
        <v>https://ebird.org/species/blfcou1</v>
      </c>
      <c r="E83" s="122" t="str">
        <f>HYPERLINK("https://en.wikipedia.org/wiki/Black-faced_Coucal")</f>
        <v>https://en.wikipedia.org/wiki/Black-faced_Coucal</v>
      </c>
      <c r="F83" s="123" t="str">
        <f>HYPERLINK("https://apiv3.iucnredlist.org/api/v3/website/Centropus melanops")</f>
        <v>https://apiv3.iucnredlist.org/api/v3/website/Centropus melanops</v>
      </c>
      <c r="G83" s="90">
        <v>33</v>
      </c>
      <c r="H83" s="90">
        <v>83</v>
      </c>
      <c r="J83" s="87" t="s">
        <v>183</v>
      </c>
      <c r="K83" s="98" t="s">
        <v>187</v>
      </c>
      <c r="M83" s="99" t="s">
        <v>188</v>
      </c>
      <c r="N83" s="90" t="s">
        <v>57</v>
      </c>
      <c r="Q83" s="2" t="s">
        <v>3184</v>
      </c>
    </row>
    <row r="84" spans="1:18" ht="14.4" x14ac:dyDescent="0.3">
      <c r="A84" s="85">
        <v>66</v>
      </c>
      <c r="B84" s="76" t="s">
        <v>3185</v>
      </c>
      <c r="C84" s="77" t="str">
        <f>HYPERLINK("https://www.xeno-canto.org/species/Centropus-steerii")</f>
        <v>https://www.xeno-canto.org/species/Centropus-steerii</v>
      </c>
      <c r="D84" s="94" t="str">
        <f>HYPERLINK("https://ebird.org/species/blhcou1")</f>
        <v>https://ebird.org/species/blhcou1</v>
      </c>
      <c r="E84" s="122" t="str">
        <f>HYPERLINK("https://en.wikipedia.org/wiki/Black-hooded_Coucal")</f>
        <v>https://en.wikipedia.org/wiki/Black-hooded_Coucal</v>
      </c>
      <c r="F84" s="123" t="str">
        <f>HYPERLINK("https://apiv3.iucnredlist.org/api/v3/website/Centropus steerii")</f>
        <v>https://apiv3.iucnredlist.org/api/v3/website/Centropus steerii</v>
      </c>
      <c r="G84" s="90">
        <v>33</v>
      </c>
      <c r="H84" s="90">
        <v>83</v>
      </c>
      <c r="J84" s="87" t="s">
        <v>183</v>
      </c>
      <c r="K84" s="102" t="s">
        <v>189</v>
      </c>
      <c r="M84" s="99" t="s">
        <v>190</v>
      </c>
      <c r="N84" s="90" t="s">
        <v>57</v>
      </c>
      <c r="O84" s="90" t="s">
        <v>112</v>
      </c>
      <c r="P84" s="90" t="s">
        <v>112</v>
      </c>
      <c r="Q84" s="2" t="s">
        <v>3186</v>
      </c>
    </row>
    <row r="85" spans="1:18" ht="14.4" x14ac:dyDescent="0.3">
      <c r="A85" s="85">
        <v>67</v>
      </c>
      <c r="B85" s="76" t="s">
        <v>3187</v>
      </c>
      <c r="C85" s="77" t="str">
        <f>HYPERLINK("https://www.xeno-canto.org/species/Centropus-sinensis")</f>
        <v>https://www.xeno-canto.org/species/Centropus-sinensis</v>
      </c>
      <c r="D85" s="94" t="str">
        <f>HYPERLINK("https://ebird.org/species/grecou1")</f>
        <v>https://ebird.org/species/grecou1</v>
      </c>
      <c r="E85" s="122" t="str">
        <f>HYPERLINK("https://en.wikipedia.org/wiki/Greater_Coucal")</f>
        <v>https://en.wikipedia.org/wiki/Greater_Coucal</v>
      </c>
      <c r="F85" s="123" t="str">
        <f>HYPERLINK("https://apiv3.iucnredlist.org/api/v3/website/Centropus sinensis")</f>
        <v>https://apiv3.iucnredlist.org/api/v3/website/Centropus sinensis</v>
      </c>
      <c r="G85" s="90">
        <v>33</v>
      </c>
      <c r="H85" s="90">
        <v>83</v>
      </c>
      <c r="J85" s="87" t="s">
        <v>183</v>
      </c>
      <c r="K85" s="95" t="s">
        <v>191</v>
      </c>
      <c r="M85" s="93" t="s">
        <v>192</v>
      </c>
      <c r="N85" s="90" t="s">
        <v>37</v>
      </c>
      <c r="Q85" s="2" t="s">
        <v>3188</v>
      </c>
    </row>
    <row r="86" spans="1:18" ht="14.4" x14ac:dyDescent="0.3">
      <c r="A86" s="85">
        <v>68</v>
      </c>
      <c r="B86" s="76" t="s">
        <v>3189</v>
      </c>
      <c r="C86" s="77" t="str">
        <f>HYPERLINK("https://www.xeno-canto.org/species/Centropus-viridis")</f>
        <v>https://www.xeno-canto.org/species/Centropus-viridis</v>
      </c>
      <c r="D86" s="94" t="str">
        <f>HYPERLINK("https://ebird.org/species/phicou1")</f>
        <v>https://ebird.org/species/phicou1</v>
      </c>
      <c r="E86" s="122" t="str">
        <f>HYPERLINK("https://en.wikipedia.org/wiki/Philippine_Coucal")</f>
        <v>https://en.wikipedia.org/wiki/Philippine_Coucal</v>
      </c>
      <c r="F86" s="123" t="str">
        <f>HYPERLINK("https://apiv3.iucnredlist.org/api/v3/website/Centropus viridis")</f>
        <v>https://apiv3.iucnredlist.org/api/v3/website/Centropus viridis</v>
      </c>
      <c r="G86" s="90">
        <v>33</v>
      </c>
      <c r="H86" s="90">
        <v>85</v>
      </c>
      <c r="J86" s="87" t="s">
        <v>183</v>
      </c>
      <c r="K86" s="98" t="s">
        <v>193</v>
      </c>
      <c r="M86" s="99" t="s">
        <v>194</v>
      </c>
      <c r="N86" s="90" t="s">
        <v>57</v>
      </c>
      <c r="Q86" s="2" t="s">
        <v>3190</v>
      </c>
    </row>
    <row r="87" spans="1:18" ht="14.4" x14ac:dyDescent="0.3">
      <c r="A87" s="85">
        <v>69</v>
      </c>
      <c r="B87" s="76" t="s">
        <v>3191</v>
      </c>
      <c r="C87" s="77" t="str">
        <f>HYPERLINK("https://www.xeno-canto.org/species/Centropus-bengalensis")</f>
        <v>https://www.xeno-canto.org/species/Centropus-bengalensis</v>
      </c>
      <c r="D87" s="94" t="str">
        <f>HYPERLINK("https://ebird.org/species/lescou1")</f>
        <v>https://ebird.org/species/lescou1</v>
      </c>
      <c r="E87" s="122" t="str">
        <f>HYPERLINK("https://en.wikipedia.org/wiki/Lesser_Coucal")</f>
        <v>https://en.wikipedia.org/wiki/Lesser_Coucal</v>
      </c>
      <c r="F87" s="123" t="str">
        <f>HYPERLINK("https://apiv3.iucnredlist.org/api/v3/website/Centropus bengalensis")</f>
        <v>https://apiv3.iucnredlist.org/api/v3/website/Centropus bengalensis</v>
      </c>
      <c r="G87" s="90">
        <v>33</v>
      </c>
      <c r="H87" s="90">
        <v>85</v>
      </c>
      <c r="J87" s="87" t="s">
        <v>183</v>
      </c>
      <c r="K87" s="95" t="s">
        <v>195</v>
      </c>
      <c r="M87" s="93" t="s">
        <v>196</v>
      </c>
      <c r="N87" s="90" t="s">
        <v>37</v>
      </c>
      <c r="Q87" s="2" t="s">
        <v>3150</v>
      </c>
    </row>
    <row r="88" spans="1:18" ht="14.4" x14ac:dyDescent="0.3">
      <c r="A88" s="85">
        <v>70</v>
      </c>
      <c r="B88" s="76" t="s">
        <v>3192</v>
      </c>
      <c r="C88" s="77" t="str">
        <f>HYPERLINK("https://www.xeno-canto.org/species/Phaenicophaeus-curvirostris")</f>
        <v>https://www.xeno-canto.org/species/Phaenicophaeus-curvirostris</v>
      </c>
      <c r="D88" s="94" t="str">
        <f>HYPERLINK("https://ebird.org/species/chbmal2")</f>
        <v>https://ebird.org/species/chbmal2</v>
      </c>
      <c r="E88" s="122" t="str">
        <f>HYPERLINK("https://en.wikipedia.org/wiki/Chestnut-breasted_Malkoha")</f>
        <v>https://en.wikipedia.org/wiki/Chestnut-breasted_Malkoha</v>
      </c>
      <c r="F88" s="123" t="str">
        <f>HYPERLINK("https://apiv3.iucnredlist.org/api/v3/website/Phaenicophaeus curvirostris")</f>
        <v>https://apiv3.iucnredlist.org/api/v3/website/Phaenicophaeus curvirostris</v>
      </c>
      <c r="G88" s="90">
        <v>32</v>
      </c>
      <c r="H88" s="90">
        <v>85</v>
      </c>
      <c r="J88" s="87" t="s">
        <v>183</v>
      </c>
      <c r="K88" s="95" t="s">
        <v>197</v>
      </c>
      <c r="M88" s="93" t="s">
        <v>198</v>
      </c>
      <c r="N88" s="90" t="s">
        <v>37</v>
      </c>
      <c r="Q88" s="2" t="s">
        <v>3193</v>
      </c>
      <c r="R88" s="2" t="s">
        <v>9</v>
      </c>
    </row>
    <row r="89" spans="1:18" ht="14.4" x14ac:dyDescent="0.3">
      <c r="A89" s="85">
        <v>71</v>
      </c>
      <c r="B89" s="76" t="s">
        <v>3194</v>
      </c>
      <c r="C89" s="77" t="str">
        <f>HYPERLINK("https://www.xeno-canto.org/species/Dasylophus-superciliosus")</f>
        <v>https://www.xeno-canto.org/species/Dasylophus-superciliosus</v>
      </c>
      <c r="D89" s="94" t="str">
        <f>HYPERLINK("https://ebird.org/species/recmal1")</f>
        <v>https://ebird.org/species/recmal1</v>
      </c>
      <c r="E89" s="122" t="str">
        <f>HYPERLINK("https://en.wikipedia.org/wiki/Rough-crested_Malkoha")</f>
        <v>https://en.wikipedia.org/wiki/Rough-crested_Malkoha</v>
      </c>
      <c r="F89" s="123" t="str">
        <f>HYPERLINK("https://apiv3.iucnredlist.org/api/v3/website/Dasylophus superciliosus")</f>
        <v>https://apiv3.iucnredlist.org/api/v3/website/Dasylophus superciliosus</v>
      </c>
      <c r="G89" s="90">
        <v>32</v>
      </c>
      <c r="H89" s="90">
        <v>85</v>
      </c>
      <c r="J89" s="87" t="s">
        <v>183</v>
      </c>
      <c r="K89" s="98" t="s">
        <v>199</v>
      </c>
      <c r="L89" s="86" t="s">
        <v>1672</v>
      </c>
      <c r="M89" s="99" t="s">
        <v>200</v>
      </c>
      <c r="N89" s="90" t="s">
        <v>57</v>
      </c>
      <c r="Q89" s="2" t="s">
        <v>3195</v>
      </c>
    </row>
    <row r="90" spans="1:18" ht="14.4" x14ac:dyDescent="0.3">
      <c r="A90" s="85">
        <v>72</v>
      </c>
      <c r="B90" s="76" t="s">
        <v>3196</v>
      </c>
      <c r="C90" s="77" t="str">
        <f>HYPERLINK("https://www.xeno-canto.org/species/Dasylophus-cumingi")</f>
        <v>https://www.xeno-canto.org/species/Dasylophus-cumingi</v>
      </c>
      <c r="D90" s="94" t="str">
        <f>HYPERLINK("https://ebird.org/species/scfmal1")</f>
        <v>https://ebird.org/species/scfmal1</v>
      </c>
      <c r="E90" s="122" t="str">
        <f>HYPERLINK("https://en.wikipedia.org/wiki/Scale-feathered_Malkoha")</f>
        <v>https://en.wikipedia.org/wiki/Scale-feathered_Malkoha</v>
      </c>
      <c r="F90" s="123" t="str">
        <f>HYPERLINK("https://apiv3.iucnredlist.org/api/v3/website/Dasylophus cumingi")</f>
        <v>https://apiv3.iucnredlist.org/api/v3/website/Dasylophus cumingi</v>
      </c>
      <c r="G90" s="90">
        <v>32</v>
      </c>
      <c r="H90" s="90">
        <v>87</v>
      </c>
      <c r="J90" s="87" t="s">
        <v>183</v>
      </c>
      <c r="K90" s="98" t="s">
        <v>201</v>
      </c>
      <c r="M90" s="99" t="s">
        <v>202</v>
      </c>
      <c r="N90" s="90" t="s">
        <v>57</v>
      </c>
      <c r="Q90" s="2" t="s">
        <v>3195</v>
      </c>
    </row>
    <row r="91" spans="1:18" ht="14.4" x14ac:dyDescent="0.3">
      <c r="A91" s="85">
        <v>73</v>
      </c>
      <c r="B91" s="76" t="s">
        <v>3197</v>
      </c>
      <c r="C91" s="77" t="str">
        <f>HYPERLINK("https://www.xeno-canto.org/species/Clamator-coromandus")</f>
        <v>https://www.xeno-canto.org/species/Clamator-coromandus</v>
      </c>
      <c r="D91" s="94" t="str">
        <f>HYPERLINK("https://ebird.org/species/chwcuc1")</f>
        <v>https://ebird.org/species/chwcuc1</v>
      </c>
      <c r="E91" s="122" t="str">
        <f>HYPERLINK("https://en.wikipedia.org/wiki/Chestnut-winged_Cuckoo")</f>
        <v>https://en.wikipedia.org/wiki/Chestnut-winged_Cuckoo</v>
      </c>
      <c r="F91" s="123" t="str">
        <f>HYPERLINK("https://apiv3.iucnredlist.org/api/v3/website/Clamator coromandus")</f>
        <v>https://apiv3.iucnredlist.org/api/v3/website/Clamator coromandus</v>
      </c>
      <c r="G91" s="90">
        <v>31</v>
      </c>
      <c r="H91" s="90">
        <v>87</v>
      </c>
      <c r="J91" s="87" t="s">
        <v>183</v>
      </c>
      <c r="K91" s="95" t="s">
        <v>203</v>
      </c>
      <c r="M91" s="93" t="s">
        <v>204</v>
      </c>
      <c r="N91" s="90" t="s">
        <v>89</v>
      </c>
      <c r="Q91" s="2" t="s">
        <v>3198</v>
      </c>
    </row>
    <row r="92" spans="1:18" ht="30.6" x14ac:dyDescent="0.3">
      <c r="A92" s="85">
        <v>74</v>
      </c>
      <c r="B92" s="76" t="s">
        <v>3199</v>
      </c>
      <c r="C92" s="77" t="str">
        <f>HYPERLINK("https://www.xeno-canto.org/species/Clamator-jacobinus")</f>
        <v>https://www.xeno-canto.org/species/Clamator-jacobinus</v>
      </c>
      <c r="D92" s="94" t="str">
        <f>HYPERLINK("https://ebird.org/species/piecuc1")</f>
        <v>https://ebird.org/species/piecuc1</v>
      </c>
      <c r="E92" s="122" t="str">
        <f>HYPERLINK("https://en.wikipedia.org/wiki/Jacobin_Cuckoo")</f>
        <v>https://en.wikipedia.org/wiki/Jacobin_Cuckoo</v>
      </c>
      <c r="F92" s="123" t="str">
        <f>HYPERLINK("https://apiv3.iucnredlist.org/api/v3/website/Clamator jacobinus")</f>
        <v>https://apiv3.iucnredlist.org/api/v3/website/Clamator jacobinus</v>
      </c>
      <c r="H92" s="90">
        <v>87</v>
      </c>
      <c r="J92" s="87" t="s">
        <v>183</v>
      </c>
      <c r="K92" s="92" t="s">
        <v>205</v>
      </c>
      <c r="M92" s="93" t="s">
        <v>206</v>
      </c>
      <c r="N92" s="90" t="s">
        <v>49</v>
      </c>
      <c r="Q92" s="2" t="s">
        <v>3200</v>
      </c>
      <c r="R92" s="2" t="s">
        <v>6388</v>
      </c>
    </row>
    <row r="93" spans="1:18" ht="14.4" x14ac:dyDescent="0.3">
      <c r="A93" s="85">
        <v>75</v>
      </c>
      <c r="B93" s="76" t="s">
        <v>3201</v>
      </c>
      <c r="C93" s="77" t="str">
        <f>HYPERLINK("https://www.xeno-canto.org/species/Eudynamys-scolopaceus")</f>
        <v>https://www.xeno-canto.org/species/Eudynamys-scolopaceus</v>
      </c>
      <c r="D93" s="94" t="str">
        <f>HYPERLINK("https://ebird.org/species/asikoe2")</f>
        <v>https://ebird.org/species/asikoe2</v>
      </c>
      <c r="E93" s="122" t="str">
        <f>HYPERLINK("https://en.wikipedia.org/wiki/Asian_Koel")</f>
        <v>https://en.wikipedia.org/wiki/Asian_Koel</v>
      </c>
      <c r="F93" s="123" t="str">
        <f>HYPERLINK("https://apiv3.iucnredlist.org/api/v3/website/Eudynamys scolopaceus")</f>
        <v>https://apiv3.iucnredlist.org/api/v3/website/Eudynamys scolopaceus</v>
      </c>
      <c r="G93" s="90">
        <v>32</v>
      </c>
      <c r="H93" s="90">
        <v>87</v>
      </c>
      <c r="J93" s="87" t="s">
        <v>183</v>
      </c>
      <c r="K93" s="95" t="s">
        <v>208</v>
      </c>
      <c r="L93" s="86" t="s">
        <v>1678</v>
      </c>
      <c r="M93" s="93" t="s">
        <v>209</v>
      </c>
      <c r="N93" s="90" t="s">
        <v>37</v>
      </c>
      <c r="Q93" s="2" t="s">
        <v>3143</v>
      </c>
    </row>
    <row r="94" spans="1:18" ht="20.399999999999999" x14ac:dyDescent="0.3">
      <c r="A94" s="85">
        <v>76</v>
      </c>
      <c r="B94" s="76" t="s">
        <v>3202</v>
      </c>
      <c r="C94" s="77" t="str">
        <f>HYPERLINK("https://www.xeno-canto.org/species/Scythrops-novaehollandiae")</f>
        <v>https://www.xeno-canto.org/species/Scythrops-novaehollandiae</v>
      </c>
      <c r="D94" s="94" t="str">
        <f>HYPERLINK("https://ebird.org/species/chbcuc2")</f>
        <v>https://ebird.org/species/chbcuc2</v>
      </c>
      <c r="E94" s="122" t="str">
        <f>HYPERLINK("https://en.wikipedia.org/wiki/Channel-billed_Cuckoo")</f>
        <v>https://en.wikipedia.org/wiki/Channel-billed_Cuckoo</v>
      </c>
      <c r="F94" s="123" t="str">
        <f>HYPERLINK("https://apiv3.iucnredlist.org/api/v3/website/Scythrops novaehollandiae")</f>
        <v>https://apiv3.iucnredlist.org/api/v3/website/Scythrops novaehollandiae</v>
      </c>
      <c r="H94" s="90">
        <v>87</v>
      </c>
      <c r="J94" s="87" t="s">
        <v>183</v>
      </c>
      <c r="K94" s="92" t="s">
        <v>211</v>
      </c>
      <c r="M94" s="93" t="s">
        <v>212</v>
      </c>
      <c r="N94" s="90" t="s">
        <v>49</v>
      </c>
      <c r="Q94" s="2" t="s">
        <v>3203</v>
      </c>
      <c r="R94" s="2" t="s">
        <v>6389</v>
      </c>
    </row>
    <row r="95" spans="1:18" ht="14.4" x14ac:dyDescent="0.3">
      <c r="A95" s="85">
        <v>77</v>
      </c>
      <c r="B95" s="76" t="s">
        <v>3204</v>
      </c>
      <c r="C95" s="77" t="str">
        <f>HYPERLINK("https://www.xeno-canto.org/species/Chrysococcyx-xanthorhynchus")</f>
        <v>https://www.xeno-canto.org/species/Chrysococcyx-xanthorhynchus</v>
      </c>
      <c r="D95" s="94" t="str">
        <f>HYPERLINK("https://ebird.org/species/viocuc1")</f>
        <v>https://ebird.org/species/viocuc1</v>
      </c>
      <c r="E95" s="122" t="str">
        <f>HYPERLINK("https://en.wikipedia.org/wiki/Violet_Cuckoo")</f>
        <v>https://en.wikipedia.org/wiki/Violet_Cuckoo</v>
      </c>
      <c r="F95" s="123" t="str">
        <f>HYPERLINK("https://apiv3.iucnredlist.org/api/v3/website/Chrysococcyx xanthorhynchus")</f>
        <v>https://apiv3.iucnredlist.org/api/v3/website/Chrysococcyx xanthorhynchus</v>
      </c>
      <c r="G95" s="90">
        <v>32</v>
      </c>
      <c r="H95" s="90">
        <v>89</v>
      </c>
      <c r="J95" s="87" t="s">
        <v>183</v>
      </c>
      <c r="K95" s="95" t="s">
        <v>214</v>
      </c>
      <c r="M95" s="93" t="s">
        <v>215</v>
      </c>
      <c r="N95" s="90" t="s">
        <v>37</v>
      </c>
      <c r="Q95" s="2" t="s">
        <v>3205</v>
      </c>
    </row>
    <row r="96" spans="1:18" ht="20.399999999999999" x14ac:dyDescent="0.3">
      <c r="A96" s="85">
        <v>78</v>
      </c>
      <c r="B96" s="76" t="s">
        <v>3206</v>
      </c>
      <c r="C96" s="77" t="str">
        <f>HYPERLINK("https://www.xeno-canto.org/species/Chrysococcyx-minutillus")</f>
        <v>https://www.xeno-canto.org/species/Chrysococcyx-minutillus</v>
      </c>
      <c r="D96" s="94" t="str">
        <f>HYPERLINK("https://ebird.org/species/libcuc1")</f>
        <v>https://ebird.org/species/libcuc1</v>
      </c>
      <c r="E96" s="122" t="str">
        <f>HYPERLINK("https://en.wikipedia.org/wiki/Little_Bronze_Cuckoo")</f>
        <v>https://en.wikipedia.org/wiki/Little_Bronze_Cuckoo</v>
      </c>
      <c r="F96" s="123" t="str">
        <f>HYPERLINK("https://apiv3.iucnredlist.org/api/v3/website/Chrysococcyx minutillus")</f>
        <v>https://apiv3.iucnredlist.org/api/v3/website/Chrysococcyx minutillus</v>
      </c>
      <c r="G96" s="90">
        <v>32</v>
      </c>
      <c r="H96" s="90">
        <v>89</v>
      </c>
      <c r="J96" s="87" t="s">
        <v>183</v>
      </c>
      <c r="K96" s="95" t="s">
        <v>216</v>
      </c>
      <c r="M96" s="93" t="s">
        <v>217</v>
      </c>
      <c r="N96" s="90" t="s">
        <v>37</v>
      </c>
      <c r="Q96" s="2" t="s">
        <v>3207</v>
      </c>
      <c r="R96" s="2" t="s">
        <v>9</v>
      </c>
    </row>
    <row r="97" spans="1:18" ht="14.4" x14ac:dyDescent="0.3">
      <c r="A97" s="85">
        <v>79</v>
      </c>
      <c r="B97" s="76" t="s">
        <v>3208</v>
      </c>
      <c r="C97" s="77" t="str">
        <f>HYPERLINK("https://www.xeno-canto.org/species/Cacomantis-sonneratii")</f>
        <v>https://www.xeno-canto.org/species/Cacomantis-sonneratii</v>
      </c>
      <c r="D97" s="94" t="str">
        <f>HYPERLINK("https://ebird.org/species/babcuc2")</f>
        <v>https://ebird.org/species/babcuc2</v>
      </c>
      <c r="E97" s="122" t="str">
        <f>HYPERLINK("https://en.wikipedia.org/wiki/Banded_Bay_Cuckoo")</f>
        <v>https://en.wikipedia.org/wiki/Banded_Bay_Cuckoo</v>
      </c>
      <c r="F97" s="123" t="str">
        <f>HYPERLINK("https://apiv3.iucnredlist.org/api/v3/website/Cacomantis sonneratii")</f>
        <v>https://apiv3.iucnredlist.org/api/v3/website/Cacomantis sonneratii</v>
      </c>
      <c r="G97" s="90">
        <v>31</v>
      </c>
      <c r="H97" s="90">
        <v>89</v>
      </c>
      <c r="J97" s="87" t="s">
        <v>183</v>
      </c>
      <c r="K97" s="95" t="s">
        <v>218</v>
      </c>
      <c r="M97" s="93" t="s">
        <v>219</v>
      </c>
      <c r="N97" s="90" t="s">
        <v>695</v>
      </c>
      <c r="Q97" s="2" t="s">
        <v>3209</v>
      </c>
    </row>
    <row r="98" spans="1:18" ht="14.4" x14ac:dyDescent="0.3">
      <c r="A98" s="85">
        <v>80</v>
      </c>
      <c r="B98" s="76" t="s">
        <v>3210</v>
      </c>
      <c r="C98" s="77" t="str">
        <f>HYPERLINK("https://www.xeno-canto.org/species/Cacomantis-merulinus")</f>
        <v>https://www.xeno-canto.org/species/Cacomantis-merulinus</v>
      </c>
      <c r="D98" s="94" t="str">
        <f>HYPERLINK("https://ebird.org/species/placuc1")</f>
        <v>https://ebird.org/species/placuc1</v>
      </c>
      <c r="E98" s="122" t="str">
        <f>HYPERLINK("https://en.wikipedia.org/wiki/Plaintive_Cuckoo")</f>
        <v>https://en.wikipedia.org/wiki/Plaintive_Cuckoo</v>
      </c>
      <c r="F98" s="123" t="str">
        <f>HYPERLINK("https://apiv3.iucnredlist.org/api/v3/website/Cacomantis merulinus")</f>
        <v>https://apiv3.iucnredlist.org/api/v3/website/Cacomantis merulinus</v>
      </c>
      <c r="G98" s="90">
        <v>31</v>
      </c>
      <c r="H98" s="90">
        <v>89</v>
      </c>
      <c r="J98" s="87" t="s">
        <v>183</v>
      </c>
      <c r="K98" s="95" t="s">
        <v>220</v>
      </c>
      <c r="M98" s="93" t="s">
        <v>221</v>
      </c>
      <c r="N98" s="90" t="s">
        <v>37</v>
      </c>
      <c r="Q98" s="2" t="s">
        <v>3150</v>
      </c>
    </row>
    <row r="99" spans="1:18" ht="14.4" x14ac:dyDescent="0.3">
      <c r="A99" s="85">
        <v>81</v>
      </c>
      <c r="B99" s="76" t="s">
        <v>3211</v>
      </c>
      <c r="C99" s="77" t="str">
        <f>HYPERLINK("https://www.xeno-canto.org/species/Cacomantis-sepulcralis")</f>
        <v>https://www.xeno-canto.org/species/Cacomantis-sepulcralis</v>
      </c>
      <c r="D99" s="94" t="str">
        <f>HYPERLINK("https://ebird.org/species/brucuc2")</f>
        <v>https://ebird.org/species/brucuc2</v>
      </c>
      <c r="E99" s="122" t="str">
        <f>HYPERLINK("https://en.wikipedia.org/wiki/Rusty-breasted_Cuckoo")</f>
        <v>https://en.wikipedia.org/wiki/Rusty-breasted_Cuckoo</v>
      </c>
      <c r="F99" s="123" t="str">
        <f>HYPERLINK("https://apiv3.iucnredlist.org/api/v3/website/Cacomantis sepulcralis")</f>
        <v>https://apiv3.iucnredlist.org/api/v3/website/Cacomantis sepulcralis</v>
      </c>
      <c r="G99" s="90">
        <v>31</v>
      </c>
      <c r="H99" s="90">
        <v>91</v>
      </c>
      <c r="J99" s="87" t="s">
        <v>183</v>
      </c>
      <c r="K99" s="95" t="s">
        <v>222</v>
      </c>
      <c r="M99" s="93" t="s">
        <v>223</v>
      </c>
      <c r="N99" s="90" t="s">
        <v>37</v>
      </c>
      <c r="Q99" s="2" t="s">
        <v>3150</v>
      </c>
    </row>
    <row r="100" spans="1:18" ht="14.4" x14ac:dyDescent="0.3">
      <c r="A100" s="85">
        <v>82</v>
      </c>
      <c r="B100" s="76" t="s">
        <v>3212</v>
      </c>
      <c r="C100" s="77" t="str">
        <f>HYPERLINK("https://www.xeno-canto.org/species/Surniculus-velutinus")</f>
        <v>https://www.xeno-canto.org/species/Surniculus-velutinus</v>
      </c>
      <c r="D100" s="94" t="str">
        <f>HYPERLINK("https://ebird.org/species/phidrc1")</f>
        <v>https://ebird.org/species/phidrc1</v>
      </c>
      <c r="E100" s="122" t="str">
        <f>HYPERLINK("https://en.wikipedia.org/wiki/Philippine_Drongo-Cuckoo")</f>
        <v>https://en.wikipedia.org/wiki/Philippine_Drongo-Cuckoo</v>
      </c>
      <c r="F100" s="123" t="str">
        <f>HYPERLINK("https://apiv3.iucnredlist.org/api/v3/website/Surniculus velutinus")</f>
        <v>https://apiv3.iucnredlist.org/api/v3/website/Surniculus velutinus</v>
      </c>
      <c r="G100" s="90">
        <v>32</v>
      </c>
      <c r="H100" s="90">
        <v>91</v>
      </c>
      <c r="J100" s="87" t="s">
        <v>183</v>
      </c>
      <c r="K100" s="98" t="s">
        <v>224</v>
      </c>
      <c r="M100" s="99" t="s">
        <v>225</v>
      </c>
      <c r="N100" s="90" t="s">
        <v>57</v>
      </c>
      <c r="Q100" s="2" t="s">
        <v>3213</v>
      </c>
    </row>
    <row r="101" spans="1:18" ht="14.4" x14ac:dyDescent="0.3">
      <c r="A101" s="85">
        <v>83</v>
      </c>
      <c r="B101" s="76" t="s">
        <v>3214</v>
      </c>
      <c r="C101" s="77" t="str">
        <f>HYPERLINK("https://www.xeno-canto.org/species/Surniculus-lugubris")</f>
        <v>https://www.xeno-canto.org/species/Surniculus-lugubris</v>
      </c>
      <c r="D101" s="94" t="str">
        <f>HYPERLINK("https://ebird.org/species/asidrc3")</f>
        <v>https://ebird.org/species/asidrc3</v>
      </c>
      <c r="E101" s="122" t="str">
        <f>HYPERLINK("https://en.wikipedia.org/wiki/Square-tailed_Drongo-Cuckoo")</f>
        <v>https://en.wikipedia.org/wiki/Square-tailed_Drongo-Cuckoo</v>
      </c>
      <c r="F101" s="123" t="str">
        <f>HYPERLINK("https://apiv3.iucnredlist.org/api/v3/website/Surniculus lugubris")</f>
        <v>https://apiv3.iucnredlist.org/api/v3/website/Surniculus lugubris</v>
      </c>
      <c r="G101" s="90">
        <v>32</v>
      </c>
      <c r="H101" s="90">
        <v>91</v>
      </c>
      <c r="J101" s="87" t="s">
        <v>183</v>
      </c>
      <c r="K101" s="95" t="s">
        <v>226</v>
      </c>
      <c r="M101" s="93" t="s">
        <v>227</v>
      </c>
      <c r="N101" s="90" t="s">
        <v>37</v>
      </c>
      <c r="Q101" s="2" t="s">
        <v>3215</v>
      </c>
    </row>
    <row r="102" spans="1:18" ht="14.4" x14ac:dyDescent="0.3">
      <c r="A102" s="85">
        <v>84</v>
      </c>
      <c r="B102" s="76" t="s">
        <v>3216</v>
      </c>
      <c r="C102" s="77" t="str">
        <f>HYPERLINK("https://www.xeno-canto.org/species/Hierococcyx-sparverioides")</f>
        <v>https://www.xeno-canto.org/species/Hierococcyx-sparverioides</v>
      </c>
      <c r="D102" s="94" t="str">
        <f>HYPERLINK("https://ebird.org/species/larhac2")</f>
        <v>https://ebird.org/species/larhac2</v>
      </c>
      <c r="E102" s="122" t="str">
        <f>HYPERLINK("https://en.wikipedia.org/wiki/Large_Hawk-Cuckoo")</f>
        <v>https://en.wikipedia.org/wiki/Large_Hawk-Cuckoo</v>
      </c>
      <c r="F102" s="123" t="str">
        <f>HYPERLINK("https://apiv3.iucnredlist.org/api/v3/website/Hierococcyx sparverioides")</f>
        <v>https://apiv3.iucnredlist.org/api/v3/website/Hierococcyx sparverioides</v>
      </c>
      <c r="G102" s="90">
        <v>31</v>
      </c>
      <c r="H102" s="90">
        <v>91</v>
      </c>
      <c r="J102" s="87" t="s">
        <v>183</v>
      </c>
      <c r="K102" s="95" t="s">
        <v>228</v>
      </c>
      <c r="M102" s="93" t="s">
        <v>229</v>
      </c>
      <c r="N102" s="90" t="s">
        <v>89</v>
      </c>
      <c r="Q102" s="2" t="s">
        <v>3217</v>
      </c>
    </row>
    <row r="103" spans="1:18" ht="14.4" x14ac:dyDescent="0.3">
      <c r="A103" s="85">
        <v>85</v>
      </c>
      <c r="B103" s="76" t="s">
        <v>3218</v>
      </c>
      <c r="C103" s="77" t="str">
        <f>HYPERLINK("https://www.xeno-canto.org/species/Hierococcyx-pectoralis")</f>
        <v>https://www.xeno-canto.org/species/Hierococcyx-pectoralis</v>
      </c>
      <c r="D103" s="94" t="str">
        <f>HYPERLINK("https://ebird.org/species/phhcuc1")</f>
        <v>https://ebird.org/species/phhcuc1</v>
      </c>
      <c r="E103" s="122" t="str">
        <f>HYPERLINK("https://en.wikipedia.org/wiki/Philippine_Hawk-Cuckoo")</f>
        <v>https://en.wikipedia.org/wiki/Philippine_Hawk-Cuckoo</v>
      </c>
      <c r="F103" s="123" t="str">
        <f>HYPERLINK("https://apiv3.iucnredlist.org/api/v3/website/Hierococcyx pectoralis")</f>
        <v>https://apiv3.iucnredlist.org/api/v3/website/Hierococcyx pectoralis</v>
      </c>
      <c r="G103" s="90">
        <v>31</v>
      </c>
      <c r="H103" s="90">
        <v>93</v>
      </c>
      <c r="J103" s="87" t="s">
        <v>183</v>
      </c>
      <c r="K103" s="98" t="s">
        <v>230</v>
      </c>
      <c r="M103" s="99" t="s">
        <v>231</v>
      </c>
      <c r="N103" s="90" t="s">
        <v>57</v>
      </c>
      <c r="Q103" s="2" t="s">
        <v>3125</v>
      </c>
    </row>
    <row r="104" spans="1:18" ht="14.4" x14ac:dyDescent="0.3">
      <c r="A104" s="85">
        <v>86</v>
      </c>
      <c r="B104" s="76" t="s">
        <v>3219</v>
      </c>
      <c r="C104" s="77" t="str">
        <f>HYPERLINK("https://www.xeno-canto.org/species/Cuculus-micropterus")</f>
        <v>https://www.xeno-canto.org/species/Cuculus-micropterus</v>
      </c>
      <c r="D104" s="94" t="str">
        <f>HYPERLINK("https://ebird.org/species/indcuc1")</f>
        <v>https://ebird.org/species/indcuc1</v>
      </c>
      <c r="E104" s="122" t="str">
        <f>HYPERLINK("https://en.wikipedia.org/wiki/Indian_Cuckoo")</f>
        <v>https://en.wikipedia.org/wiki/Indian_Cuckoo</v>
      </c>
      <c r="F104" s="123" t="str">
        <f>HYPERLINK("https://apiv3.iucnredlist.org/api/v3/website/Cuculus micropterus")</f>
        <v>https://apiv3.iucnredlist.org/api/v3/website/Cuculus micropterus</v>
      </c>
      <c r="G104" s="90">
        <v>31</v>
      </c>
      <c r="H104" s="90">
        <v>93</v>
      </c>
      <c r="J104" s="87" t="s">
        <v>183</v>
      </c>
      <c r="K104" s="92" t="s">
        <v>232</v>
      </c>
      <c r="M104" s="93" t="s">
        <v>233</v>
      </c>
      <c r="N104" s="90" t="s">
        <v>89</v>
      </c>
      <c r="Q104" s="2" t="s">
        <v>8550</v>
      </c>
    </row>
    <row r="105" spans="1:18" ht="14.4" x14ac:dyDescent="0.3">
      <c r="A105" s="85">
        <v>87</v>
      </c>
      <c r="B105" s="76" t="s">
        <v>3220</v>
      </c>
      <c r="C105" s="77" t="str">
        <f>HYPERLINK("https://www.xeno-canto.org/species/Cuculus-saturatus")</f>
        <v>https://www.xeno-canto.org/species/Cuculus-saturatus</v>
      </c>
      <c r="D105" s="94" t="str">
        <f>HYPERLINK("https://ebird.org/species/himcuc1")</f>
        <v>https://ebird.org/species/himcuc1</v>
      </c>
      <c r="E105" s="122" t="str">
        <f>HYPERLINK("https://en.wikipedia.org/wiki/Himalayan_Cuckoo")</f>
        <v>https://en.wikipedia.org/wiki/Himalayan_Cuckoo</v>
      </c>
      <c r="F105" s="123" t="str">
        <f>HYPERLINK("https://apiv3.iucnredlist.org/api/v3/website/Cuculus saturatus")</f>
        <v>https://apiv3.iucnredlist.org/api/v3/website/Cuculus saturatus</v>
      </c>
      <c r="G105" s="90">
        <v>31</v>
      </c>
      <c r="H105" s="90">
        <v>93</v>
      </c>
      <c r="J105" s="87" t="s">
        <v>183</v>
      </c>
      <c r="K105" s="95" t="s">
        <v>235</v>
      </c>
      <c r="M105" s="93" t="s">
        <v>236</v>
      </c>
      <c r="N105" s="90" t="s">
        <v>89</v>
      </c>
      <c r="Q105" s="2" t="s">
        <v>3221</v>
      </c>
    </row>
    <row r="106" spans="1:18" ht="14.4" x14ac:dyDescent="0.3">
      <c r="A106" s="85">
        <v>88</v>
      </c>
      <c r="B106" s="76" t="s">
        <v>3222</v>
      </c>
      <c r="C106" s="77" t="str">
        <f>HYPERLINK("https://www.xeno-canto.org/species/Cuculus-optatus")</f>
        <v>https://www.xeno-canto.org/species/Cuculus-optatus</v>
      </c>
      <c r="D106" s="94" t="str">
        <f>HYPERLINK("https://ebird.org/species/oricuc2")</f>
        <v>https://ebird.org/species/oricuc2</v>
      </c>
      <c r="E106" s="122" t="str">
        <f>HYPERLINK("https://en.wikipedia.org/wiki/Oriental_Cuckoo")</f>
        <v>https://en.wikipedia.org/wiki/Oriental_Cuckoo</v>
      </c>
      <c r="F106" s="123" t="str">
        <f>HYPERLINK("https://apiv3.iucnredlist.org/api/v3/website/Cuculus optatus")</f>
        <v>https://apiv3.iucnredlist.org/api/v3/website/Cuculus optatus</v>
      </c>
      <c r="G106" s="90">
        <v>31</v>
      </c>
      <c r="H106" s="90">
        <v>93</v>
      </c>
      <c r="J106" s="87" t="s">
        <v>183</v>
      </c>
      <c r="K106" s="95" t="s">
        <v>237</v>
      </c>
      <c r="M106" s="93" t="s">
        <v>238</v>
      </c>
      <c r="N106" s="90" t="s">
        <v>89</v>
      </c>
      <c r="Q106" s="2" t="s">
        <v>3221</v>
      </c>
    </row>
    <row r="108" spans="1:18" ht="12" x14ac:dyDescent="0.3">
      <c r="K108" s="88" t="s">
        <v>5798</v>
      </c>
      <c r="M108" s="89" t="s">
        <v>239</v>
      </c>
    </row>
    <row r="109" spans="1:18" ht="20.399999999999999" x14ac:dyDescent="0.3">
      <c r="A109" s="85">
        <v>89</v>
      </c>
      <c r="B109" s="74" t="s">
        <v>3223</v>
      </c>
      <c r="C109" s="75" t="str">
        <f>HYPERLINK("https://www.xeno-canto.org/species/Columba-livia")</f>
        <v>https://www.xeno-canto.org/species/Columba-livia</v>
      </c>
      <c r="D109" s="91" t="str">
        <f>HYPERLINK("https://ebird.org/species/rocpig")</f>
        <v>https://ebird.org/species/rocpig</v>
      </c>
      <c r="E109" s="120" t="str">
        <f>HYPERLINK("https://en.wikipedia.org/wiki/Rock_Dove")</f>
        <v>https://en.wikipedia.org/wiki/Rock_Dove</v>
      </c>
      <c r="F109" s="121" t="str">
        <f>HYPERLINK("https://apiv3.iucnredlist.org/api/v3/website/Columba livia")</f>
        <v>https://apiv3.iucnredlist.org/api/v3/website/Columba livia</v>
      </c>
      <c r="H109" s="90">
        <v>51</v>
      </c>
      <c r="J109" s="87" t="s">
        <v>239</v>
      </c>
      <c r="K109" s="100" t="s">
        <v>240</v>
      </c>
      <c r="M109" s="101" t="s">
        <v>241</v>
      </c>
      <c r="N109" s="90" t="s">
        <v>42</v>
      </c>
      <c r="Q109" s="2" t="s">
        <v>3224</v>
      </c>
      <c r="R109" s="2" t="s">
        <v>243</v>
      </c>
    </row>
    <row r="110" spans="1:18" ht="14.4" x14ac:dyDescent="0.3">
      <c r="A110" s="85">
        <v>90</v>
      </c>
      <c r="B110" s="76" t="s">
        <v>3225</v>
      </c>
      <c r="C110" s="77" t="str">
        <f>HYPERLINK("https://www.xeno-canto.org/species/Columba-vitiensis")</f>
        <v>https://www.xeno-canto.org/species/Columba-vitiensis</v>
      </c>
      <c r="D110" s="94" t="str">
        <f>HYPERLINK("https://ebird.org/species/metpig1")</f>
        <v>https://ebird.org/species/metpig1</v>
      </c>
      <c r="E110" s="122" t="str">
        <f>HYPERLINK("https://en.wikipedia.org/wiki/Metallic_Pigeon")</f>
        <v>https://en.wikipedia.org/wiki/Metallic_Pigeon</v>
      </c>
      <c r="F110" s="123" t="str">
        <f>HYPERLINK("https://apiv3.iucnredlist.org/api/v3/website/Columba vitiensis")</f>
        <v>https://apiv3.iucnredlist.org/api/v3/website/Columba vitiensis</v>
      </c>
      <c r="G110" s="90">
        <v>26</v>
      </c>
      <c r="H110" s="90">
        <v>51</v>
      </c>
      <c r="J110" s="87" t="s">
        <v>239</v>
      </c>
      <c r="K110" s="95" t="s">
        <v>244</v>
      </c>
      <c r="M110" s="93" t="s">
        <v>245</v>
      </c>
      <c r="N110" s="90" t="s">
        <v>37</v>
      </c>
      <c r="Q110" s="2" t="s">
        <v>3226</v>
      </c>
    </row>
    <row r="111" spans="1:18" ht="20.399999999999999" x14ac:dyDescent="0.3">
      <c r="A111" s="85">
        <v>91</v>
      </c>
      <c r="B111" s="76" t="s">
        <v>3227</v>
      </c>
      <c r="C111" s="77" t="str">
        <f>HYPERLINK("https://www.xeno-canto.org/species/Streptopelia-orientalis")</f>
        <v>https://www.xeno-canto.org/species/Streptopelia-orientalis</v>
      </c>
      <c r="D111" s="94" t="str">
        <f>HYPERLINK("https://ebird.org/species/ortdov")</f>
        <v>https://ebird.org/species/ortdov</v>
      </c>
      <c r="E111" s="122" t="str">
        <f>HYPERLINK("https://en.wikipedia.org/wiki/Oriental_Turtle_Dove")</f>
        <v>https://en.wikipedia.org/wiki/Oriental_Turtle_Dove</v>
      </c>
      <c r="F111" s="123" t="str">
        <f>HYPERLINK("https://apiv3.iucnredlist.org/api/v3/website/Streptopelia orientalis")</f>
        <v>https://apiv3.iucnredlist.org/api/v3/website/Streptopelia orientalis</v>
      </c>
      <c r="H111" s="90">
        <v>51</v>
      </c>
      <c r="J111" s="87" t="s">
        <v>239</v>
      </c>
      <c r="K111" s="92" t="s">
        <v>246</v>
      </c>
      <c r="M111" s="93" t="s">
        <v>247</v>
      </c>
      <c r="N111" s="90" t="s">
        <v>49</v>
      </c>
      <c r="Q111" s="2" t="s">
        <v>3078</v>
      </c>
      <c r="R111" s="2" t="s">
        <v>6500</v>
      </c>
    </row>
    <row r="112" spans="1:18" ht="14.4" x14ac:dyDescent="0.3">
      <c r="A112" s="85">
        <v>92</v>
      </c>
      <c r="B112" s="76" t="s">
        <v>5144</v>
      </c>
      <c r="C112" s="77" t="str">
        <f>HYPERLINK("https://www.xeno-canto.org/species/Streptopelia-dusumieri")</f>
        <v>https://www.xeno-canto.org/species/Streptopelia-dusumieri</v>
      </c>
      <c r="D112" s="94" t="str">
        <f>HYPERLINK("https://ebird.org/species/phicod1")</f>
        <v>https://ebird.org/species/phicod1</v>
      </c>
      <c r="E112" s="122" t="str">
        <f>HYPERLINK("https://en.wikipedia.org/wiki/Philippine_Collared_Dove")</f>
        <v>https://en.wikipedia.org/wiki/Philippine_Collared_Dove</v>
      </c>
      <c r="F112" s="123" t="str">
        <f>HYPERLINK("https://apiv3.iucnredlist.org/api/v3/website/Streptopelia dusumieri")</f>
        <v>https://apiv3.iucnredlist.org/api/v3/website/Streptopelia dusumieri</v>
      </c>
      <c r="G112" s="90">
        <v>27</v>
      </c>
      <c r="H112" s="90">
        <v>53</v>
      </c>
      <c r="J112" s="87" t="s">
        <v>239</v>
      </c>
      <c r="K112" s="98" t="s">
        <v>5145</v>
      </c>
      <c r="M112" s="99" t="s">
        <v>1690</v>
      </c>
      <c r="N112" s="90" t="s">
        <v>57</v>
      </c>
      <c r="O112" s="90" t="s">
        <v>38</v>
      </c>
      <c r="P112" s="90" t="s">
        <v>58</v>
      </c>
      <c r="Q112" s="2" t="s">
        <v>3228</v>
      </c>
    </row>
    <row r="113" spans="1:18" ht="14.4" x14ac:dyDescent="0.3">
      <c r="A113" s="85">
        <v>93</v>
      </c>
      <c r="B113" s="76" t="s">
        <v>3229</v>
      </c>
      <c r="C113" s="77" t="str">
        <f>HYPERLINK("https://www.xeno-canto.org/species/Streptopelia-tranquebarica")</f>
        <v>https://www.xeno-canto.org/species/Streptopelia-tranquebarica</v>
      </c>
      <c r="D113" s="94" t="str">
        <f>HYPERLINK("https://ebird.org/species/recdov1")</f>
        <v>https://ebird.org/species/recdov1</v>
      </c>
      <c r="E113" s="122" t="str">
        <f>HYPERLINK("https://en.wikipedia.org/wiki/Red_Collared_Dove")</f>
        <v>https://en.wikipedia.org/wiki/Red_Collared_Dove</v>
      </c>
      <c r="F113" s="123" t="str">
        <f>HYPERLINK("https://apiv3.iucnredlist.org/api/v3/website/Streptopelia tranquebarica")</f>
        <v>https://apiv3.iucnredlist.org/api/v3/website/Streptopelia tranquebarica</v>
      </c>
      <c r="G113" s="90">
        <v>27</v>
      </c>
      <c r="H113" s="90">
        <v>53</v>
      </c>
      <c r="J113" s="87" t="s">
        <v>239</v>
      </c>
      <c r="K113" s="95" t="s">
        <v>3230</v>
      </c>
      <c r="L113" s="86" t="s">
        <v>1692</v>
      </c>
      <c r="M113" s="93" t="s">
        <v>248</v>
      </c>
      <c r="N113" s="90" t="s">
        <v>37</v>
      </c>
      <c r="Q113" s="2" t="s">
        <v>3231</v>
      </c>
    </row>
    <row r="114" spans="1:18" ht="14.4" x14ac:dyDescent="0.3">
      <c r="A114" s="85">
        <v>94</v>
      </c>
      <c r="B114" s="76" t="s">
        <v>3232</v>
      </c>
      <c r="C114" s="77" t="str">
        <f>HYPERLINK("https://www.xeno-canto.org/species/Spilopelia-chinensis")</f>
        <v>https://www.xeno-canto.org/species/Spilopelia-chinensis</v>
      </c>
      <c r="D114" s="94" t="str">
        <f>HYPERLINK("https://ebird.org/species/spodov")</f>
        <v>https://ebird.org/species/spodov</v>
      </c>
      <c r="E114" s="122" t="str">
        <f>HYPERLINK("https://en.wikipedia.org/wiki/Spotted_Dove")</f>
        <v>https://en.wikipedia.org/wiki/Spotted_Dove</v>
      </c>
      <c r="F114" s="123" t="str">
        <f>HYPERLINK("https://apiv3.iucnredlist.org/api/v3/website/Spilopelia chinensis")</f>
        <v>https://apiv3.iucnredlist.org/api/v3/website/Spilopelia chinensis</v>
      </c>
      <c r="G114" s="90">
        <v>27</v>
      </c>
      <c r="H114" s="90">
        <v>53</v>
      </c>
      <c r="J114" s="87" t="s">
        <v>239</v>
      </c>
      <c r="K114" s="95" t="s">
        <v>249</v>
      </c>
      <c r="L114" s="86" t="s">
        <v>1693</v>
      </c>
      <c r="M114" s="93" t="s">
        <v>250</v>
      </c>
      <c r="N114" s="90" t="s">
        <v>37</v>
      </c>
      <c r="Q114" s="2" t="s">
        <v>3233</v>
      </c>
    </row>
    <row r="115" spans="1:18" ht="14.4" x14ac:dyDescent="0.3">
      <c r="A115" s="85">
        <v>95</v>
      </c>
      <c r="B115" s="76" t="s">
        <v>3234</v>
      </c>
      <c r="C115" s="77" t="str">
        <f>HYPERLINK("https://www.xeno-canto.org/species/Macropygia-tenuirostris")</f>
        <v>https://www.xeno-canto.org/species/Macropygia-tenuirostris</v>
      </c>
      <c r="D115" s="94" t="str">
        <f>HYPERLINK("https://ebird.org/species/phcdov1")</f>
        <v>https://ebird.org/species/phcdov1</v>
      </c>
      <c r="E115" s="122" t="str">
        <f>HYPERLINK("https://en.wikipedia.org/wiki/Philippine_Cuckoo-Dove")</f>
        <v>https://en.wikipedia.org/wiki/Philippine_Cuckoo-Dove</v>
      </c>
      <c r="F115" s="123" t="str">
        <f>HYPERLINK("https://apiv3.iucnredlist.org/api/v3/website/Macropygia tenuirostris")</f>
        <v>https://apiv3.iucnredlist.org/api/v3/website/Macropygia tenuirostris</v>
      </c>
      <c r="G115" s="90">
        <v>27</v>
      </c>
      <c r="H115" s="90">
        <v>53</v>
      </c>
      <c r="J115" s="87" t="s">
        <v>239</v>
      </c>
      <c r="K115" s="95" t="s">
        <v>251</v>
      </c>
      <c r="M115" s="93" t="s">
        <v>252</v>
      </c>
      <c r="N115" s="90" t="s">
        <v>253</v>
      </c>
      <c r="Q115" s="2" t="s">
        <v>3125</v>
      </c>
      <c r="R115" s="2" t="s">
        <v>254</v>
      </c>
    </row>
    <row r="116" spans="1:18" ht="14.4" x14ac:dyDescent="0.3">
      <c r="A116" s="85">
        <v>96</v>
      </c>
      <c r="B116" s="76" t="s">
        <v>3235</v>
      </c>
      <c r="C116" s="77" t="str">
        <f>HYPERLINK("https://www.xeno-canto.org/species/Chalcophaps-indica")</f>
        <v>https://www.xeno-canto.org/species/Chalcophaps-indica</v>
      </c>
      <c r="D116" s="94" t="str">
        <f>HYPERLINK("https://ebird.org/species/emedov2")</f>
        <v>https://ebird.org/species/emedov2</v>
      </c>
      <c r="E116" s="122" t="str">
        <f>HYPERLINK("https://en.wikipedia.org/wiki/Common_Emerald_Dove")</f>
        <v>https://en.wikipedia.org/wiki/Common_Emerald_Dove</v>
      </c>
      <c r="F116" s="123" t="str">
        <f>HYPERLINK("https://apiv3.iucnredlist.org/api/v3/website/Chalcophaps indica")</f>
        <v>https://apiv3.iucnredlist.org/api/v3/website/Chalcophaps indica</v>
      </c>
      <c r="G116" s="90">
        <v>27</v>
      </c>
      <c r="H116" s="90">
        <v>57</v>
      </c>
      <c r="J116" s="87" t="s">
        <v>239</v>
      </c>
      <c r="K116" s="95" t="s">
        <v>255</v>
      </c>
      <c r="L116" s="86" t="s">
        <v>1697</v>
      </c>
      <c r="M116" s="93" t="s">
        <v>256</v>
      </c>
      <c r="N116" s="90" t="s">
        <v>37</v>
      </c>
      <c r="Q116" s="2" t="s">
        <v>3233</v>
      </c>
    </row>
    <row r="117" spans="1:18" ht="14.4" x14ac:dyDescent="0.3">
      <c r="A117" s="85">
        <v>97</v>
      </c>
      <c r="B117" s="76" t="s">
        <v>3236</v>
      </c>
      <c r="C117" s="77" t="str">
        <f>HYPERLINK("https://www.xeno-canto.org/species/Geopelia-striata")</f>
        <v>https://www.xeno-canto.org/species/Geopelia-striata</v>
      </c>
      <c r="D117" s="94" t="str">
        <f>HYPERLINK("https://ebird.org/species/zebdov")</f>
        <v>https://ebird.org/species/zebdov</v>
      </c>
      <c r="E117" s="122" t="str">
        <f>HYPERLINK("https://en.wikipedia.org/wiki/Zebra_Dove")</f>
        <v>https://en.wikipedia.org/wiki/Zebra_Dove</v>
      </c>
      <c r="F117" s="123" t="str">
        <f>HYPERLINK("https://apiv3.iucnredlist.org/api/v3/website/Geopelia striata")</f>
        <v>https://apiv3.iucnredlist.org/api/v3/website/Geopelia striata</v>
      </c>
      <c r="G117" s="90">
        <v>27</v>
      </c>
      <c r="H117" s="90">
        <v>57</v>
      </c>
      <c r="J117" s="87" t="s">
        <v>239</v>
      </c>
      <c r="K117" s="95" t="s">
        <v>257</v>
      </c>
      <c r="M117" s="93" t="s">
        <v>258</v>
      </c>
      <c r="N117" s="90" t="s">
        <v>37</v>
      </c>
      <c r="Q117" s="2" t="s">
        <v>3237</v>
      </c>
    </row>
    <row r="118" spans="1:18" ht="20.399999999999999" x14ac:dyDescent="0.3">
      <c r="A118" s="85">
        <v>98</v>
      </c>
      <c r="B118" s="76" t="s">
        <v>3238</v>
      </c>
      <c r="C118" s="77" t="str">
        <f>HYPERLINK("https://www.xeno-canto.org/species/Caloenas-nicobarica")</f>
        <v>https://www.xeno-canto.org/species/Caloenas-nicobarica</v>
      </c>
      <c r="D118" s="94" t="str">
        <f>HYPERLINK("https://ebird.org/species/nicpig1")</f>
        <v>https://ebird.org/species/nicpig1</v>
      </c>
      <c r="E118" s="122" t="str">
        <f>HYPERLINK("https://en.wikipedia.org/wiki/Nicobar_Pigeon")</f>
        <v>https://en.wikipedia.org/wiki/Nicobar_Pigeon</v>
      </c>
      <c r="F118" s="123" t="str">
        <f>HYPERLINK("https://apiv3.iucnredlist.org/api/v3/website/Caloenas nicobarica")</f>
        <v>https://apiv3.iucnredlist.org/api/v3/website/Caloenas nicobarica</v>
      </c>
      <c r="G118" s="90">
        <v>28</v>
      </c>
      <c r="H118" s="90">
        <v>57</v>
      </c>
      <c r="J118" s="87" t="s">
        <v>239</v>
      </c>
      <c r="K118" s="95" t="s">
        <v>259</v>
      </c>
      <c r="M118" s="93" t="s">
        <v>260</v>
      </c>
      <c r="N118" s="90" t="s">
        <v>37</v>
      </c>
      <c r="O118" s="90" t="s">
        <v>50</v>
      </c>
      <c r="P118" s="90" t="s">
        <v>58</v>
      </c>
      <c r="Q118" s="2" t="s">
        <v>3239</v>
      </c>
    </row>
    <row r="119" spans="1:18" ht="14.4" x14ac:dyDescent="0.3">
      <c r="A119" s="85">
        <v>99</v>
      </c>
      <c r="B119" s="76" t="s">
        <v>3240</v>
      </c>
      <c r="C119" s="77" t="str">
        <f>HYPERLINK("https://www.xeno-canto.org/species/Gallicolumba-luzonica")</f>
        <v>https://www.xeno-canto.org/species/Gallicolumba-luzonica</v>
      </c>
      <c r="D119" s="94" t="str">
        <f>HYPERLINK("https://ebird.org/species/lubhea1")</f>
        <v>https://ebird.org/species/lubhea1</v>
      </c>
      <c r="E119" s="122" t="str">
        <f>HYPERLINK("https://en.wikipedia.org/wiki/Luzon_Bleeding-heart")</f>
        <v>https://en.wikipedia.org/wiki/Luzon_Bleeding-heart</v>
      </c>
      <c r="F119" s="123" t="str">
        <f>HYPERLINK("https://apiv3.iucnredlist.org/api/v3/website/Gallicolumba luzonica")</f>
        <v>https://apiv3.iucnredlist.org/api/v3/website/Gallicolumba luzonica</v>
      </c>
      <c r="G119" s="90">
        <v>28</v>
      </c>
      <c r="H119" s="90">
        <v>55</v>
      </c>
      <c r="J119" s="87" t="s">
        <v>239</v>
      </c>
      <c r="K119" s="98" t="s">
        <v>261</v>
      </c>
      <c r="M119" s="99" t="s">
        <v>262</v>
      </c>
      <c r="N119" s="90" t="s">
        <v>57</v>
      </c>
      <c r="O119" s="90" t="s">
        <v>50</v>
      </c>
      <c r="P119" s="90" t="s">
        <v>38</v>
      </c>
      <c r="Q119" s="2" t="s">
        <v>3241</v>
      </c>
    </row>
    <row r="120" spans="1:18" ht="30.6" x14ac:dyDescent="0.3">
      <c r="A120" s="85">
        <v>100</v>
      </c>
      <c r="B120" s="76" t="s">
        <v>3242</v>
      </c>
      <c r="C120" s="77" t="str">
        <f>HYPERLINK("https://www.xeno-canto.org/species/Gallicolumba-crinigera")</f>
        <v>https://www.xeno-canto.org/species/Gallicolumba-crinigera</v>
      </c>
      <c r="D120" s="94" t="str">
        <f>HYPERLINK("https://ebird.org/species/minblh1")</f>
        <v>https://ebird.org/species/minblh1</v>
      </c>
      <c r="E120" s="122" t="str">
        <f>HYPERLINK("https://en.wikipedia.org/wiki/Mindanao_Bleeding-heart")</f>
        <v>https://en.wikipedia.org/wiki/Mindanao_Bleeding-heart</v>
      </c>
      <c r="F120" s="123" t="str">
        <f>HYPERLINK("https://apiv3.iucnredlist.org/api/v3/website/Gallicolumba crinigera")</f>
        <v>https://apiv3.iucnredlist.org/api/v3/website/Gallicolumba crinigera</v>
      </c>
      <c r="G120" s="90">
        <v>28</v>
      </c>
      <c r="H120" s="90">
        <v>55</v>
      </c>
      <c r="J120" s="87" t="s">
        <v>239</v>
      </c>
      <c r="K120" s="98" t="s">
        <v>263</v>
      </c>
      <c r="M120" s="99" t="s">
        <v>264</v>
      </c>
      <c r="N120" s="90" t="s">
        <v>57</v>
      </c>
      <c r="P120" s="90" t="s">
        <v>38</v>
      </c>
      <c r="Q120" s="2" t="s">
        <v>6501</v>
      </c>
    </row>
    <row r="121" spans="1:18" ht="14.4" x14ac:dyDescent="0.3">
      <c r="A121" s="85">
        <v>101</v>
      </c>
      <c r="B121" s="76" t="s">
        <v>3243</v>
      </c>
      <c r="C121" s="77" t="str">
        <f>HYPERLINK("https://www.xeno-canto.org/species/Gallicolumba-platenae")</f>
        <v>https://www.xeno-canto.org/species/Gallicolumba-platenae</v>
      </c>
      <c r="D121" s="94" t="str">
        <f>HYPERLINK("https://ebird.org/species/mibhea2")</f>
        <v>https://ebird.org/species/mibhea2</v>
      </c>
      <c r="E121" s="122" t="str">
        <f>HYPERLINK("https://en.wikipedia.org/wiki/Mindoro_Bleeding-heart")</f>
        <v>https://en.wikipedia.org/wiki/Mindoro_Bleeding-heart</v>
      </c>
      <c r="F121" s="123" t="str">
        <f>HYPERLINK("https://apiv3.iucnredlist.org/api/v3/website/Gallicolumba platenae")</f>
        <v>https://apiv3.iucnredlist.org/api/v3/website/Gallicolumba platenae</v>
      </c>
      <c r="G121" s="90">
        <v>28</v>
      </c>
      <c r="H121" s="90">
        <v>55</v>
      </c>
      <c r="J121" s="87" t="s">
        <v>239</v>
      </c>
      <c r="K121" s="102" t="s">
        <v>265</v>
      </c>
      <c r="M121" s="99" t="s">
        <v>266</v>
      </c>
      <c r="N121" s="90" t="s">
        <v>57</v>
      </c>
      <c r="O121" s="90" t="s">
        <v>112</v>
      </c>
      <c r="P121" s="90" t="s">
        <v>112</v>
      </c>
      <c r="Q121" s="2" t="s">
        <v>3186</v>
      </c>
    </row>
    <row r="122" spans="1:18" ht="14.4" x14ac:dyDescent="0.3">
      <c r="A122" s="85">
        <v>102</v>
      </c>
      <c r="B122" s="76" t="s">
        <v>3244</v>
      </c>
      <c r="C122" s="77" t="str">
        <f>HYPERLINK("https://www.xeno-canto.org/species/Gallicolumba-keayi")</f>
        <v>https://www.xeno-canto.org/species/Gallicolumba-keayi</v>
      </c>
      <c r="D122" s="94" t="str">
        <f>HYPERLINK("https://ebird.org/species/nebhea1")</f>
        <v>https://ebird.org/species/nebhea1</v>
      </c>
      <c r="E122" s="122" t="str">
        <f>HYPERLINK("https://en.wikipedia.org/wiki/Negros_Bleeding-heart")</f>
        <v>https://en.wikipedia.org/wiki/Negros_Bleeding-heart</v>
      </c>
      <c r="F122" s="123" t="str">
        <f>HYPERLINK("https://apiv3.iucnredlist.org/api/v3/website/Gallicolumba keayi")</f>
        <v>https://apiv3.iucnredlist.org/api/v3/website/Gallicolumba keayi</v>
      </c>
      <c r="G122" s="90">
        <v>28</v>
      </c>
      <c r="H122" s="90">
        <v>57</v>
      </c>
      <c r="J122" s="87" t="s">
        <v>239</v>
      </c>
      <c r="K122" s="102" t="s">
        <v>267</v>
      </c>
      <c r="M122" s="99" t="s">
        <v>268</v>
      </c>
      <c r="N122" s="90" t="s">
        <v>57</v>
      </c>
      <c r="O122" s="90" t="s">
        <v>112</v>
      </c>
      <c r="P122" s="90" t="s">
        <v>112</v>
      </c>
      <c r="Q122" s="2" t="s">
        <v>3245</v>
      </c>
    </row>
    <row r="123" spans="1:18" ht="14.4" x14ac:dyDescent="0.3">
      <c r="A123" s="85">
        <v>103</v>
      </c>
      <c r="B123" s="76" t="s">
        <v>3246</v>
      </c>
      <c r="C123" s="77" t="str">
        <f>HYPERLINK("https://www.xeno-canto.org/species/Gallicolumba-menagei")</f>
        <v>https://www.xeno-canto.org/species/Gallicolumba-menagei</v>
      </c>
      <c r="D123" s="94" t="str">
        <f>HYPERLINK("https://ebird.org/species/subhea1")</f>
        <v>https://ebird.org/species/subhea1</v>
      </c>
      <c r="E123" s="122" t="str">
        <f>HYPERLINK("https://en.wikipedia.org/wiki/Sulu_Bleeding-heart")</f>
        <v>https://en.wikipedia.org/wiki/Sulu_Bleeding-heart</v>
      </c>
      <c r="F123" s="123" t="str">
        <f>HYPERLINK("https://apiv3.iucnredlist.org/api/v3/website/Gallicolumba menagei")</f>
        <v>https://apiv3.iucnredlist.org/api/v3/website/Gallicolumba menagei</v>
      </c>
      <c r="G123" s="90">
        <v>28</v>
      </c>
      <c r="H123" s="90">
        <v>57</v>
      </c>
      <c r="J123" s="87" t="s">
        <v>239</v>
      </c>
      <c r="K123" s="102" t="s">
        <v>269</v>
      </c>
      <c r="M123" s="99" t="s">
        <v>270</v>
      </c>
      <c r="N123" s="90" t="s">
        <v>57</v>
      </c>
      <c r="O123" s="90" t="s">
        <v>112</v>
      </c>
      <c r="P123" s="90" t="s">
        <v>112</v>
      </c>
      <c r="Q123" s="2" t="s">
        <v>3247</v>
      </c>
      <c r="R123" s="2" t="s">
        <v>271</v>
      </c>
    </row>
    <row r="124" spans="1:18" ht="40.799999999999997" x14ac:dyDescent="0.3">
      <c r="A124" s="85">
        <v>104</v>
      </c>
      <c r="B124" s="76" t="s">
        <v>3248</v>
      </c>
      <c r="C124" s="77" t="str">
        <f>HYPERLINK("https://www.xeno-canto.org/species/Phapitreron-leucotis")</f>
        <v>https://www.xeno-canto.org/species/Phapitreron-leucotis</v>
      </c>
      <c r="D124" s="94" t="str">
        <f>HYPERLINK("https://ebird.org/species/whedov1")</f>
        <v>https://ebird.org/species/whedov1</v>
      </c>
      <c r="E124" s="122" t="str">
        <f>HYPERLINK("https://en.wikipedia.org/wiki/White-eared_Brown_Dove")</f>
        <v>https://en.wikipedia.org/wiki/White-eared_Brown_Dove</v>
      </c>
      <c r="F124" s="123" t="str">
        <f>HYPERLINK("https://apiv3.iucnredlist.org/api/v3/website/Phapitreron leucotis")</f>
        <v>https://apiv3.iucnredlist.org/api/v3/website/Phapitreron leucotis</v>
      </c>
      <c r="G124" s="90">
        <v>24</v>
      </c>
      <c r="H124" s="90">
        <v>59</v>
      </c>
      <c r="J124" s="87" t="s">
        <v>239</v>
      </c>
      <c r="K124" s="98" t="s">
        <v>272</v>
      </c>
      <c r="L124" s="86" t="s">
        <v>5126</v>
      </c>
      <c r="M124" s="99" t="s">
        <v>273</v>
      </c>
      <c r="N124" s="90" t="s">
        <v>57</v>
      </c>
      <c r="Q124" s="2" t="s">
        <v>6502</v>
      </c>
    </row>
    <row r="125" spans="1:18" ht="40.799999999999997" x14ac:dyDescent="0.3">
      <c r="A125" s="85">
        <v>105</v>
      </c>
      <c r="B125" s="76" t="s">
        <v>3249</v>
      </c>
      <c r="C125" s="77" t="str">
        <f>HYPERLINK("https://www.xeno-canto.org/species/Phapitreron-amethystinus")</f>
        <v>https://www.xeno-canto.org/species/Phapitreron-amethystinus</v>
      </c>
      <c r="D125" s="94" t="str">
        <f>HYPERLINK("https://ebird.org/species/amedov1")</f>
        <v>https://ebird.org/species/amedov1</v>
      </c>
      <c r="E125" s="122" t="str">
        <f>HYPERLINK("https://en.wikipedia.org/wiki/Amethyst_Brown_Dove")</f>
        <v>https://en.wikipedia.org/wiki/Amethyst_Brown_Dove</v>
      </c>
      <c r="F125" s="123" t="str">
        <f>HYPERLINK("https://apiv3.iucnredlist.org/api/v3/website/Phapitreron amethystinus")</f>
        <v>https://apiv3.iucnredlist.org/api/v3/website/Phapitreron amethystinus</v>
      </c>
      <c r="G125" s="90">
        <v>24</v>
      </c>
      <c r="H125" s="90">
        <v>59</v>
      </c>
      <c r="J125" s="87" t="s">
        <v>239</v>
      </c>
      <c r="K125" s="98" t="s">
        <v>274</v>
      </c>
      <c r="L125" s="86" t="s">
        <v>5127</v>
      </c>
      <c r="M125" s="99" t="s">
        <v>275</v>
      </c>
      <c r="N125" s="90" t="s">
        <v>57</v>
      </c>
      <c r="P125" s="90" t="s">
        <v>112</v>
      </c>
      <c r="Q125" s="2" t="s">
        <v>6503</v>
      </c>
    </row>
    <row r="126" spans="1:18" ht="14.4" x14ac:dyDescent="0.3">
      <c r="A126" s="85">
        <v>106</v>
      </c>
      <c r="B126" s="76" t="s">
        <v>3250</v>
      </c>
      <c r="C126" s="77" t="str">
        <f>HYPERLINK("https://www.xeno-canto.org/species/Phapitreron-cinereiceps")</f>
        <v>https://www.xeno-canto.org/species/Phapitreron-cinereiceps</v>
      </c>
      <c r="D126" s="94" t="str">
        <f>HYPERLINK("https://ebird.org/species/daedov3")</f>
        <v>https://ebird.org/species/daedov3</v>
      </c>
      <c r="E126" s="122" t="str">
        <f>HYPERLINK("https://en.wikipedia.org/wiki/Tawitawi_Brown_Dove")</f>
        <v>https://en.wikipedia.org/wiki/Tawitawi_Brown_Dove</v>
      </c>
      <c r="F126" s="123" t="str">
        <f>HYPERLINK("https://apiv3.iucnredlist.org/api/v3/website/Phapitreron cinereiceps")</f>
        <v>https://apiv3.iucnredlist.org/api/v3/website/Phapitreron cinereiceps</v>
      </c>
      <c r="G126" s="90">
        <v>24</v>
      </c>
      <c r="H126" s="90">
        <v>61</v>
      </c>
      <c r="J126" s="87" t="s">
        <v>239</v>
      </c>
      <c r="K126" s="98" t="s">
        <v>276</v>
      </c>
      <c r="M126" s="99" t="s">
        <v>277</v>
      </c>
      <c r="N126" s="90" t="s">
        <v>57</v>
      </c>
      <c r="O126" s="90" t="s">
        <v>58</v>
      </c>
      <c r="P126" s="90" t="s">
        <v>112</v>
      </c>
      <c r="Q126" s="2" t="s">
        <v>3251</v>
      </c>
    </row>
    <row r="127" spans="1:18" ht="14.4" x14ac:dyDescent="0.3">
      <c r="A127" s="85">
        <v>107</v>
      </c>
      <c r="B127" s="76" t="s">
        <v>3252</v>
      </c>
      <c r="C127" s="77" t="str">
        <f>HYPERLINK("https://www.xeno-canto.org/species/Phapitreron-brunneiceps")</f>
        <v>https://www.xeno-canto.org/species/Phapitreron-brunneiceps</v>
      </c>
      <c r="D127" s="94" t="str">
        <f>HYPERLINK("https://ebird.org/species/daedov2")</f>
        <v>https://ebird.org/species/daedov2</v>
      </c>
      <c r="E127" s="122" t="str">
        <f>HYPERLINK("https://en.wikipedia.org/wiki/Mindanao_Brown_Dove")</f>
        <v>https://en.wikipedia.org/wiki/Mindanao_Brown_Dove</v>
      </c>
      <c r="F127" s="123" t="str">
        <f>HYPERLINK("https://apiv3.iucnredlist.org/api/v3/website/Phapitreron brunneiceps")</f>
        <v>https://apiv3.iucnredlist.org/api/v3/website/Phapitreron brunneiceps</v>
      </c>
      <c r="G127" s="90">
        <v>24</v>
      </c>
      <c r="H127" s="90">
        <v>61</v>
      </c>
      <c r="J127" s="87" t="s">
        <v>239</v>
      </c>
      <c r="K127" s="102" t="s">
        <v>278</v>
      </c>
      <c r="L127" s="86" t="s">
        <v>1707</v>
      </c>
      <c r="M127" s="99" t="s">
        <v>279</v>
      </c>
      <c r="N127" s="90" t="s">
        <v>57</v>
      </c>
      <c r="O127" s="90" t="s">
        <v>38</v>
      </c>
      <c r="P127" s="90" t="s">
        <v>38</v>
      </c>
      <c r="Q127" s="2" t="s">
        <v>3253</v>
      </c>
    </row>
    <row r="128" spans="1:18" ht="14.4" x14ac:dyDescent="0.3">
      <c r="A128" s="85">
        <v>108</v>
      </c>
      <c r="B128" s="76" t="s">
        <v>3254</v>
      </c>
      <c r="C128" s="77" t="str">
        <f>HYPERLINK("https://www.xeno-canto.org/species/Treron-vernans")</f>
        <v>https://www.xeno-canto.org/species/Treron-vernans</v>
      </c>
      <c r="D128" s="94" t="str">
        <f>HYPERLINK("https://ebird.org/species/pinpig3")</f>
        <v>https://ebird.org/species/pinpig3</v>
      </c>
      <c r="E128" s="122" t="str">
        <f>HYPERLINK("https://en.wikipedia.org/wiki/Pink-necked_Green_Pigeon")</f>
        <v>https://en.wikipedia.org/wiki/Pink-necked_Green_Pigeon</v>
      </c>
      <c r="F128" s="123" t="str">
        <f>HYPERLINK("https://apiv3.iucnredlist.org/api/v3/website/Treron vernans")</f>
        <v>https://apiv3.iucnredlist.org/api/v3/website/Treron vernans</v>
      </c>
      <c r="G128" s="90">
        <v>24</v>
      </c>
      <c r="H128" s="90">
        <v>61</v>
      </c>
      <c r="J128" s="87" t="s">
        <v>239</v>
      </c>
      <c r="K128" s="95" t="s">
        <v>280</v>
      </c>
      <c r="M128" s="93" t="s">
        <v>281</v>
      </c>
      <c r="N128" s="90" t="s">
        <v>37</v>
      </c>
      <c r="Q128" s="2" t="s">
        <v>3233</v>
      </c>
    </row>
    <row r="129" spans="1:18" ht="14.4" x14ac:dyDescent="0.3">
      <c r="A129" s="85">
        <v>109</v>
      </c>
      <c r="B129" s="76" t="s">
        <v>3255</v>
      </c>
      <c r="C129" s="77" t="str">
        <f>HYPERLINK("https://www.xeno-canto.org/species/Treron-axillaris")</f>
        <v>https://www.xeno-canto.org/species/Treron-axillaris</v>
      </c>
      <c r="D129" s="94" t="str">
        <f>HYPERLINK("https://ebird.org/species/pomgrp1")</f>
        <v>https://ebird.org/species/pomgrp1</v>
      </c>
      <c r="E129" s="122" t="str">
        <f>HYPERLINK("https://en.wikipedia.org/wiki/Philippine_Green_Pigeon")</f>
        <v>https://en.wikipedia.org/wiki/Philippine_Green_Pigeon</v>
      </c>
      <c r="F129" s="123" t="str">
        <f>HYPERLINK("https://apiv3.iucnredlist.org/api/v3/website/Treron axillaris")</f>
        <v>https://apiv3.iucnredlist.org/api/v3/website/Treron axillaris</v>
      </c>
      <c r="G129" s="90">
        <v>24</v>
      </c>
      <c r="H129" s="90">
        <v>63</v>
      </c>
      <c r="J129" s="87" t="s">
        <v>239</v>
      </c>
      <c r="K129" s="98" t="s">
        <v>282</v>
      </c>
      <c r="M129" s="99" t="s">
        <v>283</v>
      </c>
      <c r="N129" s="90" t="s">
        <v>57</v>
      </c>
      <c r="P129" s="90" t="s">
        <v>38</v>
      </c>
      <c r="Q129" s="2" t="s">
        <v>3256</v>
      </c>
    </row>
    <row r="130" spans="1:18" ht="14.4" x14ac:dyDescent="0.3">
      <c r="A130" s="85">
        <v>110</v>
      </c>
      <c r="B130" s="76" t="s">
        <v>3257</v>
      </c>
      <c r="C130" s="77" t="str">
        <f>HYPERLINK("https://www.xeno-canto.org/species/Treron-curvirostra")</f>
        <v>https://www.xeno-canto.org/species/Treron-curvirostra</v>
      </c>
      <c r="D130" s="94" t="str">
        <f>HYPERLINK("https://ebird.org/species/thbpig1")</f>
        <v>https://ebird.org/species/thbpig1</v>
      </c>
      <c r="E130" s="122" t="str">
        <f>HYPERLINK("https://en.wikipedia.org/wiki/Thick-billed_Green_Pigeon")</f>
        <v>https://en.wikipedia.org/wiki/Thick-billed_Green_Pigeon</v>
      </c>
      <c r="F130" s="123" t="str">
        <f>HYPERLINK("https://apiv3.iucnredlist.org/api/v3/website/Treron curvirostra")</f>
        <v>https://apiv3.iucnredlist.org/api/v3/website/Treron curvirostra</v>
      </c>
      <c r="G130" s="90">
        <v>24</v>
      </c>
      <c r="H130" s="90">
        <v>63</v>
      </c>
      <c r="J130" s="87" t="s">
        <v>239</v>
      </c>
      <c r="K130" s="95" t="s">
        <v>284</v>
      </c>
      <c r="M130" s="93" t="s">
        <v>285</v>
      </c>
      <c r="N130" s="90" t="s">
        <v>37</v>
      </c>
      <c r="Q130" s="2" t="s">
        <v>3258</v>
      </c>
    </row>
    <row r="131" spans="1:18" ht="14.4" x14ac:dyDescent="0.3">
      <c r="A131" s="85">
        <v>111</v>
      </c>
      <c r="B131" s="76" t="s">
        <v>3259</v>
      </c>
      <c r="C131" s="77" t="str">
        <f>HYPERLINK("https://www.xeno-canto.org/species/Treron-formosae")</f>
        <v>https://www.xeno-canto.org/species/Treron-formosae</v>
      </c>
      <c r="D131" s="94" t="str">
        <f>HYPERLINK("https://ebird.org/species/whgpig1")</f>
        <v>https://ebird.org/species/whgpig1</v>
      </c>
      <c r="E131" s="122" t="str">
        <f>HYPERLINK("https://en.wikipedia.org/wiki/Taiwan_Green_Pigeon")</f>
        <v>https://en.wikipedia.org/wiki/Taiwan_Green_Pigeon</v>
      </c>
      <c r="F131" s="123" t="str">
        <f>HYPERLINK("https://apiv3.iucnredlist.org/api/v3/website/Treron formosae")</f>
        <v>https://apiv3.iucnredlist.org/api/v3/website/Treron formosae</v>
      </c>
      <c r="G131" s="90">
        <v>24</v>
      </c>
      <c r="H131" s="90">
        <v>63</v>
      </c>
      <c r="J131" s="87" t="s">
        <v>239</v>
      </c>
      <c r="K131" s="95" t="s">
        <v>5146</v>
      </c>
      <c r="M131" s="93" t="s">
        <v>286</v>
      </c>
      <c r="N131" s="90" t="s">
        <v>37</v>
      </c>
      <c r="O131" s="90" t="s">
        <v>50</v>
      </c>
      <c r="P131" s="90" t="s">
        <v>38</v>
      </c>
      <c r="Q131" s="2" t="s">
        <v>3260</v>
      </c>
    </row>
    <row r="132" spans="1:18" ht="14.4" x14ac:dyDescent="0.3">
      <c r="A132" s="85">
        <v>112</v>
      </c>
      <c r="B132" s="76" t="s">
        <v>3261</v>
      </c>
      <c r="C132" s="77" t="str">
        <f>HYPERLINK("https://www.xeno-canto.org/species/Ptilinopus-marchei")</f>
        <v>https://www.xeno-canto.org/species/Ptilinopus-marchei</v>
      </c>
      <c r="D132" s="94" t="str">
        <f>HYPERLINK("https://ebird.org/species/fbfdov1")</f>
        <v>https://ebird.org/species/fbfdov1</v>
      </c>
      <c r="E132" s="122" t="str">
        <f>HYPERLINK("https://en.wikipedia.org/wiki/Flame-breasted_Fruit_Dove")</f>
        <v>https://en.wikipedia.org/wiki/Flame-breasted_Fruit_Dove</v>
      </c>
      <c r="F132" s="123" t="str">
        <f>HYPERLINK("https://apiv3.iucnredlist.org/api/v3/website/Ptilinopus marchei")</f>
        <v>https://apiv3.iucnredlist.org/api/v3/website/Ptilinopus marchei</v>
      </c>
      <c r="G132" s="90">
        <v>25</v>
      </c>
      <c r="H132" s="90">
        <v>69</v>
      </c>
      <c r="J132" s="87" t="s">
        <v>239</v>
      </c>
      <c r="K132" s="98" t="s">
        <v>287</v>
      </c>
      <c r="M132" s="99" t="s">
        <v>288</v>
      </c>
      <c r="N132" s="90" t="s">
        <v>57</v>
      </c>
      <c r="O132" s="90" t="s">
        <v>38</v>
      </c>
      <c r="P132" s="90" t="s">
        <v>58</v>
      </c>
      <c r="Q132" s="2" t="s">
        <v>3262</v>
      </c>
    </row>
    <row r="133" spans="1:18" ht="20.399999999999999" x14ac:dyDescent="0.3">
      <c r="A133" s="85">
        <v>113</v>
      </c>
      <c r="B133" s="76" t="s">
        <v>3263</v>
      </c>
      <c r="C133" s="77" t="str">
        <f>HYPERLINK("https://www.xeno-canto.org/species/Ptilinopus-merrilli")</f>
        <v>https://www.xeno-canto.org/species/Ptilinopus-merrilli</v>
      </c>
      <c r="D133" s="94" t="str">
        <f>HYPERLINK("https://ebird.org/species/crbfrd1")</f>
        <v>https://ebird.org/species/crbfrd1</v>
      </c>
      <c r="E133" s="122" t="str">
        <f>HYPERLINK("https://en.wikipedia.org/wiki/Cream-breasted_Fruit_Dove")</f>
        <v>https://en.wikipedia.org/wiki/Cream-breasted_Fruit_Dove</v>
      </c>
      <c r="F133" s="123" t="str">
        <f>HYPERLINK("https://apiv3.iucnredlist.org/api/v3/website/Ptilinopus merrilli")</f>
        <v>https://apiv3.iucnredlist.org/api/v3/website/Ptilinopus merrilli</v>
      </c>
      <c r="G133" s="90">
        <v>25</v>
      </c>
      <c r="H133" s="90">
        <v>67</v>
      </c>
      <c r="J133" s="87" t="s">
        <v>239</v>
      </c>
      <c r="K133" s="98" t="s">
        <v>289</v>
      </c>
      <c r="L133" s="86" t="s">
        <v>1715</v>
      </c>
      <c r="M133" s="99" t="s">
        <v>290</v>
      </c>
      <c r="N133" s="90" t="s">
        <v>57</v>
      </c>
      <c r="O133" s="90" t="s">
        <v>50</v>
      </c>
      <c r="P133" s="90" t="s">
        <v>38</v>
      </c>
      <c r="Q133" s="2" t="s">
        <v>3264</v>
      </c>
    </row>
    <row r="134" spans="1:18" ht="20.399999999999999" x14ac:dyDescent="0.3">
      <c r="A134" s="85">
        <v>114</v>
      </c>
      <c r="B134" s="76" t="s">
        <v>3265</v>
      </c>
      <c r="C134" s="77" t="str">
        <f>HYPERLINK("https://www.xeno-canto.org/species/Ptilinopus-occipitalis")</f>
        <v>https://www.xeno-canto.org/species/Ptilinopus-occipitalis</v>
      </c>
      <c r="D134" s="94" t="str">
        <f>HYPERLINK("https://ebird.org/species/ybfdov2")</f>
        <v>https://ebird.org/species/ybfdov2</v>
      </c>
      <c r="E134" s="122" t="str">
        <f>HYPERLINK("https://en.wikipedia.org/wiki/Yellow-breasted_Fruit_Dove")</f>
        <v>https://en.wikipedia.org/wiki/Yellow-breasted_Fruit_Dove</v>
      </c>
      <c r="F134" s="123" t="str">
        <f>HYPERLINK("https://apiv3.iucnredlist.org/api/v3/website/Ptilinopus occipitalis")</f>
        <v>https://apiv3.iucnredlist.org/api/v3/website/Ptilinopus occipitalis</v>
      </c>
      <c r="G134" s="90">
        <v>25</v>
      </c>
      <c r="H134" s="90">
        <v>69</v>
      </c>
      <c r="J134" s="87" t="s">
        <v>239</v>
      </c>
      <c r="K134" s="98" t="s">
        <v>291</v>
      </c>
      <c r="M134" s="99" t="s">
        <v>292</v>
      </c>
      <c r="N134" s="90" t="s">
        <v>57</v>
      </c>
      <c r="Q134" s="2" t="s">
        <v>3266</v>
      </c>
    </row>
    <row r="135" spans="1:18" ht="14.4" x14ac:dyDescent="0.3">
      <c r="A135" s="85">
        <v>115</v>
      </c>
      <c r="B135" s="76" t="s">
        <v>3267</v>
      </c>
      <c r="C135" s="77" t="str">
        <f>HYPERLINK("https://www.xeno-canto.org/species/Ptilinopus-leclancheri")</f>
        <v>https://www.xeno-canto.org/species/Ptilinopus-leclancheri</v>
      </c>
      <c r="D135" s="94" t="str">
        <f>HYPERLINK("https://ebird.org/species/bcfdov1")</f>
        <v>https://ebird.org/species/bcfdov1</v>
      </c>
      <c r="E135" s="122" t="str">
        <f>HYPERLINK("https://en.wikipedia.org/wiki/Black-chinned_Fruit_Dove")</f>
        <v>https://en.wikipedia.org/wiki/Black-chinned_Fruit_Dove</v>
      </c>
      <c r="F135" s="123" t="str">
        <f>HYPERLINK("https://apiv3.iucnredlist.org/api/v3/website/Ptilinopus leclancheri")</f>
        <v>https://apiv3.iucnredlist.org/api/v3/website/Ptilinopus leclancheri</v>
      </c>
      <c r="G135" s="90">
        <v>25</v>
      </c>
      <c r="H135" s="90">
        <v>69</v>
      </c>
      <c r="J135" s="87" t="s">
        <v>239</v>
      </c>
      <c r="K135" s="95" t="s">
        <v>293</v>
      </c>
      <c r="M135" s="93" t="s">
        <v>294</v>
      </c>
      <c r="N135" s="90" t="s">
        <v>253</v>
      </c>
      <c r="Q135" s="2" t="s">
        <v>3153</v>
      </c>
      <c r="R135" s="2" t="s">
        <v>296</v>
      </c>
    </row>
    <row r="136" spans="1:18" ht="20.399999999999999" x14ac:dyDescent="0.3">
      <c r="A136" s="85">
        <v>116</v>
      </c>
      <c r="B136" s="76" t="s">
        <v>3268</v>
      </c>
      <c r="C136" s="77" t="str">
        <f>HYPERLINK("https://www.xeno-canto.org/species/Ptilinopus-superbus")</f>
        <v>https://www.xeno-canto.org/species/Ptilinopus-superbus</v>
      </c>
      <c r="D136" s="94" t="str">
        <f>HYPERLINK("https://ebird.org/species/sufdov1")</f>
        <v>https://ebird.org/species/sufdov1</v>
      </c>
      <c r="E136" s="122" t="str">
        <f>HYPERLINK("https://en.wikipedia.org/wiki/Superb_Fruit_Dove")</f>
        <v>https://en.wikipedia.org/wiki/Superb_Fruit_Dove</v>
      </c>
      <c r="F136" s="123" t="str">
        <f>HYPERLINK("https://apiv3.iucnredlist.org/api/v3/website/Ptilinopus superbus")</f>
        <v>https://apiv3.iucnredlist.org/api/v3/website/Ptilinopus superbus</v>
      </c>
      <c r="G136" s="90">
        <v>25</v>
      </c>
      <c r="H136" s="90">
        <v>71</v>
      </c>
      <c r="J136" s="87" t="s">
        <v>239</v>
      </c>
      <c r="K136" s="92" t="s">
        <v>297</v>
      </c>
      <c r="L136" s="86" t="s">
        <v>3269</v>
      </c>
      <c r="M136" s="93" t="s">
        <v>298</v>
      </c>
      <c r="N136" s="90" t="s">
        <v>49</v>
      </c>
      <c r="Q136" s="2" t="s">
        <v>3270</v>
      </c>
      <c r="R136" s="2" t="s">
        <v>6390</v>
      </c>
    </row>
    <row r="137" spans="1:18" ht="14.4" x14ac:dyDescent="0.3">
      <c r="A137" s="85">
        <v>117</v>
      </c>
      <c r="B137" s="76" t="s">
        <v>3271</v>
      </c>
      <c r="C137" s="77" t="str">
        <f>HYPERLINK("https://www.xeno-canto.org/species/Ptilinopus-melanospilus")</f>
        <v>https://www.xeno-canto.org/species/Ptilinopus-melanospilus</v>
      </c>
      <c r="D137" s="94" t="str">
        <f>HYPERLINK("https://ebird.org/species/bknfrd1")</f>
        <v>https://ebird.org/species/bknfrd1</v>
      </c>
      <c r="E137" s="122" t="str">
        <f>HYPERLINK("https://en.wikipedia.org/wiki/Black-naped_Fruit_Dove")</f>
        <v>https://en.wikipedia.org/wiki/Black-naped_Fruit_Dove</v>
      </c>
      <c r="F137" s="123" t="str">
        <f>HYPERLINK("https://apiv3.iucnredlist.org/api/v3/website/Ptilinopus melanospilus")</f>
        <v>https://apiv3.iucnredlist.org/api/v3/website/Ptilinopus melanospilus</v>
      </c>
      <c r="G137" s="90">
        <v>25</v>
      </c>
      <c r="H137" s="90">
        <v>71</v>
      </c>
      <c r="J137" s="87" t="s">
        <v>239</v>
      </c>
      <c r="K137" s="95" t="s">
        <v>299</v>
      </c>
      <c r="M137" s="93" t="s">
        <v>300</v>
      </c>
      <c r="N137" s="90" t="s">
        <v>37</v>
      </c>
      <c r="Q137" s="2" t="s">
        <v>3272</v>
      </c>
    </row>
    <row r="138" spans="1:18" ht="20.399999999999999" x14ac:dyDescent="0.3">
      <c r="A138" s="85">
        <v>118</v>
      </c>
      <c r="B138" s="76" t="s">
        <v>3273</v>
      </c>
      <c r="C138" s="77" t="str">
        <f>HYPERLINK("https://www.xeno-canto.org/species/Ptilinopus-arcanus")</f>
        <v>https://www.xeno-canto.org/species/Ptilinopus-arcanus</v>
      </c>
      <c r="D138" s="94" t="str">
        <f>HYPERLINK("https://ebird.org/species/nefdov1")</f>
        <v>https://ebird.org/species/nefdov1</v>
      </c>
      <c r="E138" s="122" t="str">
        <f>HYPERLINK("https://en.wikipedia.org/wiki/Negros_Fruit_Dove")</f>
        <v>https://en.wikipedia.org/wiki/Negros_Fruit_Dove</v>
      </c>
      <c r="F138" s="123" t="str">
        <f>HYPERLINK("https://apiv3.iucnredlist.org/api/v3/website/Ptilinopus arcanus")</f>
        <v>https://apiv3.iucnredlist.org/api/v3/website/Ptilinopus arcanus</v>
      </c>
      <c r="G138" s="90">
        <v>25</v>
      </c>
      <c r="H138" s="90">
        <v>69</v>
      </c>
      <c r="J138" s="87" t="s">
        <v>239</v>
      </c>
      <c r="K138" s="102" t="s">
        <v>301</v>
      </c>
      <c r="M138" s="99" t="s">
        <v>302</v>
      </c>
      <c r="N138" s="90" t="s">
        <v>57</v>
      </c>
      <c r="O138" s="90" t="s">
        <v>112</v>
      </c>
      <c r="P138" s="90" t="s">
        <v>112</v>
      </c>
      <c r="Q138" s="2" t="s">
        <v>3274</v>
      </c>
      <c r="R138" s="2" t="s">
        <v>303</v>
      </c>
    </row>
    <row r="139" spans="1:18" ht="14.4" x14ac:dyDescent="0.3">
      <c r="A139" s="85">
        <v>119</v>
      </c>
      <c r="B139" s="76" t="s">
        <v>3275</v>
      </c>
      <c r="C139" s="77" t="str">
        <f>HYPERLINK("https://www.xeno-canto.org/species/Ducula-poliocephala")</f>
        <v>https://www.xeno-canto.org/species/Ducula-poliocephala</v>
      </c>
      <c r="D139" s="94" t="str">
        <f>HYPERLINK("https://ebird.org/species/pbipig1")</f>
        <v>https://ebird.org/species/pbipig1</v>
      </c>
      <c r="E139" s="122" t="str">
        <f>HYPERLINK("https://en.wikipedia.org/wiki/Pink-bellied_Imperial_Pigeon")</f>
        <v>https://en.wikipedia.org/wiki/Pink-bellied_Imperial_Pigeon</v>
      </c>
      <c r="F139" s="123" t="str">
        <f>HYPERLINK("https://apiv3.iucnredlist.org/api/v3/website/Ducula poliocephala")</f>
        <v>https://apiv3.iucnredlist.org/api/v3/website/Ducula poliocephala</v>
      </c>
      <c r="G139" s="90">
        <v>26</v>
      </c>
      <c r="H139" s="90">
        <v>63</v>
      </c>
      <c r="J139" s="87" t="s">
        <v>239</v>
      </c>
      <c r="K139" s="98" t="s">
        <v>304</v>
      </c>
      <c r="M139" s="99" t="s">
        <v>305</v>
      </c>
      <c r="N139" s="90" t="s">
        <v>57</v>
      </c>
      <c r="O139" s="90" t="s">
        <v>50</v>
      </c>
      <c r="P139" s="90" t="s">
        <v>112</v>
      </c>
      <c r="Q139" s="2" t="s">
        <v>3276</v>
      </c>
    </row>
    <row r="140" spans="1:18" ht="14.4" x14ac:dyDescent="0.3">
      <c r="A140" s="85">
        <v>120</v>
      </c>
      <c r="B140" s="76" t="s">
        <v>3277</v>
      </c>
      <c r="C140" s="77" t="str">
        <f>HYPERLINK("https://www.xeno-canto.org/species/Ducula-mindorensis")</f>
        <v>https://www.xeno-canto.org/species/Ducula-mindorensis</v>
      </c>
      <c r="D140" s="94" t="str">
        <f>HYPERLINK("https://ebird.org/species/miipig2")</f>
        <v>https://ebird.org/species/miipig2</v>
      </c>
      <c r="E140" s="122" t="str">
        <f>HYPERLINK("https://en.wikipedia.org/wiki/Mindoro_Imperial_Pigeon")</f>
        <v>https://en.wikipedia.org/wiki/Mindoro_Imperial_Pigeon</v>
      </c>
      <c r="F140" s="123" t="str">
        <f>HYPERLINK("https://apiv3.iucnredlist.org/api/v3/website/Ducula mindorensis")</f>
        <v>https://apiv3.iucnredlist.org/api/v3/website/Ducula mindorensis</v>
      </c>
      <c r="G140" s="90">
        <v>26</v>
      </c>
      <c r="H140" s="90">
        <v>65</v>
      </c>
      <c r="J140" s="87" t="s">
        <v>239</v>
      </c>
      <c r="K140" s="98" t="s">
        <v>306</v>
      </c>
      <c r="M140" s="99" t="s">
        <v>307</v>
      </c>
      <c r="N140" s="90" t="s">
        <v>57</v>
      </c>
      <c r="O140" s="90" t="s">
        <v>58</v>
      </c>
      <c r="P140" s="90" t="s">
        <v>58</v>
      </c>
      <c r="Q140" s="2" t="s">
        <v>3278</v>
      </c>
    </row>
    <row r="141" spans="1:18" ht="30.6" x14ac:dyDescent="0.3">
      <c r="A141" s="85">
        <v>121</v>
      </c>
      <c r="B141" s="76" t="s">
        <v>3279</v>
      </c>
      <c r="C141" s="77" t="str">
        <f>HYPERLINK("https://www.xeno-canto.org/species/Ducula-carola")</f>
        <v>https://www.xeno-canto.org/species/Ducula-carola</v>
      </c>
      <c r="D141" s="94" t="str">
        <f>HYPERLINK("https://ebird.org/species/spipig3")</f>
        <v>https://ebird.org/species/spipig3</v>
      </c>
      <c r="E141" s="122" t="str">
        <f>HYPERLINK("https://en.wikipedia.org/wiki/Spotted_Imperial_Pigeon")</f>
        <v>https://en.wikipedia.org/wiki/Spotted_Imperial_Pigeon</v>
      </c>
      <c r="F141" s="123" t="str">
        <f>HYPERLINK("https://apiv3.iucnredlist.org/api/v3/website/Ducula carola")</f>
        <v>https://apiv3.iucnredlist.org/api/v3/website/Ducula carola</v>
      </c>
      <c r="G141" s="90">
        <v>26</v>
      </c>
      <c r="H141" s="90">
        <v>65</v>
      </c>
      <c r="J141" s="87" t="s">
        <v>239</v>
      </c>
      <c r="K141" s="98" t="s">
        <v>308</v>
      </c>
      <c r="M141" s="99" t="s">
        <v>309</v>
      </c>
      <c r="N141" s="90" t="s">
        <v>57</v>
      </c>
      <c r="O141" s="90" t="s">
        <v>38</v>
      </c>
      <c r="P141" s="90" t="s">
        <v>58</v>
      </c>
      <c r="Q141" s="2" t="s">
        <v>6504</v>
      </c>
    </row>
    <row r="142" spans="1:18" ht="14.4" x14ac:dyDescent="0.3">
      <c r="A142" s="85">
        <v>122</v>
      </c>
      <c r="B142" s="76" t="s">
        <v>3280</v>
      </c>
      <c r="C142" s="77" t="str">
        <f>HYPERLINK("https://www.xeno-canto.org/species/Ducula-aenea")</f>
        <v>https://www.xeno-canto.org/species/Ducula-aenea</v>
      </c>
      <c r="D142" s="94" t="str">
        <f>HYPERLINK("https://ebird.org/species/gripig1")</f>
        <v>https://ebird.org/species/gripig1</v>
      </c>
      <c r="E142" s="122" t="str">
        <f>HYPERLINK("https://en.wikipedia.org/wiki/Green_Imperial_Pigeon")</f>
        <v>https://en.wikipedia.org/wiki/Green_Imperial_Pigeon</v>
      </c>
      <c r="F142" s="123" t="str">
        <f>HYPERLINK("https://apiv3.iucnredlist.org/api/v3/website/Ducula aenea")</f>
        <v>https://apiv3.iucnredlist.org/api/v3/website/Ducula aenea</v>
      </c>
      <c r="G142" s="90">
        <v>26</v>
      </c>
      <c r="H142" s="90">
        <v>65</v>
      </c>
      <c r="J142" s="87" t="s">
        <v>239</v>
      </c>
      <c r="K142" s="95" t="s">
        <v>310</v>
      </c>
      <c r="M142" s="93" t="s">
        <v>311</v>
      </c>
      <c r="N142" s="90" t="s">
        <v>37</v>
      </c>
      <c r="Q142" s="2" t="s">
        <v>3281</v>
      </c>
    </row>
    <row r="143" spans="1:18" ht="20.399999999999999" x14ac:dyDescent="0.3">
      <c r="A143" s="85">
        <v>123</v>
      </c>
      <c r="B143" s="76" t="s">
        <v>3282</v>
      </c>
      <c r="C143" s="77" t="str">
        <f>HYPERLINK("https://www.xeno-canto.org/species/Ducula-pickeringii")</f>
        <v>https://www.xeno-canto.org/species/Ducula-pickeringii</v>
      </c>
      <c r="D143" s="94" t="str">
        <f>HYPERLINK("https://ebird.org/species/gryimp1")</f>
        <v>https://ebird.org/species/gryimp1</v>
      </c>
      <c r="E143" s="122" t="str">
        <f>HYPERLINK("https://en.wikipedia.org/wiki/Grey_Imperial_Pigeon")</f>
        <v>https://en.wikipedia.org/wiki/Grey_Imperial_Pigeon</v>
      </c>
      <c r="F143" s="123" t="str">
        <f>HYPERLINK("https://apiv3.iucnredlist.org/api/v3/website/Ducula pickeringii")</f>
        <v>https://apiv3.iucnredlist.org/api/v3/website/Ducula pickeringii</v>
      </c>
      <c r="G143" s="90">
        <v>26</v>
      </c>
      <c r="H143" s="90">
        <v>67</v>
      </c>
      <c r="J143" s="87" t="s">
        <v>239</v>
      </c>
      <c r="K143" s="95" t="s">
        <v>312</v>
      </c>
      <c r="M143" s="93" t="s">
        <v>313</v>
      </c>
      <c r="N143" s="90" t="s">
        <v>253</v>
      </c>
      <c r="O143" s="90" t="s">
        <v>38</v>
      </c>
      <c r="P143" s="90" t="s">
        <v>58</v>
      </c>
      <c r="Q143" s="2" t="s">
        <v>3283</v>
      </c>
      <c r="R143" s="2" t="s">
        <v>314</v>
      </c>
    </row>
    <row r="144" spans="1:18" ht="14.4" x14ac:dyDescent="0.3">
      <c r="A144" s="85">
        <v>124</v>
      </c>
      <c r="B144" s="76" t="s">
        <v>3284</v>
      </c>
      <c r="C144" s="77" t="str">
        <f>HYPERLINK("https://www.xeno-canto.org/species/Ducula-bicolor")</f>
        <v>https://www.xeno-canto.org/species/Ducula-bicolor</v>
      </c>
      <c r="D144" s="94" t="str">
        <f>HYPERLINK("https://ebird.org/species/piipig1")</f>
        <v>https://ebird.org/species/piipig1</v>
      </c>
      <c r="E144" s="122" t="str">
        <f>HYPERLINK("https://en.wikipedia.org/wiki/Pied_Imperial_Pigeon")</f>
        <v>https://en.wikipedia.org/wiki/Pied_Imperial_Pigeon</v>
      </c>
      <c r="F144" s="123" t="str">
        <f>HYPERLINK("https://apiv3.iucnredlist.org/api/v3/website/Ducula bicolor")</f>
        <v>https://apiv3.iucnredlist.org/api/v3/website/Ducula bicolor</v>
      </c>
      <c r="G144" s="90">
        <v>26</v>
      </c>
      <c r="H144" s="90">
        <v>67</v>
      </c>
      <c r="J144" s="87" t="s">
        <v>239</v>
      </c>
      <c r="K144" s="95" t="s">
        <v>315</v>
      </c>
      <c r="M144" s="93" t="s">
        <v>316</v>
      </c>
      <c r="N144" s="90" t="s">
        <v>37</v>
      </c>
      <c r="Q144" s="2" t="s">
        <v>3285</v>
      </c>
    </row>
    <row r="146" spans="1:18" ht="12" x14ac:dyDescent="0.3">
      <c r="K146" s="88" t="s">
        <v>5799</v>
      </c>
      <c r="M146" s="89" t="s">
        <v>317</v>
      </c>
    </row>
    <row r="147" spans="1:18" ht="14.4" x14ac:dyDescent="0.3">
      <c r="A147" s="85">
        <v>125</v>
      </c>
      <c r="B147" s="74" t="s">
        <v>3286</v>
      </c>
      <c r="C147" s="75" t="str">
        <f>HYPERLINK("https://www.xeno-canto.org/species/Lewinia-striata")</f>
        <v>https://www.xeno-canto.org/species/Lewinia-striata</v>
      </c>
      <c r="D147" s="91" t="str">
        <f>HYPERLINK("https://ebird.org/species/slbrai1")</f>
        <v>https://ebird.org/species/slbrai1</v>
      </c>
      <c r="E147" s="120" t="str">
        <f>HYPERLINK("https://en.wikipedia.org/wiki/Slaty-breasted_Rail")</f>
        <v>https://en.wikipedia.org/wiki/Slaty-breasted_Rail</v>
      </c>
      <c r="F147" s="121" t="str">
        <f>HYPERLINK("https://apiv3.iucnredlist.org/api/v3/website/Lewinia striata")</f>
        <v>https://apiv3.iucnredlist.org/api/v3/website/Lewinia striata</v>
      </c>
      <c r="G147" s="90">
        <v>13</v>
      </c>
      <c r="H147" s="90">
        <v>95</v>
      </c>
      <c r="J147" s="87" t="s">
        <v>317</v>
      </c>
      <c r="K147" s="95" t="s">
        <v>328</v>
      </c>
      <c r="M147" s="93" t="s">
        <v>1729</v>
      </c>
      <c r="N147" s="90" t="s">
        <v>37</v>
      </c>
      <c r="Q147" s="2" t="s">
        <v>3153</v>
      </c>
    </row>
    <row r="148" spans="1:18" ht="14.4" x14ac:dyDescent="0.3">
      <c r="A148" s="85">
        <v>126</v>
      </c>
      <c r="B148" s="76" t="s">
        <v>3287</v>
      </c>
      <c r="C148" s="77" t="str">
        <f>HYPERLINK("https://www.xeno-canto.org/species/Lewinia-mirifica")</f>
        <v>https://www.xeno-canto.org/species/Lewinia-mirifica</v>
      </c>
      <c r="D148" s="94" t="str">
        <f>HYPERLINK("https://ebird.org/species/luzrai1")</f>
        <v>https://ebird.org/species/luzrai1</v>
      </c>
      <c r="E148" s="122" t="str">
        <f>HYPERLINK("https://en.wikipedia.org/wiki/Brown-banded_Rail")</f>
        <v>https://en.wikipedia.org/wiki/Brown-banded_Rail</v>
      </c>
      <c r="F148" s="123" t="str">
        <f>HYPERLINK("https://apiv3.iucnredlist.org/api/v3/website/Lewinia mirifica")</f>
        <v>https://apiv3.iucnredlist.org/api/v3/website/Lewinia mirifica</v>
      </c>
      <c r="G148" s="90">
        <v>13</v>
      </c>
      <c r="H148" s="90">
        <v>95</v>
      </c>
      <c r="J148" s="87" t="s">
        <v>317</v>
      </c>
      <c r="K148" s="102" t="s">
        <v>329</v>
      </c>
      <c r="M148" s="99" t="s">
        <v>330</v>
      </c>
      <c r="N148" s="90" t="s">
        <v>57</v>
      </c>
      <c r="O148" s="90" t="s">
        <v>158</v>
      </c>
      <c r="P148" s="90" t="s">
        <v>58</v>
      </c>
      <c r="Q148" s="2" t="s">
        <v>3288</v>
      </c>
    </row>
    <row r="149" spans="1:18" ht="20.399999999999999" x14ac:dyDescent="0.3">
      <c r="A149" s="85">
        <v>127</v>
      </c>
      <c r="B149" s="76" t="s">
        <v>5800</v>
      </c>
      <c r="C149" s="77" t="str">
        <f>HYPERLINK("https://www.xeno-canto.org/species/Aptenorallus-calayanensis")</f>
        <v>https://www.xeno-canto.org/species/Aptenorallus-calayanensis</v>
      </c>
      <c r="D149" s="94" t="str">
        <f>HYPERLINK("https://ebird.org/species/calrai1")</f>
        <v>https://ebird.org/species/calrai1</v>
      </c>
      <c r="E149" s="122" t="str">
        <f>HYPERLINK("https://en.wikipedia.org/wiki/Calayan_Rail")</f>
        <v>https://en.wikipedia.org/wiki/Calayan_Rail</v>
      </c>
      <c r="F149" s="123" t="str">
        <f>HYPERLINK("https://apiv3.iucnredlist.org/api/v3/website/Aptenorallus calayanensis")</f>
        <v>https://apiv3.iucnredlist.org/api/v3/website/Aptenorallus calayanensis</v>
      </c>
      <c r="H149" s="90">
        <v>95</v>
      </c>
      <c r="J149" s="87" t="s">
        <v>317</v>
      </c>
      <c r="K149" s="98" t="s">
        <v>322</v>
      </c>
      <c r="M149" s="99" t="s">
        <v>5801</v>
      </c>
      <c r="N149" s="90" t="s">
        <v>57</v>
      </c>
      <c r="O149" s="90" t="s">
        <v>38</v>
      </c>
      <c r="P149" s="90" t="s">
        <v>58</v>
      </c>
      <c r="Q149" s="2" t="s">
        <v>3289</v>
      </c>
      <c r="R149" s="2" t="s">
        <v>3000</v>
      </c>
    </row>
    <row r="150" spans="1:18" ht="20.399999999999999" x14ac:dyDescent="0.3">
      <c r="A150" s="85">
        <v>128</v>
      </c>
      <c r="B150" s="76" t="s">
        <v>3290</v>
      </c>
      <c r="C150" s="77" t="str">
        <f>HYPERLINK("https://www.xeno-canto.org/species/Hypotaenidia-torquata")</f>
        <v>https://www.xeno-canto.org/species/Hypotaenidia-torquata</v>
      </c>
      <c r="D150" s="94" t="str">
        <f>HYPERLINK("https://ebird.org/species/barrai1")</f>
        <v>https://ebird.org/species/barrai1</v>
      </c>
      <c r="E150" s="122" t="str">
        <f>HYPERLINK("https://en.wikipedia.org/wiki/Barred_Rail")</f>
        <v>https://en.wikipedia.org/wiki/Barred_Rail</v>
      </c>
      <c r="F150" s="123" t="str">
        <f>HYPERLINK("https://apiv3.iucnredlist.org/api/v3/website/Hypotaenidia torquata")</f>
        <v>https://apiv3.iucnredlist.org/api/v3/website/Hypotaenidia torquata</v>
      </c>
      <c r="G150" s="90">
        <v>13</v>
      </c>
      <c r="H150" s="90">
        <v>97</v>
      </c>
      <c r="J150" s="87" t="s">
        <v>317</v>
      </c>
      <c r="K150" s="95" t="s">
        <v>324</v>
      </c>
      <c r="M150" s="93" t="s">
        <v>1727</v>
      </c>
      <c r="N150" s="90" t="s">
        <v>37</v>
      </c>
      <c r="Q150" s="2" t="s">
        <v>3291</v>
      </c>
    </row>
    <row r="151" spans="1:18" ht="20.399999999999999" x14ac:dyDescent="0.3">
      <c r="A151" s="85">
        <v>129</v>
      </c>
      <c r="B151" s="76" t="s">
        <v>3292</v>
      </c>
      <c r="C151" s="77" t="str">
        <f>HYPERLINK("https://www.xeno-canto.org/species/Hypotaenidia-philippensis")</f>
        <v>https://www.xeno-canto.org/species/Hypotaenidia-philippensis</v>
      </c>
      <c r="D151" s="94" t="str">
        <f>HYPERLINK("https://ebird.org/species/bubrai1")</f>
        <v>https://ebird.org/species/bubrai1</v>
      </c>
      <c r="E151" s="122" t="str">
        <f>HYPERLINK("https://en.wikipedia.org/wiki/Buff-banded_Rail")</f>
        <v>https://en.wikipedia.org/wiki/Buff-banded_Rail</v>
      </c>
      <c r="F151" s="123" t="str">
        <f>HYPERLINK("https://apiv3.iucnredlist.org/api/v3/website/Hypotaenidia philippensis")</f>
        <v>https://apiv3.iucnredlist.org/api/v3/website/Hypotaenidia philippensis</v>
      </c>
      <c r="G151" s="90">
        <v>13</v>
      </c>
      <c r="H151" s="90">
        <v>97</v>
      </c>
      <c r="J151" s="87" t="s">
        <v>317</v>
      </c>
      <c r="K151" s="95" t="s">
        <v>326</v>
      </c>
      <c r="M151" s="93" t="s">
        <v>1728</v>
      </c>
      <c r="N151" s="90" t="s">
        <v>37</v>
      </c>
      <c r="Q151" s="2" t="s">
        <v>3293</v>
      </c>
    </row>
    <row r="152" spans="1:18" ht="14.4" x14ac:dyDescent="0.3">
      <c r="A152" s="85">
        <v>130</v>
      </c>
      <c r="B152" s="76" t="s">
        <v>3294</v>
      </c>
      <c r="C152" s="77" t="str">
        <f>HYPERLINK("https://www.xeno-canto.org/species/Gallinula-chloropus")</f>
        <v>https://www.xeno-canto.org/species/Gallinula-chloropus</v>
      </c>
      <c r="D152" s="94" t="str">
        <f>HYPERLINK("https://ebird.org/species/commoo3")</f>
        <v>https://ebird.org/species/commoo3</v>
      </c>
      <c r="E152" s="122" t="str">
        <f>HYPERLINK("https://en.wikipedia.org/wiki/Common_Moorhen")</f>
        <v>https://en.wikipedia.org/wiki/Common_Moorhen</v>
      </c>
      <c r="F152" s="123" t="str">
        <f>HYPERLINK("https://apiv3.iucnredlist.org/api/v3/website/Gallinula chloropus")</f>
        <v>https://apiv3.iucnredlist.org/api/v3/website/Gallinula chloropus</v>
      </c>
      <c r="G152" s="90">
        <v>15</v>
      </c>
      <c r="H152" s="90">
        <v>101</v>
      </c>
      <c r="J152" s="87" t="s">
        <v>317</v>
      </c>
      <c r="K152" s="95" t="s">
        <v>344</v>
      </c>
      <c r="M152" s="93" t="s">
        <v>345</v>
      </c>
      <c r="N152" s="90" t="s">
        <v>346</v>
      </c>
      <c r="Q152" s="2" t="s">
        <v>3295</v>
      </c>
    </row>
    <row r="153" spans="1:18" ht="14.4" x14ac:dyDescent="0.3">
      <c r="A153" s="85">
        <v>131</v>
      </c>
      <c r="B153" s="76" t="s">
        <v>3296</v>
      </c>
      <c r="C153" s="77" t="str">
        <f>HYPERLINK("https://www.xeno-canto.org/species/Fulica-atra")</f>
        <v>https://www.xeno-canto.org/species/Fulica-atra</v>
      </c>
      <c r="D153" s="94" t="str">
        <f>HYPERLINK("https://ebird.org/species/eurcoo")</f>
        <v>https://ebird.org/species/eurcoo</v>
      </c>
      <c r="E153" s="122" t="str">
        <f>HYPERLINK("https://en.wikipedia.org/wiki/Eurasian_Coot")</f>
        <v>https://en.wikipedia.org/wiki/Eurasian_Coot</v>
      </c>
      <c r="F153" s="123" t="str">
        <f>HYPERLINK("https://apiv3.iucnredlist.org/api/v3/website/Fulica atra")</f>
        <v>https://apiv3.iucnredlist.org/api/v3/website/Fulica atra</v>
      </c>
      <c r="G153" s="90">
        <v>15</v>
      </c>
      <c r="H153" s="90">
        <v>101</v>
      </c>
      <c r="J153" s="87" t="s">
        <v>317</v>
      </c>
      <c r="K153" s="95" t="s">
        <v>347</v>
      </c>
      <c r="L153" s="86" t="s">
        <v>1743</v>
      </c>
      <c r="M153" s="93" t="s">
        <v>348</v>
      </c>
      <c r="N153" s="90" t="s">
        <v>89</v>
      </c>
      <c r="Q153" s="2" t="s">
        <v>3217</v>
      </c>
    </row>
    <row r="154" spans="1:18" ht="30.6" x14ac:dyDescent="0.3">
      <c r="A154" s="85">
        <v>132</v>
      </c>
      <c r="B154" s="76" t="s">
        <v>3297</v>
      </c>
      <c r="C154" s="77" t="str">
        <f>HYPERLINK("https://www.xeno-canto.org/species/Porphyrio-pulverulentus")</f>
        <v>https://www.xeno-canto.org/species/Porphyrio-pulverulentus</v>
      </c>
      <c r="D154" s="94" t="str">
        <f>HYPERLINK("https://ebird.org/species/purswa5")</f>
        <v>https://ebird.org/species/purswa5</v>
      </c>
      <c r="E154" s="122" t="str">
        <f>HYPERLINK("https://en.wikipedia.org/wiki/Philippine_Swamphen")</f>
        <v>https://en.wikipedia.org/wiki/Philippine_Swamphen</v>
      </c>
      <c r="F154" s="123" t="str">
        <f>HYPERLINK("https://apiv3.iucnredlist.org/api/v3/website/Porphyrio pulverulentus")</f>
        <v>https://apiv3.iucnredlist.org/api/v3/website/Porphyrio pulverulentus</v>
      </c>
      <c r="G154" s="90">
        <v>15</v>
      </c>
      <c r="H154" s="90">
        <v>101</v>
      </c>
      <c r="J154" s="87" t="s">
        <v>317</v>
      </c>
      <c r="K154" s="98" t="s">
        <v>341</v>
      </c>
      <c r="M154" s="99" t="s">
        <v>342</v>
      </c>
      <c r="N154" s="90" t="s">
        <v>57</v>
      </c>
      <c r="Q154" s="2" t="s">
        <v>3298</v>
      </c>
      <c r="R154" s="2" t="s">
        <v>343</v>
      </c>
    </row>
    <row r="155" spans="1:18" ht="20.399999999999999" x14ac:dyDescent="0.3">
      <c r="A155" s="85">
        <v>133</v>
      </c>
      <c r="B155" s="76" t="s">
        <v>3299</v>
      </c>
      <c r="C155" s="77" t="str">
        <f>HYPERLINK("https://www.xeno-canto.org/species/Zapornia-fusca")</f>
        <v>https://www.xeno-canto.org/species/Zapornia-fusca</v>
      </c>
      <c r="D155" s="94" t="str">
        <f>HYPERLINK("https://ebird.org/species/rubcra1")</f>
        <v>https://ebird.org/species/rubcra1</v>
      </c>
      <c r="E155" s="122" t="str">
        <f>HYPERLINK("https://en.wikipedia.org/wiki/Ruddy-breasted_Crake")</f>
        <v>https://en.wikipedia.org/wiki/Ruddy-breasted_Crake</v>
      </c>
      <c r="F155" s="123" t="str">
        <f>HYPERLINK("https://apiv3.iucnredlist.org/api/v3/website/Zapornia fusca")</f>
        <v>https://apiv3.iucnredlist.org/api/v3/website/Zapornia fusca</v>
      </c>
      <c r="G155" s="90">
        <v>14</v>
      </c>
      <c r="H155" s="90">
        <v>97</v>
      </c>
      <c r="J155" s="87" t="s">
        <v>317</v>
      </c>
      <c r="K155" s="95" t="s">
        <v>336</v>
      </c>
      <c r="M155" s="93" t="s">
        <v>1734</v>
      </c>
      <c r="N155" s="90" t="s">
        <v>37</v>
      </c>
      <c r="Q155" s="2" t="s">
        <v>3300</v>
      </c>
    </row>
    <row r="156" spans="1:18" ht="14.4" x14ac:dyDescent="0.3">
      <c r="A156" s="85">
        <v>134</v>
      </c>
      <c r="B156" s="76" t="s">
        <v>3301</v>
      </c>
      <c r="C156" s="77" t="str">
        <f>HYPERLINK("https://www.xeno-canto.org/species/Zapornia-pusilla")</f>
        <v>https://www.xeno-canto.org/species/Zapornia-pusilla</v>
      </c>
      <c r="D156" s="94" t="str">
        <f>HYPERLINK("https://ebird.org/species/baicra1")</f>
        <v>https://ebird.org/species/baicra1</v>
      </c>
      <c r="E156" s="122" t="str">
        <f>HYPERLINK("https://en.wikipedia.org/wiki/Baillon's_Crake")</f>
        <v>https://en.wikipedia.org/wiki/Baillon's_Crake</v>
      </c>
      <c r="F156" s="123" t="str">
        <f>HYPERLINK("https://apiv3.iucnredlist.org/api/v3/website/Zapornia pusilla")</f>
        <v>https://apiv3.iucnredlist.org/api/v3/website/Zapornia pusilla</v>
      </c>
      <c r="G156" s="90">
        <v>14</v>
      </c>
      <c r="H156" s="90">
        <v>97</v>
      </c>
      <c r="J156" s="87" t="s">
        <v>317</v>
      </c>
      <c r="K156" s="95" t="s">
        <v>335</v>
      </c>
      <c r="M156" s="93" t="s">
        <v>1733</v>
      </c>
      <c r="N156" s="90" t="s">
        <v>89</v>
      </c>
      <c r="Q156" s="2" t="s">
        <v>3302</v>
      </c>
    </row>
    <row r="157" spans="1:18" ht="14.4" x14ac:dyDescent="0.3">
      <c r="A157" s="85">
        <v>135</v>
      </c>
      <c r="B157" s="76" t="s">
        <v>3303</v>
      </c>
      <c r="C157" s="77" t="str">
        <f>HYPERLINK("https://www.xeno-canto.org/species/Zapornia-tabuensis")</f>
        <v>https://www.xeno-canto.org/species/Zapornia-tabuensis</v>
      </c>
      <c r="D157" s="94" t="str">
        <f>HYPERLINK("https://ebird.org/species/spocra2")</f>
        <v>https://ebird.org/species/spocra2</v>
      </c>
      <c r="E157" s="122" t="str">
        <f>HYPERLINK("https://en.wikipedia.org/wiki/Spotless_Crake")</f>
        <v>https://en.wikipedia.org/wiki/Spotless_Crake</v>
      </c>
      <c r="F157" s="123" t="str">
        <f>HYPERLINK("https://apiv3.iucnredlist.org/api/v3/website/Zapornia tabuensis")</f>
        <v>https://apiv3.iucnredlist.org/api/v3/website/Zapornia tabuensis</v>
      </c>
      <c r="G157" s="90">
        <v>14</v>
      </c>
      <c r="H157" s="90">
        <v>97</v>
      </c>
      <c r="J157" s="87" t="s">
        <v>317</v>
      </c>
      <c r="K157" s="92" t="s">
        <v>337</v>
      </c>
      <c r="M157" s="93" t="s">
        <v>1735</v>
      </c>
      <c r="N157" s="90" t="s">
        <v>37</v>
      </c>
      <c r="Q157" s="2" t="s">
        <v>3304</v>
      </c>
    </row>
    <row r="158" spans="1:18" ht="14.4" x14ac:dyDescent="0.3">
      <c r="A158" s="85">
        <v>136</v>
      </c>
      <c r="B158" s="76" t="s">
        <v>3305</v>
      </c>
      <c r="C158" s="77" t="str">
        <f>HYPERLINK("https://www.xeno-canto.org/species/Rallina-eurizonoides")</f>
        <v>https://www.xeno-canto.org/species/Rallina-eurizonoides</v>
      </c>
      <c r="D158" s="94" t="str">
        <f>HYPERLINK("https://ebird.org/species/sllcra1")</f>
        <v>https://ebird.org/species/sllcra1</v>
      </c>
      <c r="E158" s="122" t="str">
        <f>HYPERLINK("https://en.wikipedia.org/wiki/Slaty-legged_Crake")</f>
        <v>https://en.wikipedia.org/wiki/Slaty-legged_Crake</v>
      </c>
      <c r="F158" s="123" t="str">
        <f>HYPERLINK("https://apiv3.iucnredlist.org/api/v3/website/Rallina eurizonoides")</f>
        <v>https://apiv3.iucnredlist.org/api/v3/website/Rallina eurizonoides</v>
      </c>
      <c r="G158" s="90">
        <v>13</v>
      </c>
      <c r="H158" s="90">
        <v>95</v>
      </c>
      <c r="J158" s="87" t="s">
        <v>317</v>
      </c>
      <c r="K158" s="95" t="s">
        <v>320</v>
      </c>
      <c r="M158" s="93" t="s">
        <v>321</v>
      </c>
      <c r="N158" s="90" t="s">
        <v>37</v>
      </c>
      <c r="Q158" s="2" t="s">
        <v>3306</v>
      </c>
    </row>
    <row r="159" spans="1:18" ht="20.399999999999999" x14ac:dyDescent="0.3">
      <c r="A159" s="85">
        <v>137</v>
      </c>
      <c r="B159" s="76" t="s">
        <v>3307</v>
      </c>
      <c r="C159" s="77" t="str">
        <f>HYPERLINK("https://www.xeno-canto.org/species/Rallina-fasciata")</f>
        <v>https://www.xeno-canto.org/species/Rallina-fasciata</v>
      </c>
      <c r="D159" s="94" t="str">
        <f>HYPERLINK("https://ebird.org/species/relcra1")</f>
        <v>https://ebird.org/species/relcra1</v>
      </c>
      <c r="E159" s="122" t="str">
        <f>HYPERLINK("https://en.wikipedia.org/wiki/Red-legged_Crake")</f>
        <v>https://en.wikipedia.org/wiki/Red-legged_Crake</v>
      </c>
      <c r="F159" s="123" t="str">
        <f>HYPERLINK("https://apiv3.iucnredlist.org/api/v3/website/Rallina fasciata")</f>
        <v>https://apiv3.iucnredlist.org/api/v3/website/Rallina fasciata</v>
      </c>
      <c r="G159" s="90">
        <v>13</v>
      </c>
      <c r="H159" s="90">
        <v>95</v>
      </c>
      <c r="J159" s="87" t="s">
        <v>317</v>
      </c>
      <c r="K159" s="95" t="s">
        <v>318</v>
      </c>
      <c r="M159" s="93" t="s">
        <v>319</v>
      </c>
      <c r="N159" s="90" t="s">
        <v>63</v>
      </c>
      <c r="Q159" s="2" t="s">
        <v>3308</v>
      </c>
    </row>
    <row r="160" spans="1:18" ht="14.4" x14ac:dyDescent="0.3">
      <c r="A160" s="85">
        <v>138</v>
      </c>
      <c r="B160" s="76" t="s">
        <v>3309</v>
      </c>
      <c r="C160" s="77" t="str">
        <f>HYPERLINK("https://www.xeno-canto.org/species/Poliolimnas-cinereus")</f>
        <v>https://www.xeno-canto.org/species/Poliolimnas-cinereus</v>
      </c>
      <c r="D160" s="94" t="str">
        <f>HYPERLINK("https://ebird.org/species/whbcra1")</f>
        <v>https://ebird.org/species/whbcra1</v>
      </c>
      <c r="E160" s="122" t="str">
        <f>HYPERLINK("https://en.wikipedia.org/wiki/White-browed_Crake")</f>
        <v>https://en.wikipedia.org/wiki/White-browed_Crake</v>
      </c>
      <c r="F160" s="123" t="str">
        <f>HYPERLINK("https://apiv3.iucnredlist.org/api/v3/website/Poliolimnas cinereus")</f>
        <v>https://apiv3.iucnredlist.org/api/v3/website/Poliolimnas cinereus</v>
      </c>
      <c r="G160" s="90">
        <v>14</v>
      </c>
      <c r="H160" s="90">
        <v>99</v>
      </c>
      <c r="J160" s="87" t="s">
        <v>317</v>
      </c>
      <c r="K160" s="95" t="s">
        <v>338</v>
      </c>
      <c r="M160" s="93" t="s">
        <v>3310</v>
      </c>
      <c r="N160" s="90" t="s">
        <v>37</v>
      </c>
      <c r="Q160" s="2" t="s">
        <v>3233</v>
      </c>
    </row>
    <row r="161" spans="1:18" ht="14.4" x14ac:dyDescent="0.3">
      <c r="A161" s="85">
        <v>139</v>
      </c>
      <c r="B161" s="76" t="s">
        <v>3311</v>
      </c>
      <c r="C161" s="77" t="str">
        <f>HYPERLINK("https://www.xeno-canto.org/species/Gallicrex-cinerea")</f>
        <v>https://www.xeno-canto.org/species/Gallicrex-cinerea</v>
      </c>
      <c r="D161" s="94" t="str">
        <f>HYPERLINK("https://ebird.org/species/waterc1")</f>
        <v>https://ebird.org/species/waterc1</v>
      </c>
      <c r="E161" s="122" t="str">
        <f>HYPERLINK("https://en.wikipedia.org/wiki/Watercock")</f>
        <v>https://en.wikipedia.org/wiki/Watercock</v>
      </c>
      <c r="F161" s="123" t="str">
        <f>HYPERLINK("https://apiv3.iucnredlist.org/api/v3/website/Gallicrex cinerea")</f>
        <v>https://apiv3.iucnredlist.org/api/v3/website/Gallicrex cinerea</v>
      </c>
      <c r="G161" s="90">
        <v>14</v>
      </c>
      <c r="H161" s="90">
        <v>99</v>
      </c>
      <c r="J161" s="87" t="s">
        <v>317</v>
      </c>
      <c r="K161" s="95" t="s">
        <v>339</v>
      </c>
      <c r="M161" s="93" t="s">
        <v>340</v>
      </c>
      <c r="N161" s="90" t="s">
        <v>37</v>
      </c>
      <c r="Q161" s="2" t="s">
        <v>3312</v>
      </c>
    </row>
    <row r="162" spans="1:18" ht="14.4" x14ac:dyDescent="0.3">
      <c r="A162" s="85">
        <v>140</v>
      </c>
      <c r="B162" s="76" t="s">
        <v>3313</v>
      </c>
      <c r="C162" s="77" t="str">
        <f>HYPERLINK("https://www.xeno-canto.org/species/Amaurornis-phoenicurus")</f>
        <v>https://www.xeno-canto.org/species/Amaurornis-phoenicurus</v>
      </c>
      <c r="D162" s="94" t="str">
        <f>HYPERLINK("https://ebird.org/species/whbwat1")</f>
        <v>https://ebird.org/species/whbwat1</v>
      </c>
      <c r="E162" s="122" t="str">
        <f>HYPERLINK("https://en.wikipedia.org/wiki/White-breasted_Waterhen")</f>
        <v>https://en.wikipedia.org/wiki/White-breasted_Waterhen</v>
      </c>
      <c r="F162" s="123" t="str">
        <f>HYPERLINK("https://apiv3.iucnredlist.org/api/v3/website/Amaurornis phoenicurus")</f>
        <v>https://apiv3.iucnredlist.org/api/v3/website/Amaurornis phoenicurus</v>
      </c>
      <c r="G162" s="90">
        <v>14</v>
      </c>
      <c r="H162" s="90">
        <v>99</v>
      </c>
      <c r="J162" s="87" t="s">
        <v>317</v>
      </c>
      <c r="K162" s="95" t="s">
        <v>333</v>
      </c>
      <c r="M162" s="93" t="s">
        <v>334</v>
      </c>
      <c r="N162" s="90" t="s">
        <v>37</v>
      </c>
      <c r="Q162" s="2" t="s">
        <v>3314</v>
      </c>
    </row>
    <row r="163" spans="1:18" ht="20.399999999999999" x14ac:dyDescent="0.3">
      <c r="A163" s="85">
        <v>141</v>
      </c>
      <c r="B163" s="76" t="s">
        <v>3315</v>
      </c>
      <c r="C163" s="77" t="str">
        <f>HYPERLINK("https://www.xeno-canto.org/species/Amaurornis-olivacea")</f>
        <v>https://www.xeno-canto.org/species/Amaurornis-olivacea</v>
      </c>
      <c r="D163" s="94" t="str">
        <f>HYPERLINK("https://ebird.org/species/plabuh1")</f>
        <v>https://ebird.org/species/plabuh1</v>
      </c>
      <c r="E163" s="122" t="str">
        <f>HYPERLINK("https://en.wikipedia.org/wiki/Plain_Bush-hen")</f>
        <v>https://en.wikipedia.org/wiki/Plain_Bush-hen</v>
      </c>
      <c r="F163" s="123" t="str">
        <f>HYPERLINK("https://apiv3.iucnredlist.org/api/v3/website/Amaurornis olivacea")</f>
        <v>https://apiv3.iucnredlist.org/api/v3/website/Amaurornis olivacea</v>
      </c>
      <c r="G163" s="90">
        <v>14</v>
      </c>
      <c r="H163" s="90">
        <v>99</v>
      </c>
      <c r="J163" s="87" t="s">
        <v>317</v>
      </c>
      <c r="K163" s="98" t="s">
        <v>331</v>
      </c>
      <c r="L163" s="86" t="s">
        <v>1732</v>
      </c>
      <c r="M163" s="99" t="s">
        <v>332</v>
      </c>
      <c r="N163" s="90" t="s">
        <v>57</v>
      </c>
      <c r="Q163" s="2" t="s">
        <v>3316</v>
      </c>
    </row>
    <row r="165" spans="1:18" ht="12" x14ac:dyDescent="0.3">
      <c r="K165" s="88" t="s">
        <v>349</v>
      </c>
      <c r="M165" s="89" t="s">
        <v>350</v>
      </c>
    </row>
    <row r="166" spans="1:18" ht="14.4" x14ac:dyDescent="0.3">
      <c r="A166" s="85">
        <v>142</v>
      </c>
      <c r="B166" s="74" t="s">
        <v>3317</v>
      </c>
      <c r="C166" s="75" t="str">
        <f>HYPERLINK("https://www.xeno-canto.org/species/Antigone-antigone")</f>
        <v>https://www.xeno-canto.org/species/Antigone-antigone</v>
      </c>
      <c r="D166" s="91" t="str">
        <f>HYPERLINK("https://ebird.org/species/sarcra1")</f>
        <v>https://ebird.org/species/sarcra1</v>
      </c>
      <c r="E166" s="120" t="str">
        <f>HYPERLINK("https://en.wikipedia.org/wiki/Sarus_Crane")</f>
        <v>https://en.wikipedia.org/wiki/Sarus_Crane</v>
      </c>
      <c r="F166" s="121" t="str">
        <f>HYPERLINK("https://apiv3.iucnredlist.org/api/v3/website/Antigone antigone")</f>
        <v>https://apiv3.iucnredlist.org/api/v3/website/Antigone antigone</v>
      </c>
      <c r="G166" s="90">
        <v>13</v>
      </c>
      <c r="H166" s="90">
        <v>103</v>
      </c>
      <c r="J166" s="87" t="s">
        <v>350</v>
      </c>
      <c r="K166" s="92" t="s">
        <v>351</v>
      </c>
      <c r="M166" s="93" t="s">
        <v>352</v>
      </c>
      <c r="N166" s="90" t="s">
        <v>353</v>
      </c>
      <c r="O166" s="90" t="s">
        <v>38</v>
      </c>
      <c r="P166" s="90" t="s">
        <v>112</v>
      </c>
      <c r="Q166" s="2" t="s">
        <v>3318</v>
      </c>
      <c r="R166" s="2" t="s">
        <v>354</v>
      </c>
    </row>
    <row r="167" spans="1:18" ht="20.399999999999999" x14ac:dyDescent="0.3">
      <c r="A167" s="85">
        <v>143</v>
      </c>
      <c r="B167" s="76" t="s">
        <v>3319</v>
      </c>
      <c r="C167" s="77" t="str">
        <f>HYPERLINK("https://www.xeno-canto.org/species/Grus-virgo")</f>
        <v>https://www.xeno-canto.org/species/Grus-virgo</v>
      </c>
      <c r="D167" s="94" t="str">
        <f>HYPERLINK("https://ebird.org/species/demcra1")</f>
        <v>https://ebird.org/species/demcra1</v>
      </c>
      <c r="E167" s="122" t="str">
        <f>HYPERLINK("https://en.wikipedia.org/wiki/Demoiselle_Crane")</f>
        <v>https://en.wikipedia.org/wiki/Demoiselle_Crane</v>
      </c>
      <c r="F167" s="123" t="str">
        <f>HYPERLINK("https://apiv3.iucnredlist.org/api/v3/website/Grus virgo")</f>
        <v>https://apiv3.iucnredlist.org/api/v3/website/Grus virgo</v>
      </c>
      <c r="H167" s="90">
        <v>103</v>
      </c>
      <c r="J167" s="87" t="s">
        <v>350</v>
      </c>
      <c r="K167" s="92" t="s">
        <v>355</v>
      </c>
      <c r="M167" s="93" t="s">
        <v>356</v>
      </c>
      <c r="N167" s="90" t="s">
        <v>49</v>
      </c>
      <c r="Q167" s="2" t="s">
        <v>3200</v>
      </c>
      <c r="R167" s="2" t="s">
        <v>6391</v>
      </c>
    </row>
    <row r="168" spans="1:18" ht="20.399999999999999" x14ac:dyDescent="0.3">
      <c r="A168" s="85">
        <v>144</v>
      </c>
      <c r="B168" s="76" t="s">
        <v>3320</v>
      </c>
      <c r="C168" s="77" t="str">
        <f>HYPERLINK("https://www.xeno-canto.org/species/Grus-monacha")</f>
        <v>https://www.xeno-canto.org/species/Grus-monacha</v>
      </c>
      <c r="D168" s="94" t="str">
        <f>HYPERLINK("https://ebird.org/species/hoocra1")</f>
        <v>https://ebird.org/species/hoocra1</v>
      </c>
      <c r="E168" s="122" t="str">
        <f>HYPERLINK("https://en.wikipedia.org/wiki/Hooded_Crane")</f>
        <v>https://en.wikipedia.org/wiki/Hooded_Crane</v>
      </c>
      <c r="F168" s="123" t="str">
        <f>HYPERLINK("https://apiv3.iucnredlist.org/api/v3/website/Grus monacha")</f>
        <v>https://apiv3.iucnredlist.org/api/v3/website/Grus monacha</v>
      </c>
      <c r="H168" s="90">
        <v>103</v>
      </c>
      <c r="J168" s="87" t="s">
        <v>350</v>
      </c>
      <c r="K168" s="92" t="s">
        <v>3321</v>
      </c>
      <c r="M168" s="93" t="s">
        <v>3322</v>
      </c>
      <c r="N168" s="90" t="s">
        <v>49</v>
      </c>
      <c r="O168" s="90" t="s">
        <v>38</v>
      </c>
      <c r="Q168" s="2" t="s">
        <v>3323</v>
      </c>
      <c r="R168" s="2" t="s">
        <v>6392</v>
      </c>
    </row>
    <row r="170" spans="1:18" ht="12" x14ac:dyDescent="0.3">
      <c r="K170" s="88" t="s">
        <v>357</v>
      </c>
      <c r="M170" s="89" t="s">
        <v>358</v>
      </c>
    </row>
    <row r="171" spans="1:18" ht="14.4" x14ac:dyDescent="0.3">
      <c r="A171" s="85">
        <v>145</v>
      </c>
      <c r="B171" s="74" t="s">
        <v>3324</v>
      </c>
      <c r="C171" s="75" t="str">
        <f>HYPERLINK("https://www.xeno-canto.org/species/Tachybaptus-ruficollis")</f>
        <v>https://www.xeno-canto.org/species/Tachybaptus-ruficollis</v>
      </c>
      <c r="D171" s="91" t="str">
        <f>HYPERLINK("https://ebird.org/species/litgre1")</f>
        <v>https://ebird.org/species/litgre1</v>
      </c>
      <c r="E171" s="120" t="str">
        <f>HYPERLINK("https://en.wikipedia.org/wiki/Little_Grebe")</f>
        <v>https://en.wikipedia.org/wiki/Little_Grebe</v>
      </c>
      <c r="F171" s="121" t="str">
        <f>HYPERLINK("https://apiv3.iucnredlist.org/api/v3/website/Tachybaptus ruficollis")</f>
        <v>https://apiv3.iucnredlist.org/api/v3/website/Tachybaptus ruficollis</v>
      </c>
      <c r="G171" s="90">
        <v>1</v>
      </c>
      <c r="H171" s="90">
        <v>49</v>
      </c>
      <c r="J171" s="87" t="s">
        <v>358</v>
      </c>
      <c r="K171" s="95" t="s">
        <v>359</v>
      </c>
      <c r="M171" s="93" t="s">
        <v>360</v>
      </c>
      <c r="N171" s="90" t="s">
        <v>37</v>
      </c>
      <c r="Q171" s="2" t="s">
        <v>3325</v>
      </c>
    </row>
    <row r="172" spans="1:18" ht="20.399999999999999" x14ac:dyDescent="0.3">
      <c r="A172" s="85">
        <v>146</v>
      </c>
      <c r="B172" s="76" t="s">
        <v>3326</v>
      </c>
      <c r="C172" s="77" t="str">
        <f>HYPERLINK("https://www.xeno-canto.org/species/Podiceps-nigricollis")</f>
        <v>https://www.xeno-canto.org/species/Podiceps-nigricollis</v>
      </c>
      <c r="D172" s="94" t="str">
        <f>HYPERLINK("https://ebird.org/species/eargre")</f>
        <v>https://ebird.org/species/eargre</v>
      </c>
      <c r="E172" s="122" t="str">
        <f>HYPERLINK("https://en.wikipedia.org/wiki/Black-necked_Grebe")</f>
        <v>https://en.wikipedia.org/wiki/Black-necked_Grebe</v>
      </c>
      <c r="F172" s="123" t="str">
        <f>HYPERLINK("https://apiv3.iucnredlist.org/api/v3/website/Podiceps nigricollis")</f>
        <v>https://apiv3.iucnredlist.org/api/v3/website/Podiceps nigricollis</v>
      </c>
      <c r="G172" s="90">
        <v>1</v>
      </c>
      <c r="H172" s="90">
        <v>49</v>
      </c>
      <c r="J172" s="87" t="s">
        <v>358</v>
      </c>
      <c r="K172" s="92" t="s">
        <v>361</v>
      </c>
      <c r="M172" s="93" t="s">
        <v>362</v>
      </c>
      <c r="N172" s="90" t="s">
        <v>49</v>
      </c>
      <c r="Q172" s="2" t="s">
        <v>3083</v>
      </c>
      <c r="R172" s="2" t="s">
        <v>6505</v>
      </c>
    </row>
    <row r="174" spans="1:18" ht="12" x14ac:dyDescent="0.3">
      <c r="K174" s="88" t="s">
        <v>5802</v>
      </c>
      <c r="M174" s="89" t="s">
        <v>363</v>
      </c>
    </row>
    <row r="175" spans="1:18" ht="14.4" x14ac:dyDescent="0.3">
      <c r="A175" s="85">
        <v>147</v>
      </c>
      <c r="B175" s="74" t="s">
        <v>3331</v>
      </c>
      <c r="C175" s="75" t="str">
        <f>HYPERLINK("https://www.xeno-canto.org/species/Turnix-suscitator")</f>
        <v>https://www.xeno-canto.org/species/Turnix-suscitator</v>
      </c>
      <c r="D175" s="91" t="str">
        <f>HYPERLINK("https://ebird.org/species/barbut1")</f>
        <v>https://ebird.org/species/barbut1</v>
      </c>
      <c r="E175" s="120" t="str">
        <f>HYPERLINK("https://en.wikipedia.org/wiki/Barred_Buttonquail")</f>
        <v>https://en.wikipedia.org/wiki/Barred_Buttonquail</v>
      </c>
      <c r="F175" s="121" t="str">
        <f>HYPERLINK("https://apiv3.iucnredlist.org/api/v3/website/Turnix suscitator")</f>
        <v>https://apiv3.iucnredlist.org/api/v3/website/Turnix suscitator</v>
      </c>
      <c r="G175" s="90">
        <v>12</v>
      </c>
      <c r="H175" s="90">
        <v>159</v>
      </c>
      <c r="J175" s="87" t="s">
        <v>363</v>
      </c>
      <c r="K175" s="95" t="s">
        <v>368</v>
      </c>
      <c r="M175" s="93" t="s">
        <v>369</v>
      </c>
      <c r="N175" s="90" t="s">
        <v>37</v>
      </c>
      <c r="Q175" s="2" t="s">
        <v>3332</v>
      </c>
    </row>
    <row r="176" spans="1:18" ht="14.4" x14ac:dyDescent="0.3">
      <c r="A176" s="85">
        <v>148</v>
      </c>
      <c r="B176" s="76" t="s">
        <v>3329</v>
      </c>
      <c r="C176" s="77" t="str">
        <f>HYPERLINK("https://www.xeno-canto.org/species/Turnix-ocellatus")</f>
        <v>https://www.xeno-canto.org/species/Turnix-ocellatus</v>
      </c>
      <c r="D176" s="94" t="str">
        <f>HYPERLINK("https://ebird.org/species/spobut2")</f>
        <v>https://ebird.org/species/spobut2</v>
      </c>
      <c r="E176" s="122" t="str">
        <f>HYPERLINK("https://en.wikipedia.org/wiki/Spotted_Buttonquail")</f>
        <v>https://en.wikipedia.org/wiki/Spotted_Buttonquail</v>
      </c>
      <c r="F176" s="123" t="str">
        <f>HYPERLINK("https://apiv3.iucnredlist.org/api/v3/website/Turnix ocellatus")</f>
        <v>https://apiv3.iucnredlist.org/api/v3/website/Turnix ocellatus</v>
      </c>
      <c r="G176" s="90">
        <v>12</v>
      </c>
      <c r="H176" s="90">
        <v>157</v>
      </c>
      <c r="J176" s="87" t="s">
        <v>363</v>
      </c>
      <c r="K176" s="98" t="s">
        <v>366</v>
      </c>
      <c r="M176" s="99" t="s">
        <v>367</v>
      </c>
      <c r="N176" s="90" t="s">
        <v>57</v>
      </c>
      <c r="Q176" s="2" t="s">
        <v>3330</v>
      </c>
    </row>
    <row r="177" spans="1:18" ht="20.399999999999999" x14ac:dyDescent="0.3">
      <c r="A177" s="85">
        <v>149</v>
      </c>
      <c r="B177" s="76" t="s">
        <v>3327</v>
      </c>
      <c r="C177" s="77" t="str">
        <f>HYPERLINK("https://www.xeno-canto.org/species/Turnix-sylvaticus")</f>
        <v>https://www.xeno-canto.org/species/Turnix-sylvaticus</v>
      </c>
      <c r="D177" s="94" t="str">
        <f>HYPERLINK("https://ebird.org/species/smabut2")</f>
        <v>https://ebird.org/species/smabut2</v>
      </c>
      <c r="E177" s="122" t="str">
        <f>HYPERLINK("https://en.wikipedia.org/wiki/Common_Buttonquail")</f>
        <v>https://en.wikipedia.org/wiki/Common_Buttonquail</v>
      </c>
      <c r="F177" s="123" t="str">
        <f>HYPERLINK("https://apiv3.iucnredlist.org/api/v3/website/Turnix sylvaticus")</f>
        <v>https://apiv3.iucnredlist.org/api/v3/website/Turnix sylvaticus</v>
      </c>
      <c r="G177" s="90">
        <v>12</v>
      </c>
      <c r="H177" s="90">
        <v>157</v>
      </c>
      <c r="J177" s="87" t="s">
        <v>363</v>
      </c>
      <c r="K177" s="92" t="s">
        <v>364</v>
      </c>
      <c r="M177" s="93" t="s">
        <v>365</v>
      </c>
      <c r="N177" s="90" t="s">
        <v>37</v>
      </c>
      <c r="Q177" s="2" t="s">
        <v>3328</v>
      </c>
    </row>
    <row r="178" spans="1:18" ht="14.4" x14ac:dyDescent="0.3">
      <c r="A178" s="85">
        <v>150</v>
      </c>
      <c r="B178" s="76" t="s">
        <v>3333</v>
      </c>
      <c r="C178" s="77" t="str">
        <f>HYPERLINK("https://www.xeno-canto.org/species/Turnix-worcesteri")</f>
        <v>https://www.xeno-canto.org/species/Turnix-worcesteri</v>
      </c>
      <c r="D178" s="94" t="str">
        <f>HYPERLINK("https://ebird.org/species/luzbut1")</f>
        <v>https://ebird.org/species/luzbut1</v>
      </c>
      <c r="E178" s="122" t="str">
        <f>HYPERLINK("https://en.wikipedia.org/wiki/Luzon_Buttonquail")</f>
        <v>https://en.wikipedia.org/wiki/Luzon_Buttonquail</v>
      </c>
      <c r="F178" s="123" t="str">
        <f>HYPERLINK("https://apiv3.iucnredlist.org/api/v3/website/Turnix worcesteri")</f>
        <v>https://apiv3.iucnredlist.org/api/v3/website/Turnix worcesteri</v>
      </c>
      <c r="G178" s="90">
        <v>12</v>
      </c>
      <c r="H178" s="90">
        <v>157</v>
      </c>
      <c r="J178" s="87" t="s">
        <v>363</v>
      </c>
      <c r="K178" s="102" t="s">
        <v>1750</v>
      </c>
      <c r="M178" s="99" t="s">
        <v>370</v>
      </c>
      <c r="N178" s="90" t="s">
        <v>57</v>
      </c>
      <c r="O178" s="90" t="s">
        <v>158</v>
      </c>
      <c r="P178" s="90" t="s">
        <v>58</v>
      </c>
      <c r="Q178" s="2" t="s">
        <v>3334</v>
      </c>
    </row>
    <row r="180" spans="1:18" ht="12" x14ac:dyDescent="0.3">
      <c r="K180" s="88" t="s">
        <v>371</v>
      </c>
      <c r="M180" s="89" t="s">
        <v>372</v>
      </c>
    </row>
    <row r="181" spans="1:18" ht="30.6" x14ac:dyDescent="0.3">
      <c r="A181" s="85">
        <v>151</v>
      </c>
      <c r="B181" s="74" t="s">
        <v>3335</v>
      </c>
      <c r="C181" s="75" t="str">
        <f>HYPERLINK("https://www.xeno-canto.org/species/Esacus-magnirostris")</f>
        <v>https://www.xeno-canto.org/species/Esacus-magnirostris</v>
      </c>
      <c r="D181" s="91" t="str">
        <f>HYPERLINK("https://ebird.org/species/beathk1")</f>
        <v>https://ebird.org/species/beathk1</v>
      </c>
      <c r="E181" s="120" t="str">
        <f>HYPERLINK("https://en.wikipedia.org/wiki/Beach_Stone-curlew")</f>
        <v>https://en.wikipedia.org/wiki/Beach_Stone-curlew</v>
      </c>
      <c r="F181" s="121" t="str">
        <f>HYPERLINK("https://apiv3.iucnredlist.org/api/v3/website/Esacus magnirostris")</f>
        <v>https://apiv3.iucnredlist.org/api/v3/website/Esacus magnirostris</v>
      </c>
      <c r="G181" s="90">
        <v>21</v>
      </c>
      <c r="H181" s="90">
        <v>129</v>
      </c>
      <c r="J181" s="87" t="s">
        <v>372</v>
      </c>
      <c r="K181" s="92" t="s">
        <v>373</v>
      </c>
      <c r="L181" s="86" t="s">
        <v>1752</v>
      </c>
      <c r="M181" s="93" t="s">
        <v>374</v>
      </c>
      <c r="N181" s="90" t="s">
        <v>37</v>
      </c>
      <c r="O181" s="90" t="s">
        <v>50</v>
      </c>
      <c r="P181" s="90" t="s">
        <v>58</v>
      </c>
      <c r="Q181" s="2" t="s">
        <v>3336</v>
      </c>
      <c r="R181" s="2" t="s">
        <v>6506</v>
      </c>
    </row>
    <row r="183" spans="1:18" ht="12" x14ac:dyDescent="0.3">
      <c r="K183" s="88" t="s">
        <v>375</v>
      </c>
      <c r="M183" s="89" t="s">
        <v>376</v>
      </c>
    </row>
    <row r="184" spans="1:18" ht="20.399999999999999" x14ac:dyDescent="0.3">
      <c r="A184" s="85">
        <v>152</v>
      </c>
      <c r="B184" s="74" t="s">
        <v>3337</v>
      </c>
      <c r="C184" s="75" t="str">
        <f>HYPERLINK("https://www.xeno-canto.org/species/Haematopus-ostralegus")</f>
        <v>https://www.xeno-canto.org/species/Haematopus-ostralegus</v>
      </c>
      <c r="D184" s="91" t="str">
        <f>HYPERLINK("https://ebird.org/species/euroys1")</f>
        <v>https://ebird.org/species/euroys1</v>
      </c>
      <c r="E184" s="120" t="str">
        <f>HYPERLINK("https://en.wikipedia.org/wiki/Eurasian_Oystercatcher")</f>
        <v>https://en.wikipedia.org/wiki/Eurasian_Oystercatcher</v>
      </c>
      <c r="F184" s="121" t="str">
        <f>HYPERLINK("https://apiv3.iucnredlist.org/api/v3/website/Haematopus ostralegus")</f>
        <v>https://apiv3.iucnredlist.org/api/v3/website/Haematopus ostralegus</v>
      </c>
      <c r="G184" s="90">
        <v>15</v>
      </c>
      <c r="H184" s="90">
        <v>129</v>
      </c>
      <c r="J184" s="87" t="s">
        <v>376</v>
      </c>
      <c r="K184" s="92" t="s">
        <v>377</v>
      </c>
      <c r="M184" s="93" t="s">
        <v>378</v>
      </c>
      <c r="N184" s="90" t="s">
        <v>49</v>
      </c>
      <c r="O184" s="90" t="s">
        <v>50</v>
      </c>
      <c r="Q184" s="2" t="s">
        <v>3338</v>
      </c>
      <c r="R184" s="2" t="s">
        <v>6507</v>
      </c>
    </row>
    <row r="186" spans="1:18" ht="12" x14ac:dyDescent="0.3">
      <c r="K186" s="88" t="s">
        <v>5803</v>
      </c>
      <c r="M186" s="89" t="s">
        <v>379</v>
      </c>
    </row>
    <row r="187" spans="1:18" ht="20.399999999999999" x14ac:dyDescent="0.3">
      <c r="A187" s="85">
        <v>153</v>
      </c>
      <c r="B187" s="74" t="s">
        <v>3339</v>
      </c>
      <c r="C187" s="75" t="str">
        <f>HYPERLINK("https://www.xeno-canto.org/species/Himantopus-himantopus")</f>
        <v>https://www.xeno-canto.org/species/Himantopus-himantopus</v>
      </c>
      <c r="D187" s="91" t="str">
        <f>HYPERLINK("https://ebird.org/species/bkwsti")</f>
        <v>https://ebird.org/species/bkwsti</v>
      </c>
      <c r="E187" s="120" t="str">
        <f>HYPERLINK("https://en.wikipedia.org/wiki/Black-winged_Stilt")</f>
        <v>https://en.wikipedia.org/wiki/Black-winged_Stilt</v>
      </c>
      <c r="F187" s="121" t="str">
        <f>HYPERLINK("https://apiv3.iucnredlist.org/api/v3/website/Himantopus himantopus")</f>
        <v>https://apiv3.iucnredlist.org/api/v3/website/Himantopus himantopus</v>
      </c>
      <c r="G187" s="90">
        <v>21</v>
      </c>
      <c r="H187" s="90">
        <v>131</v>
      </c>
      <c r="J187" s="87" t="s">
        <v>379</v>
      </c>
      <c r="K187" s="95" t="s">
        <v>380</v>
      </c>
      <c r="M187" s="93" t="s">
        <v>381</v>
      </c>
      <c r="N187" s="90" t="s">
        <v>178</v>
      </c>
      <c r="Q187" s="2" t="s">
        <v>3340</v>
      </c>
      <c r="R187" s="2" t="s">
        <v>9</v>
      </c>
    </row>
    <row r="188" spans="1:18" ht="20.399999999999999" x14ac:dyDescent="0.3">
      <c r="A188" s="85">
        <v>154</v>
      </c>
      <c r="B188" s="76" t="s">
        <v>3341</v>
      </c>
      <c r="C188" s="77" t="str">
        <f>HYPERLINK("https://www.xeno-canto.org/species/Himantopus-leucocephalus")</f>
        <v>https://www.xeno-canto.org/species/Himantopus-leucocephalus</v>
      </c>
      <c r="D188" s="94" t="str">
        <f>HYPERLINK("https://ebird.org/species/piesti1")</f>
        <v>https://ebird.org/species/piesti1</v>
      </c>
      <c r="E188" s="122" t="str">
        <f>HYPERLINK("https://en.wikipedia.org/wiki/Pied_Stilt")</f>
        <v>https://en.wikipedia.org/wiki/Pied_Stilt</v>
      </c>
      <c r="F188" s="123" t="str">
        <f>HYPERLINK("https://apiv3.iucnredlist.org/api/v3/website/Himantopus leucocephalus")</f>
        <v>https://apiv3.iucnredlist.org/api/v3/website/Himantopus leucocephalus</v>
      </c>
      <c r="G188" s="90">
        <v>21</v>
      </c>
      <c r="H188" s="90">
        <v>131</v>
      </c>
      <c r="J188" s="87" t="s">
        <v>379</v>
      </c>
      <c r="K188" s="92" t="s">
        <v>382</v>
      </c>
      <c r="M188" s="93" t="s">
        <v>383</v>
      </c>
      <c r="N188" s="90" t="s">
        <v>346</v>
      </c>
      <c r="Q188" s="2" t="s">
        <v>3342</v>
      </c>
      <c r="R188" s="2" t="s">
        <v>3343</v>
      </c>
    </row>
    <row r="189" spans="1:18" ht="20.399999999999999" x14ac:dyDescent="0.3">
      <c r="A189" s="85">
        <v>155</v>
      </c>
      <c r="B189" s="76" t="s">
        <v>3344</v>
      </c>
      <c r="C189" s="77" t="str">
        <f>HYPERLINK("https://www.xeno-canto.org/species/Recurvirostra-avosetta")</f>
        <v>https://www.xeno-canto.org/species/Recurvirostra-avosetta</v>
      </c>
      <c r="D189" s="94" t="str">
        <f>HYPERLINK("https://ebird.org/species/pieavo1")</f>
        <v>https://ebird.org/species/pieavo1</v>
      </c>
      <c r="E189" s="122" t="str">
        <f>HYPERLINK("https://en.wikipedia.org/wiki/Pied_Avocet")</f>
        <v>https://en.wikipedia.org/wiki/Pied_Avocet</v>
      </c>
      <c r="F189" s="123" t="str">
        <f>HYPERLINK("https://apiv3.iucnredlist.org/api/v3/website/Recurvirostra avosetta")</f>
        <v>https://apiv3.iucnredlist.org/api/v3/website/Recurvirostra avosetta</v>
      </c>
      <c r="G189" s="90">
        <v>21</v>
      </c>
      <c r="H189" s="90">
        <v>131</v>
      </c>
      <c r="J189" s="87" t="s">
        <v>379</v>
      </c>
      <c r="K189" s="95" t="s">
        <v>384</v>
      </c>
      <c r="M189" s="93" t="s">
        <v>385</v>
      </c>
      <c r="N189" s="90" t="s">
        <v>89</v>
      </c>
      <c r="Q189" s="2" t="s">
        <v>8551</v>
      </c>
      <c r="R189" s="2" t="s">
        <v>6393</v>
      </c>
    </row>
    <row r="191" spans="1:18" ht="12" x14ac:dyDescent="0.3">
      <c r="K191" s="88" t="s">
        <v>386</v>
      </c>
      <c r="M191" s="89" t="s">
        <v>387</v>
      </c>
    </row>
    <row r="192" spans="1:18" ht="14.4" x14ac:dyDescent="0.3">
      <c r="A192" s="85">
        <v>156</v>
      </c>
      <c r="B192" s="74" t="s">
        <v>3351</v>
      </c>
      <c r="C192" s="75" t="str">
        <f>HYPERLINK("https://www.xeno-canto.org/species/Pluvialis-squatarola")</f>
        <v>https://www.xeno-canto.org/species/Pluvialis-squatarola</v>
      </c>
      <c r="D192" s="91" t="str">
        <f>HYPERLINK("https://ebird.org/species/bkbplo")</f>
        <v>https://ebird.org/species/bkbplo</v>
      </c>
      <c r="E192" s="120" t="str">
        <f>HYPERLINK("https://en.wikipedia.org/wiki/Grey_Plover")</f>
        <v>https://en.wikipedia.org/wiki/Grey_Plover</v>
      </c>
      <c r="F192" s="121" t="str">
        <f>HYPERLINK("https://apiv3.iucnredlist.org/api/v3/website/Pluvialis squatarola")</f>
        <v>https://apiv3.iucnredlist.org/api/v3/website/Pluvialis squatarola</v>
      </c>
      <c r="G192" s="90">
        <v>16</v>
      </c>
      <c r="H192" s="90">
        <v>131</v>
      </c>
      <c r="J192" s="87" t="s">
        <v>387</v>
      </c>
      <c r="K192" s="95" t="s">
        <v>394</v>
      </c>
      <c r="M192" s="93" t="s">
        <v>395</v>
      </c>
      <c r="N192" s="90" t="s">
        <v>89</v>
      </c>
      <c r="Q192" s="2" t="s">
        <v>3352</v>
      </c>
    </row>
    <row r="193" spans="1:18" ht="14.4" x14ac:dyDescent="0.3">
      <c r="A193" s="85">
        <v>157</v>
      </c>
      <c r="B193" s="76" t="s">
        <v>3349</v>
      </c>
      <c r="C193" s="77" t="str">
        <f>HYPERLINK("https://www.xeno-canto.org/species/Pluvialis-fulva")</f>
        <v>https://www.xeno-canto.org/species/Pluvialis-fulva</v>
      </c>
      <c r="D193" s="94" t="str">
        <f>HYPERLINK("https://ebird.org/species/pagplo")</f>
        <v>https://ebird.org/species/pagplo</v>
      </c>
      <c r="E193" s="122" t="str">
        <f>HYPERLINK("https://en.wikipedia.org/wiki/Pacific_Golden_Plover")</f>
        <v>https://en.wikipedia.org/wiki/Pacific_Golden_Plover</v>
      </c>
      <c r="F193" s="123" t="str">
        <f>HYPERLINK("https://apiv3.iucnredlist.org/api/v3/website/Pluvialis fulva")</f>
        <v>https://apiv3.iucnredlist.org/api/v3/website/Pluvialis fulva</v>
      </c>
      <c r="G193" s="90">
        <v>16</v>
      </c>
      <c r="H193" s="90">
        <v>131</v>
      </c>
      <c r="J193" s="87" t="s">
        <v>387</v>
      </c>
      <c r="K193" s="95" t="s">
        <v>392</v>
      </c>
      <c r="M193" s="93" t="s">
        <v>393</v>
      </c>
      <c r="N193" s="90" t="s">
        <v>89</v>
      </c>
      <c r="Q193" s="2" t="s">
        <v>3350</v>
      </c>
    </row>
    <row r="194" spans="1:18" ht="20.399999999999999" x14ac:dyDescent="0.3">
      <c r="A194" s="85">
        <v>158</v>
      </c>
      <c r="B194" s="76" t="s">
        <v>3353</v>
      </c>
      <c r="C194" s="77" t="str">
        <f>HYPERLINK("https://www.xeno-canto.org/species/Charadrius-hiaticula")</f>
        <v>https://www.xeno-canto.org/species/Charadrius-hiaticula</v>
      </c>
      <c r="D194" s="94" t="str">
        <f>HYPERLINK("https://ebird.org/species/corplo")</f>
        <v>https://ebird.org/species/corplo</v>
      </c>
      <c r="E194" s="122" t="str">
        <f>HYPERLINK("https://en.wikipedia.org/wiki/Common_Ringed_Plover")</f>
        <v>https://en.wikipedia.org/wiki/Common_Ringed_Plover</v>
      </c>
      <c r="F194" s="123" t="str">
        <f>HYPERLINK("https://apiv3.iucnredlist.org/api/v3/website/Charadrius hiaticula")</f>
        <v>https://apiv3.iucnredlist.org/api/v3/website/Charadrius hiaticula</v>
      </c>
      <c r="G194" s="90">
        <v>16</v>
      </c>
      <c r="H194" s="90">
        <v>131</v>
      </c>
      <c r="J194" s="87" t="s">
        <v>387</v>
      </c>
      <c r="K194" s="92" t="s">
        <v>396</v>
      </c>
      <c r="M194" s="93" t="s">
        <v>397</v>
      </c>
      <c r="N194" s="90" t="s">
        <v>49</v>
      </c>
      <c r="Q194" s="2" t="s">
        <v>3086</v>
      </c>
      <c r="R194" s="2" t="s">
        <v>6508</v>
      </c>
    </row>
    <row r="195" spans="1:18" ht="14.4" x14ac:dyDescent="0.3">
      <c r="A195" s="85">
        <v>159</v>
      </c>
      <c r="B195" s="76" t="s">
        <v>3354</v>
      </c>
      <c r="C195" s="77" t="str">
        <f>HYPERLINK("https://www.xeno-canto.org/species/Charadrius-dubius")</f>
        <v>https://www.xeno-canto.org/species/Charadrius-dubius</v>
      </c>
      <c r="D195" s="94" t="str">
        <f>HYPERLINK("https://ebird.org/species/lirplo")</f>
        <v>https://ebird.org/species/lirplo</v>
      </c>
      <c r="E195" s="122" t="str">
        <f>HYPERLINK("https://en.wikipedia.org/wiki/Little_Ringed_Plover")</f>
        <v>https://en.wikipedia.org/wiki/Little_Ringed_Plover</v>
      </c>
      <c r="F195" s="123" t="str">
        <f>HYPERLINK("https://apiv3.iucnredlist.org/api/v3/website/Charadrius dubius")</f>
        <v>https://apiv3.iucnredlist.org/api/v3/website/Charadrius dubius</v>
      </c>
      <c r="G195" s="90">
        <v>16</v>
      </c>
      <c r="H195" s="90">
        <v>133</v>
      </c>
      <c r="J195" s="87" t="s">
        <v>387</v>
      </c>
      <c r="K195" s="95" t="s">
        <v>398</v>
      </c>
      <c r="M195" s="93" t="s">
        <v>399</v>
      </c>
      <c r="N195" s="90" t="s">
        <v>346</v>
      </c>
      <c r="Q195" s="2" t="s">
        <v>3355</v>
      </c>
    </row>
    <row r="196" spans="1:18" ht="20.399999999999999" x14ac:dyDescent="0.3">
      <c r="A196" s="85">
        <v>160</v>
      </c>
      <c r="B196" s="76" t="s">
        <v>5804</v>
      </c>
      <c r="C196" s="77" t="str">
        <f>HYPERLINK("https://www.xeno-canto.org/species/Charadrius-placidus")</f>
        <v>https://www.xeno-canto.org/species/Charadrius-placidus</v>
      </c>
      <c r="D196" s="94" t="str">
        <f>HYPERLINK("https://ebird.org/species/lobplo1")</f>
        <v>https://ebird.org/species/lobplo1</v>
      </c>
      <c r="E196" s="122" t="str">
        <f>HYPERLINK("https://en.wikipedia.org/wiki/Long-billed_Plover")</f>
        <v>https://en.wikipedia.org/wiki/Long-billed_Plover</v>
      </c>
      <c r="F196" s="123" t="str">
        <f>HYPERLINK("https://apiv3.iucnredlist.org/api/v3/website/Charadrius placidus")</f>
        <v>https://apiv3.iucnredlist.org/api/v3/website/Charadrius placidus</v>
      </c>
      <c r="J196" s="87" t="s">
        <v>387</v>
      </c>
      <c r="K196" s="92" t="s">
        <v>5805</v>
      </c>
      <c r="M196" s="93" t="s">
        <v>5806</v>
      </c>
      <c r="N196" s="90" t="s">
        <v>49</v>
      </c>
      <c r="R196" s="2" t="s">
        <v>8552</v>
      </c>
    </row>
    <row r="197" spans="1:18" ht="30.6" x14ac:dyDescent="0.3">
      <c r="A197" s="85">
        <v>161</v>
      </c>
      <c r="B197" s="76" t="s">
        <v>3345</v>
      </c>
      <c r="C197" s="77" t="str">
        <f>HYPERLINK("https://www.xeno-canto.org/species/Vanellus-vanellus")</f>
        <v>https://www.xeno-canto.org/species/Vanellus-vanellus</v>
      </c>
      <c r="D197" s="94" t="str">
        <f>HYPERLINK("https://ebird.org/species/norlap")</f>
        <v>https://ebird.org/species/norlap</v>
      </c>
      <c r="E197" s="122" t="str">
        <f>HYPERLINK("https://en.wikipedia.org/wiki/Northern_Lapwing")</f>
        <v>https://en.wikipedia.org/wiki/Northern_Lapwing</v>
      </c>
      <c r="F197" s="123" t="str">
        <f>HYPERLINK("https://apiv3.iucnredlist.org/api/v3/website/Vanellus vanellus")</f>
        <v>https://apiv3.iucnredlist.org/api/v3/website/Vanellus vanellus</v>
      </c>
      <c r="H197" s="90">
        <v>135</v>
      </c>
      <c r="J197" s="87" t="s">
        <v>387</v>
      </c>
      <c r="K197" s="95" t="s">
        <v>388</v>
      </c>
      <c r="M197" s="93" t="s">
        <v>389</v>
      </c>
      <c r="N197" s="90" t="s">
        <v>89</v>
      </c>
      <c r="O197" s="90" t="s">
        <v>50</v>
      </c>
      <c r="Q197" s="2" t="s">
        <v>3346</v>
      </c>
      <c r="R197" s="2" t="s">
        <v>6509</v>
      </c>
    </row>
    <row r="198" spans="1:18" ht="20.399999999999999" x14ac:dyDescent="0.3">
      <c r="A198" s="85">
        <v>162</v>
      </c>
      <c r="B198" s="76" t="s">
        <v>3347</v>
      </c>
      <c r="C198" s="77" t="str">
        <f>HYPERLINK("https://www.xeno-canto.org/species/Vanellus-cinereus")</f>
        <v>https://www.xeno-canto.org/species/Vanellus-cinereus</v>
      </c>
      <c r="D198" s="94" t="str">
        <f>HYPERLINK("https://ebird.org/species/gyhlap1")</f>
        <v>https://ebird.org/species/gyhlap1</v>
      </c>
      <c r="E198" s="122" t="str">
        <f>HYPERLINK("https://en.wikipedia.org/wiki/Grey-headed_Lapwing")</f>
        <v>https://en.wikipedia.org/wiki/Grey-headed_Lapwing</v>
      </c>
      <c r="F198" s="123" t="str">
        <f>HYPERLINK("https://apiv3.iucnredlist.org/api/v3/website/Vanellus cinereus")</f>
        <v>https://apiv3.iucnredlist.org/api/v3/website/Vanellus cinereus</v>
      </c>
      <c r="G198" s="90">
        <v>15</v>
      </c>
      <c r="H198" s="90">
        <v>135</v>
      </c>
      <c r="J198" s="87" t="s">
        <v>387</v>
      </c>
      <c r="K198" s="92" t="s">
        <v>390</v>
      </c>
      <c r="M198" s="93" t="s">
        <v>391</v>
      </c>
      <c r="N198" s="90" t="s">
        <v>49</v>
      </c>
      <c r="Q198" s="2" t="s">
        <v>3348</v>
      </c>
      <c r="R198" s="2" t="s">
        <v>6510</v>
      </c>
    </row>
    <row r="199" spans="1:18" ht="20.399999999999999" x14ac:dyDescent="0.3">
      <c r="A199" s="85">
        <v>163</v>
      </c>
      <c r="B199" s="76" t="s">
        <v>6511</v>
      </c>
      <c r="C199" s="77" t="str">
        <f>HYPERLINK("https://www.xeno-canto.org/species/Anarhynchus-veredus")</f>
        <v>https://www.xeno-canto.org/species/Anarhynchus-veredus</v>
      </c>
      <c r="D199" s="94" t="str">
        <f>HYPERLINK("https://ebird.org/species/oriplo1")</f>
        <v>https://ebird.org/species/oriplo1</v>
      </c>
      <c r="E199" s="122" t="str">
        <f>HYPERLINK("https://en.wikipedia.org/wiki/Oriental_Plover")</f>
        <v>https://en.wikipedia.org/wiki/Oriental_Plover</v>
      </c>
      <c r="F199" s="123" t="str">
        <f>HYPERLINK("https://apiv3.iucnredlist.org/api/v3/website/Anarhynchus veredus")</f>
        <v>https://apiv3.iucnredlist.org/api/v3/website/Anarhynchus veredus</v>
      </c>
      <c r="G199" s="90">
        <v>16</v>
      </c>
      <c r="H199" s="90">
        <v>135</v>
      </c>
      <c r="J199" s="87" t="s">
        <v>387</v>
      </c>
      <c r="K199" s="92" t="s">
        <v>407</v>
      </c>
      <c r="M199" s="93" t="s">
        <v>6512</v>
      </c>
      <c r="N199" s="90" t="s">
        <v>49</v>
      </c>
      <c r="Q199" s="2" t="s">
        <v>3357</v>
      </c>
      <c r="R199" s="2" t="s">
        <v>6513</v>
      </c>
    </row>
    <row r="200" spans="1:18" ht="20.399999999999999" x14ac:dyDescent="0.3">
      <c r="A200" s="85">
        <v>164</v>
      </c>
      <c r="B200" s="76" t="s">
        <v>6514</v>
      </c>
      <c r="C200" s="77" t="str">
        <f>HYPERLINK("https://www.xeno-canto.org/species/Anarhynchus-atrifrons")</f>
        <v>https://www.xeno-canto.org/species/Anarhynchus-atrifrons</v>
      </c>
      <c r="D200" s="94" t="str">
        <f>HYPERLINK("https://ebird.org/species/lessap1")</f>
        <v>https://ebird.org/species/lessap1</v>
      </c>
      <c r="E200" s="122" t="str">
        <f>HYPERLINK("https://en.wikipedia.org/wiki/Tibetan_Sand_Plover")</f>
        <v>https://en.wikipedia.org/wiki/Tibetan_Sand_Plover</v>
      </c>
      <c r="F200" s="123" t="str">
        <f>HYPERLINK("https://apiv3.iucnredlist.org/api/v3/website/Anarhynchus atrifrons")</f>
        <v>https://apiv3.iucnredlist.org/api/v3/website/Anarhynchus atrifrons</v>
      </c>
      <c r="J200" s="87" t="s">
        <v>387</v>
      </c>
      <c r="K200" s="95" t="s">
        <v>6515</v>
      </c>
      <c r="M200" s="93" t="s">
        <v>6516</v>
      </c>
      <c r="N200" s="90" t="s">
        <v>89</v>
      </c>
      <c r="R200" s="2" t="s">
        <v>8553</v>
      </c>
    </row>
    <row r="201" spans="1:18" ht="14.4" x14ac:dyDescent="0.3">
      <c r="A201" s="85">
        <v>165</v>
      </c>
      <c r="B201" s="76" t="s">
        <v>6517</v>
      </c>
      <c r="C201" s="77" t="str">
        <f>HYPERLINK("https://www.xeno-canto.org/species/Anarhynchus-mongolus")</f>
        <v>https://www.xeno-canto.org/species/Anarhynchus-mongolus</v>
      </c>
      <c r="D201" s="94" t="str">
        <f>HYPERLINK("https://ebird.org/species/lessap2")</f>
        <v>https://ebird.org/species/lessap2</v>
      </c>
      <c r="E201" s="122" t="str">
        <f>HYPERLINK("https://en.wikipedia.org/wiki/Siberian_Sand_Plover")</f>
        <v>https://en.wikipedia.org/wiki/Siberian_Sand_Plover</v>
      </c>
      <c r="F201" s="123" t="str">
        <f>HYPERLINK("https://apiv3.iucnredlist.org/api/v3/website/Anarhynchus mongolus")</f>
        <v>https://apiv3.iucnredlist.org/api/v3/website/Anarhynchus mongolus</v>
      </c>
      <c r="G201" s="90">
        <v>16</v>
      </c>
      <c r="H201" s="90">
        <v>133</v>
      </c>
      <c r="J201" s="87" t="s">
        <v>387</v>
      </c>
      <c r="K201" s="95" t="s">
        <v>6518</v>
      </c>
      <c r="L201" s="86" t="s">
        <v>4566</v>
      </c>
      <c r="M201" s="93" t="s">
        <v>6519</v>
      </c>
      <c r="N201" s="90" t="s">
        <v>89</v>
      </c>
      <c r="Q201" s="2" t="s">
        <v>3350</v>
      </c>
    </row>
    <row r="202" spans="1:18" ht="14.4" x14ac:dyDescent="0.3">
      <c r="A202" s="85">
        <v>166</v>
      </c>
      <c r="B202" s="76" t="s">
        <v>6520</v>
      </c>
      <c r="C202" s="77" t="str">
        <f>HYPERLINK("https://www.xeno-canto.org/species/Anarhynchus-leschenaultii")</f>
        <v>https://www.xeno-canto.org/species/Anarhynchus-leschenaultii</v>
      </c>
      <c r="D202" s="94" t="str">
        <f>HYPERLINK("https://ebird.org/species/grsplo")</f>
        <v>https://ebird.org/species/grsplo</v>
      </c>
      <c r="E202" s="122" t="str">
        <f>HYPERLINK("https://en.wikipedia.org/wiki/Greater_Sand_Plover")</f>
        <v>https://en.wikipedia.org/wiki/Greater_Sand_Plover</v>
      </c>
      <c r="F202" s="123" t="str">
        <f>HYPERLINK("https://apiv3.iucnredlist.org/api/v3/website/Anarhynchus leschenaultii")</f>
        <v>https://apiv3.iucnredlist.org/api/v3/website/Anarhynchus leschenaultii</v>
      </c>
      <c r="G202" s="90">
        <v>16</v>
      </c>
      <c r="H202" s="90">
        <v>135</v>
      </c>
      <c r="J202" s="87" t="s">
        <v>387</v>
      </c>
      <c r="K202" s="95" t="s">
        <v>405</v>
      </c>
      <c r="M202" s="93" t="s">
        <v>6521</v>
      </c>
      <c r="N202" s="90" t="s">
        <v>89</v>
      </c>
      <c r="Q202" s="2" t="s">
        <v>3350</v>
      </c>
      <c r="R202" s="2" t="s">
        <v>9</v>
      </c>
    </row>
    <row r="203" spans="1:18" ht="14.4" x14ac:dyDescent="0.3">
      <c r="A203" s="85">
        <v>167</v>
      </c>
      <c r="B203" s="76" t="s">
        <v>6522</v>
      </c>
      <c r="C203" s="77" t="str">
        <f>HYPERLINK("https://www.xeno-canto.org/species/Anarhynchus-peronii")</f>
        <v>https://www.xeno-canto.org/species/Anarhynchus-peronii</v>
      </c>
      <c r="D203" s="94" t="str">
        <f>HYPERLINK("https://ebird.org/species/malplo1")</f>
        <v>https://ebird.org/species/malplo1</v>
      </c>
      <c r="E203" s="122" t="str">
        <f>HYPERLINK("https://en.wikipedia.org/wiki/Malaysian_Plover")</f>
        <v>https://en.wikipedia.org/wiki/Malaysian_Plover</v>
      </c>
      <c r="F203" s="123" t="str">
        <f>HYPERLINK("https://apiv3.iucnredlist.org/api/v3/website/Anarhynchus peronii")</f>
        <v>https://apiv3.iucnredlist.org/api/v3/website/Anarhynchus peronii</v>
      </c>
      <c r="G203" s="90">
        <v>16</v>
      </c>
      <c r="H203" s="90">
        <v>133</v>
      </c>
      <c r="J203" s="87" t="s">
        <v>387</v>
      </c>
      <c r="K203" s="95" t="s">
        <v>402</v>
      </c>
      <c r="L203" s="86" t="s">
        <v>1767</v>
      </c>
      <c r="M203" s="93" t="s">
        <v>6523</v>
      </c>
      <c r="N203" s="90" t="s">
        <v>37</v>
      </c>
      <c r="O203" s="90" t="s">
        <v>50</v>
      </c>
      <c r="P203" s="90" t="s">
        <v>38</v>
      </c>
      <c r="Q203" s="2" t="s">
        <v>3356</v>
      </c>
    </row>
    <row r="204" spans="1:18" ht="14.4" x14ac:dyDescent="0.3">
      <c r="A204" s="85">
        <v>168</v>
      </c>
      <c r="B204" s="76" t="s">
        <v>6524</v>
      </c>
      <c r="C204" s="77" t="str">
        <f>HYPERLINK("https://www.xeno-canto.org/species/Anarhynchus-alexandrinus")</f>
        <v>https://www.xeno-canto.org/species/Anarhynchus-alexandrinus</v>
      </c>
      <c r="D204" s="94" t="str">
        <f>HYPERLINK("https://ebird.org/species/kenplo1")</f>
        <v>https://ebird.org/species/kenplo1</v>
      </c>
      <c r="E204" s="122" t="str">
        <f>HYPERLINK("https://en.wikipedia.org/wiki/Kentish_Plover")</f>
        <v>https://en.wikipedia.org/wiki/Kentish_Plover</v>
      </c>
      <c r="F204" s="123" t="str">
        <f>HYPERLINK("https://apiv3.iucnredlist.org/api/v3/website/Anarhynchus alexandrinus")</f>
        <v>https://apiv3.iucnredlist.org/api/v3/website/Anarhynchus alexandrinus</v>
      </c>
      <c r="G204" s="90">
        <v>16</v>
      </c>
      <c r="H204" s="90">
        <v>133</v>
      </c>
      <c r="J204" s="87" t="s">
        <v>387</v>
      </c>
      <c r="K204" s="95" t="s">
        <v>400</v>
      </c>
      <c r="M204" s="93" t="s">
        <v>6525</v>
      </c>
      <c r="N204" s="90" t="s">
        <v>89</v>
      </c>
      <c r="Q204" s="2" t="s">
        <v>3350</v>
      </c>
    </row>
    <row r="206" spans="1:18" ht="12" x14ac:dyDescent="0.3">
      <c r="K206" s="88" t="s">
        <v>409</v>
      </c>
      <c r="M206" s="89" t="s">
        <v>410</v>
      </c>
    </row>
    <row r="207" spans="1:18" ht="14.4" x14ac:dyDescent="0.3">
      <c r="A207" s="85">
        <v>169</v>
      </c>
      <c r="B207" s="74" t="s">
        <v>3358</v>
      </c>
      <c r="C207" s="75" t="str">
        <f>HYPERLINK("https://www.xeno-canto.org/species/Rostratula-benghalensis")</f>
        <v>https://www.xeno-canto.org/species/Rostratula-benghalensis</v>
      </c>
      <c r="D207" s="91" t="str">
        <f>HYPERLINK("https://ebird.org/species/grpsni1")</f>
        <v>https://ebird.org/species/grpsni1</v>
      </c>
      <c r="E207" s="120" t="str">
        <f>HYPERLINK("https://en.wikipedia.org/wiki/Greater_Painted-snipe")</f>
        <v>https://en.wikipedia.org/wiki/Greater_Painted-snipe</v>
      </c>
      <c r="F207" s="121" t="str">
        <f>HYPERLINK("https://apiv3.iucnredlist.org/api/v3/website/Rostratula benghalensis")</f>
        <v>https://apiv3.iucnredlist.org/api/v3/website/Rostratula benghalensis</v>
      </c>
      <c r="G207" s="90">
        <v>15</v>
      </c>
      <c r="H207" s="90">
        <v>135</v>
      </c>
      <c r="J207" s="87" t="s">
        <v>410</v>
      </c>
      <c r="K207" s="95" t="s">
        <v>411</v>
      </c>
      <c r="M207" s="93" t="s">
        <v>412</v>
      </c>
      <c r="N207" s="90" t="s">
        <v>37</v>
      </c>
      <c r="Q207" s="2" t="s">
        <v>3233</v>
      </c>
    </row>
    <row r="209" spans="1:18" ht="12" x14ac:dyDescent="0.3">
      <c r="K209" s="88" t="s">
        <v>413</v>
      </c>
      <c r="M209" s="89" t="s">
        <v>414</v>
      </c>
    </row>
    <row r="210" spans="1:18" ht="14.4" x14ac:dyDescent="0.3">
      <c r="A210" s="85">
        <v>170</v>
      </c>
      <c r="B210" s="74" t="s">
        <v>3362</v>
      </c>
      <c r="C210" s="75" t="str">
        <f>HYPERLINK("https://www.xeno-canto.org/species/Hydrophasianus-chirurgus")</f>
        <v>https://www.xeno-canto.org/species/Hydrophasianus-chirurgus</v>
      </c>
      <c r="D210" s="91" t="str">
        <f>HYPERLINK("https://ebird.org/species/phtjac1")</f>
        <v>https://ebird.org/species/phtjac1</v>
      </c>
      <c r="E210" s="120" t="str">
        <f>HYPERLINK("https://en.wikipedia.org/wiki/Pheasant-tailed_Jacana")</f>
        <v>https://en.wikipedia.org/wiki/Pheasant-tailed_Jacana</v>
      </c>
      <c r="F210" s="121" t="str">
        <f>HYPERLINK("https://apiv3.iucnredlist.org/api/v3/website/Hydrophasianus chirurgus")</f>
        <v>https://apiv3.iucnredlist.org/api/v3/website/Hydrophasianus chirurgus</v>
      </c>
      <c r="G210" s="90">
        <v>15</v>
      </c>
      <c r="H210" s="90">
        <v>137</v>
      </c>
      <c r="J210" s="87" t="s">
        <v>414</v>
      </c>
      <c r="K210" s="95" t="s">
        <v>417</v>
      </c>
      <c r="M210" s="93" t="s">
        <v>418</v>
      </c>
      <c r="N210" s="90" t="s">
        <v>37</v>
      </c>
      <c r="Q210" s="2" t="s">
        <v>3363</v>
      </c>
    </row>
    <row r="211" spans="1:18" ht="81.599999999999994" x14ac:dyDescent="0.3">
      <c r="A211" s="85">
        <v>171</v>
      </c>
      <c r="B211" s="76" t="s">
        <v>3359</v>
      </c>
      <c r="C211" s="77" t="str">
        <f>HYPERLINK("https://www.xeno-canto.org/species/Irediparra-gallinacea")</f>
        <v>https://www.xeno-canto.org/species/Irediparra-gallinacea</v>
      </c>
      <c r="D211" s="94" t="str">
        <f>HYPERLINK("https://ebird.org/species/cocjac1")</f>
        <v>https://ebird.org/species/cocjac1</v>
      </c>
      <c r="E211" s="122" t="str">
        <f>HYPERLINK("https://en.wikipedia.org/wiki/Comb-crested_Jacana")</f>
        <v>https://en.wikipedia.org/wiki/Comb-crested_Jacana</v>
      </c>
      <c r="F211" s="123" t="str">
        <f>HYPERLINK("https://apiv3.iucnredlist.org/api/v3/website/Irediparra gallinacea")</f>
        <v>https://apiv3.iucnredlist.org/api/v3/website/Irediparra gallinacea</v>
      </c>
      <c r="G211" s="90">
        <v>15</v>
      </c>
      <c r="H211" s="90">
        <v>137</v>
      </c>
      <c r="J211" s="87" t="s">
        <v>414</v>
      </c>
      <c r="K211" s="92" t="s">
        <v>415</v>
      </c>
      <c r="M211" s="93" t="s">
        <v>416</v>
      </c>
      <c r="N211" s="90" t="s">
        <v>37</v>
      </c>
      <c r="Q211" s="2" t="s">
        <v>3360</v>
      </c>
      <c r="R211" s="2" t="s">
        <v>3361</v>
      </c>
    </row>
    <row r="213" spans="1:18" ht="12" x14ac:dyDescent="0.3">
      <c r="K213" s="88" t="s">
        <v>5807</v>
      </c>
      <c r="M213" s="89" t="s">
        <v>419</v>
      </c>
    </row>
    <row r="214" spans="1:18" ht="20.399999999999999" x14ac:dyDescent="0.3">
      <c r="A214" s="85">
        <v>172</v>
      </c>
      <c r="B214" s="74" t="s">
        <v>3364</v>
      </c>
      <c r="C214" s="75" t="str">
        <f>HYPERLINK("https://www.xeno-canto.org/species/Numenius-tahitiensis")</f>
        <v>https://www.xeno-canto.org/species/Numenius-tahitiensis</v>
      </c>
      <c r="D214" s="91" t="str">
        <f>HYPERLINK("https://ebird.org/species/brtcur")</f>
        <v>https://ebird.org/species/brtcur</v>
      </c>
      <c r="E214" s="120" t="str">
        <f>HYPERLINK("https://en.wikipedia.org/wiki/Bristle-thighed_Curlew")</f>
        <v>https://en.wikipedia.org/wiki/Bristle-thighed_Curlew</v>
      </c>
      <c r="F214" s="121" t="str">
        <f>HYPERLINK("https://apiv3.iucnredlist.org/api/v3/website/Numenius tahitiensis")</f>
        <v>https://apiv3.iucnredlist.org/api/v3/website/Numenius tahitiensis</v>
      </c>
      <c r="G214" s="90">
        <v>17</v>
      </c>
      <c r="H214" s="90">
        <v>137</v>
      </c>
      <c r="J214" s="87" t="s">
        <v>419</v>
      </c>
      <c r="K214" s="92" t="s">
        <v>420</v>
      </c>
      <c r="M214" s="93" t="s">
        <v>421</v>
      </c>
      <c r="N214" s="90" t="s">
        <v>49</v>
      </c>
      <c r="O214" s="90" t="s">
        <v>38</v>
      </c>
      <c r="P214" s="90" t="s">
        <v>38</v>
      </c>
      <c r="Q214" s="2" t="s">
        <v>3164</v>
      </c>
      <c r="R214" s="2" t="s">
        <v>6394</v>
      </c>
    </row>
    <row r="215" spans="1:18" ht="14.4" x14ac:dyDescent="0.3">
      <c r="A215" s="85">
        <v>173</v>
      </c>
      <c r="B215" s="76" t="s">
        <v>3365</v>
      </c>
      <c r="C215" s="77" t="str">
        <f>HYPERLINK("https://www.xeno-canto.org/species/Numenius-phaeopus")</f>
        <v>https://www.xeno-canto.org/species/Numenius-phaeopus</v>
      </c>
      <c r="D215" s="94" t="str">
        <f>HYPERLINK("https://ebird.org/species/whimbr")</f>
        <v>https://ebird.org/species/whimbr</v>
      </c>
      <c r="E215" s="122" t="str">
        <f>HYPERLINK("https://en.wikipedia.org/wiki/Eurasian_Whimbrel")</f>
        <v>https://en.wikipedia.org/wiki/Eurasian_Whimbrel</v>
      </c>
      <c r="F215" s="123" t="str">
        <f>HYPERLINK("https://apiv3.iucnredlist.org/api/v3/website/Numenius phaeopus")</f>
        <v>https://apiv3.iucnredlist.org/api/v3/website/Numenius phaeopus</v>
      </c>
      <c r="G215" s="90">
        <v>17</v>
      </c>
      <c r="H215" s="90">
        <v>137</v>
      </c>
      <c r="J215" s="87" t="s">
        <v>419</v>
      </c>
      <c r="K215" s="95" t="s">
        <v>2956</v>
      </c>
      <c r="M215" s="93" t="s">
        <v>423</v>
      </c>
      <c r="N215" s="90" t="s">
        <v>89</v>
      </c>
      <c r="Q215" s="2" t="s">
        <v>3350</v>
      </c>
    </row>
    <row r="216" spans="1:18" ht="14.4" x14ac:dyDescent="0.3">
      <c r="A216" s="85">
        <v>174</v>
      </c>
      <c r="B216" s="76" t="s">
        <v>3366</v>
      </c>
      <c r="C216" s="77" t="str">
        <f>HYPERLINK("https://www.xeno-canto.org/species/Numenius-minutus")</f>
        <v>https://www.xeno-canto.org/species/Numenius-minutus</v>
      </c>
      <c r="D216" s="94" t="str">
        <f>HYPERLINK("https://ebird.org/species/litcur")</f>
        <v>https://ebird.org/species/litcur</v>
      </c>
      <c r="E216" s="122" t="str">
        <f>HYPERLINK("https://en.wikipedia.org/wiki/Little_Curlew")</f>
        <v>https://en.wikipedia.org/wiki/Little_Curlew</v>
      </c>
      <c r="F216" s="123" t="str">
        <f>HYPERLINK("https://apiv3.iucnredlist.org/api/v3/website/Numenius minutus")</f>
        <v>https://apiv3.iucnredlist.org/api/v3/website/Numenius minutus</v>
      </c>
      <c r="G216" s="90">
        <v>17</v>
      </c>
      <c r="H216" s="90">
        <v>139</v>
      </c>
      <c r="J216" s="87" t="s">
        <v>419</v>
      </c>
      <c r="K216" s="92" t="s">
        <v>424</v>
      </c>
      <c r="M216" s="93" t="s">
        <v>425</v>
      </c>
      <c r="N216" s="90" t="s">
        <v>89</v>
      </c>
      <c r="Q216" s="2" t="s">
        <v>3367</v>
      </c>
    </row>
    <row r="217" spans="1:18" ht="14.4" x14ac:dyDescent="0.3">
      <c r="A217" s="85">
        <v>175</v>
      </c>
      <c r="B217" s="76" t="s">
        <v>3368</v>
      </c>
      <c r="C217" s="77" t="str">
        <f>HYPERLINK("https://www.xeno-canto.org/species/Numenius-madagascariensis")</f>
        <v>https://www.xeno-canto.org/species/Numenius-madagascariensis</v>
      </c>
      <c r="D217" s="94" t="str">
        <f>HYPERLINK("https://ebird.org/species/faecur")</f>
        <v>https://ebird.org/species/faecur</v>
      </c>
      <c r="E217" s="122" t="str">
        <f>HYPERLINK("https://en.wikipedia.org/wiki/Far_Eastern_Curlew")</f>
        <v>https://en.wikipedia.org/wiki/Far_Eastern_Curlew</v>
      </c>
      <c r="F217" s="123" t="str">
        <f>HYPERLINK("https://apiv3.iucnredlist.org/api/v3/website/Numenius madagascariensis")</f>
        <v>https://apiv3.iucnredlist.org/api/v3/website/Numenius madagascariensis</v>
      </c>
      <c r="G217" s="90">
        <v>17</v>
      </c>
      <c r="H217" s="90">
        <v>139</v>
      </c>
      <c r="J217" s="87" t="s">
        <v>419</v>
      </c>
      <c r="K217" s="95" t="s">
        <v>426</v>
      </c>
      <c r="M217" s="93" t="s">
        <v>427</v>
      </c>
      <c r="N217" s="90" t="s">
        <v>89</v>
      </c>
      <c r="O217" s="90" t="s">
        <v>58</v>
      </c>
      <c r="P217" s="90" t="s">
        <v>58</v>
      </c>
      <c r="Q217" s="2" t="s">
        <v>3369</v>
      </c>
    </row>
    <row r="218" spans="1:18" ht="14.4" x14ac:dyDescent="0.3">
      <c r="A218" s="85">
        <v>176</v>
      </c>
      <c r="B218" s="76" t="s">
        <v>3370</v>
      </c>
      <c r="C218" s="77" t="str">
        <f>HYPERLINK("https://www.xeno-canto.org/species/Numenius-arquata")</f>
        <v>https://www.xeno-canto.org/species/Numenius-arquata</v>
      </c>
      <c r="D218" s="94" t="str">
        <f>HYPERLINK("https://ebird.org/species/eurcur")</f>
        <v>https://ebird.org/species/eurcur</v>
      </c>
      <c r="E218" s="122" t="str">
        <f>HYPERLINK("https://en.wikipedia.org/wiki/Eurasian_Curlew")</f>
        <v>https://en.wikipedia.org/wiki/Eurasian_Curlew</v>
      </c>
      <c r="F218" s="123" t="str">
        <f>HYPERLINK("https://apiv3.iucnredlist.org/api/v3/website/Numenius arquata")</f>
        <v>https://apiv3.iucnredlist.org/api/v3/website/Numenius arquata</v>
      </c>
      <c r="G218" s="90">
        <v>17</v>
      </c>
      <c r="H218" s="90">
        <v>139</v>
      </c>
      <c r="J218" s="87" t="s">
        <v>419</v>
      </c>
      <c r="K218" s="95" t="s">
        <v>428</v>
      </c>
      <c r="M218" s="93" t="s">
        <v>429</v>
      </c>
      <c r="N218" s="90" t="s">
        <v>89</v>
      </c>
      <c r="O218" s="90" t="s">
        <v>50</v>
      </c>
      <c r="P218" s="90" t="s">
        <v>186</v>
      </c>
      <c r="Q218" s="2" t="s">
        <v>3371</v>
      </c>
    </row>
    <row r="219" spans="1:18" ht="14.4" x14ac:dyDescent="0.3">
      <c r="A219" s="85">
        <v>177</v>
      </c>
      <c r="B219" s="76" t="s">
        <v>3372</v>
      </c>
      <c r="C219" s="77" t="str">
        <f>HYPERLINK("https://www.xeno-canto.org/species/Limosa-lapponica")</f>
        <v>https://www.xeno-canto.org/species/Limosa-lapponica</v>
      </c>
      <c r="D219" s="94" t="str">
        <f>HYPERLINK("https://ebird.org/species/batgod")</f>
        <v>https://ebird.org/species/batgod</v>
      </c>
      <c r="E219" s="122" t="str">
        <f>HYPERLINK("https://en.wikipedia.org/wiki/Bar-tailed_Godwit")</f>
        <v>https://en.wikipedia.org/wiki/Bar-tailed_Godwit</v>
      </c>
      <c r="F219" s="123" t="str">
        <f>HYPERLINK("https://apiv3.iucnredlist.org/api/v3/website/Limosa lapponica")</f>
        <v>https://apiv3.iucnredlist.org/api/v3/website/Limosa lapponica</v>
      </c>
      <c r="G219" s="90">
        <v>17</v>
      </c>
      <c r="H219" s="90">
        <v>139</v>
      </c>
      <c r="J219" s="87" t="s">
        <v>419</v>
      </c>
      <c r="K219" s="95" t="s">
        <v>430</v>
      </c>
      <c r="M219" s="93" t="s">
        <v>431</v>
      </c>
      <c r="N219" s="90" t="s">
        <v>89</v>
      </c>
      <c r="O219" s="90" t="s">
        <v>50</v>
      </c>
      <c r="Q219" s="2" t="s">
        <v>3371</v>
      </c>
      <c r="R219" s="2" t="s">
        <v>9</v>
      </c>
    </row>
    <row r="220" spans="1:18" ht="14.4" x14ac:dyDescent="0.3">
      <c r="A220" s="85">
        <v>178</v>
      </c>
      <c r="B220" s="76" t="s">
        <v>3373</v>
      </c>
      <c r="C220" s="77" t="str">
        <f>HYPERLINK("https://www.xeno-canto.org/species/Limosa-limosa")</f>
        <v>https://www.xeno-canto.org/species/Limosa-limosa</v>
      </c>
      <c r="D220" s="94" t="str">
        <f>HYPERLINK("https://ebird.org/species/bktgod")</f>
        <v>https://ebird.org/species/bktgod</v>
      </c>
      <c r="E220" s="122" t="str">
        <f>HYPERLINK("https://en.wikipedia.org/wiki/Black-tailed_Godwit")</f>
        <v>https://en.wikipedia.org/wiki/Black-tailed_Godwit</v>
      </c>
      <c r="F220" s="123" t="str">
        <f>HYPERLINK("https://apiv3.iucnredlist.org/api/v3/website/Limosa limosa")</f>
        <v>https://apiv3.iucnredlist.org/api/v3/website/Limosa limosa</v>
      </c>
      <c r="G220" s="90">
        <v>17</v>
      </c>
      <c r="H220" s="90">
        <v>139</v>
      </c>
      <c r="J220" s="87" t="s">
        <v>419</v>
      </c>
      <c r="K220" s="95" t="s">
        <v>432</v>
      </c>
      <c r="M220" s="93" t="s">
        <v>433</v>
      </c>
      <c r="N220" s="90" t="s">
        <v>89</v>
      </c>
      <c r="O220" s="90" t="s">
        <v>50</v>
      </c>
      <c r="P220" s="90" t="s">
        <v>38</v>
      </c>
      <c r="Q220" s="2" t="s">
        <v>3371</v>
      </c>
    </row>
    <row r="221" spans="1:18" ht="20.399999999999999" x14ac:dyDescent="0.3">
      <c r="A221" s="85">
        <v>179</v>
      </c>
      <c r="B221" s="76" t="s">
        <v>3395</v>
      </c>
      <c r="C221" s="77" t="str">
        <f>HYPERLINK("https://www.xeno-canto.org/species/Limnodromus-semipalmatus")</f>
        <v>https://www.xeno-canto.org/species/Limnodromus-semipalmatus</v>
      </c>
      <c r="D221" s="94" t="str">
        <f>HYPERLINK("https://ebird.org/species/asidow1")</f>
        <v>https://ebird.org/species/asidow1</v>
      </c>
      <c r="E221" s="122" t="str">
        <f>HYPERLINK("https://en.wikipedia.org/wiki/Asian_Dowitcher")</f>
        <v>https://en.wikipedia.org/wiki/Asian_Dowitcher</v>
      </c>
      <c r="F221" s="123" t="str">
        <f>HYPERLINK("https://apiv3.iucnredlist.org/api/v3/website/Limnodromus semipalmatus")</f>
        <v>https://apiv3.iucnredlist.org/api/v3/website/Limnodromus semipalmatus</v>
      </c>
      <c r="G221" s="90">
        <v>19</v>
      </c>
      <c r="H221" s="90">
        <v>147</v>
      </c>
      <c r="J221" s="87" t="s">
        <v>419</v>
      </c>
      <c r="K221" s="95" t="s">
        <v>462</v>
      </c>
      <c r="M221" s="93" t="s">
        <v>463</v>
      </c>
      <c r="N221" s="90" t="s">
        <v>89</v>
      </c>
      <c r="O221" s="90" t="s">
        <v>50</v>
      </c>
      <c r="P221" s="90" t="s">
        <v>38</v>
      </c>
      <c r="Q221" s="2" t="s">
        <v>3396</v>
      </c>
    </row>
    <row r="222" spans="1:18" ht="20.399999999999999" x14ac:dyDescent="0.3">
      <c r="A222" s="85">
        <v>180</v>
      </c>
      <c r="B222" s="76" t="s">
        <v>3397</v>
      </c>
      <c r="C222" s="77" t="str">
        <f>HYPERLINK("https://www.xeno-canto.org/species/Limnodromus-scolopaceus")</f>
        <v>https://www.xeno-canto.org/species/Limnodromus-scolopaceus</v>
      </c>
      <c r="D222" s="94" t="str">
        <f>HYPERLINK("https://ebird.org/species/lobdow")</f>
        <v>https://ebird.org/species/lobdow</v>
      </c>
      <c r="E222" s="122" t="str">
        <f>HYPERLINK("https://en.wikipedia.org/wiki/Long-billed_Dowitcher")</f>
        <v>https://en.wikipedia.org/wiki/Long-billed_Dowitcher</v>
      </c>
      <c r="F222" s="123" t="str">
        <f>HYPERLINK("https://apiv3.iucnredlist.org/api/v3/website/Limnodromus scolopaceus")</f>
        <v>https://apiv3.iucnredlist.org/api/v3/website/Limnodromus scolopaceus</v>
      </c>
      <c r="H222" s="90">
        <v>147</v>
      </c>
      <c r="J222" s="87" t="s">
        <v>419</v>
      </c>
      <c r="K222" s="92" t="s">
        <v>464</v>
      </c>
      <c r="M222" s="93" t="s">
        <v>465</v>
      </c>
      <c r="N222" s="90" t="s">
        <v>49</v>
      </c>
      <c r="Q222" s="2" t="s">
        <v>3083</v>
      </c>
      <c r="R222" s="2" t="s">
        <v>6397</v>
      </c>
    </row>
    <row r="223" spans="1:18" ht="20.399999999999999" x14ac:dyDescent="0.3">
      <c r="A223" s="85">
        <v>181</v>
      </c>
      <c r="B223" s="76" t="s">
        <v>3403</v>
      </c>
      <c r="C223" s="77" t="str">
        <f>HYPERLINK("https://www.xeno-canto.org/species/Lymnocryptes-minimus")</f>
        <v>https://www.xeno-canto.org/species/Lymnocryptes-minimus</v>
      </c>
      <c r="D223" s="94" t="str">
        <f>HYPERLINK("https://ebird.org/species/jacsni")</f>
        <v>https://ebird.org/species/jacsni</v>
      </c>
      <c r="E223" s="122" t="str">
        <f>HYPERLINK("https://en.wikipedia.org/wiki/Jack_Snipe")</f>
        <v>https://en.wikipedia.org/wiki/Jack_Snipe</v>
      </c>
      <c r="F223" s="123" t="str">
        <f>HYPERLINK("https://apiv3.iucnredlist.org/api/v3/website/Lymnocryptes minimus")</f>
        <v>https://apiv3.iucnredlist.org/api/v3/website/Lymnocryptes minimus</v>
      </c>
      <c r="G223" s="90">
        <v>19</v>
      </c>
      <c r="H223" s="90">
        <v>151</v>
      </c>
      <c r="J223" s="87" t="s">
        <v>419</v>
      </c>
      <c r="K223" s="92" t="s">
        <v>468</v>
      </c>
      <c r="M223" s="93" t="s">
        <v>469</v>
      </c>
      <c r="N223" s="90" t="s">
        <v>49</v>
      </c>
      <c r="Q223" s="2" t="s">
        <v>3086</v>
      </c>
      <c r="R223" s="2" t="s">
        <v>6399</v>
      </c>
    </row>
    <row r="224" spans="1:18" ht="20.399999999999999" x14ac:dyDescent="0.3">
      <c r="A224" s="85">
        <v>182</v>
      </c>
      <c r="B224" s="76" t="s">
        <v>3398</v>
      </c>
      <c r="C224" s="77" t="str">
        <f>HYPERLINK("https://www.xeno-canto.org/species/Scolopax-rusticola")</f>
        <v>https://www.xeno-canto.org/species/Scolopax-rusticola</v>
      </c>
      <c r="D224" s="94" t="str">
        <f>HYPERLINK("https://ebird.org/species/eurwoo")</f>
        <v>https://ebird.org/species/eurwoo</v>
      </c>
      <c r="E224" s="122" t="str">
        <f>HYPERLINK("https://en.wikipedia.org/wiki/Eurasian_Woodcock")</f>
        <v>https://en.wikipedia.org/wiki/Eurasian_Woodcock</v>
      </c>
      <c r="F224" s="123" t="str">
        <f>HYPERLINK("https://apiv3.iucnredlist.org/api/v3/website/Scolopax rusticola")</f>
        <v>https://apiv3.iucnredlist.org/api/v3/website/Scolopax rusticola</v>
      </c>
      <c r="H224" s="90">
        <v>147</v>
      </c>
      <c r="J224" s="87" t="s">
        <v>419</v>
      </c>
      <c r="K224" s="92" t="s">
        <v>3399</v>
      </c>
      <c r="M224" s="93" t="s">
        <v>3400</v>
      </c>
      <c r="N224" s="90" t="s">
        <v>49</v>
      </c>
      <c r="Q224" s="2" t="s">
        <v>3078</v>
      </c>
      <c r="R224" s="2" t="s">
        <v>6398</v>
      </c>
    </row>
    <row r="225" spans="1:18" ht="20.399999999999999" x14ac:dyDescent="0.3">
      <c r="A225" s="85">
        <v>183</v>
      </c>
      <c r="B225" s="76" t="s">
        <v>3401</v>
      </c>
      <c r="C225" s="77" t="str">
        <f>HYPERLINK("https://www.xeno-canto.org/species/Scolopax-bukidnonensis")</f>
        <v>https://www.xeno-canto.org/species/Scolopax-bukidnonensis</v>
      </c>
      <c r="D225" s="94" t="str">
        <f>HYPERLINK("https://ebird.org/species/bukwoo1")</f>
        <v>https://ebird.org/species/bukwoo1</v>
      </c>
      <c r="E225" s="122" t="str">
        <f>HYPERLINK("https://en.wikipedia.org/wiki/Bukidnon_Woodcock")</f>
        <v>https://en.wikipedia.org/wiki/Bukidnon_Woodcock</v>
      </c>
      <c r="F225" s="123" t="str">
        <f>HYPERLINK("https://apiv3.iucnredlist.org/api/v3/website/Scolopax bukidnonensis")</f>
        <v>https://apiv3.iucnredlist.org/api/v3/website/Scolopax bukidnonensis</v>
      </c>
      <c r="G225" s="90">
        <v>19</v>
      </c>
      <c r="H225" s="90">
        <v>149</v>
      </c>
      <c r="J225" s="87" t="s">
        <v>419</v>
      </c>
      <c r="K225" s="98" t="s">
        <v>466</v>
      </c>
      <c r="M225" s="99" t="s">
        <v>467</v>
      </c>
      <c r="N225" s="90" t="s">
        <v>57</v>
      </c>
      <c r="Q225" s="2" t="s">
        <v>3402</v>
      </c>
      <c r="R225" s="2" t="s">
        <v>3001</v>
      </c>
    </row>
    <row r="226" spans="1:18" ht="14.4" x14ac:dyDescent="0.3">
      <c r="A226" s="85">
        <v>184</v>
      </c>
      <c r="B226" s="76" t="s">
        <v>3407</v>
      </c>
      <c r="C226" s="77" t="str">
        <f>HYPERLINK("https://www.xeno-canto.org/species/Gallinago-megala")</f>
        <v>https://www.xeno-canto.org/species/Gallinago-megala</v>
      </c>
      <c r="D226" s="94" t="str">
        <f>HYPERLINK("https://ebird.org/species/swisni1")</f>
        <v>https://ebird.org/species/swisni1</v>
      </c>
      <c r="E226" s="122" t="str">
        <f>HYPERLINK("https://en.wikipedia.org/wiki/Swinhoe's_Snipe")</f>
        <v>https://en.wikipedia.org/wiki/Swinhoe's_Snipe</v>
      </c>
      <c r="F226" s="123" t="str">
        <f>HYPERLINK("https://apiv3.iucnredlist.org/api/v3/website/Gallinago megala")</f>
        <v>https://apiv3.iucnredlist.org/api/v3/website/Gallinago megala</v>
      </c>
      <c r="G226" s="90">
        <v>19</v>
      </c>
      <c r="H226" s="90">
        <v>149</v>
      </c>
      <c r="J226" s="87" t="s">
        <v>419</v>
      </c>
      <c r="K226" s="95" t="s">
        <v>474</v>
      </c>
      <c r="M226" s="93" t="s">
        <v>475</v>
      </c>
      <c r="N226" s="90" t="s">
        <v>89</v>
      </c>
      <c r="Q226" s="2" t="s">
        <v>3350</v>
      </c>
    </row>
    <row r="227" spans="1:18" ht="20.399999999999999" x14ac:dyDescent="0.3">
      <c r="A227" s="85">
        <v>185</v>
      </c>
      <c r="B227" s="76" t="s">
        <v>3405</v>
      </c>
      <c r="C227" s="77" t="str">
        <f>HYPERLINK("https://www.xeno-canto.org/species/Gallinago-stenura")</f>
        <v>https://www.xeno-canto.org/species/Gallinago-stenura</v>
      </c>
      <c r="D227" s="94" t="str">
        <f>HYPERLINK("https://ebird.org/species/pitsni")</f>
        <v>https://ebird.org/species/pitsni</v>
      </c>
      <c r="E227" s="122" t="str">
        <f>HYPERLINK("https://en.wikipedia.org/wiki/Pin-tailed_Snipe")</f>
        <v>https://en.wikipedia.org/wiki/Pin-tailed_Snipe</v>
      </c>
      <c r="F227" s="123" t="str">
        <f>HYPERLINK("https://apiv3.iucnredlist.org/api/v3/website/Gallinago stenura")</f>
        <v>https://apiv3.iucnredlist.org/api/v3/website/Gallinago stenura</v>
      </c>
      <c r="G227" s="90">
        <v>19</v>
      </c>
      <c r="H227" s="90">
        <v>149</v>
      </c>
      <c r="J227" s="87" t="s">
        <v>419</v>
      </c>
      <c r="K227" s="92" t="s">
        <v>472</v>
      </c>
      <c r="L227" s="86" t="s">
        <v>1791</v>
      </c>
      <c r="M227" s="93" t="s">
        <v>473</v>
      </c>
      <c r="N227" s="90" t="s">
        <v>49</v>
      </c>
      <c r="Q227" s="2" t="s">
        <v>3406</v>
      </c>
      <c r="R227" s="2" t="s">
        <v>6401</v>
      </c>
    </row>
    <row r="228" spans="1:18" ht="20.399999999999999" x14ac:dyDescent="0.3">
      <c r="A228" s="85">
        <v>186</v>
      </c>
      <c r="B228" s="76" t="s">
        <v>3404</v>
      </c>
      <c r="C228" s="77" t="str">
        <f>HYPERLINK("https://www.xeno-canto.org/species/Gallinago-hardwickii")</f>
        <v>https://www.xeno-canto.org/species/Gallinago-hardwickii</v>
      </c>
      <c r="D228" s="94" t="str">
        <f>HYPERLINK("https://ebird.org/species/latsni1")</f>
        <v>https://ebird.org/species/latsni1</v>
      </c>
      <c r="E228" s="122" t="str">
        <f>HYPERLINK("https://en.wikipedia.org/wiki/Latham's_Snipe")</f>
        <v>https://en.wikipedia.org/wiki/Latham's_Snipe</v>
      </c>
      <c r="F228" s="123" t="str">
        <f>HYPERLINK("https://apiv3.iucnredlist.org/api/v3/website/Gallinago hardwickii")</f>
        <v>https://apiv3.iucnredlist.org/api/v3/website/Gallinago hardwickii</v>
      </c>
      <c r="G228" s="90">
        <v>19</v>
      </c>
      <c r="H228" s="90">
        <v>149</v>
      </c>
      <c r="J228" s="87" t="s">
        <v>419</v>
      </c>
      <c r="K228" s="92" t="s">
        <v>470</v>
      </c>
      <c r="M228" s="93" t="s">
        <v>471</v>
      </c>
      <c r="N228" s="90" t="s">
        <v>49</v>
      </c>
      <c r="Q228" s="2" t="s">
        <v>3083</v>
      </c>
      <c r="R228" s="2" t="s">
        <v>6400</v>
      </c>
    </row>
    <row r="229" spans="1:18" ht="14.4" x14ac:dyDescent="0.3">
      <c r="A229" s="85">
        <v>187</v>
      </c>
      <c r="B229" s="76" t="s">
        <v>3408</v>
      </c>
      <c r="C229" s="77" t="str">
        <f>HYPERLINK("https://www.xeno-canto.org/species/Gallinago-gallinago")</f>
        <v>https://www.xeno-canto.org/species/Gallinago-gallinago</v>
      </c>
      <c r="D229" s="94" t="str">
        <f>HYPERLINK("https://ebird.org/species/comsni")</f>
        <v>https://ebird.org/species/comsni</v>
      </c>
      <c r="E229" s="122" t="str">
        <f>HYPERLINK("https://en.wikipedia.org/wiki/Common_Snipe")</f>
        <v>https://en.wikipedia.org/wiki/Common_Snipe</v>
      </c>
      <c r="F229" s="123" t="str">
        <f>HYPERLINK("https://apiv3.iucnredlist.org/api/v3/website/Gallinago gallinago")</f>
        <v>https://apiv3.iucnredlist.org/api/v3/website/Gallinago gallinago</v>
      </c>
      <c r="G229" s="90">
        <v>19</v>
      </c>
      <c r="H229" s="90">
        <v>151</v>
      </c>
      <c r="J229" s="87" t="s">
        <v>419</v>
      </c>
      <c r="K229" s="95" t="s">
        <v>476</v>
      </c>
      <c r="M229" s="93" t="s">
        <v>477</v>
      </c>
      <c r="N229" s="90" t="s">
        <v>89</v>
      </c>
      <c r="Q229" s="2" t="s">
        <v>3409</v>
      </c>
    </row>
    <row r="230" spans="1:18" ht="20.399999999999999" x14ac:dyDescent="0.3">
      <c r="A230" s="85">
        <v>188</v>
      </c>
      <c r="B230" s="76" t="s">
        <v>3413</v>
      </c>
      <c r="C230" s="77" t="str">
        <f>HYPERLINK("https://www.xeno-canto.org/species/Phalaropus-fulicarius")</f>
        <v>https://www.xeno-canto.org/species/Phalaropus-fulicarius</v>
      </c>
      <c r="D230" s="94" t="str">
        <f>HYPERLINK("https://ebird.org/species/redpha1")</f>
        <v>https://ebird.org/species/redpha1</v>
      </c>
      <c r="E230" s="122" t="str">
        <f>HYPERLINK("https://en.wikipedia.org/wiki/Red_Phalarope")</f>
        <v>https://en.wikipedia.org/wiki/Red_Phalarope</v>
      </c>
      <c r="F230" s="123" t="str">
        <f>HYPERLINK("https://apiv3.iucnredlist.org/api/v3/website/Phalaropus fulicarius")</f>
        <v>https://apiv3.iucnredlist.org/api/v3/website/Phalaropus fulicarius</v>
      </c>
      <c r="G230" s="90">
        <v>21</v>
      </c>
      <c r="H230" s="90">
        <v>151</v>
      </c>
      <c r="J230" s="87" t="s">
        <v>419</v>
      </c>
      <c r="K230" s="92" t="s">
        <v>482</v>
      </c>
      <c r="M230" s="93" t="s">
        <v>483</v>
      </c>
      <c r="N230" s="90" t="s">
        <v>49</v>
      </c>
      <c r="Q230" s="2" t="s">
        <v>3414</v>
      </c>
      <c r="R230" s="2" t="s">
        <v>6526</v>
      </c>
    </row>
    <row r="231" spans="1:18" ht="14.4" x14ac:dyDescent="0.3">
      <c r="A231" s="85">
        <v>189</v>
      </c>
      <c r="B231" s="76" t="s">
        <v>3411</v>
      </c>
      <c r="C231" s="77" t="str">
        <f>HYPERLINK("https://www.xeno-canto.org/species/Phalaropus-lobatus")</f>
        <v>https://www.xeno-canto.org/species/Phalaropus-lobatus</v>
      </c>
      <c r="D231" s="94" t="str">
        <f>HYPERLINK("https://ebird.org/species/renpha")</f>
        <v>https://ebird.org/species/renpha</v>
      </c>
      <c r="E231" s="122" t="str">
        <f>HYPERLINK("https://en.wikipedia.org/wiki/Red-necked_Phalarope")</f>
        <v>https://en.wikipedia.org/wiki/Red-necked_Phalarope</v>
      </c>
      <c r="F231" s="123" t="str">
        <f>HYPERLINK("https://apiv3.iucnredlist.org/api/v3/website/Phalaropus lobatus")</f>
        <v>https://apiv3.iucnredlist.org/api/v3/website/Phalaropus lobatus</v>
      </c>
      <c r="G231" s="90">
        <v>21</v>
      </c>
      <c r="H231" s="90">
        <v>151</v>
      </c>
      <c r="J231" s="87" t="s">
        <v>419</v>
      </c>
      <c r="K231" s="95" t="s">
        <v>480</v>
      </c>
      <c r="M231" s="93" t="s">
        <v>481</v>
      </c>
      <c r="N231" s="90" t="s">
        <v>89</v>
      </c>
      <c r="Q231" s="2" t="s">
        <v>3412</v>
      </c>
    </row>
    <row r="232" spans="1:18" ht="14.4" x14ac:dyDescent="0.3">
      <c r="A232" s="85">
        <v>190</v>
      </c>
      <c r="B232" s="76" t="s">
        <v>3410</v>
      </c>
      <c r="C232" s="77" t="str">
        <f>HYPERLINK("https://www.xeno-canto.org/species/Xenus-cinereus")</f>
        <v>https://www.xeno-canto.org/species/Xenus-cinereus</v>
      </c>
      <c r="D232" s="94" t="str">
        <f>HYPERLINK("https://ebird.org/species/tersan")</f>
        <v>https://ebird.org/species/tersan</v>
      </c>
      <c r="E232" s="122" t="str">
        <f>HYPERLINK("https://en.wikipedia.org/wiki/Terek_Sandpiper")</f>
        <v>https://en.wikipedia.org/wiki/Terek_Sandpiper</v>
      </c>
      <c r="F232" s="123" t="str">
        <f>HYPERLINK("https://apiv3.iucnredlist.org/api/v3/website/Xenus cinereus")</f>
        <v>https://apiv3.iucnredlist.org/api/v3/website/Xenus cinereus</v>
      </c>
      <c r="G232" s="90">
        <v>18</v>
      </c>
      <c r="H232" s="90">
        <v>151</v>
      </c>
      <c r="J232" s="87" t="s">
        <v>419</v>
      </c>
      <c r="K232" s="95" t="s">
        <v>478</v>
      </c>
      <c r="M232" s="93" t="s">
        <v>479</v>
      </c>
      <c r="N232" s="90" t="s">
        <v>89</v>
      </c>
      <c r="Q232" s="2" t="s">
        <v>3381</v>
      </c>
    </row>
    <row r="233" spans="1:18" ht="14.4" x14ac:dyDescent="0.3">
      <c r="A233" s="85">
        <v>191</v>
      </c>
      <c r="B233" s="76" t="s">
        <v>3415</v>
      </c>
      <c r="C233" s="77" t="str">
        <f>HYPERLINK("https://www.xeno-canto.org/species/Actitis-hypoleucos")</f>
        <v>https://www.xeno-canto.org/species/Actitis-hypoleucos</v>
      </c>
      <c r="D233" s="94" t="str">
        <f>HYPERLINK("https://ebird.org/species/comsan")</f>
        <v>https://ebird.org/species/comsan</v>
      </c>
      <c r="E233" s="122" t="str">
        <f>HYPERLINK("https://en.wikipedia.org/wiki/Common_Sandpiper")</f>
        <v>https://en.wikipedia.org/wiki/Common_Sandpiper</v>
      </c>
      <c r="F233" s="123" t="str">
        <f>HYPERLINK("https://apiv3.iucnredlist.org/api/v3/website/Actitis hypoleucos")</f>
        <v>https://apiv3.iucnredlist.org/api/v3/website/Actitis hypoleucos</v>
      </c>
      <c r="G233" s="90">
        <v>18</v>
      </c>
      <c r="H233" s="90">
        <v>153</v>
      </c>
      <c r="J233" s="87" t="s">
        <v>419</v>
      </c>
      <c r="K233" s="95" t="s">
        <v>484</v>
      </c>
      <c r="M233" s="93" t="s">
        <v>485</v>
      </c>
      <c r="N233" s="90" t="s">
        <v>89</v>
      </c>
      <c r="Q233" s="2" t="s">
        <v>3416</v>
      </c>
    </row>
    <row r="234" spans="1:18" ht="14.4" x14ac:dyDescent="0.3">
      <c r="A234" s="85">
        <v>192</v>
      </c>
      <c r="B234" s="76" t="s">
        <v>3417</v>
      </c>
      <c r="C234" s="77" t="str">
        <f>HYPERLINK("https://www.xeno-canto.org/species/Tringa-ochropus")</f>
        <v>https://www.xeno-canto.org/species/Tringa-ochropus</v>
      </c>
      <c r="D234" s="94" t="str">
        <f>HYPERLINK("https://ebird.org/species/grnsan")</f>
        <v>https://ebird.org/species/grnsan</v>
      </c>
      <c r="E234" s="122" t="str">
        <f>HYPERLINK("https://en.wikipedia.org/wiki/Green_Sandpiper")</f>
        <v>https://en.wikipedia.org/wiki/Green_Sandpiper</v>
      </c>
      <c r="F234" s="123" t="str">
        <f>HYPERLINK("https://apiv3.iucnredlist.org/api/v3/website/Tringa ochropus")</f>
        <v>https://apiv3.iucnredlist.org/api/v3/website/Tringa ochropus</v>
      </c>
      <c r="G234" s="90">
        <v>18</v>
      </c>
      <c r="H234" s="90">
        <v>155</v>
      </c>
      <c r="J234" s="87" t="s">
        <v>419</v>
      </c>
      <c r="K234" s="95" t="s">
        <v>486</v>
      </c>
      <c r="M234" s="93" t="s">
        <v>487</v>
      </c>
      <c r="N234" s="90" t="s">
        <v>89</v>
      </c>
      <c r="Q234" s="2" t="s">
        <v>3418</v>
      </c>
    </row>
    <row r="235" spans="1:18" ht="14.4" x14ac:dyDescent="0.3">
      <c r="A235" s="85">
        <v>193</v>
      </c>
      <c r="B235" s="76" t="s">
        <v>3419</v>
      </c>
      <c r="C235" s="77" t="str">
        <f>HYPERLINK("https://www.xeno-canto.org/species/Tringa-brevipes")</f>
        <v>https://www.xeno-canto.org/species/Tringa-brevipes</v>
      </c>
      <c r="D235" s="94" t="str">
        <f>HYPERLINK("https://ebird.org/species/gyttat1")</f>
        <v>https://ebird.org/species/gyttat1</v>
      </c>
      <c r="E235" s="122" t="str">
        <f>HYPERLINK("https://en.wikipedia.org/wiki/Grey-tailed_Tattler")</f>
        <v>https://en.wikipedia.org/wiki/Grey-tailed_Tattler</v>
      </c>
      <c r="F235" s="123" t="str">
        <f>HYPERLINK("https://apiv3.iucnredlist.org/api/v3/website/Tringa brevipes")</f>
        <v>https://apiv3.iucnredlist.org/api/v3/website/Tringa brevipes</v>
      </c>
      <c r="G235" s="90">
        <v>19</v>
      </c>
      <c r="H235" s="90">
        <v>153</v>
      </c>
      <c r="J235" s="87" t="s">
        <v>419</v>
      </c>
      <c r="K235" s="95" t="s">
        <v>488</v>
      </c>
      <c r="M235" s="93" t="s">
        <v>489</v>
      </c>
      <c r="N235" s="90" t="s">
        <v>89</v>
      </c>
      <c r="O235" s="90" t="s">
        <v>50</v>
      </c>
      <c r="Q235" s="2" t="s">
        <v>3350</v>
      </c>
      <c r="R235" s="2" t="s">
        <v>9</v>
      </c>
    </row>
    <row r="236" spans="1:18" ht="14.4" x14ac:dyDescent="0.3">
      <c r="A236" s="85">
        <v>194</v>
      </c>
      <c r="B236" s="76" t="s">
        <v>3421</v>
      </c>
      <c r="C236" s="77" t="str">
        <f>HYPERLINK("https://www.xeno-canto.org/species/Tringa-stagnatilis")</f>
        <v>https://www.xeno-canto.org/species/Tringa-stagnatilis</v>
      </c>
      <c r="D236" s="94" t="str">
        <f>HYPERLINK("https://ebird.org/species/marsan")</f>
        <v>https://ebird.org/species/marsan</v>
      </c>
      <c r="E236" s="122" t="str">
        <f>HYPERLINK("https://en.wikipedia.org/wiki/Marsh_Sandpiper")</f>
        <v>https://en.wikipedia.org/wiki/Marsh_Sandpiper</v>
      </c>
      <c r="F236" s="123" t="str">
        <f>HYPERLINK("https://apiv3.iucnredlist.org/api/v3/website/Tringa stagnatilis")</f>
        <v>https://apiv3.iucnredlist.org/api/v3/website/Tringa stagnatilis</v>
      </c>
      <c r="G236" s="90">
        <v>18</v>
      </c>
      <c r="H236" s="90">
        <v>155</v>
      </c>
      <c r="J236" s="87" t="s">
        <v>419</v>
      </c>
      <c r="K236" s="95" t="s">
        <v>492</v>
      </c>
      <c r="M236" s="93" t="s">
        <v>493</v>
      </c>
      <c r="N236" s="90" t="s">
        <v>89</v>
      </c>
      <c r="Q236" s="2" t="s">
        <v>3388</v>
      </c>
    </row>
    <row r="237" spans="1:18" ht="14.4" x14ac:dyDescent="0.3">
      <c r="A237" s="85">
        <v>195</v>
      </c>
      <c r="B237" s="76" t="s">
        <v>3422</v>
      </c>
      <c r="C237" s="77" t="str">
        <f>HYPERLINK("https://www.xeno-canto.org/species/Tringa-glareola")</f>
        <v>https://www.xeno-canto.org/species/Tringa-glareola</v>
      </c>
      <c r="D237" s="94" t="str">
        <f>HYPERLINK("https://ebird.org/species/woosan")</f>
        <v>https://ebird.org/species/woosan</v>
      </c>
      <c r="E237" s="122" t="str">
        <f>HYPERLINK("https://en.wikipedia.org/wiki/Wood_Sandpiper")</f>
        <v>https://en.wikipedia.org/wiki/Wood_Sandpiper</v>
      </c>
      <c r="F237" s="123" t="str">
        <f>HYPERLINK("https://apiv3.iucnredlist.org/api/v3/website/Tringa glareola")</f>
        <v>https://apiv3.iucnredlist.org/api/v3/website/Tringa glareola</v>
      </c>
      <c r="G237" s="90">
        <v>18</v>
      </c>
      <c r="H237" s="90">
        <v>155</v>
      </c>
      <c r="J237" s="87" t="s">
        <v>419</v>
      </c>
      <c r="K237" s="95" t="s">
        <v>494</v>
      </c>
      <c r="M237" s="93" t="s">
        <v>495</v>
      </c>
      <c r="N237" s="90" t="s">
        <v>89</v>
      </c>
      <c r="Q237" s="2" t="s">
        <v>3350</v>
      </c>
    </row>
    <row r="238" spans="1:18" ht="14.4" x14ac:dyDescent="0.3">
      <c r="A238" s="85">
        <v>196</v>
      </c>
      <c r="B238" s="76" t="s">
        <v>3420</v>
      </c>
      <c r="C238" s="77" t="str">
        <f>HYPERLINK("https://www.xeno-canto.org/species/Tringa-totanus")</f>
        <v>https://www.xeno-canto.org/species/Tringa-totanus</v>
      </c>
      <c r="D238" s="94" t="str">
        <f>HYPERLINK("https://ebird.org/species/comred1")</f>
        <v>https://ebird.org/species/comred1</v>
      </c>
      <c r="E238" s="122" t="str">
        <f>HYPERLINK("https://en.wikipedia.org/wiki/Common_Redshank")</f>
        <v>https://en.wikipedia.org/wiki/Common_Redshank</v>
      </c>
      <c r="F238" s="123" t="str">
        <f>HYPERLINK("https://apiv3.iucnredlist.org/api/v3/website/Tringa totanus")</f>
        <v>https://apiv3.iucnredlist.org/api/v3/website/Tringa totanus</v>
      </c>
      <c r="G238" s="90">
        <v>18</v>
      </c>
      <c r="H238" s="90">
        <v>153</v>
      </c>
      <c r="J238" s="87" t="s">
        <v>419</v>
      </c>
      <c r="K238" s="95" t="s">
        <v>490</v>
      </c>
      <c r="M238" s="93" t="s">
        <v>491</v>
      </c>
      <c r="N238" s="90" t="s">
        <v>89</v>
      </c>
      <c r="Q238" s="2" t="s">
        <v>3350</v>
      </c>
    </row>
    <row r="239" spans="1:18" ht="20.399999999999999" x14ac:dyDescent="0.3">
      <c r="A239" s="85">
        <v>197</v>
      </c>
      <c r="B239" s="76" t="s">
        <v>3426</v>
      </c>
      <c r="C239" s="77" t="str">
        <f>HYPERLINK("https://www.xeno-canto.org/species/Tringa-guttifer")</f>
        <v>https://www.xeno-canto.org/species/Tringa-guttifer</v>
      </c>
      <c r="D239" s="94" t="str">
        <f>HYPERLINK("https://ebird.org/species/norgre1")</f>
        <v>https://ebird.org/species/norgre1</v>
      </c>
      <c r="E239" s="122" t="str">
        <f>HYPERLINK("https://en.wikipedia.org/wiki/Nordmann's_Greenshank")</f>
        <v>https://en.wikipedia.org/wiki/Nordmann's_Greenshank</v>
      </c>
      <c r="F239" s="123" t="str">
        <f>HYPERLINK("https://apiv3.iucnredlist.org/api/v3/website/Tringa guttifer")</f>
        <v>https://apiv3.iucnredlist.org/api/v3/website/Tringa guttifer</v>
      </c>
      <c r="G239" s="90">
        <v>18</v>
      </c>
      <c r="H239" s="90">
        <v>155</v>
      </c>
      <c r="J239" s="87" t="s">
        <v>419</v>
      </c>
      <c r="K239" s="92" t="s">
        <v>500</v>
      </c>
      <c r="L239" s="86" t="s">
        <v>1805</v>
      </c>
      <c r="M239" s="93" t="s">
        <v>501</v>
      </c>
      <c r="N239" s="90" t="s">
        <v>49</v>
      </c>
      <c r="O239" s="90" t="s">
        <v>58</v>
      </c>
      <c r="P239" s="90" t="s">
        <v>58</v>
      </c>
      <c r="Q239" s="2" t="s">
        <v>8554</v>
      </c>
      <c r="R239" s="2" t="s">
        <v>6527</v>
      </c>
    </row>
    <row r="240" spans="1:18" ht="20.399999999999999" x14ac:dyDescent="0.3">
      <c r="A240" s="85">
        <v>198</v>
      </c>
      <c r="B240" s="76" t="s">
        <v>3423</v>
      </c>
      <c r="C240" s="77" t="str">
        <f>HYPERLINK("https://www.xeno-canto.org/species/Tringa-erythropus")</f>
        <v>https://www.xeno-canto.org/species/Tringa-erythropus</v>
      </c>
      <c r="D240" s="94" t="str">
        <f>HYPERLINK("https://ebird.org/species/spored")</f>
        <v>https://ebird.org/species/spored</v>
      </c>
      <c r="E240" s="122" t="str">
        <f>HYPERLINK("https://en.wikipedia.org/wiki/Spotted_Redshank")</f>
        <v>https://en.wikipedia.org/wiki/Spotted_Redshank</v>
      </c>
      <c r="F240" s="123" t="str">
        <f>HYPERLINK("https://apiv3.iucnredlist.org/api/v3/website/Tringa erythropus")</f>
        <v>https://apiv3.iucnredlist.org/api/v3/website/Tringa erythropus</v>
      </c>
      <c r="G240" s="90">
        <v>18</v>
      </c>
      <c r="H240" s="90">
        <v>153</v>
      </c>
      <c r="J240" s="87" t="s">
        <v>419</v>
      </c>
      <c r="K240" s="92" t="s">
        <v>496</v>
      </c>
      <c r="M240" s="93" t="s">
        <v>497</v>
      </c>
      <c r="N240" s="90" t="s">
        <v>49</v>
      </c>
      <c r="P240" s="90" t="s">
        <v>58</v>
      </c>
      <c r="Q240" s="2" t="s">
        <v>3424</v>
      </c>
      <c r="R240" s="2" t="s">
        <v>6402</v>
      </c>
    </row>
    <row r="241" spans="1:18" ht="14.4" x14ac:dyDescent="0.3">
      <c r="A241" s="85">
        <v>199</v>
      </c>
      <c r="B241" s="76" t="s">
        <v>3425</v>
      </c>
      <c r="C241" s="77" t="str">
        <f>HYPERLINK("https://www.xeno-canto.org/species/Tringa-nebularia")</f>
        <v>https://www.xeno-canto.org/species/Tringa-nebularia</v>
      </c>
      <c r="D241" s="94" t="str">
        <f>HYPERLINK("https://ebird.org/species/comgre")</f>
        <v>https://ebird.org/species/comgre</v>
      </c>
      <c r="E241" s="122" t="str">
        <f>HYPERLINK("https://en.wikipedia.org/wiki/Common_Greenshank")</f>
        <v>https://en.wikipedia.org/wiki/Common_Greenshank</v>
      </c>
      <c r="F241" s="123" t="str">
        <f>HYPERLINK("https://apiv3.iucnredlist.org/api/v3/website/Tringa nebularia")</f>
        <v>https://apiv3.iucnredlist.org/api/v3/website/Tringa nebularia</v>
      </c>
      <c r="G241" s="90">
        <v>18</v>
      </c>
      <c r="H241" s="90">
        <v>155</v>
      </c>
      <c r="J241" s="87" t="s">
        <v>419</v>
      </c>
      <c r="K241" s="95" t="s">
        <v>498</v>
      </c>
      <c r="M241" s="93" t="s">
        <v>499</v>
      </c>
      <c r="N241" s="90" t="s">
        <v>89</v>
      </c>
      <c r="Q241" s="2" t="s">
        <v>3409</v>
      </c>
    </row>
    <row r="242" spans="1:18" ht="14.4" x14ac:dyDescent="0.3">
      <c r="A242" s="85">
        <v>200</v>
      </c>
      <c r="B242" s="76" t="s">
        <v>3374</v>
      </c>
      <c r="C242" s="77" t="str">
        <f>HYPERLINK("https://www.xeno-canto.org/species/Arenaria-interpres")</f>
        <v>https://www.xeno-canto.org/species/Arenaria-interpres</v>
      </c>
      <c r="D242" s="94" t="str">
        <f>HYPERLINK("https://ebird.org/species/rudtur")</f>
        <v>https://ebird.org/species/rudtur</v>
      </c>
      <c r="E242" s="122" t="str">
        <f>HYPERLINK("https://en.wikipedia.org/wiki/Ruddy_Turnstone")</f>
        <v>https://en.wikipedia.org/wiki/Ruddy_Turnstone</v>
      </c>
      <c r="F242" s="123" t="str">
        <f>HYPERLINK("https://apiv3.iucnredlist.org/api/v3/website/Arenaria interpres")</f>
        <v>https://apiv3.iucnredlist.org/api/v3/website/Arenaria interpres</v>
      </c>
      <c r="G242" s="90">
        <v>19</v>
      </c>
      <c r="H242" s="90">
        <v>141</v>
      </c>
      <c r="J242" s="87" t="s">
        <v>419</v>
      </c>
      <c r="K242" s="95" t="s">
        <v>434</v>
      </c>
      <c r="M242" s="93" t="s">
        <v>435</v>
      </c>
      <c r="N242" s="90" t="s">
        <v>89</v>
      </c>
      <c r="Q242" s="2" t="s">
        <v>3371</v>
      </c>
    </row>
    <row r="243" spans="1:18" ht="14.4" x14ac:dyDescent="0.3">
      <c r="A243" s="85">
        <v>201</v>
      </c>
      <c r="B243" s="76" t="s">
        <v>3375</v>
      </c>
      <c r="C243" s="77" t="str">
        <f>HYPERLINK("https://www.xeno-canto.org/species/Calidris-tenuirostris")</f>
        <v>https://www.xeno-canto.org/species/Calidris-tenuirostris</v>
      </c>
      <c r="D243" s="94" t="str">
        <f>HYPERLINK("https://ebird.org/species/grekno")</f>
        <v>https://ebird.org/species/grekno</v>
      </c>
      <c r="E243" s="122" t="str">
        <f>HYPERLINK("https://en.wikipedia.org/wiki/Great_Knot")</f>
        <v>https://en.wikipedia.org/wiki/Great_Knot</v>
      </c>
      <c r="F243" s="123" t="str">
        <f>HYPERLINK("https://apiv3.iucnredlist.org/api/v3/website/Calidris tenuirostris")</f>
        <v>https://apiv3.iucnredlist.org/api/v3/website/Calidris tenuirostris</v>
      </c>
      <c r="G243" s="90">
        <v>20</v>
      </c>
      <c r="H243" s="90">
        <v>141</v>
      </c>
      <c r="J243" s="87" t="s">
        <v>419</v>
      </c>
      <c r="K243" s="95" t="s">
        <v>436</v>
      </c>
      <c r="M243" s="93" t="s">
        <v>437</v>
      </c>
      <c r="N243" s="90" t="s">
        <v>89</v>
      </c>
      <c r="O243" s="90" t="s">
        <v>58</v>
      </c>
      <c r="P243" s="90" t="s">
        <v>58</v>
      </c>
      <c r="Q243" s="2" t="s">
        <v>3376</v>
      </c>
    </row>
    <row r="244" spans="1:18" ht="14.4" x14ac:dyDescent="0.3">
      <c r="A244" s="85">
        <v>202</v>
      </c>
      <c r="B244" s="76" t="s">
        <v>3377</v>
      </c>
      <c r="C244" s="77" t="str">
        <f>HYPERLINK("https://www.xeno-canto.org/species/Calidris-canutus")</f>
        <v>https://www.xeno-canto.org/species/Calidris-canutus</v>
      </c>
      <c r="D244" s="94" t="str">
        <f>HYPERLINK("https://ebird.org/species/redkno")</f>
        <v>https://ebird.org/species/redkno</v>
      </c>
      <c r="E244" s="122" t="str">
        <f>HYPERLINK("https://en.wikipedia.org/wiki/Red_Knot")</f>
        <v>https://en.wikipedia.org/wiki/Red_Knot</v>
      </c>
      <c r="F244" s="123" t="str">
        <f>HYPERLINK("https://apiv3.iucnredlist.org/api/v3/website/Calidris canutus")</f>
        <v>https://apiv3.iucnredlist.org/api/v3/website/Calidris canutus</v>
      </c>
      <c r="G244" s="90">
        <v>20</v>
      </c>
      <c r="H244" s="90">
        <v>141</v>
      </c>
      <c r="J244" s="87" t="s">
        <v>419</v>
      </c>
      <c r="K244" s="95" t="s">
        <v>438</v>
      </c>
      <c r="M244" s="93" t="s">
        <v>439</v>
      </c>
      <c r="N244" s="90" t="s">
        <v>89</v>
      </c>
      <c r="O244" s="90" t="s">
        <v>50</v>
      </c>
      <c r="Q244" s="2" t="s">
        <v>3376</v>
      </c>
    </row>
    <row r="245" spans="1:18" ht="20.399999999999999" x14ac:dyDescent="0.3">
      <c r="A245" s="85">
        <v>203</v>
      </c>
      <c r="B245" s="76" t="s">
        <v>3378</v>
      </c>
      <c r="C245" s="77" t="str">
        <f>HYPERLINK("https://www.xeno-canto.org/species/Calidris-pugnax")</f>
        <v>https://www.xeno-canto.org/species/Calidris-pugnax</v>
      </c>
      <c r="D245" s="94" t="str">
        <f>HYPERLINK("https://ebird.org/species/ruff")</f>
        <v>https://ebird.org/species/ruff</v>
      </c>
      <c r="E245" s="122" t="str">
        <f>HYPERLINK("https://en.wikipedia.org/wiki/Ruff")</f>
        <v>https://en.wikipedia.org/wiki/Ruff</v>
      </c>
      <c r="F245" s="123" t="str">
        <f>HYPERLINK("https://apiv3.iucnredlist.org/api/v3/website/Calidris pugnax")</f>
        <v>https://apiv3.iucnredlist.org/api/v3/website/Calidris pugnax</v>
      </c>
      <c r="G245" s="90">
        <v>20</v>
      </c>
      <c r="H245" s="90">
        <v>141</v>
      </c>
      <c r="J245" s="87" t="s">
        <v>419</v>
      </c>
      <c r="K245" s="95" t="s">
        <v>440</v>
      </c>
      <c r="M245" s="93" t="s">
        <v>441</v>
      </c>
      <c r="N245" s="90" t="s">
        <v>89</v>
      </c>
      <c r="Q245" s="2" t="s">
        <v>3379</v>
      </c>
    </row>
    <row r="246" spans="1:18" ht="14.4" x14ac:dyDescent="0.3">
      <c r="A246" s="85">
        <v>204</v>
      </c>
      <c r="B246" s="76" t="s">
        <v>3380</v>
      </c>
      <c r="C246" s="77" t="str">
        <f>HYPERLINK("https://www.xeno-canto.org/species/Calidris-falcinellus")</f>
        <v>https://www.xeno-canto.org/species/Calidris-falcinellus</v>
      </c>
      <c r="D246" s="94" t="str">
        <f>HYPERLINK("https://ebird.org/species/brbsan")</f>
        <v>https://ebird.org/species/brbsan</v>
      </c>
      <c r="E246" s="122" t="str">
        <f>HYPERLINK("https://en.wikipedia.org/wiki/Broad-billed_Sandpiper")</f>
        <v>https://en.wikipedia.org/wiki/Broad-billed_Sandpiper</v>
      </c>
      <c r="F246" s="123" t="str">
        <f>HYPERLINK("https://apiv3.iucnredlist.org/api/v3/website/Calidris falcinellus")</f>
        <v>https://apiv3.iucnredlist.org/api/v3/website/Calidris falcinellus</v>
      </c>
      <c r="G246" s="90">
        <v>20</v>
      </c>
      <c r="H246" s="90">
        <v>141</v>
      </c>
      <c r="J246" s="87" t="s">
        <v>419</v>
      </c>
      <c r="K246" s="95" t="s">
        <v>442</v>
      </c>
      <c r="M246" s="93" t="s">
        <v>443</v>
      </c>
      <c r="N246" s="90" t="s">
        <v>89</v>
      </c>
      <c r="Q246" s="2" t="s">
        <v>3381</v>
      </c>
    </row>
    <row r="247" spans="1:18" ht="14.4" x14ac:dyDescent="0.3">
      <c r="A247" s="85">
        <v>205</v>
      </c>
      <c r="B247" s="76" t="s">
        <v>3382</v>
      </c>
      <c r="C247" s="77" t="str">
        <f>HYPERLINK("https://www.xeno-canto.org/species/Calidris-acuminata")</f>
        <v>https://www.xeno-canto.org/species/Calidris-acuminata</v>
      </c>
      <c r="D247" s="94" t="str">
        <f>HYPERLINK("https://ebird.org/species/shtsan")</f>
        <v>https://ebird.org/species/shtsan</v>
      </c>
      <c r="E247" s="122" t="str">
        <f>HYPERLINK("https://en.wikipedia.org/wiki/Sharp-tailed_Sandpiper")</f>
        <v>https://en.wikipedia.org/wiki/Sharp-tailed_Sandpiper</v>
      </c>
      <c r="F247" s="123" t="str">
        <f>HYPERLINK("https://apiv3.iucnredlist.org/api/v3/website/Calidris acuminata")</f>
        <v>https://apiv3.iucnredlist.org/api/v3/website/Calidris acuminata</v>
      </c>
      <c r="G247" s="90">
        <v>20</v>
      </c>
      <c r="H247" s="90">
        <v>143</v>
      </c>
      <c r="J247" s="87" t="s">
        <v>419</v>
      </c>
      <c r="K247" s="95" t="s">
        <v>444</v>
      </c>
      <c r="M247" s="93" t="s">
        <v>445</v>
      </c>
      <c r="N247" s="90" t="s">
        <v>89</v>
      </c>
      <c r="Q247" s="2" t="s">
        <v>3381</v>
      </c>
    </row>
    <row r="248" spans="1:18" ht="14.4" x14ac:dyDescent="0.3">
      <c r="A248" s="85">
        <v>206</v>
      </c>
      <c r="B248" s="76" t="s">
        <v>3383</v>
      </c>
      <c r="C248" s="77" t="str">
        <f>HYPERLINK("https://www.xeno-canto.org/species/Calidris-ferruginea")</f>
        <v>https://www.xeno-canto.org/species/Calidris-ferruginea</v>
      </c>
      <c r="D248" s="94" t="str">
        <f>HYPERLINK("https://ebird.org/species/cursan")</f>
        <v>https://ebird.org/species/cursan</v>
      </c>
      <c r="E248" s="122" t="str">
        <f>HYPERLINK("https://en.wikipedia.org/wiki/Curlew_Sandpiper")</f>
        <v>https://en.wikipedia.org/wiki/Curlew_Sandpiper</v>
      </c>
      <c r="F248" s="123" t="str">
        <f>HYPERLINK("https://apiv3.iucnredlist.org/api/v3/website/Calidris ferruginea")</f>
        <v>https://apiv3.iucnredlist.org/api/v3/website/Calidris ferruginea</v>
      </c>
      <c r="G248" s="90">
        <v>21</v>
      </c>
      <c r="H248" s="90">
        <v>143</v>
      </c>
      <c r="J248" s="87" t="s">
        <v>419</v>
      </c>
      <c r="K248" s="95" t="s">
        <v>446</v>
      </c>
      <c r="M248" s="93" t="s">
        <v>447</v>
      </c>
      <c r="N248" s="90" t="s">
        <v>89</v>
      </c>
      <c r="O248" s="90" t="s">
        <v>50</v>
      </c>
      <c r="Q248" s="2" t="s">
        <v>3381</v>
      </c>
    </row>
    <row r="249" spans="1:18" ht="20.399999999999999" x14ac:dyDescent="0.3">
      <c r="A249" s="85">
        <v>207</v>
      </c>
      <c r="B249" s="76" t="s">
        <v>3384</v>
      </c>
      <c r="C249" s="77" t="str">
        <f>HYPERLINK("https://www.xeno-canto.org/species/Calidris-temminckii")</f>
        <v>https://www.xeno-canto.org/species/Calidris-temminckii</v>
      </c>
      <c r="D249" s="94" t="str">
        <f>HYPERLINK("https://ebird.org/species/temsti")</f>
        <v>https://ebird.org/species/temsti</v>
      </c>
      <c r="E249" s="122" t="str">
        <f>HYPERLINK("https://en.wikipedia.org/wiki/Temminck's_Stint")</f>
        <v>https://en.wikipedia.org/wiki/Temminck's_Stint</v>
      </c>
      <c r="F249" s="123" t="str">
        <f>HYPERLINK("https://apiv3.iucnredlist.org/api/v3/website/Calidris temminckii")</f>
        <v>https://apiv3.iucnredlist.org/api/v3/website/Calidris temminckii</v>
      </c>
      <c r="G249" s="90">
        <v>20</v>
      </c>
      <c r="H249" s="90">
        <v>143</v>
      </c>
      <c r="J249" s="87" t="s">
        <v>419</v>
      </c>
      <c r="K249" s="95" t="s">
        <v>448</v>
      </c>
      <c r="M249" s="93" t="s">
        <v>449</v>
      </c>
      <c r="N249" s="90" t="s">
        <v>89</v>
      </c>
      <c r="Q249" s="2" t="s">
        <v>3385</v>
      </c>
      <c r="R249" s="2" t="s">
        <v>6395</v>
      </c>
    </row>
    <row r="250" spans="1:18" ht="14.4" x14ac:dyDescent="0.3">
      <c r="A250" s="85">
        <v>208</v>
      </c>
      <c r="B250" s="76" t="s">
        <v>3386</v>
      </c>
      <c r="C250" s="77" t="str">
        <f>HYPERLINK("https://www.xeno-canto.org/species/Calidris-subminuta")</f>
        <v>https://www.xeno-canto.org/species/Calidris-subminuta</v>
      </c>
      <c r="D250" s="94" t="str">
        <f>HYPERLINK("https://ebird.org/species/lotsti")</f>
        <v>https://ebird.org/species/lotsti</v>
      </c>
      <c r="E250" s="122" t="str">
        <f>HYPERLINK("https://en.wikipedia.org/wiki/Long-toed_Stint")</f>
        <v>https://en.wikipedia.org/wiki/Long-toed_Stint</v>
      </c>
      <c r="F250" s="123" t="str">
        <f>HYPERLINK("https://apiv3.iucnredlist.org/api/v3/website/Calidris subminuta")</f>
        <v>https://apiv3.iucnredlist.org/api/v3/website/Calidris subminuta</v>
      </c>
      <c r="G250" s="90">
        <v>20</v>
      </c>
      <c r="H250" s="90">
        <v>143</v>
      </c>
      <c r="J250" s="87" t="s">
        <v>419</v>
      </c>
      <c r="K250" s="95" t="s">
        <v>450</v>
      </c>
      <c r="M250" s="93" t="s">
        <v>451</v>
      </c>
      <c r="N250" s="90" t="s">
        <v>89</v>
      </c>
      <c r="Q250" s="2" t="s">
        <v>3350</v>
      </c>
    </row>
    <row r="251" spans="1:18" ht="14.4" x14ac:dyDescent="0.3">
      <c r="A251" s="85">
        <v>209</v>
      </c>
      <c r="B251" s="76" t="s">
        <v>3387</v>
      </c>
      <c r="C251" s="77" t="str">
        <f>HYPERLINK("https://www.xeno-canto.org/species/Calidris-ruficollis")</f>
        <v>https://www.xeno-canto.org/species/Calidris-ruficollis</v>
      </c>
      <c r="D251" s="94" t="str">
        <f>HYPERLINK("https://ebird.org/species/rensti")</f>
        <v>https://ebird.org/species/rensti</v>
      </c>
      <c r="E251" s="122" t="str">
        <f>HYPERLINK("https://en.wikipedia.org/wiki/Red-necked_Stint")</f>
        <v>https://en.wikipedia.org/wiki/Red-necked_Stint</v>
      </c>
      <c r="F251" s="123" t="str">
        <f>HYPERLINK("https://apiv3.iucnredlist.org/api/v3/website/Calidris ruficollis")</f>
        <v>https://apiv3.iucnredlist.org/api/v3/website/Calidris ruficollis</v>
      </c>
      <c r="G251" s="90">
        <v>20</v>
      </c>
      <c r="H251" s="90">
        <v>145</v>
      </c>
      <c r="J251" s="87" t="s">
        <v>419</v>
      </c>
      <c r="K251" s="95" t="s">
        <v>452</v>
      </c>
      <c r="M251" s="93" t="s">
        <v>453</v>
      </c>
      <c r="N251" s="90" t="s">
        <v>89</v>
      </c>
      <c r="O251" s="90" t="s">
        <v>50</v>
      </c>
      <c r="Q251" s="2" t="s">
        <v>3388</v>
      </c>
    </row>
    <row r="252" spans="1:18" ht="14.4" x14ac:dyDescent="0.3">
      <c r="A252" s="85">
        <v>210</v>
      </c>
      <c r="B252" s="76" t="s">
        <v>3389</v>
      </c>
      <c r="C252" s="77" t="str">
        <f>HYPERLINK("https://www.xeno-canto.org/species/Calidris-alba")</f>
        <v>https://www.xeno-canto.org/species/Calidris-alba</v>
      </c>
      <c r="D252" s="94" t="str">
        <f>HYPERLINK("https://ebird.org/species/sander")</f>
        <v>https://ebird.org/species/sander</v>
      </c>
      <c r="E252" s="122" t="str">
        <f>HYPERLINK("https://en.wikipedia.org/wiki/Sanderling")</f>
        <v>https://en.wikipedia.org/wiki/Sanderling</v>
      </c>
      <c r="F252" s="123" t="str">
        <f>HYPERLINK("https://apiv3.iucnredlist.org/api/v3/website/Calidris alba")</f>
        <v>https://apiv3.iucnredlist.org/api/v3/website/Calidris alba</v>
      </c>
      <c r="G252" s="90">
        <v>20</v>
      </c>
      <c r="H252" s="90">
        <v>145</v>
      </c>
      <c r="J252" s="87" t="s">
        <v>419</v>
      </c>
      <c r="K252" s="95" t="s">
        <v>454</v>
      </c>
      <c r="M252" s="93" t="s">
        <v>455</v>
      </c>
      <c r="N252" s="90" t="s">
        <v>89</v>
      </c>
      <c r="Q252" s="2" t="s">
        <v>3390</v>
      </c>
    </row>
    <row r="253" spans="1:18" ht="20.399999999999999" x14ac:dyDescent="0.3">
      <c r="A253" s="85">
        <v>211</v>
      </c>
      <c r="B253" s="76" t="s">
        <v>3391</v>
      </c>
      <c r="C253" s="77" t="str">
        <f>HYPERLINK("https://www.xeno-canto.org/species/Calidris-alpina")</f>
        <v>https://www.xeno-canto.org/species/Calidris-alpina</v>
      </c>
      <c r="D253" s="94" t="str">
        <f>HYPERLINK("https://ebird.org/species/dunlin")</f>
        <v>https://ebird.org/species/dunlin</v>
      </c>
      <c r="E253" s="122" t="str">
        <f>HYPERLINK("https://en.wikipedia.org/wiki/Dunlin")</f>
        <v>https://en.wikipedia.org/wiki/Dunlin</v>
      </c>
      <c r="F253" s="123" t="str">
        <f>HYPERLINK("https://apiv3.iucnredlist.org/api/v3/website/Calidris alpina")</f>
        <v>https://apiv3.iucnredlist.org/api/v3/website/Calidris alpina</v>
      </c>
      <c r="G253" s="90">
        <v>21</v>
      </c>
      <c r="H253" s="90">
        <v>145</v>
      </c>
      <c r="J253" s="87" t="s">
        <v>419</v>
      </c>
      <c r="K253" s="95" t="s">
        <v>456</v>
      </c>
      <c r="M253" s="93" t="s">
        <v>457</v>
      </c>
      <c r="N253" s="90" t="s">
        <v>89</v>
      </c>
      <c r="Q253" s="2" t="s">
        <v>8555</v>
      </c>
      <c r="R253" s="2" t="s">
        <v>6528</v>
      </c>
    </row>
    <row r="254" spans="1:18" ht="20.399999999999999" x14ac:dyDescent="0.3">
      <c r="A254" s="85">
        <v>212</v>
      </c>
      <c r="B254" s="76" t="s">
        <v>3393</v>
      </c>
      <c r="C254" s="77" t="str">
        <f>HYPERLINK("https://www.xeno-canto.org/species/Calidris-minuta")</f>
        <v>https://www.xeno-canto.org/species/Calidris-minuta</v>
      </c>
      <c r="D254" s="94" t="str">
        <f>HYPERLINK("https://ebird.org/species/litsti")</f>
        <v>https://ebird.org/species/litsti</v>
      </c>
      <c r="E254" s="122" t="str">
        <f>HYPERLINK("https://en.wikipedia.org/wiki/Little_Stint")</f>
        <v>https://en.wikipedia.org/wiki/Little_Stint</v>
      </c>
      <c r="F254" s="123" t="str">
        <f>HYPERLINK("https://apiv3.iucnredlist.org/api/v3/website/Calidris minuta")</f>
        <v>https://apiv3.iucnredlist.org/api/v3/website/Calidris minuta</v>
      </c>
      <c r="G254" s="90">
        <v>20</v>
      </c>
      <c r="H254" s="90">
        <v>145</v>
      </c>
      <c r="J254" s="87" t="s">
        <v>419</v>
      </c>
      <c r="K254" s="92" t="s">
        <v>458</v>
      </c>
      <c r="M254" s="93" t="s">
        <v>459</v>
      </c>
      <c r="N254" s="90" t="s">
        <v>49</v>
      </c>
      <c r="Q254" s="2" t="s">
        <v>8556</v>
      </c>
      <c r="R254" s="2" t="s">
        <v>6529</v>
      </c>
    </row>
    <row r="255" spans="1:18" ht="20.399999999999999" x14ac:dyDescent="0.3">
      <c r="A255" s="85">
        <v>213</v>
      </c>
      <c r="B255" s="76" t="s">
        <v>3394</v>
      </c>
      <c r="C255" s="77" t="str">
        <f>HYPERLINK("https://www.xeno-canto.org/species/Calidris-melanotos")</f>
        <v>https://www.xeno-canto.org/species/Calidris-melanotos</v>
      </c>
      <c r="D255" s="94" t="str">
        <f>HYPERLINK("https://ebird.org/species/pecsan")</f>
        <v>https://ebird.org/species/pecsan</v>
      </c>
      <c r="E255" s="122" t="str">
        <f>HYPERLINK("https://en.wikipedia.org/wiki/Pectoral_Sandpiper")</f>
        <v>https://en.wikipedia.org/wiki/Pectoral_Sandpiper</v>
      </c>
      <c r="F255" s="123" t="str">
        <f>HYPERLINK("https://apiv3.iucnredlist.org/api/v3/website/Calidris melanotos")</f>
        <v>https://apiv3.iucnredlist.org/api/v3/website/Calidris melanotos</v>
      </c>
      <c r="H255" s="90">
        <v>147</v>
      </c>
      <c r="J255" s="87" t="s">
        <v>419</v>
      </c>
      <c r="K255" s="92" t="s">
        <v>460</v>
      </c>
      <c r="M255" s="93" t="s">
        <v>461</v>
      </c>
      <c r="N255" s="90" t="s">
        <v>49</v>
      </c>
      <c r="Q255" s="2" t="s">
        <v>3083</v>
      </c>
      <c r="R255" s="2" t="s">
        <v>6396</v>
      </c>
    </row>
    <row r="257" spans="1:18" ht="12" x14ac:dyDescent="0.3">
      <c r="K257" s="88" t="s">
        <v>5808</v>
      </c>
      <c r="M257" s="89" t="s">
        <v>502</v>
      </c>
    </row>
    <row r="258" spans="1:18" ht="14.4" x14ac:dyDescent="0.3">
      <c r="A258" s="85">
        <v>214</v>
      </c>
      <c r="B258" s="74" t="s">
        <v>3427</v>
      </c>
      <c r="C258" s="75" t="str">
        <f>HYPERLINK("https://www.xeno-canto.org/species/Glareola-maldivarum")</f>
        <v>https://www.xeno-canto.org/species/Glareola-maldivarum</v>
      </c>
      <c r="D258" s="91" t="str">
        <f>HYPERLINK("https://ebird.org/species/oripra")</f>
        <v>https://ebird.org/species/oripra</v>
      </c>
      <c r="E258" s="120" t="str">
        <f>HYPERLINK("https://en.wikipedia.org/wiki/Oriental_Pratincole")</f>
        <v>https://en.wikipedia.org/wiki/Oriental_Pratincole</v>
      </c>
      <c r="F258" s="121" t="str">
        <f>HYPERLINK("https://apiv3.iucnredlist.org/api/v3/website/Glareola maldivarum")</f>
        <v>https://apiv3.iucnredlist.org/api/v3/website/Glareola maldivarum</v>
      </c>
      <c r="G258" s="90">
        <v>21</v>
      </c>
      <c r="H258" s="90">
        <v>159</v>
      </c>
      <c r="J258" s="87" t="s">
        <v>502</v>
      </c>
      <c r="K258" s="95" t="s">
        <v>503</v>
      </c>
      <c r="M258" s="93" t="s">
        <v>504</v>
      </c>
      <c r="N258" s="90" t="s">
        <v>346</v>
      </c>
      <c r="Q258" s="2" t="s">
        <v>3428</v>
      </c>
    </row>
    <row r="260" spans="1:18" ht="12" x14ac:dyDescent="0.3">
      <c r="K260" s="88" t="s">
        <v>5809</v>
      </c>
      <c r="M260" s="89" t="s">
        <v>505</v>
      </c>
    </row>
    <row r="261" spans="1:18" ht="20.399999999999999" x14ac:dyDescent="0.3">
      <c r="A261" s="85">
        <v>215</v>
      </c>
      <c r="B261" s="74" t="s">
        <v>3433</v>
      </c>
      <c r="C261" s="75" t="str">
        <f>HYPERLINK("https://www.xeno-canto.org/species/Gygis-alba")</f>
        <v>https://www.xeno-canto.org/species/Gygis-alba</v>
      </c>
      <c r="D261" s="91" t="str">
        <f>HYPERLINK("https://ebird.org/species/whiter")</f>
        <v>https://ebird.org/species/whiter</v>
      </c>
      <c r="E261" s="120" t="str">
        <f>HYPERLINK("https://en.wikipedia.org/wiki/White_Tern")</f>
        <v>https://en.wikipedia.org/wiki/White_Tern</v>
      </c>
      <c r="F261" s="121" t="str">
        <f>HYPERLINK("https://apiv3.iucnredlist.org/api/v3/website/Gygis alba")</f>
        <v>https://apiv3.iucnredlist.org/api/v3/website/Gygis alba</v>
      </c>
      <c r="H261" s="90">
        <v>161</v>
      </c>
      <c r="J261" s="87" t="s">
        <v>505</v>
      </c>
      <c r="K261" s="92" t="s">
        <v>510</v>
      </c>
      <c r="L261" s="86" t="s">
        <v>1808</v>
      </c>
      <c r="M261" s="93" t="s">
        <v>511</v>
      </c>
      <c r="N261" s="90" t="s">
        <v>49</v>
      </c>
      <c r="Q261" s="2" t="s">
        <v>3434</v>
      </c>
      <c r="R261" s="2" t="s">
        <v>6403</v>
      </c>
    </row>
    <row r="262" spans="1:18" ht="14.4" x14ac:dyDescent="0.3">
      <c r="A262" s="85">
        <v>216</v>
      </c>
      <c r="B262" s="76" t="s">
        <v>3429</v>
      </c>
      <c r="C262" s="77" t="str">
        <f>HYPERLINK("https://www.xeno-canto.org/species/Anous-stolidus")</f>
        <v>https://www.xeno-canto.org/species/Anous-stolidus</v>
      </c>
      <c r="D262" s="94" t="str">
        <f>HYPERLINK("https://ebird.org/species/brnnod")</f>
        <v>https://ebird.org/species/brnnod</v>
      </c>
      <c r="E262" s="122" t="str">
        <f>HYPERLINK("https://en.wikipedia.org/wiki/Brown_Noddy")</f>
        <v>https://en.wikipedia.org/wiki/Brown_Noddy</v>
      </c>
      <c r="F262" s="123" t="str">
        <f>HYPERLINK("https://apiv3.iucnredlist.org/api/v3/website/Anous stolidus")</f>
        <v>https://apiv3.iucnredlist.org/api/v3/website/Anous stolidus</v>
      </c>
      <c r="G262" s="90">
        <v>23</v>
      </c>
      <c r="H262" s="90">
        <v>159</v>
      </c>
      <c r="J262" s="87" t="s">
        <v>505</v>
      </c>
      <c r="K262" s="95" t="s">
        <v>506</v>
      </c>
      <c r="M262" s="93" t="s">
        <v>507</v>
      </c>
      <c r="N262" s="90" t="s">
        <v>37</v>
      </c>
      <c r="P262" s="90" t="s">
        <v>38</v>
      </c>
      <c r="Q262" s="2" t="s">
        <v>3430</v>
      </c>
    </row>
    <row r="263" spans="1:18" ht="14.4" x14ac:dyDescent="0.3">
      <c r="A263" s="85">
        <v>217</v>
      </c>
      <c r="B263" s="76" t="s">
        <v>3431</v>
      </c>
      <c r="C263" s="77" t="str">
        <f>HYPERLINK("https://www.xeno-canto.org/species/Anous-minutus")</f>
        <v>https://www.xeno-canto.org/species/Anous-minutus</v>
      </c>
      <c r="D263" s="94" t="str">
        <f>HYPERLINK("https://ebird.org/species/blknod")</f>
        <v>https://ebird.org/species/blknod</v>
      </c>
      <c r="E263" s="122" t="str">
        <f>HYPERLINK("https://en.wikipedia.org/wiki/Black_Noddy")</f>
        <v>https://en.wikipedia.org/wiki/Black_Noddy</v>
      </c>
      <c r="F263" s="123" t="str">
        <f>HYPERLINK("https://apiv3.iucnredlist.org/api/v3/website/Anous minutus")</f>
        <v>https://apiv3.iucnredlist.org/api/v3/website/Anous minutus</v>
      </c>
      <c r="G263" s="90">
        <v>23</v>
      </c>
      <c r="H263" s="90">
        <v>159</v>
      </c>
      <c r="J263" s="87" t="s">
        <v>505</v>
      </c>
      <c r="K263" s="95" t="s">
        <v>508</v>
      </c>
      <c r="M263" s="93" t="s">
        <v>509</v>
      </c>
      <c r="N263" s="90" t="s">
        <v>37</v>
      </c>
      <c r="P263" s="90" t="s">
        <v>58</v>
      </c>
      <c r="Q263" s="2" t="s">
        <v>3432</v>
      </c>
    </row>
    <row r="264" spans="1:18" ht="30.6" x14ac:dyDescent="0.3">
      <c r="A264" s="85">
        <v>218</v>
      </c>
      <c r="B264" s="76" t="s">
        <v>3457</v>
      </c>
      <c r="C264" s="77" t="str">
        <f>HYPERLINK("https://www.xeno-canto.org/species/Onychoprion-aleuticus")</f>
        <v>https://www.xeno-canto.org/species/Onychoprion-aleuticus</v>
      </c>
      <c r="D264" s="94" t="str">
        <f>HYPERLINK("https://ebird.org/species/aleter1")</f>
        <v>https://ebird.org/species/aleter1</v>
      </c>
      <c r="E264" s="122" t="str">
        <f>HYPERLINK("https://en.wikipedia.org/wiki/Aleutian_Tern")</f>
        <v>https://en.wikipedia.org/wiki/Aleutian_Tern</v>
      </c>
      <c r="F264" s="123" t="str">
        <f>HYPERLINK("https://apiv3.iucnredlist.org/api/v3/website/Onychoprion aleuticus")</f>
        <v>https://apiv3.iucnredlist.org/api/v3/website/Onychoprion aleuticus</v>
      </c>
      <c r="G264" s="90">
        <v>23</v>
      </c>
      <c r="H264" s="90">
        <v>165</v>
      </c>
      <c r="J264" s="87" t="s">
        <v>505</v>
      </c>
      <c r="K264" s="92" t="s">
        <v>539</v>
      </c>
      <c r="M264" s="93" t="s">
        <v>540</v>
      </c>
      <c r="N264" s="90" t="s">
        <v>49</v>
      </c>
      <c r="O264" s="90" t="s">
        <v>38</v>
      </c>
      <c r="Q264" s="2" t="s">
        <v>8557</v>
      </c>
      <c r="R264" s="2" t="s">
        <v>6530</v>
      </c>
    </row>
    <row r="265" spans="1:18" ht="14.4" x14ac:dyDescent="0.3">
      <c r="A265" s="85">
        <v>219</v>
      </c>
      <c r="B265" s="76" t="s">
        <v>3459</v>
      </c>
      <c r="C265" s="77" t="str">
        <f>HYPERLINK("https://www.xeno-canto.org/species/Onychoprion-fuscatus")</f>
        <v>https://www.xeno-canto.org/species/Onychoprion-fuscatus</v>
      </c>
      <c r="D265" s="94" t="str">
        <f>HYPERLINK("https://ebird.org/species/sooter1")</f>
        <v>https://ebird.org/species/sooter1</v>
      </c>
      <c r="E265" s="122" t="str">
        <f>HYPERLINK("https://en.wikipedia.org/wiki/Sooty_Tern")</f>
        <v>https://en.wikipedia.org/wiki/Sooty_Tern</v>
      </c>
      <c r="F265" s="123" t="str">
        <f>HYPERLINK("https://apiv3.iucnredlist.org/api/v3/website/Onychoprion fuscatus")</f>
        <v>https://apiv3.iucnredlist.org/api/v3/website/Onychoprion fuscatus</v>
      </c>
      <c r="G265" s="90">
        <v>23</v>
      </c>
      <c r="H265" s="90">
        <v>165</v>
      </c>
      <c r="J265" s="87" t="s">
        <v>505</v>
      </c>
      <c r="K265" s="95" t="s">
        <v>543</v>
      </c>
      <c r="M265" s="93" t="s">
        <v>544</v>
      </c>
      <c r="N265" s="90" t="s">
        <v>346</v>
      </c>
      <c r="P265" s="90" t="s">
        <v>38</v>
      </c>
      <c r="Q265" s="2" t="s">
        <v>3460</v>
      </c>
    </row>
    <row r="266" spans="1:18" ht="14.4" x14ac:dyDescent="0.3">
      <c r="A266" s="85">
        <v>220</v>
      </c>
      <c r="B266" s="76" t="s">
        <v>3458</v>
      </c>
      <c r="C266" s="77" t="str">
        <f>HYPERLINK("https://www.xeno-canto.org/species/Onychoprion-anaethetus")</f>
        <v>https://www.xeno-canto.org/species/Onychoprion-anaethetus</v>
      </c>
      <c r="D266" s="94" t="str">
        <f>HYPERLINK("https://ebird.org/species/briter1")</f>
        <v>https://ebird.org/species/briter1</v>
      </c>
      <c r="E266" s="122" t="str">
        <f>HYPERLINK("https://en.wikipedia.org/wiki/Bridled_Tern")</f>
        <v>https://en.wikipedia.org/wiki/Bridled_Tern</v>
      </c>
      <c r="F266" s="123" t="str">
        <f>HYPERLINK("https://apiv3.iucnredlist.org/api/v3/website/Onychoprion anaethetus")</f>
        <v>https://apiv3.iucnredlist.org/api/v3/website/Onychoprion anaethetus</v>
      </c>
      <c r="G266" s="90">
        <v>23</v>
      </c>
      <c r="H266" s="90">
        <v>165</v>
      </c>
      <c r="J266" s="87" t="s">
        <v>505</v>
      </c>
      <c r="K266" s="95" t="s">
        <v>541</v>
      </c>
      <c r="M266" s="93" t="s">
        <v>542</v>
      </c>
      <c r="N266" s="90" t="s">
        <v>346</v>
      </c>
      <c r="P266" s="90" t="s">
        <v>186</v>
      </c>
      <c r="Q266" s="2" t="s">
        <v>6474</v>
      </c>
    </row>
    <row r="267" spans="1:18" ht="14.4" x14ac:dyDescent="0.3">
      <c r="A267" s="85">
        <v>221</v>
      </c>
      <c r="B267" s="76" t="s">
        <v>3455</v>
      </c>
      <c r="C267" s="77" t="str">
        <f>HYPERLINK("https://www.xeno-canto.org/species/Sternula-albifrons")</f>
        <v>https://www.xeno-canto.org/species/Sternula-albifrons</v>
      </c>
      <c r="D267" s="94" t="str">
        <f>HYPERLINK("https://ebird.org/species/litter1")</f>
        <v>https://ebird.org/species/litter1</v>
      </c>
      <c r="E267" s="122" t="str">
        <f>HYPERLINK("https://en.wikipedia.org/wiki/Little_Tern")</f>
        <v>https://en.wikipedia.org/wiki/Little_Tern</v>
      </c>
      <c r="F267" s="123" t="str">
        <f>HYPERLINK("https://apiv3.iucnredlist.org/api/v3/website/Sternula albifrons")</f>
        <v>https://apiv3.iucnredlist.org/api/v3/website/Sternula albifrons</v>
      </c>
      <c r="G267" s="90">
        <v>23</v>
      </c>
      <c r="H267" s="90">
        <v>167</v>
      </c>
      <c r="J267" s="87" t="s">
        <v>505</v>
      </c>
      <c r="K267" s="95" t="s">
        <v>537</v>
      </c>
      <c r="M267" s="93" t="s">
        <v>538</v>
      </c>
      <c r="N267" s="90" t="s">
        <v>89</v>
      </c>
      <c r="Q267" s="2" t="s">
        <v>3456</v>
      </c>
    </row>
    <row r="268" spans="1:18" ht="14.4" x14ac:dyDescent="0.3">
      <c r="A268" s="85">
        <v>222</v>
      </c>
      <c r="B268" s="76" t="s">
        <v>3449</v>
      </c>
      <c r="C268" s="77" t="str">
        <f>HYPERLINK("https://www.xeno-canto.org/species/Gelochelidon-nilotica")</f>
        <v>https://www.xeno-canto.org/species/Gelochelidon-nilotica</v>
      </c>
      <c r="D268" s="94" t="str">
        <f>HYPERLINK("https://ebird.org/species/gubter2")</f>
        <v>https://ebird.org/species/gubter2</v>
      </c>
      <c r="E268" s="122" t="str">
        <f>HYPERLINK("https://en.wikipedia.org/wiki/Gull-billed_Tern")</f>
        <v>https://en.wikipedia.org/wiki/Gull-billed_Tern</v>
      </c>
      <c r="F268" s="123" t="str">
        <f>HYPERLINK("https://apiv3.iucnredlist.org/api/v3/website/Gelochelidon nilotica")</f>
        <v>https://apiv3.iucnredlist.org/api/v3/website/Gelochelidon nilotica</v>
      </c>
      <c r="G268" s="90">
        <v>22</v>
      </c>
      <c r="H268" s="90">
        <v>167</v>
      </c>
      <c r="J268" s="87" t="s">
        <v>505</v>
      </c>
      <c r="K268" s="95" t="s">
        <v>529</v>
      </c>
      <c r="L268" s="86" t="s">
        <v>1820</v>
      </c>
      <c r="M268" s="93" t="s">
        <v>530</v>
      </c>
      <c r="N268" s="90" t="s">
        <v>89</v>
      </c>
      <c r="Q268" s="2" t="s">
        <v>3450</v>
      </c>
      <c r="R268" s="2" t="s">
        <v>9</v>
      </c>
    </row>
    <row r="269" spans="1:18" ht="20.399999999999999" x14ac:dyDescent="0.3">
      <c r="A269" s="85">
        <v>223</v>
      </c>
      <c r="B269" s="76" t="s">
        <v>3451</v>
      </c>
      <c r="C269" s="77" t="str">
        <f>HYPERLINK("https://www.xeno-canto.org/species/Hydroprogne-caspia")</f>
        <v>https://www.xeno-canto.org/species/Hydroprogne-caspia</v>
      </c>
      <c r="D269" s="94" t="str">
        <f>HYPERLINK("https://ebird.org/species/caster1")</f>
        <v>https://ebird.org/species/caster1</v>
      </c>
      <c r="E269" s="122" t="str">
        <f>HYPERLINK("https://en.wikipedia.org/wiki/Caspian_Tern")</f>
        <v>https://en.wikipedia.org/wiki/Caspian_Tern</v>
      </c>
      <c r="F269" s="123" t="str">
        <f>HYPERLINK("https://apiv3.iucnredlist.org/api/v3/website/Hydroprogne caspia")</f>
        <v>https://apiv3.iucnredlist.org/api/v3/website/Hydroprogne caspia</v>
      </c>
      <c r="G269" s="90">
        <v>22</v>
      </c>
      <c r="H269" s="90">
        <v>167</v>
      </c>
      <c r="J269" s="87" t="s">
        <v>505</v>
      </c>
      <c r="K269" s="95" t="s">
        <v>531</v>
      </c>
      <c r="M269" s="93" t="s">
        <v>532</v>
      </c>
      <c r="N269" s="90" t="s">
        <v>89</v>
      </c>
      <c r="Q269" s="2" t="s">
        <v>8558</v>
      </c>
      <c r="R269" s="2" t="s">
        <v>6412</v>
      </c>
    </row>
    <row r="270" spans="1:18" ht="14.4" x14ac:dyDescent="0.3">
      <c r="A270" s="85">
        <v>224</v>
      </c>
      <c r="B270" s="76" t="s">
        <v>3466</v>
      </c>
      <c r="C270" s="77" t="str">
        <f>HYPERLINK("https://www.xeno-canto.org/species/Chlidonias-hybrida")</f>
        <v>https://www.xeno-canto.org/species/Chlidonias-hybrida</v>
      </c>
      <c r="D270" s="94" t="str">
        <f>HYPERLINK("https://ebird.org/species/whiter2")</f>
        <v>https://ebird.org/species/whiter2</v>
      </c>
      <c r="E270" s="122" t="str">
        <f>HYPERLINK("https://en.wikipedia.org/wiki/Whiskered_Tern")</f>
        <v>https://en.wikipedia.org/wiki/Whiskered_Tern</v>
      </c>
      <c r="F270" s="123" t="str">
        <f>HYPERLINK("https://apiv3.iucnredlist.org/api/v3/website/Chlidonias hybrida")</f>
        <v>https://apiv3.iucnredlist.org/api/v3/website/Chlidonias hybrida</v>
      </c>
      <c r="G270" s="90">
        <v>23</v>
      </c>
      <c r="H270" s="90">
        <v>167</v>
      </c>
      <c r="J270" s="87" t="s">
        <v>505</v>
      </c>
      <c r="K270" s="95" t="s">
        <v>551</v>
      </c>
      <c r="M270" s="93" t="s">
        <v>552</v>
      </c>
      <c r="N270" s="90" t="s">
        <v>89</v>
      </c>
      <c r="Q270" s="2" t="s">
        <v>3467</v>
      </c>
    </row>
    <row r="271" spans="1:18" ht="14.4" x14ac:dyDescent="0.3">
      <c r="A271" s="85">
        <v>225</v>
      </c>
      <c r="B271" s="76" t="s">
        <v>3468</v>
      </c>
      <c r="C271" s="77" t="str">
        <f>HYPERLINK("https://www.xeno-canto.org/species/Chlidonias-leucopterus")</f>
        <v>https://www.xeno-canto.org/species/Chlidonias-leucopterus</v>
      </c>
      <c r="D271" s="94" t="str">
        <f>HYPERLINK("https://ebird.org/species/whwter")</f>
        <v>https://ebird.org/species/whwter</v>
      </c>
      <c r="E271" s="122" t="str">
        <f>HYPERLINK("https://en.wikipedia.org/wiki/White-winged_Tern")</f>
        <v>https://en.wikipedia.org/wiki/White-winged_Tern</v>
      </c>
      <c r="F271" s="123" t="str">
        <f>HYPERLINK("https://apiv3.iucnredlist.org/api/v3/website/Chlidonias leucopterus")</f>
        <v>https://apiv3.iucnredlist.org/api/v3/website/Chlidonias leucopterus</v>
      </c>
      <c r="G271" s="90">
        <v>23</v>
      </c>
      <c r="H271" s="90">
        <v>167</v>
      </c>
      <c r="J271" s="87" t="s">
        <v>505</v>
      </c>
      <c r="K271" s="95" t="s">
        <v>553</v>
      </c>
      <c r="M271" s="93" t="s">
        <v>554</v>
      </c>
      <c r="N271" s="90" t="s">
        <v>89</v>
      </c>
      <c r="Q271" s="2" t="s">
        <v>3465</v>
      </c>
      <c r="R271" s="2" t="s">
        <v>9</v>
      </c>
    </row>
    <row r="272" spans="1:18" ht="14.4" x14ac:dyDescent="0.3">
      <c r="A272" s="85">
        <v>226</v>
      </c>
      <c r="B272" s="76" t="s">
        <v>3464</v>
      </c>
      <c r="C272" s="77" t="str">
        <f>HYPERLINK("https://www.xeno-canto.org/species/Sterna-hirundo")</f>
        <v>https://www.xeno-canto.org/species/Sterna-hirundo</v>
      </c>
      <c r="D272" s="94" t="str">
        <f>HYPERLINK("https://ebird.org/species/comter")</f>
        <v>https://ebird.org/species/comter</v>
      </c>
      <c r="E272" s="122" t="str">
        <f>HYPERLINK("https://en.wikipedia.org/wiki/Common_Tern")</f>
        <v>https://en.wikipedia.org/wiki/Common_Tern</v>
      </c>
      <c r="F272" s="123" t="str">
        <f>HYPERLINK("https://apiv3.iucnredlist.org/api/v3/website/Sterna hirundo")</f>
        <v>https://apiv3.iucnredlist.org/api/v3/website/Sterna hirundo</v>
      </c>
      <c r="G272" s="90">
        <v>23</v>
      </c>
      <c r="H272" s="90">
        <v>169</v>
      </c>
      <c r="J272" s="87" t="s">
        <v>505</v>
      </c>
      <c r="K272" s="95" t="s">
        <v>549</v>
      </c>
      <c r="M272" s="93" t="s">
        <v>550</v>
      </c>
      <c r="N272" s="90" t="s">
        <v>89</v>
      </c>
      <c r="Q272" s="2" t="s">
        <v>3465</v>
      </c>
      <c r="R272" s="2" t="s">
        <v>9</v>
      </c>
    </row>
    <row r="273" spans="1:18" ht="14.4" x14ac:dyDescent="0.3">
      <c r="A273" s="85">
        <v>227</v>
      </c>
      <c r="B273" s="76" t="s">
        <v>3463</v>
      </c>
      <c r="C273" s="77" t="str">
        <f>HYPERLINK("https://www.xeno-canto.org/species/Sterna-sumatrana")</f>
        <v>https://www.xeno-canto.org/species/Sterna-sumatrana</v>
      </c>
      <c r="D273" s="94" t="str">
        <f>HYPERLINK("https://ebird.org/species/blnter1")</f>
        <v>https://ebird.org/species/blnter1</v>
      </c>
      <c r="E273" s="122" t="str">
        <f>HYPERLINK("https://en.wikipedia.org/wiki/Black-naped_Tern")</f>
        <v>https://en.wikipedia.org/wiki/Black-naped_Tern</v>
      </c>
      <c r="F273" s="123" t="str">
        <f>HYPERLINK("https://apiv3.iucnredlist.org/api/v3/website/Sterna sumatrana")</f>
        <v>https://apiv3.iucnredlist.org/api/v3/website/Sterna sumatrana</v>
      </c>
      <c r="G273" s="90">
        <v>22</v>
      </c>
      <c r="H273" s="90">
        <v>169</v>
      </c>
      <c r="J273" s="87" t="s">
        <v>505</v>
      </c>
      <c r="K273" s="95" t="s">
        <v>547</v>
      </c>
      <c r="M273" s="93" t="s">
        <v>548</v>
      </c>
      <c r="N273" s="90" t="s">
        <v>37</v>
      </c>
      <c r="Q273" s="2" t="s">
        <v>6475</v>
      </c>
      <c r="R273" s="2" t="s">
        <v>9</v>
      </c>
    </row>
    <row r="274" spans="1:18" ht="14.4" x14ac:dyDescent="0.3">
      <c r="A274" s="85">
        <v>228</v>
      </c>
      <c r="B274" s="76" t="s">
        <v>3461</v>
      </c>
      <c r="C274" s="77" t="str">
        <f>HYPERLINK("https://www.xeno-canto.org/species/Sterna-dougallii")</f>
        <v>https://www.xeno-canto.org/species/Sterna-dougallii</v>
      </c>
      <c r="D274" s="94" t="str">
        <f>HYPERLINK("https://ebird.org/species/roster")</f>
        <v>https://ebird.org/species/roster</v>
      </c>
      <c r="E274" s="122" t="str">
        <f>HYPERLINK("https://en.wikipedia.org/wiki/Roseate_Tern")</f>
        <v>https://en.wikipedia.org/wiki/Roseate_Tern</v>
      </c>
      <c r="F274" s="123" t="str">
        <f>HYPERLINK("https://apiv3.iucnredlist.org/api/v3/website/Sterna dougallii")</f>
        <v>https://apiv3.iucnredlist.org/api/v3/website/Sterna dougallii</v>
      </c>
      <c r="G274" s="90">
        <v>23</v>
      </c>
      <c r="H274" s="90">
        <v>169</v>
      </c>
      <c r="J274" s="87" t="s">
        <v>505</v>
      </c>
      <c r="K274" s="95" t="s">
        <v>545</v>
      </c>
      <c r="M274" s="93" t="s">
        <v>546</v>
      </c>
      <c r="N274" s="90" t="s">
        <v>178</v>
      </c>
      <c r="Q274" s="2" t="s">
        <v>3462</v>
      </c>
    </row>
    <row r="275" spans="1:18" ht="20.399999999999999" x14ac:dyDescent="0.3">
      <c r="A275" s="85">
        <v>229</v>
      </c>
      <c r="B275" s="76" t="s">
        <v>5810</v>
      </c>
      <c r="C275" s="77" t="str">
        <f>HYPERLINK("https://www.xeno-canto.org/species/Thalasseus-bengalensis")</f>
        <v>https://www.xeno-canto.org/species/Thalasseus-bengalensis</v>
      </c>
      <c r="D275" s="94" t="str">
        <f>HYPERLINK("https://ebird.org/species/lecter2")</f>
        <v>https://ebird.org/species/lecter2</v>
      </c>
      <c r="E275" s="122" t="str">
        <f>HYPERLINK("https://en.wikipedia.org/wiki/Lesser_Crested_Tern")</f>
        <v>https://en.wikipedia.org/wiki/Lesser_Crested_Tern</v>
      </c>
      <c r="F275" s="123" t="str">
        <f>HYPERLINK("https://apiv3.iucnredlist.org/api/v3/website/Thalasseus bengalensis")</f>
        <v>https://apiv3.iucnredlist.org/api/v3/website/Thalasseus bengalensis</v>
      </c>
      <c r="J275" s="87" t="s">
        <v>505</v>
      </c>
      <c r="K275" s="92" t="s">
        <v>5811</v>
      </c>
      <c r="M275" s="93" t="s">
        <v>5812</v>
      </c>
      <c r="N275" s="90" t="s">
        <v>49</v>
      </c>
      <c r="R275" s="2" t="s">
        <v>6413</v>
      </c>
    </row>
    <row r="276" spans="1:18" ht="14.4" x14ac:dyDescent="0.3">
      <c r="A276" s="85">
        <v>230</v>
      </c>
      <c r="B276" s="76" t="s">
        <v>3452</v>
      </c>
      <c r="C276" s="77" t="str">
        <f>HYPERLINK("https://www.xeno-canto.org/species/Thalasseus-bergii")</f>
        <v>https://www.xeno-canto.org/species/Thalasseus-bergii</v>
      </c>
      <c r="D276" s="94" t="str">
        <f>HYPERLINK("https://ebird.org/species/grcter1")</f>
        <v>https://ebird.org/species/grcter1</v>
      </c>
      <c r="E276" s="122" t="str">
        <f>HYPERLINK("https://en.wikipedia.org/wiki/Greater_Crested_Tern")</f>
        <v>https://en.wikipedia.org/wiki/Greater_Crested_Tern</v>
      </c>
      <c r="F276" s="123" t="str">
        <f>HYPERLINK("https://apiv3.iucnredlist.org/api/v3/website/Thalasseus bergii")</f>
        <v>https://apiv3.iucnredlist.org/api/v3/website/Thalasseus bergii</v>
      </c>
      <c r="G276" s="90">
        <v>22</v>
      </c>
      <c r="H276" s="90">
        <v>169</v>
      </c>
      <c r="J276" s="87" t="s">
        <v>505</v>
      </c>
      <c r="K276" s="95" t="s">
        <v>533</v>
      </c>
      <c r="M276" s="93" t="s">
        <v>534</v>
      </c>
      <c r="N276" s="90" t="s">
        <v>346</v>
      </c>
      <c r="P276" s="90" t="s">
        <v>38</v>
      </c>
      <c r="Q276" s="2" t="s">
        <v>6473</v>
      </c>
    </row>
    <row r="277" spans="1:18" ht="40.799999999999997" x14ac:dyDescent="0.3">
      <c r="A277" s="85">
        <v>231</v>
      </c>
      <c r="B277" s="76" t="s">
        <v>3453</v>
      </c>
      <c r="C277" s="77" t="str">
        <f>HYPERLINK("https://www.xeno-canto.org/species/Thalasseus-bernsteini")</f>
        <v>https://www.xeno-canto.org/species/Thalasseus-bernsteini</v>
      </c>
      <c r="D277" s="94" t="str">
        <f>HYPERLINK("https://ebird.org/species/chcter2")</f>
        <v>https://ebird.org/species/chcter2</v>
      </c>
      <c r="E277" s="122" t="str">
        <f>HYPERLINK("https://en.wikipedia.org/wiki/Chinese_Crested_Tern")</f>
        <v>https://en.wikipedia.org/wiki/Chinese_Crested_Tern</v>
      </c>
      <c r="F277" s="123" t="str">
        <f>HYPERLINK("https://apiv3.iucnredlist.org/api/v3/website/Thalasseus bernsteini")</f>
        <v>https://apiv3.iucnredlist.org/api/v3/website/Thalasseus bernsteini</v>
      </c>
      <c r="G277" s="90">
        <v>22</v>
      </c>
      <c r="H277" s="90">
        <v>169</v>
      </c>
      <c r="J277" s="87" t="s">
        <v>505</v>
      </c>
      <c r="K277" s="92" t="s">
        <v>535</v>
      </c>
      <c r="M277" s="93" t="s">
        <v>536</v>
      </c>
      <c r="N277" s="90" t="s">
        <v>49</v>
      </c>
      <c r="O277" s="90" t="s">
        <v>112</v>
      </c>
      <c r="P277" s="90" t="s">
        <v>112</v>
      </c>
      <c r="Q277" s="2" t="s">
        <v>3454</v>
      </c>
      <c r="R277" s="2" t="s">
        <v>6531</v>
      </c>
    </row>
    <row r="278" spans="1:18" ht="20.399999999999999" x14ac:dyDescent="0.3">
      <c r="A278" s="85">
        <v>232</v>
      </c>
      <c r="B278" s="76" t="s">
        <v>5147</v>
      </c>
      <c r="C278" s="77" t="str">
        <f>HYPERLINK("https://www.xeno-canto.org/species/Hydrocoloeus-minutus")</f>
        <v>https://www.xeno-canto.org/species/Hydrocoloeus-minutus</v>
      </c>
      <c r="D278" s="94" t="str">
        <f>HYPERLINK("https://ebird.org/species/litgul")</f>
        <v>https://ebird.org/species/litgul</v>
      </c>
      <c r="E278" s="122" t="str">
        <f>HYPERLINK("https://en.wikipedia.org/wiki/Little_Gull")</f>
        <v>https://en.wikipedia.org/wiki/Little_Gull</v>
      </c>
      <c r="F278" s="123" t="str">
        <f>HYPERLINK("https://apiv3.iucnredlist.org/api/v3/website/Hydrocoloeus minutus")</f>
        <v>https://apiv3.iucnredlist.org/api/v3/website/Hydrocoloeus minutus</v>
      </c>
      <c r="J278" s="87" t="s">
        <v>505</v>
      </c>
      <c r="K278" s="92" t="s">
        <v>5148</v>
      </c>
      <c r="M278" s="93" t="s">
        <v>5149</v>
      </c>
      <c r="N278" s="90" t="s">
        <v>49</v>
      </c>
      <c r="R278" s="2" t="s">
        <v>6405</v>
      </c>
    </row>
    <row r="279" spans="1:18" ht="20.399999999999999" x14ac:dyDescent="0.3">
      <c r="A279" s="85">
        <v>233</v>
      </c>
      <c r="B279" s="76" t="s">
        <v>6532</v>
      </c>
      <c r="C279" s="77" t="str">
        <f>HYPERLINK("https://www.xeno-canto.org/species/Saundersilarus-saundersi")</f>
        <v>https://www.xeno-canto.org/species/Saundersilarus-saundersi</v>
      </c>
      <c r="D279" s="94" t="str">
        <f>HYPERLINK("https://ebird.org/species/saugul2")</f>
        <v>https://ebird.org/species/saugul2</v>
      </c>
      <c r="E279" s="122" t="str">
        <f>HYPERLINK("https://en.wikipedia.org/wiki/Saunders's_Gull")</f>
        <v>https://en.wikipedia.org/wiki/Saunders's_Gull</v>
      </c>
      <c r="F279" s="123" t="str">
        <f>HYPERLINK("https://apiv3.iucnredlist.org/api/v3/website/Saundersilarus saundersi")</f>
        <v>https://apiv3.iucnredlist.org/api/v3/website/Saundersilarus saundersi</v>
      </c>
      <c r="H279" s="90">
        <v>161</v>
      </c>
      <c r="J279" s="87" t="s">
        <v>505</v>
      </c>
      <c r="K279" s="92" t="s">
        <v>514</v>
      </c>
      <c r="M279" s="93" t="s">
        <v>1812</v>
      </c>
      <c r="N279" s="90" t="s">
        <v>49</v>
      </c>
      <c r="O279" s="90" t="s">
        <v>38</v>
      </c>
      <c r="Q279" s="2" t="s">
        <v>3392</v>
      </c>
      <c r="R279" s="2" t="s">
        <v>6404</v>
      </c>
    </row>
    <row r="280" spans="1:18" ht="20.399999999999999" x14ac:dyDescent="0.3">
      <c r="A280" s="85">
        <v>234</v>
      </c>
      <c r="B280" s="76" t="s">
        <v>3435</v>
      </c>
      <c r="C280" s="77" t="str">
        <f>HYPERLINK("https://www.xeno-canto.org/species/Chroicocephalus-ridibundus")</f>
        <v>https://www.xeno-canto.org/species/Chroicocephalus-ridibundus</v>
      </c>
      <c r="D280" s="94" t="str">
        <f>HYPERLINK("https://ebird.org/species/bkhgul")</f>
        <v>https://ebird.org/species/bkhgul</v>
      </c>
      <c r="E280" s="122" t="str">
        <f>HYPERLINK("https://en.wikipedia.org/wiki/Black-headed_Gull")</f>
        <v>https://en.wikipedia.org/wiki/Black-headed_Gull</v>
      </c>
      <c r="F280" s="123" t="str">
        <f>HYPERLINK("https://apiv3.iucnredlist.org/api/v3/website/Chroicocephalus ridibundus")</f>
        <v>https://apiv3.iucnredlist.org/api/v3/website/Chroicocephalus ridibundus</v>
      </c>
      <c r="G280" s="90">
        <v>22</v>
      </c>
      <c r="H280" s="90">
        <v>161</v>
      </c>
      <c r="J280" s="87" t="s">
        <v>505</v>
      </c>
      <c r="K280" s="95" t="s">
        <v>512</v>
      </c>
      <c r="M280" s="93" t="s">
        <v>513</v>
      </c>
      <c r="N280" s="90" t="s">
        <v>89</v>
      </c>
      <c r="Q280" s="2" t="s">
        <v>3436</v>
      </c>
    </row>
    <row r="281" spans="1:18" ht="20.399999999999999" x14ac:dyDescent="0.3">
      <c r="A281" s="85">
        <v>235</v>
      </c>
      <c r="B281" s="76" t="s">
        <v>3437</v>
      </c>
      <c r="C281" s="77" t="str">
        <f>HYPERLINK("https://www.xeno-canto.org/species/Leucophaeus-atricilla")</f>
        <v>https://www.xeno-canto.org/species/Leucophaeus-atricilla</v>
      </c>
      <c r="D281" s="94" t="str">
        <f>HYPERLINK("https://ebird.org/species/laugul")</f>
        <v>https://ebird.org/species/laugul</v>
      </c>
      <c r="E281" s="122" t="str">
        <f>HYPERLINK("https://en.wikipedia.org/wiki/Laughing_Gull")</f>
        <v>https://en.wikipedia.org/wiki/Laughing_Gull</v>
      </c>
      <c r="F281" s="123" t="str">
        <f>HYPERLINK("https://apiv3.iucnredlist.org/api/v3/website/Leucophaeus atricilla")</f>
        <v>https://apiv3.iucnredlist.org/api/v3/website/Leucophaeus atricilla</v>
      </c>
      <c r="H281" s="90">
        <v>161</v>
      </c>
      <c r="J281" s="87" t="s">
        <v>505</v>
      </c>
      <c r="K281" s="92" t="s">
        <v>515</v>
      </c>
      <c r="M281" s="93" t="s">
        <v>516</v>
      </c>
      <c r="N281" s="90" t="s">
        <v>49</v>
      </c>
      <c r="Q281" s="2" t="s">
        <v>3083</v>
      </c>
      <c r="R281" s="2" t="s">
        <v>8559</v>
      </c>
    </row>
    <row r="282" spans="1:18" ht="20.399999999999999" x14ac:dyDescent="0.3">
      <c r="A282" s="85">
        <v>236</v>
      </c>
      <c r="B282" s="76" t="s">
        <v>3438</v>
      </c>
      <c r="C282" s="77" t="str">
        <f>HYPERLINK("https://www.xeno-canto.org/species/Leucophaeus-pipixcan")</f>
        <v>https://www.xeno-canto.org/species/Leucophaeus-pipixcan</v>
      </c>
      <c r="D282" s="94" t="str">
        <f>HYPERLINK("https://ebird.org/species/fragul")</f>
        <v>https://ebird.org/species/fragul</v>
      </c>
      <c r="E282" s="122" t="str">
        <f>HYPERLINK("https://en.wikipedia.org/wiki/Franklin's_Gull")</f>
        <v>https://en.wikipedia.org/wiki/Franklin's_Gull</v>
      </c>
      <c r="F282" s="123" t="str">
        <f>HYPERLINK("https://apiv3.iucnredlist.org/api/v3/website/Leucophaeus pipixcan")</f>
        <v>https://apiv3.iucnredlist.org/api/v3/website/Leucophaeus pipixcan</v>
      </c>
      <c r="H282" s="90">
        <v>161</v>
      </c>
      <c r="J282" s="87" t="s">
        <v>505</v>
      </c>
      <c r="K282" s="92" t="s">
        <v>517</v>
      </c>
      <c r="M282" s="93" t="s">
        <v>518</v>
      </c>
      <c r="N282" s="90" t="s">
        <v>49</v>
      </c>
      <c r="Q282" s="2" t="s">
        <v>3439</v>
      </c>
      <c r="R282" s="2" t="s">
        <v>6406</v>
      </c>
    </row>
    <row r="283" spans="1:18" ht="20.399999999999999" x14ac:dyDescent="0.3">
      <c r="A283" s="85">
        <v>237</v>
      </c>
      <c r="B283" s="76" t="s">
        <v>3440</v>
      </c>
      <c r="C283" s="77" t="str">
        <f>HYPERLINK("https://www.xeno-canto.org/species/Larus-crassirostris")</f>
        <v>https://www.xeno-canto.org/species/Larus-crassirostris</v>
      </c>
      <c r="D283" s="94" t="str">
        <f>HYPERLINK("https://ebird.org/species/bktgul")</f>
        <v>https://ebird.org/species/bktgul</v>
      </c>
      <c r="E283" s="122" t="str">
        <f>HYPERLINK("https://en.wikipedia.org/wiki/Black-tailed_Gull")</f>
        <v>https://en.wikipedia.org/wiki/Black-tailed_Gull</v>
      </c>
      <c r="F283" s="123" t="str">
        <f>HYPERLINK("https://apiv3.iucnredlist.org/api/v3/website/Larus crassirostris")</f>
        <v>https://apiv3.iucnredlist.org/api/v3/website/Larus crassirostris</v>
      </c>
      <c r="G283" s="90">
        <v>22</v>
      </c>
      <c r="H283" s="90">
        <v>163</v>
      </c>
      <c r="J283" s="87" t="s">
        <v>505</v>
      </c>
      <c r="K283" s="95" t="s">
        <v>519</v>
      </c>
      <c r="M283" s="93" t="s">
        <v>520</v>
      </c>
      <c r="N283" s="90" t="s">
        <v>89</v>
      </c>
      <c r="Q283" s="2" t="s">
        <v>3441</v>
      </c>
      <c r="R283" s="2" t="s">
        <v>6407</v>
      </c>
    </row>
    <row r="284" spans="1:18" ht="30.6" x14ac:dyDescent="0.3">
      <c r="A284" s="85">
        <v>238</v>
      </c>
      <c r="B284" s="76" t="s">
        <v>3442</v>
      </c>
      <c r="C284" s="77" t="str">
        <f>HYPERLINK("https://www.xeno-canto.org/species/Larus-canus")</f>
        <v>https://www.xeno-canto.org/species/Larus-canus</v>
      </c>
      <c r="D284" s="94" t="str">
        <f>HYPERLINK("https://ebird.org/species/mewgul")</f>
        <v>https://ebird.org/species/mewgul</v>
      </c>
      <c r="E284" s="122" t="str">
        <f>HYPERLINK("https://en.wikipedia.org/wiki/Common_Gull")</f>
        <v>https://en.wikipedia.org/wiki/Common_Gull</v>
      </c>
      <c r="F284" s="123" t="str">
        <f>HYPERLINK("https://apiv3.iucnredlist.org/api/v3/website/Larus canus")</f>
        <v>https://apiv3.iucnredlist.org/api/v3/website/Larus canus</v>
      </c>
      <c r="H284" s="90">
        <v>163</v>
      </c>
      <c r="J284" s="87" t="s">
        <v>505</v>
      </c>
      <c r="K284" s="92" t="s">
        <v>5150</v>
      </c>
      <c r="L284" s="86" t="s">
        <v>521</v>
      </c>
      <c r="M284" s="93" t="s">
        <v>522</v>
      </c>
      <c r="N284" s="90" t="s">
        <v>49</v>
      </c>
      <c r="Q284" s="2" t="s">
        <v>3083</v>
      </c>
      <c r="R284" s="2" t="s">
        <v>6408</v>
      </c>
    </row>
    <row r="285" spans="1:18" ht="20.399999999999999" x14ac:dyDescent="0.3">
      <c r="A285" s="85">
        <v>239</v>
      </c>
      <c r="B285" s="76" t="s">
        <v>3443</v>
      </c>
      <c r="C285" s="77" t="str">
        <f>HYPERLINK("https://www.xeno-canto.org/species/Larus-vegae")</f>
        <v>https://www.xeno-canto.org/species/Larus-vegae</v>
      </c>
      <c r="D285" s="94" t="str">
        <f>HYPERLINK("https://ebird.org/species/veggul1")</f>
        <v>https://ebird.org/species/veggul1</v>
      </c>
      <c r="E285" s="122" t="str">
        <f>HYPERLINK("https://en.wikipedia.org/wiki/Vega_Gull")</f>
        <v>https://en.wikipedia.org/wiki/Vega_Gull</v>
      </c>
      <c r="F285" s="123" t="str">
        <f>HYPERLINK("https://apiv3.iucnredlist.org/api/v3/website/Larus vegae")</f>
        <v>https://apiv3.iucnredlist.org/api/v3/website/Larus vegae</v>
      </c>
      <c r="G285" s="90">
        <v>22</v>
      </c>
      <c r="H285" s="90">
        <v>163</v>
      </c>
      <c r="J285" s="87" t="s">
        <v>505</v>
      </c>
      <c r="K285" s="92" t="s">
        <v>523</v>
      </c>
      <c r="M285" s="93" t="s">
        <v>524</v>
      </c>
      <c r="N285" s="90" t="s">
        <v>49</v>
      </c>
      <c r="Q285" s="2" t="s">
        <v>3083</v>
      </c>
      <c r="R285" s="2" t="s">
        <v>6409</v>
      </c>
    </row>
    <row r="286" spans="1:18" ht="30.6" x14ac:dyDescent="0.3">
      <c r="A286" s="85">
        <v>240</v>
      </c>
      <c r="B286" s="76" t="s">
        <v>3447</v>
      </c>
      <c r="C286" s="77" t="str">
        <f>HYPERLINK("https://www.xeno-canto.org/species/Larus-fuscus")</f>
        <v>https://www.xeno-canto.org/species/Larus-fuscus</v>
      </c>
      <c r="D286" s="94" t="str">
        <f>HYPERLINK("https://ebird.org/species/lbbgul")</f>
        <v>https://ebird.org/species/lbbgul</v>
      </c>
      <c r="E286" s="122" t="str">
        <f>HYPERLINK("https://en.wikipedia.org/wiki/Lesser_Black-backed_Gull")</f>
        <v>https://en.wikipedia.org/wiki/Lesser_Black-backed_Gull</v>
      </c>
      <c r="F286" s="123" t="str">
        <f>HYPERLINK("https://apiv3.iucnredlist.org/api/v3/website/Larus fuscus")</f>
        <v>https://apiv3.iucnredlist.org/api/v3/website/Larus fuscus</v>
      </c>
      <c r="H286" s="90">
        <v>163</v>
      </c>
      <c r="J286" s="87" t="s">
        <v>505</v>
      </c>
      <c r="K286" s="92" t="s">
        <v>527</v>
      </c>
      <c r="M286" s="93" t="s">
        <v>528</v>
      </c>
      <c r="N286" s="90" t="s">
        <v>49</v>
      </c>
      <c r="Q286" s="2" t="s">
        <v>3448</v>
      </c>
      <c r="R286" s="2" t="s">
        <v>6411</v>
      </c>
    </row>
    <row r="287" spans="1:18" ht="20.399999999999999" x14ac:dyDescent="0.3">
      <c r="A287" s="85">
        <v>241</v>
      </c>
      <c r="B287" s="76" t="s">
        <v>3445</v>
      </c>
      <c r="C287" s="77" t="str">
        <f>HYPERLINK("https://www.xeno-canto.org/species/Larus-schistisagus")</f>
        <v>https://www.xeno-canto.org/species/Larus-schistisagus</v>
      </c>
      <c r="D287" s="94" t="str">
        <f>HYPERLINK("https://ebird.org/species/slbgul")</f>
        <v>https://ebird.org/species/slbgul</v>
      </c>
      <c r="E287" s="122" t="str">
        <f>HYPERLINK("https://en.wikipedia.org/wiki/Slaty-backed_Gull")</f>
        <v>https://en.wikipedia.org/wiki/Slaty-backed_Gull</v>
      </c>
      <c r="F287" s="123" t="str">
        <f>HYPERLINK("https://apiv3.iucnredlist.org/api/v3/website/Larus schistisagus")</f>
        <v>https://apiv3.iucnredlist.org/api/v3/website/Larus schistisagus</v>
      </c>
      <c r="G287" s="90">
        <v>22</v>
      </c>
      <c r="H287" s="90">
        <v>165</v>
      </c>
      <c r="J287" s="87" t="s">
        <v>505</v>
      </c>
      <c r="K287" s="92" t="s">
        <v>525</v>
      </c>
      <c r="M287" s="93" t="s">
        <v>526</v>
      </c>
      <c r="N287" s="90" t="s">
        <v>49</v>
      </c>
      <c r="Q287" s="2" t="s">
        <v>3446</v>
      </c>
      <c r="R287" s="2" t="s">
        <v>6410</v>
      </c>
    </row>
    <row r="289" spans="1:18" ht="12" x14ac:dyDescent="0.3">
      <c r="K289" s="88" t="s">
        <v>555</v>
      </c>
      <c r="M289" s="89" t="s">
        <v>556</v>
      </c>
    </row>
    <row r="290" spans="1:18" ht="20.399999999999999" x14ac:dyDescent="0.3">
      <c r="A290" s="85">
        <v>242</v>
      </c>
      <c r="B290" s="74" t="s">
        <v>3472</v>
      </c>
      <c r="C290" s="75" t="str">
        <f>HYPERLINK("https://www.xeno-canto.org/species/Stercorarius-longicaudus")</f>
        <v>https://www.xeno-canto.org/species/Stercorarius-longicaudus</v>
      </c>
      <c r="D290" s="91" t="str">
        <f>HYPERLINK("https://ebird.org/species/lotjae")</f>
        <v>https://ebird.org/species/lotjae</v>
      </c>
      <c r="E290" s="120" t="str">
        <f>HYPERLINK("https://en.wikipedia.org/wiki/Long-tailed_Jaeger")</f>
        <v>https://en.wikipedia.org/wiki/Long-tailed_Jaeger</v>
      </c>
      <c r="F290" s="121" t="str">
        <f>HYPERLINK("https://apiv3.iucnredlist.org/api/v3/website/Stercorarius longicaudus")</f>
        <v>https://apiv3.iucnredlist.org/api/v3/website/Stercorarius longicaudus</v>
      </c>
      <c r="H290" s="90">
        <v>171</v>
      </c>
      <c r="J290" s="87" t="s">
        <v>556</v>
      </c>
      <c r="K290" s="92" t="s">
        <v>561</v>
      </c>
      <c r="M290" s="93" t="s">
        <v>562</v>
      </c>
      <c r="N290" s="90" t="s">
        <v>49</v>
      </c>
      <c r="Q290" s="2" t="s">
        <v>3473</v>
      </c>
      <c r="R290" s="2" t="s">
        <v>6533</v>
      </c>
    </row>
    <row r="291" spans="1:18" ht="20.399999999999999" x14ac:dyDescent="0.3">
      <c r="A291" s="85">
        <v>243</v>
      </c>
      <c r="B291" s="76" t="s">
        <v>3471</v>
      </c>
      <c r="C291" s="77" t="str">
        <f>HYPERLINK("https://www.xeno-canto.org/species/Stercorarius-parasiticus")</f>
        <v>https://www.xeno-canto.org/species/Stercorarius-parasiticus</v>
      </c>
      <c r="D291" s="94" t="str">
        <f>HYPERLINK("https://ebird.org/species/parjae")</f>
        <v>https://ebird.org/species/parjae</v>
      </c>
      <c r="E291" s="122" t="str">
        <f>HYPERLINK("https://en.wikipedia.org/wiki/Parasitic_Jaeger")</f>
        <v>https://en.wikipedia.org/wiki/Parasitic_Jaeger</v>
      </c>
      <c r="F291" s="123" t="str">
        <f>HYPERLINK("https://apiv3.iucnredlist.org/api/v3/website/Stercorarius parasiticus")</f>
        <v>https://apiv3.iucnredlist.org/api/v3/website/Stercorarius parasiticus</v>
      </c>
      <c r="G291" s="90">
        <v>21</v>
      </c>
      <c r="H291" s="90">
        <v>171</v>
      </c>
      <c r="J291" s="87" t="s">
        <v>556</v>
      </c>
      <c r="K291" s="92" t="s">
        <v>559</v>
      </c>
      <c r="L291" s="86" t="s">
        <v>1828</v>
      </c>
      <c r="M291" s="93" t="s">
        <v>560</v>
      </c>
      <c r="N291" s="90" t="s">
        <v>49</v>
      </c>
      <c r="Q291" s="2" t="s">
        <v>3083</v>
      </c>
      <c r="R291" s="2" t="s">
        <v>6415</v>
      </c>
    </row>
    <row r="292" spans="1:18" ht="20.399999999999999" x14ac:dyDescent="0.3">
      <c r="A292" s="85">
        <v>244</v>
      </c>
      <c r="B292" s="76" t="s">
        <v>3469</v>
      </c>
      <c r="C292" s="77" t="str">
        <f>HYPERLINK("https://www.xeno-canto.org/species/Stercorarius-pomarinus")</f>
        <v>https://www.xeno-canto.org/species/Stercorarius-pomarinus</v>
      </c>
      <c r="D292" s="94" t="str">
        <f>HYPERLINK("https://ebird.org/species/pomjae")</f>
        <v>https://ebird.org/species/pomjae</v>
      </c>
      <c r="E292" s="122" t="str">
        <f>HYPERLINK("https://en.wikipedia.org/wiki/Pomarine_Jaeger")</f>
        <v>https://en.wikipedia.org/wiki/Pomarine_Jaeger</v>
      </c>
      <c r="F292" s="123" t="str">
        <f>HYPERLINK("https://apiv3.iucnredlist.org/api/v3/website/Stercorarius pomarinus")</f>
        <v>https://apiv3.iucnredlist.org/api/v3/website/Stercorarius pomarinus</v>
      </c>
      <c r="G292" s="90">
        <v>21</v>
      </c>
      <c r="H292" s="90">
        <v>173</v>
      </c>
      <c r="J292" s="87" t="s">
        <v>556</v>
      </c>
      <c r="K292" s="95" t="s">
        <v>557</v>
      </c>
      <c r="M292" s="93" t="s">
        <v>558</v>
      </c>
      <c r="N292" s="90" t="s">
        <v>89</v>
      </c>
      <c r="Q292" s="2" t="s">
        <v>3470</v>
      </c>
      <c r="R292" s="2" t="s">
        <v>6414</v>
      </c>
    </row>
    <row r="294" spans="1:18" ht="12" x14ac:dyDescent="0.3">
      <c r="K294" s="88" t="s">
        <v>563</v>
      </c>
      <c r="M294" s="89" t="s">
        <v>564</v>
      </c>
    </row>
    <row r="295" spans="1:18" ht="20.399999999999999" x14ac:dyDescent="0.3">
      <c r="A295" s="85">
        <v>245</v>
      </c>
      <c r="B295" s="74" t="s">
        <v>3474</v>
      </c>
      <c r="C295" s="75" t="str">
        <f>HYPERLINK("https://www.xeno-canto.org/species/Phaethon-rubricauda")</f>
        <v>https://www.xeno-canto.org/species/Phaethon-rubricauda</v>
      </c>
      <c r="D295" s="91" t="str">
        <f>HYPERLINK("https://ebird.org/species/rettro")</f>
        <v>https://ebird.org/species/rettro</v>
      </c>
      <c r="E295" s="120" t="str">
        <f>HYPERLINK("https://en.wikipedia.org/wiki/Red-tailed_Tropicbird")</f>
        <v>https://en.wikipedia.org/wiki/Red-tailed_Tropicbird</v>
      </c>
      <c r="F295" s="121" t="str">
        <f>HYPERLINK("https://apiv3.iucnredlist.org/api/v3/website/Phaethon rubricauda")</f>
        <v>https://apiv3.iucnredlist.org/api/v3/website/Phaethon rubricauda</v>
      </c>
      <c r="G295" s="90">
        <v>1</v>
      </c>
      <c r="H295" s="90">
        <v>51</v>
      </c>
      <c r="J295" s="87" t="s">
        <v>564</v>
      </c>
      <c r="K295" s="92" t="s">
        <v>565</v>
      </c>
      <c r="M295" s="93" t="s">
        <v>566</v>
      </c>
      <c r="N295" s="90" t="s">
        <v>49</v>
      </c>
      <c r="Q295" s="2" t="s">
        <v>3475</v>
      </c>
      <c r="R295" s="2" t="s">
        <v>6534</v>
      </c>
    </row>
    <row r="296" spans="1:18" ht="20.399999999999999" x14ac:dyDescent="0.3">
      <c r="A296" s="85">
        <v>246</v>
      </c>
      <c r="B296" s="76" t="s">
        <v>3476</v>
      </c>
      <c r="C296" s="77" t="str">
        <f>HYPERLINK("https://www.xeno-canto.org/species/Phaethon-lepturus")</f>
        <v>https://www.xeno-canto.org/species/Phaethon-lepturus</v>
      </c>
      <c r="D296" s="94" t="str">
        <f>HYPERLINK("https://ebird.org/species/whttro")</f>
        <v>https://ebird.org/species/whttro</v>
      </c>
      <c r="E296" s="122" t="str">
        <f>HYPERLINK("https://en.wikipedia.org/wiki/White-tailed_Tropicbird")</f>
        <v>https://en.wikipedia.org/wiki/White-tailed_Tropicbird</v>
      </c>
      <c r="F296" s="123" t="str">
        <f>HYPERLINK("https://apiv3.iucnredlist.org/api/v3/website/Phaethon lepturus")</f>
        <v>https://apiv3.iucnredlist.org/api/v3/website/Phaethon lepturus</v>
      </c>
      <c r="G296" s="90">
        <v>1</v>
      </c>
      <c r="H296" s="90">
        <v>51</v>
      </c>
      <c r="J296" s="87" t="s">
        <v>564</v>
      </c>
      <c r="K296" s="92" t="s">
        <v>567</v>
      </c>
      <c r="M296" s="93" t="s">
        <v>568</v>
      </c>
      <c r="N296" s="90" t="s">
        <v>49</v>
      </c>
      <c r="Q296" s="2" t="s">
        <v>3477</v>
      </c>
      <c r="R296" s="2" t="s">
        <v>6535</v>
      </c>
    </row>
    <row r="298" spans="1:18" ht="12" x14ac:dyDescent="0.3">
      <c r="K298" s="88" t="s">
        <v>569</v>
      </c>
      <c r="M298" s="89" t="s">
        <v>570</v>
      </c>
    </row>
    <row r="299" spans="1:18" ht="20.399999999999999" x14ac:dyDescent="0.3">
      <c r="A299" s="85">
        <v>247</v>
      </c>
      <c r="B299" s="74" t="s">
        <v>3478</v>
      </c>
      <c r="C299" s="75" t="str">
        <f>HYPERLINK("https://www.xeno-canto.org/species/Phoebastria-immutabilis")</f>
        <v>https://www.xeno-canto.org/species/Phoebastria-immutabilis</v>
      </c>
      <c r="D299" s="91" t="str">
        <f>HYPERLINK("https://ebird.org/species/layalb")</f>
        <v>https://ebird.org/species/layalb</v>
      </c>
      <c r="E299" s="120" t="str">
        <f>HYPERLINK("https://en.wikipedia.org/wiki/Laysan_Albatross")</f>
        <v>https://en.wikipedia.org/wiki/Laysan_Albatross</v>
      </c>
      <c r="F299" s="121" t="str">
        <f>HYPERLINK("https://apiv3.iucnredlist.org/api/v3/website/Phoebastria immutabilis")</f>
        <v>https://apiv3.iucnredlist.org/api/v3/website/Phoebastria immutabilis</v>
      </c>
      <c r="H299" s="90">
        <v>107</v>
      </c>
      <c r="J299" s="87" t="s">
        <v>570</v>
      </c>
      <c r="K299" s="92" t="s">
        <v>571</v>
      </c>
      <c r="M299" s="93" t="s">
        <v>572</v>
      </c>
      <c r="N299" s="90" t="s">
        <v>49</v>
      </c>
      <c r="O299" s="90" t="s">
        <v>50</v>
      </c>
      <c r="P299" s="90" t="s">
        <v>186</v>
      </c>
      <c r="Q299" s="2" t="s">
        <v>3083</v>
      </c>
      <c r="R299" s="2" t="s">
        <v>6416</v>
      </c>
    </row>
    <row r="301" spans="1:18" ht="12" x14ac:dyDescent="0.3">
      <c r="K301" s="88" t="s">
        <v>573</v>
      </c>
      <c r="M301" s="89" t="s">
        <v>574</v>
      </c>
    </row>
    <row r="302" spans="1:18" ht="20.399999999999999" x14ac:dyDescent="0.3">
      <c r="A302" s="85">
        <v>248</v>
      </c>
      <c r="B302" s="74" t="s">
        <v>5151</v>
      </c>
      <c r="C302" s="75" t="str">
        <f>HYPERLINK("https://www.xeno-canto.org/species/Hydrobates-monorhis")</f>
        <v>https://www.xeno-canto.org/species/Hydrobates-monorhis</v>
      </c>
      <c r="D302" s="91" t="str">
        <f>HYPERLINK("https://ebird.org/species/swspet")</f>
        <v>https://ebird.org/species/swspet</v>
      </c>
      <c r="E302" s="120" t="str">
        <f>HYPERLINK("https://en.wikipedia.org/wiki/Swinhoe's_Storm_Petrel")</f>
        <v>https://en.wikipedia.org/wiki/Swinhoe's_Storm_Petrel</v>
      </c>
      <c r="F302" s="121" t="str">
        <f>HYPERLINK("https://apiv3.iucnredlist.org/api/v3/website/Hydrobates monorhis")</f>
        <v>https://apiv3.iucnredlist.org/api/v3/website/Hydrobates monorhis</v>
      </c>
      <c r="H302" s="90">
        <v>105</v>
      </c>
      <c r="J302" s="87" t="s">
        <v>574</v>
      </c>
      <c r="K302" s="92" t="s">
        <v>575</v>
      </c>
      <c r="M302" s="93" t="s">
        <v>1831</v>
      </c>
      <c r="N302" s="90" t="s">
        <v>49</v>
      </c>
      <c r="O302" s="90" t="s">
        <v>50</v>
      </c>
      <c r="P302" s="90" t="s">
        <v>186</v>
      </c>
      <c r="Q302" s="2" t="s">
        <v>3479</v>
      </c>
      <c r="R302" s="2" t="s">
        <v>8560</v>
      </c>
    </row>
    <row r="303" spans="1:18" ht="20.399999999999999" x14ac:dyDescent="0.3">
      <c r="A303" s="85">
        <v>249</v>
      </c>
      <c r="B303" s="76" t="s">
        <v>5152</v>
      </c>
      <c r="C303" s="77" t="str">
        <f>HYPERLINK("https://www.xeno-canto.org/species/Hydrobates-leucorhous")</f>
        <v>https://www.xeno-canto.org/species/Hydrobates-leucorhous</v>
      </c>
      <c r="D303" s="94" t="str">
        <f>HYPERLINK("https://ebird.org/species/lcspet")</f>
        <v>https://ebird.org/species/lcspet</v>
      </c>
      <c r="E303" s="122" t="str">
        <f>HYPERLINK("https://en.wikipedia.org/wiki/Leach's_Storm_Petrel")</f>
        <v>https://en.wikipedia.org/wiki/Leach's_Storm_Petrel</v>
      </c>
      <c r="F303" s="123" t="str">
        <f>HYPERLINK("https://apiv3.iucnredlist.org/api/v3/website/Hydrobates leucorhous")</f>
        <v>https://apiv3.iucnredlist.org/api/v3/website/Hydrobates leucorhous</v>
      </c>
      <c r="H303" s="90">
        <v>105</v>
      </c>
      <c r="J303" s="87" t="s">
        <v>574</v>
      </c>
      <c r="K303" s="92" t="s">
        <v>576</v>
      </c>
      <c r="M303" s="93" t="s">
        <v>1832</v>
      </c>
      <c r="N303" s="90" t="s">
        <v>49</v>
      </c>
      <c r="O303" s="90" t="s">
        <v>38</v>
      </c>
      <c r="Q303" s="2" t="s">
        <v>3479</v>
      </c>
      <c r="R303" s="2" t="s">
        <v>6536</v>
      </c>
    </row>
    <row r="305" spans="1:18" ht="24" x14ac:dyDescent="0.3">
      <c r="K305" s="88" t="s">
        <v>5813</v>
      </c>
      <c r="M305" s="89" t="s">
        <v>577</v>
      </c>
    </row>
    <row r="306" spans="1:18" ht="20.399999999999999" x14ac:dyDescent="0.3">
      <c r="A306" s="85">
        <v>250</v>
      </c>
      <c r="B306" s="74" t="s">
        <v>3480</v>
      </c>
      <c r="C306" s="75" t="str">
        <f>HYPERLINK("https://www.xeno-canto.org/species/Pterodroma-neglecta")</f>
        <v>https://www.xeno-canto.org/species/Pterodroma-neglecta</v>
      </c>
      <c r="D306" s="91" t="str">
        <f>HYPERLINK("https://ebird.org/species/kerpet")</f>
        <v>https://ebird.org/species/kerpet</v>
      </c>
      <c r="E306" s="120" t="str">
        <f>HYPERLINK("https://en.wikipedia.org/wiki/Kermadec_Petrel")</f>
        <v>https://en.wikipedia.org/wiki/Kermadec_Petrel</v>
      </c>
      <c r="F306" s="121" t="str">
        <f>HYPERLINK("https://apiv3.iucnredlist.org/api/v3/website/Pterodroma neglecta")</f>
        <v>https://apiv3.iucnredlist.org/api/v3/website/Pterodroma neglecta</v>
      </c>
      <c r="G306" s="90">
        <v>1</v>
      </c>
      <c r="H306" s="90">
        <v>107</v>
      </c>
      <c r="J306" s="87" t="s">
        <v>577</v>
      </c>
      <c r="K306" s="92" t="s">
        <v>578</v>
      </c>
      <c r="M306" s="93" t="s">
        <v>579</v>
      </c>
      <c r="N306" s="90" t="s">
        <v>49</v>
      </c>
      <c r="Q306" s="2" t="s">
        <v>3083</v>
      </c>
      <c r="R306" s="2" t="s">
        <v>6417</v>
      </c>
    </row>
    <row r="307" spans="1:18" ht="20.399999999999999" x14ac:dyDescent="0.3">
      <c r="A307" s="85">
        <v>251</v>
      </c>
      <c r="B307" s="76" t="s">
        <v>3481</v>
      </c>
      <c r="C307" s="77" t="str">
        <f>HYPERLINK("https://www.xeno-canto.org/species/Pterodroma-sandwichensis")</f>
        <v>https://www.xeno-canto.org/species/Pterodroma-sandwichensis</v>
      </c>
      <c r="D307" s="94" t="str">
        <f>HYPERLINK("https://ebird.org/species/hawpet1")</f>
        <v>https://ebird.org/species/hawpet1</v>
      </c>
      <c r="E307" s="122" t="str">
        <f>HYPERLINK("https://en.wikipedia.org/wiki/Hawaiian_Petrel")</f>
        <v>https://en.wikipedia.org/wiki/Hawaiian_Petrel</v>
      </c>
      <c r="F307" s="123" t="str">
        <f>HYPERLINK("https://apiv3.iucnredlist.org/api/v3/website/Pterodroma sandwichensis")</f>
        <v>https://apiv3.iucnredlist.org/api/v3/website/Pterodroma sandwichensis</v>
      </c>
      <c r="G307" s="90">
        <v>1</v>
      </c>
      <c r="H307" s="90">
        <v>107</v>
      </c>
      <c r="J307" s="87" t="s">
        <v>577</v>
      </c>
      <c r="K307" s="92" t="s">
        <v>580</v>
      </c>
      <c r="M307" s="93" t="s">
        <v>581</v>
      </c>
      <c r="N307" s="90" t="s">
        <v>49</v>
      </c>
      <c r="O307" s="90" t="s">
        <v>58</v>
      </c>
      <c r="P307" s="90" t="s">
        <v>38</v>
      </c>
      <c r="Q307" s="2" t="s">
        <v>3482</v>
      </c>
      <c r="R307" s="2" t="s">
        <v>6418</v>
      </c>
    </row>
    <row r="308" spans="1:18" ht="30.6" x14ac:dyDescent="0.3">
      <c r="A308" s="85">
        <v>252</v>
      </c>
      <c r="B308" s="76" t="s">
        <v>3483</v>
      </c>
      <c r="C308" s="77" t="str">
        <f>HYPERLINK("https://www.xeno-canto.org/species/Pterodroma-nigripennis")</f>
        <v>https://www.xeno-canto.org/species/Pterodroma-nigripennis</v>
      </c>
      <c r="D308" s="94" t="str">
        <f>HYPERLINK("https://ebird.org/species/bkwpet")</f>
        <v>https://ebird.org/species/bkwpet</v>
      </c>
      <c r="E308" s="122" t="str">
        <f>HYPERLINK("https://en.wikipedia.org/wiki/Black-winged_Petrel")</f>
        <v>https://en.wikipedia.org/wiki/Black-winged_Petrel</v>
      </c>
      <c r="F308" s="123" t="str">
        <f>HYPERLINK("https://apiv3.iucnredlist.org/api/v3/website/Pterodroma nigripennis")</f>
        <v>https://apiv3.iucnredlist.org/api/v3/website/Pterodroma nigripennis</v>
      </c>
      <c r="H308" s="90">
        <v>107</v>
      </c>
      <c r="J308" s="87" t="s">
        <v>577</v>
      </c>
      <c r="K308" s="92" t="s">
        <v>3484</v>
      </c>
      <c r="M308" s="93" t="s">
        <v>3485</v>
      </c>
      <c r="N308" s="90" t="s">
        <v>49</v>
      </c>
      <c r="Q308" s="2" t="s">
        <v>3074</v>
      </c>
      <c r="R308" s="2" t="s">
        <v>6419</v>
      </c>
    </row>
    <row r="309" spans="1:18" ht="20.399999999999999" x14ac:dyDescent="0.3">
      <c r="A309" s="85">
        <v>253</v>
      </c>
      <c r="B309" s="76" t="s">
        <v>3486</v>
      </c>
      <c r="C309" s="77" t="str">
        <f>HYPERLINK("https://www.xeno-canto.org/species/Pterodroma-hypoleuca")</f>
        <v>https://www.xeno-canto.org/species/Pterodroma-hypoleuca</v>
      </c>
      <c r="D309" s="94" t="str">
        <f>HYPERLINK("https://ebird.org/species/bonpet")</f>
        <v>https://ebird.org/species/bonpet</v>
      </c>
      <c r="E309" s="122" t="str">
        <f>HYPERLINK("https://en.wikipedia.org/wiki/Bonin_Petrel")</f>
        <v>https://en.wikipedia.org/wiki/Bonin_Petrel</v>
      </c>
      <c r="F309" s="123" t="str">
        <f>HYPERLINK("https://apiv3.iucnredlist.org/api/v3/website/Pterodroma hypoleuca")</f>
        <v>https://apiv3.iucnredlist.org/api/v3/website/Pterodroma hypoleuca</v>
      </c>
      <c r="G309" s="90">
        <v>1</v>
      </c>
      <c r="H309" s="90">
        <v>107</v>
      </c>
      <c r="J309" s="87" t="s">
        <v>577</v>
      </c>
      <c r="K309" s="92" t="s">
        <v>582</v>
      </c>
      <c r="M309" s="93" t="s">
        <v>583</v>
      </c>
      <c r="N309" s="90" t="s">
        <v>49</v>
      </c>
      <c r="Q309" s="2" t="s">
        <v>3083</v>
      </c>
      <c r="R309" s="2" t="s">
        <v>6420</v>
      </c>
    </row>
    <row r="310" spans="1:18" ht="20.399999999999999" x14ac:dyDescent="0.3">
      <c r="A310" s="85">
        <v>254</v>
      </c>
      <c r="B310" s="76" t="s">
        <v>3487</v>
      </c>
      <c r="C310" s="77" t="str">
        <f>HYPERLINK("https://www.xeno-canto.org/species/Pseudobulweria-rostrata")</f>
        <v>https://www.xeno-canto.org/species/Pseudobulweria-rostrata</v>
      </c>
      <c r="D310" s="94" t="str">
        <f>HYPERLINK("https://ebird.org/species/tahpet1")</f>
        <v>https://ebird.org/species/tahpet1</v>
      </c>
      <c r="E310" s="122" t="str">
        <f>HYPERLINK("https://en.wikipedia.org/wiki/Tahiti_Petrel")</f>
        <v>https://en.wikipedia.org/wiki/Tahiti_Petrel</v>
      </c>
      <c r="F310" s="123" t="str">
        <f>HYPERLINK("https://apiv3.iucnredlist.org/api/v3/website/Pseudobulweria rostrata")</f>
        <v>https://apiv3.iucnredlist.org/api/v3/website/Pseudobulweria rostrata</v>
      </c>
      <c r="G310" s="90">
        <v>1</v>
      </c>
      <c r="H310" s="90">
        <v>109</v>
      </c>
      <c r="J310" s="87" t="s">
        <v>577</v>
      </c>
      <c r="K310" s="92" t="s">
        <v>584</v>
      </c>
      <c r="M310" s="93" t="s">
        <v>585</v>
      </c>
      <c r="N310" s="90" t="s">
        <v>49</v>
      </c>
      <c r="O310" s="90" t="s">
        <v>50</v>
      </c>
      <c r="P310" s="90" t="s">
        <v>186</v>
      </c>
      <c r="Q310" s="2" t="s">
        <v>3488</v>
      </c>
      <c r="R310" s="2" t="s">
        <v>6421</v>
      </c>
    </row>
    <row r="311" spans="1:18" ht="14.4" x14ac:dyDescent="0.3">
      <c r="A311" s="85">
        <v>255</v>
      </c>
      <c r="B311" s="76" t="s">
        <v>3489</v>
      </c>
      <c r="C311" s="77" t="str">
        <f>HYPERLINK("https://www.xeno-canto.org/species/Calonectris-leucomelas")</f>
        <v>https://www.xeno-canto.org/species/Calonectris-leucomelas</v>
      </c>
      <c r="D311" s="94" t="str">
        <f>HYPERLINK("https://ebird.org/species/strshe")</f>
        <v>https://ebird.org/species/strshe</v>
      </c>
      <c r="E311" s="122" t="str">
        <f>HYPERLINK("https://en.wikipedia.org/wiki/Streaked_Shearwater")</f>
        <v>https://en.wikipedia.org/wiki/Streaked_Shearwater</v>
      </c>
      <c r="F311" s="123" t="str">
        <f>HYPERLINK("https://apiv3.iucnredlist.org/api/v3/website/Calonectris leucomelas")</f>
        <v>https://apiv3.iucnredlist.org/api/v3/website/Calonectris leucomelas</v>
      </c>
      <c r="G311" s="90">
        <v>1</v>
      </c>
      <c r="H311" s="90">
        <v>109</v>
      </c>
      <c r="J311" s="87" t="s">
        <v>577</v>
      </c>
      <c r="K311" s="95" t="s">
        <v>586</v>
      </c>
      <c r="M311" s="93" t="s">
        <v>587</v>
      </c>
      <c r="N311" s="90" t="s">
        <v>89</v>
      </c>
      <c r="O311" s="90" t="s">
        <v>50</v>
      </c>
      <c r="Q311" s="2" t="s">
        <v>3490</v>
      </c>
    </row>
    <row r="312" spans="1:18" ht="14.4" x14ac:dyDescent="0.3">
      <c r="A312" s="85">
        <v>256</v>
      </c>
      <c r="B312" s="76" t="s">
        <v>3491</v>
      </c>
      <c r="C312" s="77" t="str">
        <f>HYPERLINK("https://www.xeno-canto.org/species/Ardenna-pacifica")</f>
        <v>https://www.xeno-canto.org/species/Ardenna-pacifica</v>
      </c>
      <c r="D312" s="94" t="str">
        <f>HYPERLINK("https://ebird.org/species/wetshe")</f>
        <v>https://ebird.org/species/wetshe</v>
      </c>
      <c r="E312" s="122" t="str">
        <f>HYPERLINK("https://en.wikipedia.org/wiki/Wedge-tailed_Shearwater")</f>
        <v>https://en.wikipedia.org/wiki/Wedge-tailed_Shearwater</v>
      </c>
      <c r="F312" s="123" t="str">
        <f>HYPERLINK("https://apiv3.iucnredlist.org/api/v3/website/Ardenna pacifica")</f>
        <v>https://apiv3.iucnredlist.org/api/v3/website/Ardenna pacifica</v>
      </c>
      <c r="G312" s="90">
        <v>1</v>
      </c>
      <c r="H312" s="90">
        <v>109</v>
      </c>
      <c r="J312" s="87" t="s">
        <v>577</v>
      </c>
      <c r="K312" s="95" t="s">
        <v>588</v>
      </c>
      <c r="M312" s="93" t="s">
        <v>589</v>
      </c>
      <c r="N312" s="90" t="s">
        <v>89</v>
      </c>
      <c r="Q312" s="2" t="s">
        <v>3490</v>
      </c>
    </row>
    <row r="313" spans="1:18" ht="20.399999999999999" x14ac:dyDescent="0.3">
      <c r="A313" s="85">
        <v>257</v>
      </c>
      <c r="B313" s="76" t="s">
        <v>3492</v>
      </c>
      <c r="C313" s="77" t="str">
        <f>HYPERLINK("https://www.xeno-canto.org/species/Ardenna-tenuirostris")</f>
        <v>https://www.xeno-canto.org/species/Ardenna-tenuirostris</v>
      </c>
      <c r="D313" s="94" t="str">
        <f>HYPERLINK("https://ebird.org/species/shtshe")</f>
        <v>https://ebird.org/species/shtshe</v>
      </c>
      <c r="E313" s="122" t="str">
        <f>HYPERLINK("https://en.wikipedia.org/wiki/Short-tailed_Shearwater")</f>
        <v>https://en.wikipedia.org/wiki/Short-tailed_Shearwater</v>
      </c>
      <c r="F313" s="123" t="str">
        <f>HYPERLINK("https://apiv3.iucnredlist.org/api/v3/website/Ardenna tenuirostris")</f>
        <v>https://apiv3.iucnredlist.org/api/v3/website/Ardenna tenuirostris</v>
      </c>
      <c r="H313" s="90">
        <v>109</v>
      </c>
      <c r="J313" s="87" t="s">
        <v>577</v>
      </c>
      <c r="K313" s="92" t="s">
        <v>590</v>
      </c>
      <c r="M313" s="93" t="s">
        <v>591</v>
      </c>
      <c r="N313" s="90" t="s">
        <v>49</v>
      </c>
      <c r="Q313" s="2" t="s">
        <v>3493</v>
      </c>
      <c r="R313" s="2" t="s">
        <v>6537</v>
      </c>
    </row>
    <row r="314" spans="1:18" ht="20.399999999999999" x14ac:dyDescent="0.3">
      <c r="A314" s="85">
        <v>258</v>
      </c>
      <c r="B314" s="76" t="s">
        <v>3494</v>
      </c>
      <c r="C314" s="77" t="str">
        <f>HYPERLINK("https://www.xeno-canto.org/species/Bulweria-bulwerii")</f>
        <v>https://www.xeno-canto.org/species/Bulweria-bulwerii</v>
      </c>
      <c r="D314" s="94" t="str">
        <f>HYPERLINK("https://ebird.org/species/bulpet")</f>
        <v>https://ebird.org/species/bulpet</v>
      </c>
      <c r="E314" s="122" t="str">
        <f>HYPERLINK("https://en.wikipedia.org/wiki/Bulwer's_Petrel")</f>
        <v>https://en.wikipedia.org/wiki/Bulwer's_Petrel</v>
      </c>
      <c r="F314" s="123" t="str">
        <f>HYPERLINK("https://apiv3.iucnredlist.org/api/v3/website/Bulweria bulwerii")</f>
        <v>https://apiv3.iucnredlist.org/api/v3/website/Bulweria bulwerii</v>
      </c>
      <c r="G314" s="90">
        <v>1</v>
      </c>
      <c r="H314" s="90">
        <v>109</v>
      </c>
      <c r="J314" s="87" t="s">
        <v>577</v>
      </c>
      <c r="K314" s="92" t="s">
        <v>592</v>
      </c>
      <c r="M314" s="93" t="s">
        <v>593</v>
      </c>
      <c r="N314" s="90" t="s">
        <v>49</v>
      </c>
      <c r="Q314" s="2" t="s">
        <v>3495</v>
      </c>
      <c r="R314" s="2" t="s">
        <v>6538</v>
      </c>
    </row>
    <row r="316" spans="1:18" ht="12" x14ac:dyDescent="0.3">
      <c r="K316" s="88" t="s">
        <v>594</v>
      </c>
      <c r="M316" s="89" t="s">
        <v>595</v>
      </c>
    </row>
    <row r="317" spans="1:18" ht="40.799999999999997" x14ac:dyDescent="0.3">
      <c r="A317" s="85">
        <v>259</v>
      </c>
      <c r="B317" s="74" t="s">
        <v>3497</v>
      </c>
      <c r="C317" s="75" t="str">
        <f>HYPERLINK("https://www.xeno-canto.org/species/Ciconia-episcopus")</f>
        <v>https://www.xeno-canto.org/species/Ciconia-episcopus</v>
      </c>
      <c r="D317" s="91" t="str">
        <f>HYPERLINK("https://ebird.org/species/wonsto1")</f>
        <v>https://ebird.org/species/wonsto1</v>
      </c>
      <c r="E317" s="120" t="str">
        <f>HYPERLINK("https://en.wikipedia.org/wiki/Asian_Woolly-necked_Stork")</f>
        <v>https://en.wikipedia.org/wiki/Asian_Woolly-necked_Stork</v>
      </c>
      <c r="F317" s="121" t="str">
        <f>HYPERLINK("https://apiv3.iucnredlist.org/api/v3/website/Ciconia episcopus")</f>
        <v>https://apiv3.iucnredlist.org/api/v3/website/Ciconia episcopus</v>
      </c>
      <c r="G317" s="90">
        <v>5</v>
      </c>
      <c r="H317" s="90">
        <v>111</v>
      </c>
      <c r="J317" s="87" t="s">
        <v>595</v>
      </c>
      <c r="K317" s="92" t="s">
        <v>5814</v>
      </c>
      <c r="L317" s="86" t="s">
        <v>1841</v>
      </c>
      <c r="M317" s="93" t="s">
        <v>598</v>
      </c>
      <c r="N317" s="90" t="s">
        <v>37</v>
      </c>
      <c r="O317" s="90" t="s">
        <v>38</v>
      </c>
      <c r="P317" s="90" t="s">
        <v>186</v>
      </c>
      <c r="Q317" s="2" t="s">
        <v>3498</v>
      </c>
      <c r="R317" s="2" t="s">
        <v>6539</v>
      </c>
    </row>
    <row r="318" spans="1:18" ht="20.399999999999999" x14ac:dyDescent="0.3">
      <c r="A318" s="85">
        <v>260</v>
      </c>
      <c r="B318" s="76" t="s">
        <v>3496</v>
      </c>
      <c r="C318" s="77" t="str">
        <f>HYPERLINK("https://www.xeno-canto.org/species/Ciconia-nigra")</f>
        <v>https://www.xeno-canto.org/species/Ciconia-nigra</v>
      </c>
      <c r="D318" s="94" t="str">
        <f>HYPERLINK("https://ebird.org/species/blasto1")</f>
        <v>https://ebird.org/species/blasto1</v>
      </c>
      <c r="E318" s="122" t="str">
        <f>HYPERLINK("https://en.wikipedia.org/wiki/Black_Stork")</f>
        <v>https://en.wikipedia.org/wiki/Black_Stork</v>
      </c>
      <c r="F318" s="123" t="str">
        <f>HYPERLINK("https://apiv3.iucnredlist.org/api/v3/website/Ciconia nigra")</f>
        <v>https://apiv3.iucnredlist.org/api/v3/website/Ciconia nigra</v>
      </c>
      <c r="H318" s="90">
        <v>111</v>
      </c>
      <c r="J318" s="87" t="s">
        <v>595</v>
      </c>
      <c r="K318" s="92" t="s">
        <v>596</v>
      </c>
      <c r="M318" s="93" t="s">
        <v>597</v>
      </c>
      <c r="N318" s="90" t="s">
        <v>49</v>
      </c>
      <c r="Q318" s="2" t="s">
        <v>3083</v>
      </c>
      <c r="R318" s="2" t="s">
        <v>6422</v>
      </c>
    </row>
    <row r="319" spans="1:18" ht="20.399999999999999" x14ac:dyDescent="0.3">
      <c r="A319" s="85">
        <v>261</v>
      </c>
      <c r="B319" s="76" t="s">
        <v>3499</v>
      </c>
      <c r="C319" s="77" t="str">
        <f>HYPERLINK("https://www.xeno-canto.org/species/Ciconia-boyciana")</f>
        <v>https://www.xeno-canto.org/species/Ciconia-boyciana</v>
      </c>
      <c r="D319" s="94" t="str">
        <f>HYPERLINK("https://ebird.org/species/oristo1")</f>
        <v>https://ebird.org/species/oristo1</v>
      </c>
      <c r="E319" s="122" t="str">
        <f>HYPERLINK("https://en.wikipedia.org/wiki/Oriental_Stork")</f>
        <v>https://en.wikipedia.org/wiki/Oriental_Stork</v>
      </c>
      <c r="F319" s="123" t="str">
        <f>HYPERLINK("https://apiv3.iucnredlist.org/api/v3/website/Ciconia boyciana")</f>
        <v>https://apiv3.iucnredlist.org/api/v3/website/Ciconia boyciana</v>
      </c>
      <c r="H319" s="90">
        <v>111</v>
      </c>
      <c r="J319" s="87" t="s">
        <v>595</v>
      </c>
      <c r="K319" s="92" t="s">
        <v>599</v>
      </c>
      <c r="M319" s="93" t="s">
        <v>600</v>
      </c>
      <c r="N319" s="90" t="s">
        <v>49</v>
      </c>
      <c r="O319" s="90" t="s">
        <v>58</v>
      </c>
      <c r="P319" s="90" t="s">
        <v>58</v>
      </c>
      <c r="Q319" s="2" t="s">
        <v>3083</v>
      </c>
      <c r="R319" s="2" t="s">
        <v>6423</v>
      </c>
    </row>
    <row r="321" spans="1:18" ht="12" x14ac:dyDescent="0.3">
      <c r="K321" s="88" t="s">
        <v>601</v>
      </c>
      <c r="M321" s="89" t="s">
        <v>602</v>
      </c>
    </row>
    <row r="322" spans="1:18" ht="14.4" x14ac:dyDescent="0.3">
      <c r="A322" s="85">
        <v>262</v>
      </c>
      <c r="B322" s="74" t="s">
        <v>3504</v>
      </c>
      <c r="C322" s="75" t="str">
        <f>HYPERLINK("https://www.xeno-canto.org/species/Fregata-ariel")</f>
        <v>https://www.xeno-canto.org/species/Fregata-ariel</v>
      </c>
      <c r="D322" s="91" t="str">
        <f>HYPERLINK("https://ebird.org/species/lesfri")</f>
        <v>https://ebird.org/species/lesfri</v>
      </c>
      <c r="E322" s="120" t="str">
        <f>HYPERLINK("https://en.wikipedia.org/wiki/Lesser_Frigatebird")</f>
        <v>https://en.wikipedia.org/wiki/Lesser_Frigatebird</v>
      </c>
      <c r="F322" s="121" t="str">
        <f>HYPERLINK("https://apiv3.iucnredlist.org/api/v3/website/Fregata ariel")</f>
        <v>https://apiv3.iucnredlist.org/api/v3/website/Fregata ariel</v>
      </c>
      <c r="G322" s="90">
        <v>2</v>
      </c>
      <c r="H322" s="90">
        <v>125</v>
      </c>
      <c r="J322" s="87" t="s">
        <v>602</v>
      </c>
      <c r="K322" s="95" t="s">
        <v>607</v>
      </c>
      <c r="M322" s="93" t="s">
        <v>608</v>
      </c>
      <c r="N322" s="90" t="s">
        <v>89</v>
      </c>
      <c r="Q322" s="2" t="s">
        <v>3501</v>
      </c>
    </row>
    <row r="323" spans="1:18" ht="20.399999999999999" x14ac:dyDescent="0.3">
      <c r="A323" s="85">
        <v>263</v>
      </c>
      <c r="B323" s="76" t="s">
        <v>3502</v>
      </c>
      <c r="C323" s="77" t="str">
        <f>HYPERLINK("https://www.xeno-canto.org/species/Fregata-minor")</f>
        <v>https://www.xeno-canto.org/species/Fregata-minor</v>
      </c>
      <c r="D323" s="94" t="str">
        <f>HYPERLINK("https://ebird.org/species/grefri")</f>
        <v>https://ebird.org/species/grefri</v>
      </c>
      <c r="E323" s="122" t="str">
        <f>HYPERLINK("https://en.wikipedia.org/wiki/Great_Frigatebird")</f>
        <v>https://en.wikipedia.org/wiki/Great_Frigatebird</v>
      </c>
      <c r="F323" s="123" t="str">
        <f>HYPERLINK("https://apiv3.iucnredlist.org/api/v3/website/Fregata minor")</f>
        <v>https://apiv3.iucnredlist.org/api/v3/website/Fregata minor</v>
      </c>
      <c r="G323" s="90">
        <v>2</v>
      </c>
      <c r="H323" s="90">
        <v>125</v>
      </c>
      <c r="J323" s="87" t="s">
        <v>602</v>
      </c>
      <c r="K323" s="95" t="s">
        <v>605</v>
      </c>
      <c r="M323" s="93" t="s">
        <v>606</v>
      </c>
      <c r="N323" s="90" t="s">
        <v>89</v>
      </c>
      <c r="Q323" s="2" t="s">
        <v>3503</v>
      </c>
      <c r="R323" s="2" t="s">
        <v>6540</v>
      </c>
    </row>
    <row r="324" spans="1:18" ht="30.6" x14ac:dyDescent="0.3">
      <c r="A324" s="85">
        <v>264</v>
      </c>
      <c r="B324" s="76" t="s">
        <v>3500</v>
      </c>
      <c r="C324" s="77" t="str">
        <f>HYPERLINK("https://www.xeno-canto.org/species/Fregata-andrewsi")</f>
        <v>https://www.xeno-canto.org/species/Fregata-andrewsi</v>
      </c>
      <c r="D324" s="94" t="str">
        <f>HYPERLINK("https://ebird.org/species/chifri1")</f>
        <v>https://ebird.org/species/chifri1</v>
      </c>
      <c r="E324" s="122" t="str">
        <f>HYPERLINK("https://en.wikipedia.org/wiki/Christmas_Frigatebird")</f>
        <v>https://en.wikipedia.org/wiki/Christmas_Frigatebird</v>
      </c>
      <c r="F324" s="123" t="str">
        <f>HYPERLINK("https://apiv3.iucnredlist.org/api/v3/website/Fregata andrewsi")</f>
        <v>https://apiv3.iucnredlist.org/api/v3/website/Fregata andrewsi</v>
      </c>
      <c r="H324" s="90">
        <v>125</v>
      </c>
      <c r="J324" s="87" t="s">
        <v>602</v>
      </c>
      <c r="K324" s="92" t="s">
        <v>1845</v>
      </c>
      <c r="M324" s="93" t="s">
        <v>604</v>
      </c>
      <c r="N324" s="90" t="s">
        <v>89</v>
      </c>
      <c r="O324" s="90" t="s">
        <v>112</v>
      </c>
      <c r="P324" s="90" t="s">
        <v>112</v>
      </c>
      <c r="Q324" s="2" t="s">
        <v>6476</v>
      </c>
      <c r="R324" s="2" t="s">
        <v>3002</v>
      </c>
    </row>
    <row r="326" spans="1:18" ht="12" x14ac:dyDescent="0.3">
      <c r="K326" s="88" t="s">
        <v>5815</v>
      </c>
      <c r="M326" s="89" t="s">
        <v>609</v>
      </c>
    </row>
    <row r="327" spans="1:18" ht="14.4" x14ac:dyDescent="0.3">
      <c r="A327" s="85">
        <v>265</v>
      </c>
      <c r="B327" s="74" t="s">
        <v>3506</v>
      </c>
      <c r="C327" s="75" t="str">
        <f>HYPERLINK("https://www.xeno-canto.org/species/Sula-sula")</f>
        <v>https://www.xeno-canto.org/species/Sula-sula</v>
      </c>
      <c r="D327" s="91" t="str">
        <f>HYPERLINK("https://ebird.org/species/refboo")</f>
        <v>https://ebird.org/species/refboo</v>
      </c>
      <c r="E327" s="120" t="str">
        <f>HYPERLINK("https://en.wikipedia.org/wiki/Red-footed_Booby")</f>
        <v>https://en.wikipedia.org/wiki/Red-footed_Booby</v>
      </c>
      <c r="F327" s="121" t="str">
        <f>HYPERLINK("https://apiv3.iucnredlist.org/api/v3/website/Sula sula")</f>
        <v>https://apiv3.iucnredlist.org/api/v3/website/Sula sula</v>
      </c>
      <c r="G327" s="90">
        <v>2</v>
      </c>
      <c r="H327" s="90">
        <v>127</v>
      </c>
      <c r="J327" s="87" t="s">
        <v>609</v>
      </c>
      <c r="K327" s="95" t="s">
        <v>612</v>
      </c>
      <c r="M327" s="93" t="s">
        <v>613</v>
      </c>
      <c r="N327" s="90" t="s">
        <v>37</v>
      </c>
      <c r="Q327" s="2" t="s">
        <v>3507</v>
      </c>
    </row>
    <row r="328" spans="1:18" ht="20.399999999999999" x14ac:dyDescent="0.3">
      <c r="A328" s="85">
        <v>266</v>
      </c>
      <c r="B328" s="76" t="s">
        <v>3508</v>
      </c>
      <c r="C328" s="77" t="str">
        <f>HYPERLINK("https://www.xeno-canto.org/species/Sula-leucogaster")</f>
        <v>https://www.xeno-canto.org/species/Sula-leucogaster</v>
      </c>
      <c r="D328" s="94" t="str">
        <f>HYPERLINK("https://ebird.org/species/brnboo")</f>
        <v>https://ebird.org/species/brnboo</v>
      </c>
      <c r="E328" s="122" t="str">
        <f>HYPERLINK("https://en.wikipedia.org/wiki/Brown_Booby")</f>
        <v>https://en.wikipedia.org/wiki/Brown_Booby</v>
      </c>
      <c r="F328" s="123" t="str">
        <f>HYPERLINK("https://apiv3.iucnredlist.org/api/v3/website/Sula leucogaster")</f>
        <v>https://apiv3.iucnredlist.org/api/v3/website/Sula leucogaster</v>
      </c>
      <c r="G328" s="90">
        <v>2</v>
      </c>
      <c r="H328" s="90">
        <v>127</v>
      </c>
      <c r="J328" s="87" t="s">
        <v>609</v>
      </c>
      <c r="K328" s="95" t="s">
        <v>614</v>
      </c>
      <c r="M328" s="93" t="s">
        <v>615</v>
      </c>
      <c r="N328" s="90" t="s">
        <v>346</v>
      </c>
      <c r="P328" s="90" t="s">
        <v>58</v>
      </c>
      <c r="Q328" s="2" t="s">
        <v>6478</v>
      </c>
    </row>
    <row r="329" spans="1:18" ht="40.799999999999997" x14ac:dyDescent="0.3">
      <c r="A329" s="85">
        <v>267</v>
      </c>
      <c r="B329" s="76" t="s">
        <v>3505</v>
      </c>
      <c r="C329" s="77" t="str">
        <f>HYPERLINK("https://www.xeno-canto.org/species/Sula-dactylatra")</f>
        <v>https://www.xeno-canto.org/species/Sula-dactylatra</v>
      </c>
      <c r="D329" s="94" t="str">
        <f>HYPERLINK("https://ebird.org/species/masboo")</f>
        <v>https://ebird.org/species/masboo</v>
      </c>
      <c r="E329" s="122" t="str">
        <f>HYPERLINK("https://en.wikipedia.org/wiki/Masked_Booby")</f>
        <v>https://en.wikipedia.org/wiki/Masked_Booby</v>
      </c>
      <c r="F329" s="123" t="str">
        <f>HYPERLINK("https://apiv3.iucnredlist.org/api/v3/website/Sula dactylatra")</f>
        <v>https://apiv3.iucnredlist.org/api/v3/website/Sula dactylatra</v>
      </c>
      <c r="G329" s="90">
        <v>2</v>
      </c>
      <c r="H329" s="90">
        <v>127</v>
      </c>
      <c r="J329" s="87" t="s">
        <v>609</v>
      </c>
      <c r="K329" s="92" t="s">
        <v>610</v>
      </c>
      <c r="M329" s="93" t="s">
        <v>611</v>
      </c>
      <c r="N329" s="90" t="s">
        <v>37</v>
      </c>
      <c r="P329" s="90" t="s">
        <v>112</v>
      </c>
      <c r="Q329" s="2" t="s">
        <v>6477</v>
      </c>
      <c r="R329" s="2" t="s">
        <v>8561</v>
      </c>
    </row>
    <row r="331" spans="1:18" ht="12" x14ac:dyDescent="0.3">
      <c r="K331" s="88" t="s">
        <v>5816</v>
      </c>
      <c r="M331" s="89" t="s">
        <v>619</v>
      </c>
    </row>
    <row r="332" spans="1:18" ht="14.4" x14ac:dyDescent="0.3">
      <c r="A332" s="85">
        <v>268</v>
      </c>
      <c r="B332" s="74" t="s">
        <v>3509</v>
      </c>
      <c r="C332" s="75" t="str">
        <f>HYPERLINK("https://www.xeno-canto.org/species/Anhinga-melanogaster")</f>
        <v>https://www.xeno-canto.org/species/Anhinga-melanogaster</v>
      </c>
      <c r="D332" s="91" t="str">
        <f>HYPERLINK("https://ebird.org/species/darter2")</f>
        <v>https://ebird.org/species/darter2</v>
      </c>
      <c r="E332" s="120" t="str">
        <f>HYPERLINK("https://en.wikipedia.org/wiki/Oriental_Darter")</f>
        <v>https://en.wikipedia.org/wiki/Oriental_Darter</v>
      </c>
      <c r="F332" s="121" t="str">
        <f>HYPERLINK("https://apiv3.iucnredlist.org/api/v3/website/Anhinga melanogaster")</f>
        <v>https://apiv3.iucnredlist.org/api/v3/website/Anhinga melanogaster</v>
      </c>
      <c r="G332" s="90">
        <v>2</v>
      </c>
      <c r="H332" s="90">
        <v>129</v>
      </c>
      <c r="J332" s="87" t="s">
        <v>619</v>
      </c>
      <c r="K332" s="92" t="s">
        <v>620</v>
      </c>
      <c r="M332" s="93" t="s">
        <v>621</v>
      </c>
      <c r="N332" s="90" t="s">
        <v>37</v>
      </c>
      <c r="O332" s="90" t="s">
        <v>50</v>
      </c>
      <c r="P332" s="90" t="s">
        <v>38</v>
      </c>
      <c r="Q332" s="2" t="s">
        <v>3510</v>
      </c>
      <c r="R332" s="2" t="s">
        <v>6541</v>
      </c>
    </row>
    <row r="334" spans="1:18" ht="12" x14ac:dyDescent="0.3">
      <c r="K334" s="88" t="s">
        <v>5817</v>
      </c>
      <c r="M334" s="89" t="s">
        <v>616</v>
      </c>
    </row>
    <row r="335" spans="1:18" ht="20.399999999999999" x14ac:dyDescent="0.3">
      <c r="A335" s="85">
        <v>269</v>
      </c>
      <c r="B335" s="74" t="s">
        <v>5818</v>
      </c>
      <c r="C335" s="75" t="str">
        <f>HYPERLINK("https://www.xeno-canto.org/species/Phalacrocorax-sulcirostris")</f>
        <v>https://www.xeno-canto.org/species/Phalacrocorax-sulcirostris</v>
      </c>
      <c r="D335" s="91" t="str">
        <f>HYPERLINK("https://ebird.org/species/libcor1")</f>
        <v>https://ebird.org/species/libcor1</v>
      </c>
      <c r="E335" s="120" t="str">
        <f>HYPERLINK("https://en.wikipedia.org/wiki/Little_Black_Cormorant")</f>
        <v>https://en.wikipedia.org/wiki/Little_Black_Cormorant</v>
      </c>
      <c r="F335" s="121" t="str">
        <f>HYPERLINK("https://apiv3.iucnredlist.org/api/v3/website/Phalacrocorax sulcirostris")</f>
        <v>https://apiv3.iucnredlist.org/api/v3/website/Phalacrocorax sulcirostris</v>
      </c>
      <c r="J335" s="87" t="s">
        <v>616</v>
      </c>
      <c r="K335" s="92" t="s">
        <v>5819</v>
      </c>
      <c r="M335" s="93" t="s">
        <v>5820</v>
      </c>
      <c r="N335" s="90" t="s">
        <v>49</v>
      </c>
      <c r="R335" s="2" t="s">
        <v>6424</v>
      </c>
    </row>
    <row r="336" spans="1:18" ht="14.4" x14ac:dyDescent="0.3">
      <c r="A336" s="85">
        <v>270</v>
      </c>
      <c r="B336" s="76" t="s">
        <v>3511</v>
      </c>
      <c r="C336" s="77" t="str">
        <f>HYPERLINK("https://www.xeno-canto.org/species/Phalacrocorax-carbo")</f>
        <v>https://www.xeno-canto.org/species/Phalacrocorax-carbo</v>
      </c>
      <c r="D336" s="94" t="str">
        <f>HYPERLINK("https://ebird.org/species/grecor")</f>
        <v>https://ebird.org/species/grecor</v>
      </c>
      <c r="E336" s="122" t="str">
        <f>HYPERLINK("https://en.wikipedia.org/wiki/Great_Cormorant")</f>
        <v>https://en.wikipedia.org/wiki/Great_Cormorant</v>
      </c>
      <c r="F336" s="123" t="str">
        <f>HYPERLINK("https://apiv3.iucnredlist.org/api/v3/website/Phalacrocorax carbo")</f>
        <v>https://apiv3.iucnredlist.org/api/v3/website/Phalacrocorax carbo</v>
      </c>
      <c r="G336" s="90">
        <v>2</v>
      </c>
      <c r="H336" s="90">
        <v>129</v>
      </c>
      <c r="J336" s="87" t="s">
        <v>616</v>
      </c>
      <c r="K336" s="95" t="s">
        <v>617</v>
      </c>
      <c r="M336" s="93" t="s">
        <v>618</v>
      </c>
      <c r="N336" s="90" t="s">
        <v>89</v>
      </c>
      <c r="Q336" s="2" t="s">
        <v>3512</v>
      </c>
    </row>
    <row r="338" spans="1:18" ht="12" x14ac:dyDescent="0.3">
      <c r="K338" s="88" t="s">
        <v>5821</v>
      </c>
      <c r="M338" s="89" t="s">
        <v>622</v>
      </c>
    </row>
    <row r="339" spans="1:18" ht="20.399999999999999" x14ac:dyDescent="0.3">
      <c r="A339" s="85">
        <v>271</v>
      </c>
      <c r="B339" s="74" t="s">
        <v>3513</v>
      </c>
      <c r="C339" s="75" t="str">
        <f>HYPERLINK("https://www.xeno-canto.org/species/Threskiornis-melanocephalus")</f>
        <v>https://www.xeno-canto.org/species/Threskiornis-melanocephalus</v>
      </c>
      <c r="D339" s="91" t="str">
        <f>HYPERLINK("https://ebird.org/species/blhibi1")</f>
        <v>https://ebird.org/species/blhibi1</v>
      </c>
      <c r="E339" s="120" t="str">
        <f>HYPERLINK("https://en.wikipedia.org/wiki/Black-headed_Ibis")</f>
        <v>https://en.wikipedia.org/wiki/Black-headed_Ibis</v>
      </c>
      <c r="F339" s="121" t="str">
        <f>HYPERLINK("https://apiv3.iucnredlist.org/api/v3/website/Threskiornis melanocephalus")</f>
        <v>https://apiv3.iucnredlist.org/api/v3/website/Threskiornis melanocephalus</v>
      </c>
      <c r="G339" s="90">
        <v>5</v>
      </c>
      <c r="H339" s="90">
        <v>111</v>
      </c>
      <c r="J339" s="87" t="s">
        <v>622</v>
      </c>
      <c r="K339" s="92" t="s">
        <v>623</v>
      </c>
      <c r="M339" s="93" t="s">
        <v>624</v>
      </c>
      <c r="N339" s="90" t="s">
        <v>49</v>
      </c>
      <c r="O339" s="90" t="s">
        <v>50</v>
      </c>
      <c r="P339" s="90" t="s">
        <v>186</v>
      </c>
      <c r="Q339" s="2" t="s">
        <v>3514</v>
      </c>
      <c r="R339" s="2" t="s">
        <v>6425</v>
      </c>
    </row>
    <row r="340" spans="1:18" ht="30.6" x14ac:dyDescent="0.3">
      <c r="A340" s="85">
        <v>272</v>
      </c>
      <c r="B340" s="76" t="s">
        <v>3515</v>
      </c>
      <c r="C340" s="77" t="str">
        <f>HYPERLINK("https://www.xeno-canto.org/species/Plegadis-falcinellus")</f>
        <v>https://www.xeno-canto.org/species/Plegadis-falcinellus</v>
      </c>
      <c r="D340" s="94" t="str">
        <f>HYPERLINK("https://ebird.org/species/gloibi")</f>
        <v>https://ebird.org/species/gloibi</v>
      </c>
      <c r="E340" s="122" t="str">
        <f>HYPERLINK("https://en.wikipedia.org/wiki/Glossy_Ibis")</f>
        <v>https://en.wikipedia.org/wiki/Glossy_Ibis</v>
      </c>
      <c r="F340" s="123" t="str">
        <f>HYPERLINK("https://apiv3.iucnredlist.org/api/v3/website/Plegadis falcinellus")</f>
        <v>https://apiv3.iucnredlist.org/api/v3/website/Plegadis falcinellus</v>
      </c>
      <c r="G340" s="90">
        <v>5</v>
      </c>
      <c r="H340" s="90">
        <v>113</v>
      </c>
      <c r="J340" s="87" t="s">
        <v>622</v>
      </c>
      <c r="K340" s="92" t="s">
        <v>625</v>
      </c>
      <c r="M340" s="93" t="s">
        <v>626</v>
      </c>
      <c r="N340" s="90" t="s">
        <v>37</v>
      </c>
      <c r="Q340" s="2" t="s">
        <v>3516</v>
      </c>
      <c r="R340" s="2" t="s">
        <v>6542</v>
      </c>
    </row>
    <row r="341" spans="1:18" ht="20.399999999999999" x14ac:dyDescent="0.3">
      <c r="A341" s="85">
        <v>273</v>
      </c>
      <c r="B341" s="76" t="s">
        <v>3517</v>
      </c>
      <c r="C341" s="77" t="str">
        <f>HYPERLINK("https://www.xeno-canto.org/species/Platalea-leucorodia")</f>
        <v>https://www.xeno-canto.org/species/Platalea-leucorodia</v>
      </c>
      <c r="D341" s="94" t="str">
        <f>HYPERLINK("https://ebird.org/species/eurspo1")</f>
        <v>https://ebird.org/species/eurspo1</v>
      </c>
      <c r="E341" s="122" t="str">
        <f>HYPERLINK("https://en.wikipedia.org/wiki/Eurasian_Spoonbill")</f>
        <v>https://en.wikipedia.org/wiki/Eurasian_Spoonbill</v>
      </c>
      <c r="F341" s="123" t="str">
        <f>HYPERLINK("https://apiv3.iucnredlist.org/api/v3/website/Platalea leucorodia")</f>
        <v>https://apiv3.iucnredlist.org/api/v3/website/Platalea leucorodia</v>
      </c>
      <c r="H341" s="90">
        <v>111</v>
      </c>
      <c r="J341" s="87" t="s">
        <v>622</v>
      </c>
      <c r="K341" s="92" t="s">
        <v>627</v>
      </c>
      <c r="M341" s="93" t="s">
        <v>628</v>
      </c>
      <c r="N341" s="90" t="s">
        <v>49</v>
      </c>
      <c r="Q341" s="2" t="s">
        <v>3081</v>
      </c>
      <c r="R341" s="2" t="s">
        <v>6543</v>
      </c>
    </row>
    <row r="342" spans="1:18" ht="20.399999999999999" x14ac:dyDescent="0.3">
      <c r="A342" s="85">
        <v>274</v>
      </c>
      <c r="B342" s="76" t="s">
        <v>3518</v>
      </c>
      <c r="C342" s="77" t="str">
        <f>HYPERLINK("https://www.xeno-canto.org/species/Platalea-minor")</f>
        <v>https://www.xeno-canto.org/species/Platalea-minor</v>
      </c>
      <c r="D342" s="94" t="str">
        <f>HYPERLINK("https://ebird.org/species/blfspo1")</f>
        <v>https://ebird.org/species/blfspo1</v>
      </c>
      <c r="E342" s="122" t="str">
        <f>HYPERLINK("https://en.wikipedia.org/wiki/Black-faced_Spoonbill")</f>
        <v>https://en.wikipedia.org/wiki/Black-faced_Spoonbill</v>
      </c>
      <c r="F342" s="123" t="str">
        <f>HYPERLINK("https://apiv3.iucnredlist.org/api/v3/website/Platalea minor")</f>
        <v>https://apiv3.iucnredlist.org/api/v3/website/Platalea minor</v>
      </c>
      <c r="G342" s="90">
        <v>5</v>
      </c>
      <c r="H342" s="90">
        <v>111</v>
      </c>
      <c r="J342" s="87" t="s">
        <v>622</v>
      </c>
      <c r="K342" s="95" t="s">
        <v>629</v>
      </c>
      <c r="M342" s="93" t="s">
        <v>630</v>
      </c>
      <c r="N342" s="90" t="s">
        <v>89</v>
      </c>
      <c r="O342" s="90" t="s">
        <v>58</v>
      </c>
      <c r="P342" s="90" t="s">
        <v>58</v>
      </c>
      <c r="Q342" s="2" t="s">
        <v>3519</v>
      </c>
      <c r="R342" s="2" t="s">
        <v>6426</v>
      </c>
    </row>
    <row r="344" spans="1:18" ht="12" x14ac:dyDescent="0.3">
      <c r="K344" s="88" t="s">
        <v>5822</v>
      </c>
      <c r="M344" s="89" t="s">
        <v>631</v>
      </c>
    </row>
    <row r="345" spans="1:18" ht="20.399999999999999" x14ac:dyDescent="0.3">
      <c r="A345" s="85">
        <v>275</v>
      </c>
      <c r="B345" s="74" t="s">
        <v>3520</v>
      </c>
      <c r="C345" s="75" t="str">
        <f>HYPERLINK("https://www.xeno-canto.org/species/Botaurus-stellaris")</f>
        <v>https://www.xeno-canto.org/species/Botaurus-stellaris</v>
      </c>
      <c r="D345" s="91" t="str">
        <f>HYPERLINK("https://ebird.org/species/grebit1")</f>
        <v>https://ebird.org/species/grebit1</v>
      </c>
      <c r="E345" s="120" t="str">
        <f>HYPERLINK("https://en.wikipedia.org/wiki/Eurasian_Bittern")</f>
        <v>https://en.wikipedia.org/wiki/Eurasian_Bittern</v>
      </c>
      <c r="F345" s="121" t="str">
        <f>HYPERLINK("https://apiv3.iucnredlist.org/api/v3/website/Botaurus stellaris")</f>
        <v>https://apiv3.iucnredlist.org/api/v3/website/Botaurus stellaris</v>
      </c>
      <c r="G345" s="90">
        <v>5</v>
      </c>
      <c r="H345" s="90">
        <v>113</v>
      </c>
      <c r="J345" s="87" t="s">
        <v>631</v>
      </c>
      <c r="K345" s="92" t="s">
        <v>632</v>
      </c>
      <c r="M345" s="93" t="s">
        <v>633</v>
      </c>
      <c r="N345" s="90" t="s">
        <v>49</v>
      </c>
      <c r="Q345" s="2" t="s">
        <v>8562</v>
      </c>
      <c r="R345" s="2" t="s">
        <v>6544</v>
      </c>
    </row>
    <row r="346" spans="1:18" ht="14.4" x14ac:dyDescent="0.3">
      <c r="A346" s="85">
        <v>276</v>
      </c>
      <c r="B346" s="76" t="s">
        <v>3525</v>
      </c>
      <c r="C346" s="77" t="str">
        <f>HYPERLINK("https://www.xeno-canto.org/species/Ixobrychus-flavicollis")</f>
        <v>https://www.xeno-canto.org/species/Ixobrychus-flavicollis</v>
      </c>
      <c r="D346" s="94" t="str">
        <f>HYPERLINK("https://ebird.org/species/blabit1")</f>
        <v>https://ebird.org/species/blabit1</v>
      </c>
      <c r="E346" s="122" t="str">
        <f>HYPERLINK("https://en.wikipedia.org/wiki/Black_Bittern")</f>
        <v>https://en.wikipedia.org/wiki/Black_Bittern</v>
      </c>
      <c r="F346" s="123" t="str">
        <f>HYPERLINK("https://apiv3.iucnredlist.org/api/v3/website/Ixobrychus flavicollis")</f>
        <v>https://apiv3.iucnredlist.org/api/v3/website/Ixobrychus flavicollis</v>
      </c>
      <c r="G346" s="90">
        <v>5</v>
      </c>
      <c r="H346" s="90">
        <v>115</v>
      </c>
      <c r="J346" s="87" t="s">
        <v>631</v>
      </c>
      <c r="K346" s="95" t="s">
        <v>640</v>
      </c>
      <c r="M346" s="93" t="s">
        <v>1856</v>
      </c>
      <c r="N346" s="90" t="s">
        <v>37</v>
      </c>
      <c r="Q346" s="2" t="s">
        <v>3526</v>
      </c>
      <c r="R346" s="2" t="s">
        <v>9</v>
      </c>
    </row>
    <row r="347" spans="1:18" ht="14.4" x14ac:dyDescent="0.3">
      <c r="A347" s="85">
        <v>277</v>
      </c>
      <c r="B347" s="76" t="s">
        <v>3524</v>
      </c>
      <c r="C347" s="77" t="str">
        <f>HYPERLINK("https://www.xeno-canto.org/species/Ixobrychus-cinnamomeus")</f>
        <v>https://www.xeno-canto.org/species/Ixobrychus-cinnamomeus</v>
      </c>
      <c r="D347" s="94" t="str">
        <f>HYPERLINK("https://ebird.org/species/cinbit1")</f>
        <v>https://ebird.org/species/cinbit1</v>
      </c>
      <c r="E347" s="122" t="str">
        <f>HYPERLINK("https://en.wikipedia.org/wiki/Cinnamon_Bittern")</f>
        <v>https://en.wikipedia.org/wiki/Cinnamon_Bittern</v>
      </c>
      <c r="F347" s="123" t="str">
        <f>HYPERLINK("https://apiv3.iucnredlist.org/api/v3/website/Ixobrychus cinnamomeus")</f>
        <v>https://apiv3.iucnredlist.org/api/v3/website/Ixobrychus cinnamomeus</v>
      </c>
      <c r="G347" s="90">
        <v>5</v>
      </c>
      <c r="H347" s="90">
        <v>113</v>
      </c>
      <c r="J347" s="87" t="s">
        <v>631</v>
      </c>
      <c r="K347" s="95" t="s">
        <v>638</v>
      </c>
      <c r="M347" s="93" t="s">
        <v>639</v>
      </c>
      <c r="N347" s="90" t="s">
        <v>37</v>
      </c>
      <c r="Q347" s="2" t="s">
        <v>3150</v>
      </c>
    </row>
    <row r="348" spans="1:18" ht="14.4" x14ac:dyDescent="0.3">
      <c r="A348" s="85">
        <v>278</v>
      </c>
      <c r="B348" s="76" t="s">
        <v>3522</v>
      </c>
      <c r="C348" s="77" t="str">
        <f>HYPERLINK("https://www.xeno-canto.org/species/Ixobrychus-eurhythmus")</f>
        <v>https://www.xeno-canto.org/species/Ixobrychus-eurhythmus</v>
      </c>
      <c r="D348" s="94" t="str">
        <f>HYPERLINK("https://ebird.org/species/schbit1")</f>
        <v>https://ebird.org/species/schbit1</v>
      </c>
      <c r="E348" s="122" t="str">
        <f>HYPERLINK("https://en.wikipedia.org/wiki/Von_Schrenck's_Bittern")</f>
        <v>https://en.wikipedia.org/wiki/Von_Schrenck's_Bittern</v>
      </c>
      <c r="F348" s="123" t="str">
        <f>HYPERLINK("https://apiv3.iucnredlist.org/api/v3/website/Ixobrychus eurhythmus")</f>
        <v>https://apiv3.iucnredlist.org/api/v3/website/Ixobrychus eurhythmus</v>
      </c>
      <c r="G348" s="90">
        <v>5</v>
      </c>
      <c r="H348" s="90">
        <v>113</v>
      </c>
      <c r="J348" s="87" t="s">
        <v>631</v>
      </c>
      <c r="K348" s="92" t="s">
        <v>636</v>
      </c>
      <c r="L348" s="86" t="s">
        <v>1854</v>
      </c>
      <c r="M348" s="93" t="s">
        <v>637</v>
      </c>
      <c r="N348" s="90" t="s">
        <v>89</v>
      </c>
      <c r="Q348" s="2" t="s">
        <v>3523</v>
      </c>
      <c r="R348" s="2" t="s">
        <v>6427</v>
      </c>
    </row>
    <row r="349" spans="1:18" ht="14.4" x14ac:dyDescent="0.3">
      <c r="A349" s="85">
        <v>279</v>
      </c>
      <c r="B349" s="76" t="s">
        <v>3521</v>
      </c>
      <c r="C349" s="77" t="str">
        <f>HYPERLINK("https://www.xeno-canto.org/species/Ixobrychus-sinensis")</f>
        <v>https://www.xeno-canto.org/species/Ixobrychus-sinensis</v>
      </c>
      <c r="D349" s="94" t="str">
        <f>HYPERLINK("https://ebird.org/species/yelbit")</f>
        <v>https://ebird.org/species/yelbit</v>
      </c>
      <c r="E349" s="122" t="str">
        <f>HYPERLINK("https://en.wikipedia.org/wiki/Yellow_Bittern")</f>
        <v>https://en.wikipedia.org/wiki/Yellow_Bittern</v>
      </c>
      <c r="F349" s="123" t="str">
        <f>HYPERLINK("https://apiv3.iucnredlist.org/api/v3/website/Ixobrychus sinensis")</f>
        <v>https://apiv3.iucnredlist.org/api/v3/website/Ixobrychus sinensis</v>
      </c>
      <c r="G349" s="90">
        <v>5</v>
      </c>
      <c r="H349" s="90">
        <v>113</v>
      </c>
      <c r="J349" s="87" t="s">
        <v>631</v>
      </c>
      <c r="K349" s="95" t="s">
        <v>634</v>
      </c>
      <c r="M349" s="93" t="s">
        <v>635</v>
      </c>
      <c r="N349" s="90" t="s">
        <v>37</v>
      </c>
      <c r="Q349" s="2" t="s">
        <v>3150</v>
      </c>
    </row>
    <row r="350" spans="1:18" ht="51" x14ac:dyDescent="0.3">
      <c r="A350" s="85">
        <v>280</v>
      </c>
      <c r="B350" s="76" t="s">
        <v>3531</v>
      </c>
      <c r="C350" s="77" t="str">
        <f>HYPERLINK("https://www.xeno-canto.org/species/Nycticorax-nycticorax")</f>
        <v>https://www.xeno-canto.org/species/Nycticorax-nycticorax</v>
      </c>
      <c r="D350" s="94" t="str">
        <f>HYPERLINK("https://ebird.org/species/bcnher")</f>
        <v>https://ebird.org/species/bcnher</v>
      </c>
      <c r="E350" s="122" t="str">
        <f>HYPERLINK("https://en.wikipedia.org/wiki/Black-crowned_Night_Heron")</f>
        <v>https://en.wikipedia.org/wiki/Black-crowned_Night_Heron</v>
      </c>
      <c r="F350" s="123" t="str">
        <f>HYPERLINK("https://apiv3.iucnredlist.org/api/v3/website/Nycticorax nycticorax")</f>
        <v>https://apiv3.iucnredlist.org/api/v3/website/Nycticorax nycticorax</v>
      </c>
      <c r="G350" s="90">
        <v>4</v>
      </c>
      <c r="H350" s="90">
        <v>115</v>
      </c>
      <c r="J350" s="87" t="s">
        <v>631</v>
      </c>
      <c r="K350" s="95" t="s">
        <v>645</v>
      </c>
      <c r="M350" s="93" t="s">
        <v>646</v>
      </c>
      <c r="N350" s="90" t="s">
        <v>37</v>
      </c>
      <c r="Q350" s="2" t="s">
        <v>3532</v>
      </c>
      <c r="R350" s="2" t="s">
        <v>3533</v>
      </c>
    </row>
    <row r="351" spans="1:18" ht="14.4" x14ac:dyDescent="0.3">
      <c r="A351" s="85">
        <v>281</v>
      </c>
      <c r="B351" s="76" t="s">
        <v>3534</v>
      </c>
      <c r="C351" s="77" t="str">
        <f>HYPERLINK("https://www.xeno-canto.org/species/Nycticorax-caledonicus")</f>
        <v>https://www.xeno-canto.org/species/Nycticorax-caledonicus</v>
      </c>
      <c r="D351" s="94" t="str">
        <f>HYPERLINK("https://ebird.org/species/runher1")</f>
        <v>https://ebird.org/species/runher1</v>
      </c>
      <c r="E351" s="122" t="str">
        <f>HYPERLINK("https://en.wikipedia.org/wiki/Nankeen_Night_Heron")</f>
        <v>https://en.wikipedia.org/wiki/Nankeen_Night_Heron</v>
      </c>
      <c r="F351" s="123" t="str">
        <f>HYPERLINK("https://apiv3.iucnredlist.org/api/v3/website/Nycticorax caledonicus")</f>
        <v>https://apiv3.iucnredlist.org/api/v3/website/Nycticorax caledonicus</v>
      </c>
      <c r="G351" s="90">
        <v>4</v>
      </c>
      <c r="H351" s="90">
        <v>117</v>
      </c>
      <c r="J351" s="87" t="s">
        <v>631</v>
      </c>
      <c r="K351" s="95" t="s">
        <v>1860</v>
      </c>
      <c r="L351" s="86" t="s">
        <v>1861</v>
      </c>
      <c r="M351" s="93" t="s">
        <v>648</v>
      </c>
      <c r="N351" s="90" t="s">
        <v>37</v>
      </c>
      <c r="Q351" s="2" t="s">
        <v>3150</v>
      </c>
    </row>
    <row r="352" spans="1:18" ht="14.4" x14ac:dyDescent="0.3">
      <c r="A352" s="85">
        <v>282</v>
      </c>
      <c r="B352" s="76" t="s">
        <v>3529</v>
      </c>
      <c r="C352" s="77" t="str">
        <f>HYPERLINK("https://www.xeno-canto.org/species/Gorsachius-melanolophus")</f>
        <v>https://www.xeno-canto.org/species/Gorsachius-melanolophus</v>
      </c>
      <c r="D352" s="94" t="str">
        <f>HYPERLINK("https://ebird.org/species/manher1")</f>
        <v>https://ebird.org/species/manher1</v>
      </c>
      <c r="E352" s="122" t="str">
        <f>HYPERLINK("https://en.wikipedia.org/wiki/Malayan_Night_Heron")</f>
        <v>https://en.wikipedia.org/wiki/Malayan_Night_Heron</v>
      </c>
      <c r="F352" s="123" t="str">
        <f>HYPERLINK("https://apiv3.iucnredlist.org/api/v3/website/Gorsachius melanolophus")</f>
        <v>https://apiv3.iucnredlist.org/api/v3/website/Gorsachius melanolophus</v>
      </c>
      <c r="G352" s="90">
        <v>4</v>
      </c>
      <c r="H352" s="90">
        <v>115</v>
      </c>
      <c r="J352" s="87" t="s">
        <v>631</v>
      </c>
      <c r="K352" s="95" t="s">
        <v>643</v>
      </c>
      <c r="L352" s="86" t="s">
        <v>1858</v>
      </c>
      <c r="M352" s="93" t="s">
        <v>644</v>
      </c>
      <c r="N352" s="90" t="s">
        <v>37</v>
      </c>
      <c r="Q352" s="2" t="s">
        <v>3530</v>
      </c>
    </row>
    <row r="353" spans="1:18" ht="20.399999999999999" x14ac:dyDescent="0.3">
      <c r="A353" s="85">
        <v>283</v>
      </c>
      <c r="B353" s="76" t="s">
        <v>3527</v>
      </c>
      <c r="C353" s="77" t="str">
        <f>HYPERLINK("https://www.xeno-canto.org/species/Gorsachius-goisagi")</f>
        <v>https://www.xeno-canto.org/species/Gorsachius-goisagi</v>
      </c>
      <c r="D353" s="94" t="str">
        <f>HYPERLINK("https://ebird.org/species/janher1")</f>
        <v>https://ebird.org/species/janher1</v>
      </c>
      <c r="E353" s="122" t="str">
        <f>HYPERLINK("https://en.wikipedia.org/wiki/Japanese_Night_Heron")</f>
        <v>https://en.wikipedia.org/wiki/Japanese_Night_Heron</v>
      </c>
      <c r="F353" s="123" t="str">
        <f>HYPERLINK("https://apiv3.iucnredlist.org/api/v3/website/Gorsachius goisagi")</f>
        <v>https://apiv3.iucnredlist.org/api/v3/website/Gorsachius goisagi</v>
      </c>
      <c r="G353" s="90">
        <v>4</v>
      </c>
      <c r="H353" s="90">
        <v>115</v>
      </c>
      <c r="J353" s="87" t="s">
        <v>631</v>
      </c>
      <c r="K353" s="95" t="s">
        <v>641</v>
      </c>
      <c r="M353" s="93" t="s">
        <v>642</v>
      </c>
      <c r="N353" s="90" t="s">
        <v>89</v>
      </c>
      <c r="O353" s="90" t="s">
        <v>58</v>
      </c>
      <c r="P353" s="90" t="s">
        <v>58</v>
      </c>
      <c r="Q353" s="2" t="s">
        <v>3528</v>
      </c>
    </row>
    <row r="354" spans="1:18" ht="14.4" x14ac:dyDescent="0.3">
      <c r="A354" s="85">
        <v>284</v>
      </c>
      <c r="B354" s="76" t="s">
        <v>3550</v>
      </c>
      <c r="C354" s="77" t="str">
        <f>HYPERLINK("https://www.xeno-canto.org/species/Egretta-sacra")</f>
        <v>https://www.xeno-canto.org/species/Egretta-sacra</v>
      </c>
      <c r="D354" s="94" t="str">
        <f>HYPERLINK("https://ebird.org/species/pacreh1")</f>
        <v>https://ebird.org/species/pacreh1</v>
      </c>
      <c r="E354" s="122" t="str">
        <f>HYPERLINK("https://en.wikipedia.org/wiki/Pacific_Reef_Heron")</f>
        <v>https://en.wikipedia.org/wiki/Pacific_Reef_Heron</v>
      </c>
      <c r="F354" s="123" t="str">
        <f>HYPERLINK("https://apiv3.iucnredlist.org/api/v3/website/Egretta sacra")</f>
        <v>https://apiv3.iucnredlist.org/api/v3/website/Egretta sacra</v>
      </c>
      <c r="G354" s="90">
        <v>3</v>
      </c>
      <c r="H354" s="90">
        <v>121</v>
      </c>
      <c r="J354" s="87" t="s">
        <v>631</v>
      </c>
      <c r="K354" s="95" t="s">
        <v>670</v>
      </c>
      <c r="L354" s="86" t="s">
        <v>1871</v>
      </c>
      <c r="M354" s="93" t="s">
        <v>671</v>
      </c>
      <c r="N354" s="90" t="s">
        <v>37</v>
      </c>
      <c r="Q354" s="2" t="s">
        <v>3551</v>
      </c>
    </row>
    <row r="355" spans="1:18" ht="14.4" x14ac:dyDescent="0.3">
      <c r="A355" s="85">
        <v>285</v>
      </c>
      <c r="B355" s="76" t="s">
        <v>3552</v>
      </c>
      <c r="C355" s="77" t="str">
        <f>HYPERLINK("https://www.xeno-canto.org/species/Egretta-eulophotes")</f>
        <v>https://www.xeno-canto.org/species/Egretta-eulophotes</v>
      </c>
      <c r="D355" s="94" t="str">
        <f>HYPERLINK("https://ebird.org/species/chiegr")</f>
        <v>https://ebird.org/species/chiegr</v>
      </c>
      <c r="E355" s="122" t="str">
        <f>HYPERLINK("https://en.wikipedia.org/wiki/Chinese_Egret")</f>
        <v>https://en.wikipedia.org/wiki/Chinese_Egret</v>
      </c>
      <c r="F355" s="123" t="str">
        <f>HYPERLINK("https://apiv3.iucnredlist.org/api/v3/website/Egretta eulophotes")</f>
        <v>https://apiv3.iucnredlist.org/api/v3/website/Egretta eulophotes</v>
      </c>
      <c r="G355" s="90">
        <v>3</v>
      </c>
      <c r="H355" s="90">
        <v>121</v>
      </c>
      <c r="J355" s="87" t="s">
        <v>631</v>
      </c>
      <c r="K355" s="95" t="s">
        <v>672</v>
      </c>
      <c r="M355" s="93" t="s">
        <v>673</v>
      </c>
      <c r="N355" s="90" t="s">
        <v>89</v>
      </c>
      <c r="O355" s="90" t="s">
        <v>38</v>
      </c>
      <c r="P355" s="90" t="s">
        <v>38</v>
      </c>
      <c r="Q355" s="2" t="s">
        <v>3553</v>
      </c>
    </row>
    <row r="356" spans="1:18" ht="30.6" x14ac:dyDescent="0.3">
      <c r="A356" s="85">
        <v>286</v>
      </c>
      <c r="B356" s="76" t="s">
        <v>3549</v>
      </c>
      <c r="C356" s="77" t="str">
        <f>HYPERLINK("https://www.xeno-canto.org/species/Egretta-garzetta")</f>
        <v>https://www.xeno-canto.org/species/Egretta-garzetta</v>
      </c>
      <c r="D356" s="94" t="str">
        <f>HYPERLINK("https://ebird.org/species/litegr")</f>
        <v>https://ebird.org/species/litegr</v>
      </c>
      <c r="E356" s="122" t="str">
        <f>HYPERLINK("https://en.wikipedia.org/wiki/Little_Egret")</f>
        <v>https://en.wikipedia.org/wiki/Little_Egret</v>
      </c>
      <c r="F356" s="123" t="str">
        <f>HYPERLINK("https://apiv3.iucnredlist.org/api/v3/website/Egretta garzetta")</f>
        <v>https://apiv3.iucnredlist.org/api/v3/website/Egretta garzetta</v>
      </c>
      <c r="G356" s="90">
        <v>3</v>
      </c>
      <c r="H356" s="90">
        <v>121</v>
      </c>
      <c r="J356" s="87" t="s">
        <v>631</v>
      </c>
      <c r="K356" s="95" t="s">
        <v>667</v>
      </c>
      <c r="M356" s="93" t="s">
        <v>668</v>
      </c>
      <c r="N356" s="90" t="s">
        <v>346</v>
      </c>
      <c r="Q356" s="2" t="s">
        <v>8563</v>
      </c>
      <c r="R356" s="2" t="s">
        <v>669</v>
      </c>
    </row>
    <row r="357" spans="1:18" ht="14.4" x14ac:dyDescent="0.3">
      <c r="A357" s="85">
        <v>287</v>
      </c>
      <c r="B357" s="76" t="s">
        <v>3535</v>
      </c>
      <c r="C357" s="77" t="str">
        <f>HYPERLINK("https://www.xeno-canto.org/species/Butorides-striata")</f>
        <v>https://www.xeno-canto.org/species/Butorides-striata</v>
      </c>
      <c r="D357" s="94" t="str">
        <f>HYPERLINK("https://ebird.org/species/strher")</f>
        <v>https://ebird.org/species/strher</v>
      </c>
      <c r="E357" s="122" t="str">
        <f>HYPERLINK("https://en.wikipedia.org/wiki/Striated_Heron")</f>
        <v>https://en.wikipedia.org/wiki/Striated_Heron</v>
      </c>
      <c r="F357" s="123" t="str">
        <f>HYPERLINK("https://apiv3.iucnredlist.org/api/v3/website/Butorides striata")</f>
        <v>https://apiv3.iucnredlist.org/api/v3/website/Butorides striata</v>
      </c>
      <c r="G357" s="90">
        <v>4</v>
      </c>
      <c r="H357" s="90">
        <v>117</v>
      </c>
      <c r="J357" s="87" t="s">
        <v>631</v>
      </c>
      <c r="K357" s="95" t="s">
        <v>649</v>
      </c>
      <c r="M357" s="93" t="s">
        <v>650</v>
      </c>
      <c r="N357" s="90" t="s">
        <v>346</v>
      </c>
      <c r="Q357" s="2" t="s">
        <v>3532</v>
      </c>
    </row>
    <row r="358" spans="1:18" ht="20.399999999999999" x14ac:dyDescent="0.3">
      <c r="A358" s="85">
        <v>288</v>
      </c>
      <c r="B358" s="76" t="s">
        <v>3536</v>
      </c>
      <c r="C358" s="77" t="str">
        <f>HYPERLINK("https://www.xeno-canto.org/species/Ardeola-bacchus")</f>
        <v>https://www.xeno-canto.org/species/Ardeola-bacchus</v>
      </c>
      <c r="D358" s="94" t="str">
        <f>HYPERLINK("https://ebird.org/species/chpher1")</f>
        <v>https://ebird.org/species/chpher1</v>
      </c>
      <c r="E358" s="122" t="str">
        <f>HYPERLINK("https://en.wikipedia.org/wiki/Chinese_Pond_Heron")</f>
        <v>https://en.wikipedia.org/wiki/Chinese_Pond_Heron</v>
      </c>
      <c r="F358" s="123" t="str">
        <f>HYPERLINK("https://apiv3.iucnredlist.org/api/v3/website/Ardeola bacchus")</f>
        <v>https://apiv3.iucnredlist.org/api/v3/website/Ardeola bacchus</v>
      </c>
      <c r="G358" s="90">
        <v>4</v>
      </c>
      <c r="H358" s="90">
        <v>117</v>
      </c>
      <c r="J358" s="87" t="s">
        <v>631</v>
      </c>
      <c r="K358" s="95" t="s">
        <v>651</v>
      </c>
      <c r="M358" s="93" t="s">
        <v>652</v>
      </c>
      <c r="N358" s="90" t="s">
        <v>89</v>
      </c>
      <c r="Q358" s="2" t="s">
        <v>3537</v>
      </c>
      <c r="R358" s="2" t="s">
        <v>6428</v>
      </c>
    </row>
    <row r="359" spans="1:18" ht="14.4" x14ac:dyDescent="0.3">
      <c r="A359" s="85">
        <v>289</v>
      </c>
      <c r="B359" s="76" t="s">
        <v>3538</v>
      </c>
      <c r="C359" s="77" t="str">
        <f>HYPERLINK("https://www.xeno-canto.org/species/Ardeola-speciosa")</f>
        <v>https://www.xeno-canto.org/species/Ardeola-speciosa</v>
      </c>
      <c r="D359" s="94" t="str">
        <f>HYPERLINK("https://ebird.org/species/japher1")</f>
        <v>https://ebird.org/species/japher1</v>
      </c>
      <c r="E359" s="122" t="str">
        <f>HYPERLINK("https://en.wikipedia.org/wiki/Javan_Pond_Heron")</f>
        <v>https://en.wikipedia.org/wiki/Javan_Pond_Heron</v>
      </c>
      <c r="F359" s="123" t="str">
        <f>HYPERLINK("https://apiv3.iucnredlist.org/api/v3/website/Ardeola speciosa")</f>
        <v>https://apiv3.iucnredlist.org/api/v3/website/Ardeola speciosa</v>
      </c>
      <c r="G359" s="90">
        <v>4</v>
      </c>
      <c r="H359" s="90">
        <v>117</v>
      </c>
      <c r="J359" s="87" t="s">
        <v>631</v>
      </c>
      <c r="K359" s="95" t="s">
        <v>653</v>
      </c>
      <c r="M359" s="93" t="s">
        <v>654</v>
      </c>
      <c r="N359" s="90" t="s">
        <v>37</v>
      </c>
      <c r="Q359" s="2" t="s">
        <v>3539</v>
      </c>
    </row>
    <row r="360" spans="1:18" ht="14.4" x14ac:dyDescent="0.3">
      <c r="A360" s="85">
        <v>290</v>
      </c>
      <c r="B360" s="76" t="s">
        <v>3540</v>
      </c>
      <c r="C360" s="77" t="str">
        <f>HYPERLINK("https://www.xeno-canto.org/species/Bubulcus-coromandus")</f>
        <v>https://www.xeno-canto.org/species/Bubulcus-coromandus</v>
      </c>
      <c r="D360" s="94" t="str">
        <f>HYPERLINK("https://ebird.org/species/categr2")</f>
        <v>https://ebird.org/species/categr2</v>
      </c>
      <c r="E360" s="122" t="str">
        <f>HYPERLINK("https://en.wikipedia.org/wiki/Eastern_Cattle_Egret")</f>
        <v>https://en.wikipedia.org/wiki/Eastern_Cattle_Egret</v>
      </c>
      <c r="F360" s="123" t="str">
        <f>HYPERLINK("https://apiv3.iucnredlist.org/api/v3/website/Bubulcus coromandus")</f>
        <v>https://apiv3.iucnredlist.org/api/v3/website/Bubulcus coromandus</v>
      </c>
      <c r="G360" s="90">
        <v>4</v>
      </c>
      <c r="H360" s="90">
        <v>121</v>
      </c>
      <c r="J360" s="87" t="s">
        <v>631</v>
      </c>
      <c r="K360" s="95" t="s">
        <v>1865</v>
      </c>
      <c r="M360" s="93" t="s">
        <v>655</v>
      </c>
      <c r="N360" s="90" t="s">
        <v>346</v>
      </c>
      <c r="Q360" s="2" t="s">
        <v>3532</v>
      </c>
    </row>
    <row r="361" spans="1:18" ht="20.399999999999999" x14ac:dyDescent="0.3">
      <c r="A361" s="85">
        <v>291</v>
      </c>
      <c r="B361" s="76" t="s">
        <v>3545</v>
      </c>
      <c r="C361" s="77" t="str">
        <f>HYPERLINK("https://www.xeno-canto.org/species/Ardea-alba")</f>
        <v>https://www.xeno-canto.org/species/Ardea-alba</v>
      </c>
      <c r="D361" s="94" t="str">
        <f>HYPERLINK("https://ebird.org/species/greegr")</f>
        <v>https://ebird.org/species/greegr</v>
      </c>
      <c r="E361" s="122" t="str">
        <f>HYPERLINK("https://en.wikipedia.org/wiki/Great_Egret")</f>
        <v>https://en.wikipedia.org/wiki/Great_Egret</v>
      </c>
      <c r="F361" s="123" t="str">
        <f>HYPERLINK("https://apiv3.iucnredlist.org/api/v3/website/Ardea alba")</f>
        <v>https://apiv3.iucnredlist.org/api/v3/website/Ardea alba</v>
      </c>
      <c r="G361" s="90">
        <v>3</v>
      </c>
      <c r="H361" s="90">
        <v>119</v>
      </c>
      <c r="J361" s="87" t="s">
        <v>631</v>
      </c>
      <c r="K361" s="95" t="s">
        <v>662</v>
      </c>
      <c r="L361" s="86" t="s">
        <v>1868</v>
      </c>
      <c r="M361" s="93" t="s">
        <v>663</v>
      </c>
      <c r="N361" s="90" t="s">
        <v>346</v>
      </c>
      <c r="Q361" s="2" t="s">
        <v>3546</v>
      </c>
      <c r="R361" s="2" t="s">
        <v>664</v>
      </c>
    </row>
    <row r="362" spans="1:18" ht="20.399999999999999" x14ac:dyDescent="0.3">
      <c r="A362" s="85">
        <v>292</v>
      </c>
      <c r="B362" s="76" t="s">
        <v>3547</v>
      </c>
      <c r="C362" s="77" t="str">
        <f>HYPERLINK("https://www.xeno-canto.org/species/Ardea-intermedia")</f>
        <v>https://www.xeno-canto.org/species/Ardea-intermedia</v>
      </c>
      <c r="D362" s="94" t="str">
        <f>HYPERLINK("https://ebird.org/species/integr1")</f>
        <v>https://ebird.org/species/integr1</v>
      </c>
      <c r="E362" s="122" t="str">
        <f>HYPERLINK("https://en.wikipedia.org/wiki/Medium_Egret")</f>
        <v>https://en.wikipedia.org/wiki/Medium_Egret</v>
      </c>
      <c r="F362" s="123" t="str">
        <f>HYPERLINK("https://apiv3.iucnredlist.org/api/v3/website/Ardea intermedia")</f>
        <v>https://apiv3.iucnredlist.org/api/v3/website/Ardea intermedia</v>
      </c>
      <c r="G362" s="90">
        <v>3</v>
      </c>
      <c r="H362" s="90">
        <v>119</v>
      </c>
      <c r="J362" s="87" t="s">
        <v>631</v>
      </c>
      <c r="K362" s="106" t="s">
        <v>6545</v>
      </c>
      <c r="L362" s="86" t="s">
        <v>665</v>
      </c>
      <c r="M362" s="97" t="s">
        <v>666</v>
      </c>
      <c r="N362" s="90" t="s">
        <v>346</v>
      </c>
      <c r="Q362" s="2" t="s">
        <v>3546</v>
      </c>
      <c r="R362" s="2" t="s">
        <v>3548</v>
      </c>
    </row>
    <row r="363" spans="1:18" ht="14.4" x14ac:dyDescent="0.3">
      <c r="A363" s="85">
        <v>293</v>
      </c>
      <c r="B363" s="76" t="s">
        <v>3541</v>
      </c>
      <c r="C363" s="77" t="str">
        <f>HYPERLINK("https://www.xeno-canto.org/species/Ardea-cinerea")</f>
        <v>https://www.xeno-canto.org/species/Ardea-cinerea</v>
      </c>
      <c r="D363" s="94" t="str">
        <f>HYPERLINK("https://ebird.org/species/graher1")</f>
        <v>https://ebird.org/species/graher1</v>
      </c>
      <c r="E363" s="122" t="str">
        <f>HYPERLINK("https://en.wikipedia.org/wiki/Grey_Heron")</f>
        <v>https://en.wikipedia.org/wiki/Grey_Heron</v>
      </c>
      <c r="F363" s="123" t="str">
        <f>HYPERLINK("https://apiv3.iucnredlist.org/api/v3/website/Ardea cinerea")</f>
        <v>https://apiv3.iucnredlist.org/api/v3/website/Ardea cinerea</v>
      </c>
      <c r="G363" s="90">
        <v>3</v>
      </c>
      <c r="H363" s="90">
        <v>119</v>
      </c>
      <c r="J363" s="87" t="s">
        <v>631</v>
      </c>
      <c r="K363" s="95" t="s">
        <v>656</v>
      </c>
      <c r="M363" s="93" t="s">
        <v>657</v>
      </c>
      <c r="N363" s="90" t="s">
        <v>89</v>
      </c>
      <c r="Q363" s="2" t="s">
        <v>3388</v>
      </c>
    </row>
    <row r="364" spans="1:18" ht="14.4" x14ac:dyDescent="0.3">
      <c r="A364" s="85">
        <v>294</v>
      </c>
      <c r="B364" s="76" t="s">
        <v>3544</v>
      </c>
      <c r="C364" s="77" t="str">
        <f>HYPERLINK("https://www.xeno-canto.org/species/Ardea-purpurea")</f>
        <v>https://www.xeno-canto.org/species/Ardea-purpurea</v>
      </c>
      <c r="D364" s="94" t="str">
        <f>HYPERLINK("https://ebird.org/species/purher1")</f>
        <v>https://ebird.org/species/purher1</v>
      </c>
      <c r="E364" s="122" t="str">
        <f>HYPERLINK("https://en.wikipedia.org/wiki/Purple_Heron")</f>
        <v>https://en.wikipedia.org/wiki/Purple_Heron</v>
      </c>
      <c r="F364" s="123" t="str">
        <f>HYPERLINK("https://apiv3.iucnredlist.org/api/v3/website/Ardea purpurea")</f>
        <v>https://apiv3.iucnredlist.org/api/v3/website/Ardea purpurea</v>
      </c>
      <c r="G364" s="90">
        <v>3</v>
      </c>
      <c r="H364" s="90">
        <v>119</v>
      </c>
      <c r="J364" s="87" t="s">
        <v>631</v>
      </c>
      <c r="K364" s="95" t="s">
        <v>660</v>
      </c>
      <c r="M364" s="93" t="s">
        <v>661</v>
      </c>
      <c r="N364" s="90" t="s">
        <v>37</v>
      </c>
      <c r="Q364" s="2" t="s">
        <v>3125</v>
      </c>
    </row>
    <row r="365" spans="1:18" ht="14.4" x14ac:dyDescent="0.3">
      <c r="A365" s="85">
        <v>295</v>
      </c>
      <c r="B365" s="76" t="s">
        <v>3542</v>
      </c>
      <c r="C365" s="77" t="str">
        <f>HYPERLINK("https://www.xeno-canto.org/species/Ardea-sumatrana")</f>
        <v>https://www.xeno-canto.org/species/Ardea-sumatrana</v>
      </c>
      <c r="D365" s="94" t="str">
        <f>HYPERLINK("https://ebird.org/species/grbher2")</f>
        <v>https://ebird.org/species/grbher2</v>
      </c>
      <c r="E365" s="122" t="str">
        <f>HYPERLINK("https://en.wikipedia.org/wiki/Great-billed_Heron")</f>
        <v>https://en.wikipedia.org/wiki/Great-billed_Heron</v>
      </c>
      <c r="F365" s="123" t="str">
        <f>HYPERLINK("https://apiv3.iucnredlist.org/api/v3/website/Ardea sumatrana")</f>
        <v>https://apiv3.iucnredlist.org/api/v3/website/Ardea sumatrana</v>
      </c>
      <c r="G365" s="90">
        <v>3</v>
      </c>
      <c r="H365" s="90">
        <v>119</v>
      </c>
      <c r="J365" s="87" t="s">
        <v>631</v>
      </c>
      <c r="K365" s="95" t="s">
        <v>658</v>
      </c>
      <c r="M365" s="93" t="s">
        <v>659</v>
      </c>
      <c r="N365" s="90" t="s">
        <v>37</v>
      </c>
      <c r="Q365" s="2" t="s">
        <v>3543</v>
      </c>
    </row>
    <row r="367" spans="1:18" ht="12" x14ac:dyDescent="0.3">
      <c r="K367" s="88" t="s">
        <v>674</v>
      </c>
      <c r="M367" s="89" t="s">
        <v>675</v>
      </c>
    </row>
    <row r="368" spans="1:18" ht="40.799999999999997" x14ac:dyDescent="0.3">
      <c r="A368" s="85">
        <v>296</v>
      </c>
      <c r="B368" s="74" t="s">
        <v>3554</v>
      </c>
      <c r="C368" s="75" t="str">
        <f>HYPERLINK("https://www.xeno-canto.org/species/Pelecanus-philippensis")</f>
        <v>https://www.xeno-canto.org/species/Pelecanus-philippensis</v>
      </c>
      <c r="D368" s="91" t="str">
        <f>HYPERLINK("https://ebird.org/species/spbpel1")</f>
        <v>https://ebird.org/species/spbpel1</v>
      </c>
      <c r="E368" s="120" t="str">
        <f>HYPERLINK("https://en.wikipedia.org/wiki/Spot-billed_Pelican")</f>
        <v>https://en.wikipedia.org/wiki/Spot-billed_Pelican</v>
      </c>
      <c r="F368" s="121" t="str">
        <f>HYPERLINK("https://apiv3.iucnredlist.org/api/v3/website/Pelecanus philippensis")</f>
        <v>https://apiv3.iucnredlist.org/api/v3/website/Pelecanus philippensis</v>
      </c>
      <c r="G368" s="90">
        <v>2</v>
      </c>
      <c r="H368" s="90">
        <v>123</v>
      </c>
      <c r="J368" s="87" t="s">
        <v>675</v>
      </c>
      <c r="K368" s="92" t="s">
        <v>676</v>
      </c>
      <c r="M368" s="93" t="s">
        <v>677</v>
      </c>
      <c r="N368" s="90" t="s">
        <v>353</v>
      </c>
      <c r="O368" s="90" t="s">
        <v>50</v>
      </c>
      <c r="P368" s="90" t="s">
        <v>186</v>
      </c>
      <c r="Q368" s="2" t="s">
        <v>3555</v>
      </c>
      <c r="R368" s="2" t="s">
        <v>3556</v>
      </c>
    </row>
    <row r="369" spans="1:18" ht="20.399999999999999" x14ac:dyDescent="0.3">
      <c r="A369" s="85">
        <v>297</v>
      </c>
      <c r="B369" s="76" t="s">
        <v>3557</v>
      </c>
      <c r="C369" s="77" t="str">
        <f>HYPERLINK("https://www.xeno-canto.org/species/Pelecanus-crispus")</f>
        <v>https://www.xeno-canto.org/species/Pelecanus-crispus</v>
      </c>
      <c r="D369" s="94" t="str">
        <f>HYPERLINK("https://ebird.org/species/dalpel1")</f>
        <v>https://ebird.org/species/dalpel1</v>
      </c>
      <c r="E369" s="122" t="str">
        <f>HYPERLINK("https://en.wikipedia.org/wiki/Dalmatian_Pelican")</f>
        <v>https://en.wikipedia.org/wiki/Dalmatian_Pelican</v>
      </c>
      <c r="F369" s="123" t="str">
        <f>HYPERLINK("https://apiv3.iucnredlist.org/api/v3/website/Pelecanus crispus")</f>
        <v>https://apiv3.iucnredlist.org/api/v3/website/Pelecanus crispus</v>
      </c>
      <c r="H369" s="90">
        <v>123</v>
      </c>
      <c r="J369" s="87" t="s">
        <v>675</v>
      </c>
      <c r="K369" s="92" t="s">
        <v>678</v>
      </c>
      <c r="M369" s="93" t="s">
        <v>679</v>
      </c>
      <c r="N369" s="90" t="s">
        <v>49</v>
      </c>
      <c r="O369" s="90" t="s">
        <v>50</v>
      </c>
      <c r="P369" s="90" t="s">
        <v>38</v>
      </c>
      <c r="Q369" s="2" t="s">
        <v>3558</v>
      </c>
      <c r="R369" s="2" t="s">
        <v>6429</v>
      </c>
    </row>
    <row r="370" spans="1:18" ht="30.6" x14ac:dyDescent="0.3">
      <c r="A370" s="85">
        <v>298</v>
      </c>
      <c r="B370" s="76" t="s">
        <v>3559</v>
      </c>
      <c r="C370" s="77" t="str">
        <f>HYPERLINK("https://www.xeno-canto.org/species/Pelecanus-conspicillatus")</f>
        <v>https://www.xeno-canto.org/species/Pelecanus-conspicillatus</v>
      </c>
      <c r="D370" s="94" t="str">
        <f>HYPERLINK("https://ebird.org/species/auspel1")</f>
        <v>https://ebird.org/species/auspel1</v>
      </c>
      <c r="E370" s="122" t="str">
        <f>HYPERLINK("https://en.wikipedia.org/wiki/Australian_Pelican")</f>
        <v>https://en.wikipedia.org/wiki/Australian_Pelican</v>
      </c>
      <c r="F370" s="123" t="str">
        <f>HYPERLINK("https://apiv3.iucnredlist.org/api/v3/website/Pelecanus conspicillatus")</f>
        <v>https://apiv3.iucnredlist.org/api/v3/website/Pelecanus conspicillatus</v>
      </c>
      <c r="H370" s="90">
        <v>123</v>
      </c>
      <c r="J370" s="87" t="s">
        <v>675</v>
      </c>
      <c r="K370" s="92" t="s">
        <v>680</v>
      </c>
      <c r="M370" s="93" t="s">
        <v>681</v>
      </c>
      <c r="N370" s="90" t="s">
        <v>49</v>
      </c>
      <c r="Q370" s="2" t="s">
        <v>3439</v>
      </c>
      <c r="R370" s="2" t="s">
        <v>6430</v>
      </c>
    </row>
    <row r="372" spans="1:18" ht="12" x14ac:dyDescent="0.3">
      <c r="K372" s="88" t="s">
        <v>682</v>
      </c>
      <c r="M372" s="89" t="s">
        <v>683</v>
      </c>
    </row>
    <row r="373" spans="1:18" ht="30.6" x14ac:dyDescent="0.3">
      <c r="A373" s="85">
        <v>299</v>
      </c>
      <c r="B373" s="74" t="s">
        <v>3560</v>
      </c>
      <c r="C373" s="75" t="str">
        <f>HYPERLINK("https://www.xeno-canto.org/species/Pandion-haliaetus")</f>
        <v>https://www.xeno-canto.org/species/Pandion-haliaetus</v>
      </c>
      <c r="D373" s="91" t="str">
        <f>HYPERLINK("https://ebird.org/species/osprey")</f>
        <v>https://ebird.org/species/osprey</v>
      </c>
      <c r="E373" s="120" t="str">
        <f>HYPERLINK("https://en.wikipedia.org/wiki/Osprey")</f>
        <v>https://en.wikipedia.org/wiki/Osprey</v>
      </c>
      <c r="F373" s="121" t="str">
        <f>HYPERLINK("https://apiv3.iucnredlist.org/api/v3/website/Pandion haliaetus")</f>
        <v>https://apiv3.iucnredlist.org/api/v3/website/Pandion haliaetus</v>
      </c>
      <c r="G373" s="90">
        <v>8</v>
      </c>
      <c r="H373" s="90">
        <v>185</v>
      </c>
      <c r="J373" s="87" t="s">
        <v>683</v>
      </c>
      <c r="K373" s="95" t="s">
        <v>1876</v>
      </c>
      <c r="L373" s="86" t="s">
        <v>684</v>
      </c>
      <c r="M373" s="93" t="s">
        <v>685</v>
      </c>
      <c r="N373" s="90" t="s">
        <v>178</v>
      </c>
      <c r="Q373" s="2" t="s">
        <v>3561</v>
      </c>
      <c r="R373" s="2" t="s">
        <v>6546</v>
      </c>
    </row>
    <row r="375" spans="1:18" ht="12" x14ac:dyDescent="0.3">
      <c r="K375" s="88" t="s">
        <v>5823</v>
      </c>
      <c r="M375" s="89" t="s">
        <v>686</v>
      </c>
    </row>
    <row r="376" spans="1:18" ht="14.4" x14ac:dyDescent="0.3">
      <c r="A376" s="85">
        <v>300</v>
      </c>
      <c r="B376" s="74" t="s">
        <v>3562</v>
      </c>
      <c r="C376" s="75" t="str">
        <f>HYPERLINK("https://www.xeno-canto.org/species/Elanus-caeruleus")</f>
        <v>https://www.xeno-canto.org/species/Elanus-caeruleus</v>
      </c>
      <c r="D376" s="91" t="str">
        <f>HYPERLINK("https://ebird.org/species/bkskit1")</f>
        <v>https://ebird.org/species/bkskit1</v>
      </c>
      <c r="E376" s="120" t="str">
        <f>HYPERLINK("https://en.wikipedia.org/wiki/Black-winged_Kite")</f>
        <v>https://en.wikipedia.org/wiki/Black-winged_Kite</v>
      </c>
      <c r="F376" s="121" t="str">
        <f>HYPERLINK("https://apiv3.iucnredlist.org/api/v3/website/Elanus caeruleus")</f>
        <v>https://apiv3.iucnredlist.org/api/v3/website/Elanus caeruleus</v>
      </c>
      <c r="G376" s="90">
        <v>8</v>
      </c>
      <c r="H376" s="90">
        <v>185</v>
      </c>
      <c r="J376" s="87" t="s">
        <v>686</v>
      </c>
      <c r="K376" s="95" t="s">
        <v>687</v>
      </c>
      <c r="M376" s="93" t="s">
        <v>688</v>
      </c>
      <c r="N376" s="90" t="s">
        <v>37</v>
      </c>
      <c r="Q376" s="2" t="s">
        <v>3563</v>
      </c>
    </row>
    <row r="377" spans="1:18" ht="40.799999999999997" x14ac:dyDescent="0.3">
      <c r="A377" s="85">
        <v>301</v>
      </c>
      <c r="B377" s="76" t="s">
        <v>3564</v>
      </c>
      <c r="C377" s="77" t="str">
        <f>HYPERLINK("https://www.xeno-canto.org/species/Pernis-ptilorhynchus")</f>
        <v>https://www.xeno-canto.org/species/Pernis-ptilorhynchus</v>
      </c>
      <c r="D377" s="94" t="str">
        <f>HYPERLINK("https://ebird.org/species/orihob2")</f>
        <v>https://ebird.org/species/orihob2</v>
      </c>
      <c r="E377" s="122" t="str">
        <f>HYPERLINK("https://en.wikipedia.org/wiki/Crested_Honey_Buzzard")</f>
        <v>https://en.wikipedia.org/wiki/Crested_Honey_Buzzard</v>
      </c>
      <c r="F377" s="123" t="str">
        <f>HYPERLINK("https://apiv3.iucnredlist.org/api/v3/website/Pernis ptilorhynchus")</f>
        <v>https://apiv3.iucnredlist.org/api/v3/website/Pernis ptilorhynchus</v>
      </c>
      <c r="G377" s="90">
        <v>8</v>
      </c>
      <c r="H377" s="90">
        <v>185</v>
      </c>
      <c r="J377" s="87" t="s">
        <v>686</v>
      </c>
      <c r="K377" s="95" t="s">
        <v>689</v>
      </c>
      <c r="L377" s="86" t="s">
        <v>1879</v>
      </c>
      <c r="M377" s="93" t="s">
        <v>690</v>
      </c>
      <c r="N377" s="90" t="s">
        <v>346</v>
      </c>
      <c r="Q377" s="2" t="s">
        <v>6547</v>
      </c>
    </row>
    <row r="378" spans="1:18" ht="14.4" x14ac:dyDescent="0.3">
      <c r="A378" s="85">
        <v>302</v>
      </c>
      <c r="B378" s="76" t="s">
        <v>3565</v>
      </c>
      <c r="C378" s="77" t="str">
        <f>HYPERLINK("https://www.xeno-canto.org/species/Pernis-steerei")</f>
        <v>https://www.xeno-canto.org/species/Pernis-steerei</v>
      </c>
      <c r="D378" s="94" t="str">
        <f>HYPERLINK("https://ebird.org/species/barhob2")</f>
        <v>https://ebird.org/species/barhob2</v>
      </c>
      <c r="E378" s="122" t="str">
        <f>HYPERLINK("https://en.wikipedia.org/wiki/Philippine_Honey_Buzzard")</f>
        <v>https://en.wikipedia.org/wiki/Philippine_Honey_Buzzard</v>
      </c>
      <c r="F378" s="123" t="str">
        <f>HYPERLINK("https://apiv3.iucnredlist.org/api/v3/website/Pernis steerei")</f>
        <v>https://apiv3.iucnredlist.org/api/v3/website/Pernis steerei</v>
      </c>
      <c r="G378" s="90">
        <v>8</v>
      </c>
      <c r="H378" s="90">
        <v>187</v>
      </c>
      <c r="J378" s="87" t="s">
        <v>686</v>
      </c>
      <c r="K378" s="98" t="s">
        <v>691</v>
      </c>
      <c r="M378" s="99" t="s">
        <v>692</v>
      </c>
      <c r="N378" s="90" t="s">
        <v>57</v>
      </c>
      <c r="Q378" s="2" t="s">
        <v>3566</v>
      </c>
    </row>
    <row r="379" spans="1:18" ht="14.4" x14ac:dyDescent="0.3">
      <c r="A379" s="85">
        <v>303</v>
      </c>
      <c r="B379" s="76" t="s">
        <v>3567</v>
      </c>
      <c r="C379" s="77" t="str">
        <f>HYPERLINK("https://www.xeno-canto.org/species/Aviceda-jerdoni")</f>
        <v>https://www.xeno-canto.org/species/Aviceda-jerdoni</v>
      </c>
      <c r="D379" s="94" t="str">
        <f>HYPERLINK("https://ebird.org/species/jerbaz1")</f>
        <v>https://ebird.org/species/jerbaz1</v>
      </c>
      <c r="E379" s="122" t="str">
        <f>HYPERLINK("https://en.wikipedia.org/wiki/Jerdon's_Baza")</f>
        <v>https://en.wikipedia.org/wiki/Jerdon's_Baza</v>
      </c>
      <c r="F379" s="123" t="str">
        <f>HYPERLINK("https://apiv3.iucnredlist.org/api/v3/website/Aviceda jerdoni")</f>
        <v>https://apiv3.iucnredlist.org/api/v3/website/Aviceda jerdoni</v>
      </c>
      <c r="G379" s="90">
        <v>8</v>
      </c>
      <c r="H379" s="90">
        <v>187</v>
      </c>
      <c r="J379" s="87" t="s">
        <v>686</v>
      </c>
      <c r="K379" s="95" t="s">
        <v>693</v>
      </c>
      <c r="M379" s="93" t="s">
        <v>694</v>
      </c>
      <c r="N379" s="90" t="s">
        <v>37</v>
      </c>
      <c r="Q379" s="2" t="s">
        <v>3568</v>
      </c>
    </row>
    <row r="380" spans="1:18" ht="20.399999999999999" x14ac:dyDescent="0.3">
      <c r="A380" s="85">
        <v>304</v>
      </c>
      <c r="B380" s="76" t="s">
        <v>3569</v>
      </c>
      <c r="C380" s="77" t="str">
        <f>HYPERLINK("https://www.xeno-canto.org/species/Aegypius-monachus")</f>
        <v>https://www.xeno-canto.org/species/Aegypius-monachus</v>
      </c>
      <c r="D380" s="94" t="str">
        <f>HYPERLINK("https://ebird.org/species/cinvul1")</f>
        <v>https://ebird.org/species/cinvul1</v>
      </c>
      <c r="E380" s="122" t="str">
        <f>HYPERLINK("https://en.wikipedia.org/wiki/Cinereous_Vulture")</f>
        <v>https://en.wikipedia.org/wiki/Cinereous_Vulture</v>
      </c>
      <c r="F380" s="123" t="str">
        <f>HYPERLINK("https://apiv3.iucnredlist.org/api/v3/website/Aegypius monachus")</f>
        <v>https://apiv3.iucnredlist.org/api/v3/website/Aegypius monachus</v>
      </c>
      <c r="H380" s="90">
        <v>189</v>
      </c>
      <c r="J380" s="87" t="s">
        <v>686</v>
      </c>
      <c r="K380" s="92" t="s">
        <v>696</v>
      </c>
      <c r="M380" s="93" t="s">
        <v>697</v>
      </c>
      <c r="N380" s="90" t="s">
        <v>49</v>
      </c>
      <c r="O380" s="90" t="s">
        <v>50</v>
      </c>
      <c r="P380" s="90" t="s">
        <v>186</v>
      </c>
      <c r="Q380" s="2" t="s">
        <v>3078</v>
      </c>
      <c r="R380" s="2" t="s">
        <v>6431</v>
      </c>
    </row>
    <row r="381" spans="1:18" ht="14.4" x14ac:dyDescent="0.3">
      <c r="A381" s="85">
        <v>305</v>
      </c>
      <c r="B381" s="76" t="s">
        <v>3570</v>
      </c>
      <c r="C381" s="77" t="str">
        <f>HYPERLINK("https://www.xeno-canto.org/species/Spilornis-cheela")</f>
        <v>https://www.xeno-canto.org/species/Spilornis-cheela</v>
      </c>
      <c r="D381" s="94" t="str">
        <f>HYPERLINK("https://ebird.org/species/crseag1")</f>
        <v>https://ebird.org/species/crseag1</v>
      </c>
      <c r="E381" s="122" t="str">
        <f>HYPERLINK("https://en.wikipedia.org/wiki/Crested_Serpent_Eagle")</f>
        <v>https://en.wikipedia.org/wiki/Crested_Serpent_Eagle</v>
      </c>
      <c r="F381" s="123" t="str">
        <f>HYPERLINK("https://apiv3.iucnredlist.org/api/v3/website/Spilornis cheela")</f>
        <v>https://apiv3.iucnredlist.org/api/v3/website/Spilornis cheela</v>
      </c>
      <c r="G381" s="90">
        <v>10</v>
      </c>
      <c r="H381" s="90">
        <v>187</v>
      </c>
      <c r="J381" s="87" t="s">
        <v>686</v>
      </c>
      <c r="K381" s="95" t="s">
        <v>698</v>
      </c>
      <c r="M381" s="93" t="s">
        <v>699</v>
      </c>
      <c r="N381" s="90" t="s">
        <v>37</v>
      </c>
      <c r="Q381" s="2" t="s">
        <v>3571</v>
      </c>
    </row>
    <row r="382" spans="1:18" ht="14.4" x14ac:dyDescent="0.3">
      <c r="A382" s="85">
        <v>306</v>
      </c>
      <c r="B382" s="76" t="s">
        <v>3572</v>
      </c>
      <c r="C382" s="77" t="str">
        <f>HYPERLINK("https://www.xeno-canto.org/species/Spilornis-holospilus")</f>
        <v>https://www.xeno-canto.org/species/Spilornis-holospilus</v>
      </c>
      <c r="D382" s="94" t="str">
        <f>HYPERLINK("https://ebird.org/species/phseag1")</f>
        <v>https://ebird.org/species/phseag1</v>
      </c>
      <c r="E382" s="122" t="str">
        <f>HYPERLINK("https://en.wikipedia.org/wiki/Philippine_Serpent_Eagle")</f>
        <v>https://en.wikipedia.org/wiki/Philippine_Serpent_Eagle</v>
      </c>
      <c r="F382" s="123" t="str">
        <f>HYPERLINK("https://apiv3.iucnredlist.org/api/v3/website/Spilornis holospilus")</f>
        <v>https://apiv3.iucnredlist.org/api/v3/website/Spilornis holospilus</v>
      </c>
      <c r="G382" s="90">
        <v>10</v>
      </c>
      <c r="H382" s="90">
        <v>189</v>
      </c>
      <c r="J382" s="87" t="s">
        <v>686</v>
      </c>
      <c r="K382" s="98" t="s">
        <v>700</v>
      </c>
      <c r="M382" s="99" t="s">
        <v>701</v>
      </c>
      <c r="N382" s="90" t="s">
        <v>57</v>
      </c>
      <c r="Q382" s="2" t="s">
        <v>3573</v>
      </c>
    </row>
    <row r="383" spans="1:18" ht="14.4" x14ac:dyDescent="0.3">
      <c r="A383" s="85">
        <v>307</v>
      </c>
      <c r="B383" s="76" t="s">
        <v>3574</v>
      </c>
      <c r="C383" s="77" t="str">
        <f>HYPERLINK("https://www.xeno-canto.org/species/Pithecophaga-jefferyi")</f>
        <v>https://www.xeno-canto.org/species/Pithecophaga-jefferyi</v>
      </c>
      <c r="D383" s="94" t="str">
        <f>HYPERLINK("https://ebird.org/species/grpeag1")</f>
        <v>https://ebird.org/species/grpeag1</v>
      </c>
      <c r="E383" s="122" t="str">
        <f>HYPERLINK("https://en.wikipedia.org/wiki/Philippine_Eagle")</f>
        <v>https://en.wikipedia.org/wiki/Philippine_Eagle</v>
      </c>
      <c r="F383" s="123" t="str">
        <f>HYPERLINK("https://apiv3.iucnredlist.org/api/v3/website/Pithecophaga jefferyi")</f>
        <v>https://apiv3.iucnredlist.org/api/v3/website/Pithecophaga jefferyi</v>
      </c>
      <c r="G383" s="90">
        <v>10</v>
      </c>
      <c r="H383" s="90">
        <v>189</v>
      </c>
      <c r="J383" s="87" t="s">
        <v>686</v>
      </c>
      <c r="K383" s="98" t="s">
        <v>702</v>
      </c>
      <c r="M383" s="99" t="s">
        <v>703</v>
      </c>
      <c r="N383" s="90" t="s">
        <v>57</v>
      </c>
      <c r="O383" s="90" t="s">
        <v>112</v>
      </c>
      <c r="P383" s="90" t="s">
        <v>112</v>
      </c>
      <c r="Q383" s="2" t="s">
        <v>3575</v>
      </c>
    </row>
    <row r="384" spans="1:18" ht="20.399999999999999" x14ac:dyDescent="0.3">
      <c r="A384" s="85">
        <v>308</v>
      </c>
      <c r="B384" s="76" t="s">
        <v>3580</v>
      </c>
      <c r="C384" s="77" t="str">
        <f>HYPERLINK("https://www.xeno-canto.org/species/Nisaetus-pinskeri")</f>
        <v>https://www.xeno-canto.org/species/Nisaetus-pinskeri</v>
      </c>
      <c r="D384" s="94" t="str">
        <f>HYPERLINK("https://ebird.org/species/pinhae1")</f>
        <v>https://ebird.org/species/pinhae1</v>
      </c>
      <c r="E384" s="122" t="str">
        <f>HYPERLINK("https://en.wikipedia.org/wiki/Pinsker's_Hawk-Eagle")</f>
        <v>https://en.wikipedia.org/wiki/Pinsker's_Hawk-Eagle</v>
      </c>
      <c r="F384" s="123" t="str">
        <f>HYPERLINK("https://apiv3.iucnredlist.org/api/v3/website/Nisaetus pinskeri")</f>
        <v>https://apiv3.iucnredlist.org/api/v3/website/Nisaetus pinskeri</v>
      </c>
      <c r="G384" s="90">
        <v>10</v>
      </c>
      <c r="H384" s="90">
        <v>191</v>
      </c>
      <c r="J384" s="87" t="s">
        <v>686</v>
      </c>
      <c r="K384" s="98" t="s">
        <v>708</v>
      </c>
      <c r="L384" s="86" t="s">
        <v>1888</v>
      </c>
      <c r="M384" s="99" t="s">
        <v>709</v>
      </c>
      <c r="N384" s="90" t="s">
        <v>57</v>
      </c>
      <c r="O384" s="90" t="s">
        <v>58</v>
      </c>
      <c r="P384" s="90" t="s">
        <v>58</v>
      </c>
      <c r="Q384" s="2" t="s">
        <v>3581</v>
      </c>
    </row>
    <row r="385" spans="1:18" ht="14.4" x14ac:dyDescent="0.3">
      <c r="A385" s="85">
        <v>309</v>
      </c>
      <c r="B385" s="76" t="s">
        <v>3578</v>
      </c>
      <c r="C385" s="77" t="str">
        <f>HYPERLINK("https://www.xeno-canto.org/species/Nisaetus-philippensis")</f>
        <v>https://www.xeno-canto.org/species/Nisaetus-philippensis</v>
      </c>
      <c r="D385" s="94" t="str">
        <f>HYPERLINK("https://ebird.org/species/phihae1")</f>
        <v>https://ebird.org/species/phihae1</v>
      </c>
      <c r="E385" s="122" t="str">
        <f>HYPERLINK("https://en.wikipedia.org/wiki/Philippine_Hawk-Eagle")</f>
        <v>https://en.wikipedia.org/wiki/Philippine_Hawk-Eagle</v>
      </c>
      <c r="F385" s="123" t="str">
        <f>HYPERLINK("https://apiv3.iucnredlist.org/api/v3/website/Nisaetus philippensis")</f>
        <v>https://apiv3.iucnredlist.org/api/v3/website/Nisaetus philippensis</v>
      </c>
      <c r="G385" s="90">
        <v>10</v>
      </c>
      <c r="H385" s="90">
        <v>189</v>
      </c>
      <c r="J385" s="87" t="s">
        <v>686</v>
      </c>
      <c r="K385" s="98" t="s">
        <v>706</v>
      </c>
      <c r="L385" s="86" t="s">
        <v>1886</v>
      </c>
      <c r="M385" s="99" t="s">
        <v>707</v>
      </c>
      <c r="N385" s="90" t="s">
        <v>57</v>
      </c>
      <c r="O385" s="90" t="s">
        <v>58</v>
      </c>
      <c r="P385" s="90" t="s">
        <v>38</v>
      </c>
      <c r="Q385" s="2" t="s">
        <v>3579</v>
      </c>
    </row>
    <row r="386" spans="1:18" ht="14.4" x14ac:dyDescent="0.3">
      <c r="A386" s="85">
        <v>310</v>
      </c>
      <c r="B386" s="76" t="s">
        <v>3576</v>
      </c>
      <c r="C386" s="77" t="str">
        <f>HYPERLINK("https://www.xeno-canto.org/species/Nisaetus-cirrhatus")</f>
        <v>https://www.xeno-canto.org/species/Nisaetus-cirrhatus</v>
      </c>
      <c r="D386" s="94" t="str">
        <f>HYPERLINK("https://ebird.org/species/y00839")</f>
        <v>https://ebird.org/species/y00839</v>
      </c>
      <c r="E386" s="122" t="str">
        <f>HYPERLINK("https://en.wikipedia.org/wiki/Changeable_Hawk-Eagle")</f>
        <v>https://en.wikipedia.org/wiki/Changeable_Hawk-Eagle</v>
      </c>
      <c r="F386" s="123" t="str">
        <f>HYPERLINK("https://apiv3.iucnredlist.org/api/v3/website/Nisaetus cirrhatus")</f>
        <v>https://apiv3.iucnredlist.org/api/v3/website/Nisaetus cirrhatus</v>
      </c>
      <c r="G386" s="90">
        <v>10</v>
      </c>
      <c r="H386" s="90">
        <v>191</v>
      </c>
      <c r="J386" s="87" t="s">
        <v>686</v>
      </c>
      <c r="K386" s="95" t="s">
        <v>704</v>
      </c>
      <c r="M386" s="93" t="s">
        <v>705</v>
      </c>
      <c r="N386" s="90" t="s">
        <v>37</v>
      </c>
      <c r="Q386" s="2" t="s">
        <v>3577</v>
      </c>
    </row>
    <row r="387" spans="1:18" ht="20.399999999999999" x14ac:dyDescent="0.3">
      <c r="A387" s="85">
        <v>311</v>
      </c>
      <c r="B387" s="76" t="s">
        <v>3582</v>
      </c>
      <c r="C387" s="77" t="str">
        <f>HYPERLINK("https://www.xeno-canto.org/species/Lophotriorchis-kienerii")</f>
        <v>https://www.xeno-canto.org/species/Lophotriorchis-kienerii</v>
      </c>
      <c r="D387" s="94" t="str">
        <f>HYPERLINK("https://ebird.org/species/rubeag2")</f>
        <v>https://ebird.org/species/rubeag2</v>
      </c>
      <c r="E387" s="122" t="str">
        <f>HYPERLINK("https://en.wikipedia.org/wiki/Rufous-bellied_Eagle")</f>
        <v>https://en.wikipedia.org/wiki/Rufous-bellied_Eagle</v>
      </c>
      <c r="F387" s="123" t="str">
        <f>HYPERLINK("https://apiv3.iucnredlist.org/api/v3/website/Lophotriorchis kienerii")</f>
        <v>https://apiv3.iucnredlist.org/api/v3/website/Lophotriorchis kienerii</v>
      </c>
      <c r="G387" s="90">
        <v>10</v>
      </c>
      <c r="H387" s="90">
        <v>191</v>
      </c>
      <c r="J387" s="87" t="s">
        <v>686</v>
      </c>
      <c r="K387" s="95" t="s">
        <v>710</v>
      </c>
      <c r="M387" s="93" t="s">
        <v>711</v>
      </c>
      <c r="N387" s="90" t="s">
        <v>37</v>
      </c>
      <c r="O387" s="90" t="s">
        <v>50</v>
      </c>
      <c r="Q387" s="2" t="s">
        <v>3583</v>
      </c>
    </row>
    <row r="388" spans="1:18" ht="14.4" x14ac:dyDescent="0.3">
      <c r="A388" s="85">
        <v>312</v>
      </c>
      <c r="B388" s="76" t="s">
        <v>3584</v>
      </c>
      <c r="C388" s="77" t="str">
        <f>HYPERLINK("https://www.xeno-canto.org/species/Accipiter-trivirgatus")</f>
        <v>https://www.xeno-canto.org/species/Accipiter-trivirgatus</v>
      </c>
      <c r="D388" s="94" t="str">
        <f>HYPERLINK("https://ebird.org/species/cregos1")</f>
        <v>https://ebird.org/species/cregos1</v>
      </c>
      <c r="E388" s="122" t="str">
        <f>HYPERLINK("https://en.wikipedia.org/wiki/Crested_Goshawk")</f>
        <v>https://en.wikipedia.org/wiki/Crested_Goshawk</v>
      </c>
      <c r="F388" s="123" t="str">
        <f>HYPERLINK("https://apiv3.iucnredlist.org/api/v3/website/Accipiter trivirgatus")</f>
        <v>https://apiv3.iucnredlist.org/api/v3/website/Accipiter trivirgatus</v>
      </c>
      <c r="G388" s="90">
        <v>9</v>
      </c>
      <c r="H388" s="90">
        <v>195</v>
      </c>
      <c r="J388" s="87" t="s">
        <v>686</v>
      </c>
      <c r="K388" s="95" t="s">
        <v>712</v>
      </c>
      <c r="M388" s="93" t="s">
        <v>713</v>
      </c>
      <c r="N388" s="90" t="s">
        <v>37</v>
      </c>
      <c r="Q388" s="2" t="s">
        <v>3585</v>
      </c>
    </row>
    <row r="389" spans="1:18" ht="30.6" x14ac:dyDescent="0.3">
      <c r="A389" s="85">
        <v>313</v>
      </c>
      <c r="B389" s="76" t="s">
        <v>3586</v>
      </c>
      <c r="C389" s="77" t="str">
        <f>HYPERLINK("https://www.xeno-canto.org/species/Accipiter-badius")</f>
        <v>https://www.xeno-canto.org/species/Accipiter-badius</v>
      </c>
      <c r="D389" s="94" t="str">
        <f>HYPERLINK("https://ebird.org/species/shikra1")</f>
        <v>https://ebird.org/species/shikra1</v>
      </c>
      <c r="E389" s="122" t="str">
        <f>HYPERLINK("https://en.wikipedia.org/wiki/Shikra")</f>
        <v>https://en.wikipedia.org/wiki/Shikra</v>
      </c>
      <c r="F389" s="123" t="str">
        <f>HYPERLINK("https://apiv3.iucnredlist.org/api/v3/website/Accipiter badius")</f>
        <v>https://apiv3.iucnredlist.org/api/v3/website/Accipiter badius</v>
      </c>
      <c r="H389" s="90">
        <v>193</v>
      </c>
      <c r="J389" s="87" t="s">
        <v>686</v>
      </c>
      <c r="K389" s="92" t="s">
        <v>2957</v>
      </c>
      <c r="M389" s="93" t="s">
        <v>2958</v>
      </c>
      <c r="N389" s="90" t="s">
        <v>49</v>
      </c>
      <c r="Q389" s="2" t="s">
        <v>3078</v>
      </c>
      <c r="R389" s="2" t="s">
        <v>8564</v>
      </c>
    </row>
    <row r="390" spans="1:18" ht="14.4" x14ac:dyDescent="0.3">
      <c r="A390" s="85">
        <v>314</v>
      </c>
      <c r="B390" s="76" t="s">
        <v>3587</v>
      </c>
      <c r="C390" s="77" t="str">
        <f>HYPERLINK("https://www.xeno-canto.org/species/Accipiter-soloensis")</f>
        <v>https://www.xeno-canto.org/species/Accipiter-soloensis</v>
      </c>
      <c r="D390" s="94" t="str">
        <f>HYPERLINK("https://ebird.org/species/grfhaw1")</f>
        <v>https://ebird.org/species/grfhaw1</v>
      </c>
      <c r="E390" s="122" t="str">
        <f>HYPERLINK("https://en.wikipedia.org/wiki/Chinese_Sparrowhawk")</f>
        <v>https://en.wikipedia.org/wiki/Chinese_Sparrowhawk</v>
      </c>
      <c r="F390" s="123" t="str">
        <f>HYPERLINK("https://apiv3.iucnredlist.org/api/v3/website/Accipiter soloensis")</f>
        <v>https://apiv3.iucnredlist.org/api/v3/website/Accipiter soloensis</v>
      </c>
      <c r="G390" s="90">
        <v>9</v>
      </c>
      <c r="H390" s="90">
        <v>195</v>
      </c>
      <c r="J390" s="87" t="s">
        <v>686</v>
      </c>
      <c r="K390" s="95" t="s">
        <v>714</v>
      </c>
      <c r="M390" s="93" t="s">
        <v>715</v>
      </c>
      <c r="N390" s="90" t="s">
        <v>89</v>
      </c>
      <c r="Q390" s="2" t="s">
        <v>3588</v>
      </c>
    </row>
    <row r="391" spans="1:18" ht="14.4" x14ac:dyDescent="0.3">
      <c r="A391" s="85">
        <v>315</v>
      </c>
      <c r="B391" s="76" t="s">
        <v>3589</v>
      </c>
      <c r="C391" s="77" t="str">
        <f>HYPERLINK("https://www.xeno-canto.org/species/Accipiter-gularis")</f>
        <v>https://www.xeno-canto.org/species/Accipiter-gularis</v>
      </c>
      <c r="D391" s="94" t="str">
        <f>HYPERLINK("https://ebird.org/species/japspa1")</f>
        <v>https://ebird.org/species/japspa1</v>
      </c>
      <c r="E391" s="122" t="str">
        <f>HYPERLINK("https://en.wikipedia.org/wiki/Japanese_Sparrowhawk")</f>
        <v>https://en.wikipedia.org/wiki/Japanese_Sparrowhawk</v>
      </c>
      <c r="F391" s="123" t="str">
        <f>HYPERLINK("https://apiv3.iucnredlist.org/api/v3/website/Accipiter gularis")</f>
        <v>https://apiv3.iucnredlist.org/api/v3/website/Accipiter gularis</v>
      </c>
      <c r="G391" s="90">
        <v>9</v>
      </c>
      <c r="H391" s="90">
        <v>195</v>
      </c>
      <c r="J391" s="87" t="s">
        <v>686</v>
      </c>
      <c r="K391" s="95" t="s">
        <v>716</v>
      </c>
      <c r="M391" s="93" t="s">
        <v>717</v>
      </c>
      <c r="N391" s="90" t="s">
        <v>89</v>
      </c>
      <c r="Q391" s="2" t="s">
        <v>3590</v>
      </c>
    </row>
    <row r="392" spans="1:18" ht="20.399999999999999" x14ac:dyDescent="0.3">
      <c r="A392" s="85">
        <v>316</v>
      </c>
      <c r="B392" s="76" t="s">
        <v>3591</v>
      </c>
      <c r="C392" s="77" t="str">
        <f>HYPERLINK("https://www.xeno-canto.org/species/Accipiter-virgatus")</f>
        <v>https://www.xeno-canto.org/species/Accipiter-virgatus</v>
      </c>
      <c r="D392" s="94" t="str">
        <f>HYPERLINK("https://ebird.org/species/besra1")</f>
        <v>https://ebird.org/species/besra1</v>
      </c>
      <c r="E392" s="122" t="str">
        <f>HYPERLINK("https://en.wikipedia.org/wiki/Besra")</f>
        <v>https://en.wikipedia.org/wiki/Besra</v>
      </c>
      <c r="F392" s="123" t="str">
        <f>HYPERLINK("https://apiv3.iucnredlist.org/api/v3/website/Accipiter virgatus")</f>
        <v>https://apiv3.iucnredlist.org/api/v3/website/Accipiter virgatus</v>
      </c>
      <c r="G392" s="90">
        <v>9</v>
      </c>
      <c r="H392" s="90">
        <v>195</v>
      </c>
      <c r="J392" s="87" t="s">
        <v>686</v>
      </c>
      <c r="K392" s="95" t="s">
        <v>718</v>
      </c>
      <c r="M392" s="93" t="s">
        <v>719</v>
      </c>
      <c r="N392" s="90" t="s">
        <v>37</v>
      </c>
      <c r="Q392" s="2" t="s">
        <v>3176</v>
      </c>
    </row>
    <row r="393" spans="1:18" ht="30.6" x14ac:dyDescent="0.3">
      <c r="A393" s="85">
        <v>317</v>
      </c>
      <c r="B393" s="76" t="s">
        <v>3592</v>
      </c>
      <c r="C393" s="77" t="str">
        <f>HYPERLINK("https://www.xeno-canto.org/species/Accipiter-nisus")</f>
        <v>https://www.xeno-canto.org/species/Accipiter-nisus</v>
      </c>
      <c r="D393" s="94" t="str">
        <f>HYPERLINK("https://ebird.org/species/eurspa1")</f>
        <v>https://ebird.org/species/eurspa1</v>
      </c>
      <c r="E393" s="122" t="str">
        <f>HYPERLINK("https://en.wikipedia.org/wiki/Eurasian_Sparrowhawk")</f>
        <v>https://en.wikipedia.org/wiki/Eurasian_Sparrowhawk</v>
      </c>
      <c r="F393" s="123" t="str">
        <f>HYPERLINK("https://apiv3.iucnredlist.org/api/v3/website/Accipiter nisus")</f>
        <v>https://apiv3.iucnredlist.org/api/v3/website/Accipiter nisus</v>
      </c>
      <c r="H393" s="90">
        <v>197</v>
      </c>
      <c r="J393" s="87" t="s">
        <v>686</v>
      </c>
      <c r="K393" s="92" t="s">
        <v>720</v>
      </c>
      <c r="M393" s="93" t="s">
        <v>721</v>
      </c>
      <c r="N393" s="90" t="s">
        <v>49</v>
      </c>
      <c r="Q393" s="2" t="s">
        <v>3078</v>
      </c>
      <c r="R393" s="2" t="s">
        <v>6548</v>
      </c>
    </row>
    <row r="394" spans="1:18" ht="14.4" x14ac:dyDescent="0.3">
      <c r="A394" s="85">
        <v>318</v>
      </c>
      <c r="B394" s="76" t="s">
        <v>3593</v>
      </c>
      <c r="C394" s="77" t="str">
        <f>HYPERLINK("https://www.xeno-canto.org/species/Circus-spilonotus")</f>
        <v>https://www.xeno-canto.org/species/Circus-spilonotus</v>
      </c>
      <c r="D394" s="94" t="str">
        <f>HYPERLINK("https://ebird.org/species/easmah1")</f>
        <v>https://ebird.org/species/easmah1</v>
      </c>
      <c r="E394" s="122" t="str">
        <f>HYPERLINK("https://en.wikipedia.org/wiki/Eastern_Marsh_Harrier")</f>
        <v>https://en.wikipedia.org/wiki/Eastern_Marsh_Harrier</v>
      </c>
      <c r="F394" s="123" t="str">
        <f>HYPERLINK("https://apiv3.iucnredlist.org/api/v3/website/Circus spilonotus")</f>
        <v>https://apiv3.iucnredlist.org/api/v3/website/Circus spilonotus</v>
      </c>
      <c r="G394" s="90">
        <v>9</v>
      </c>
      <c r="H394" s="90">
        <v>193</v>
      </c>
      <c r="J394" s="87" t="s">
        <v>686</v>
      </c>
      <c r="K394" s="95" t="s">
        <v>722</v>
      </c>
      <c r="M394" s="93" t="s">
        <v>723</v>
      </c>
      <c r="N394" s="90" t="s">
        <v>89</v>
      </c>
      <c r="Q394" s="2" t="s">
        <v>3371</v>
      </c>
    </row>
    <row r="395" spans="1:18" ht="14.4" x14ac:dyDescent="0.3">
      <c r="A395" s="85">
        <v>319</v>
      </c>
      <c r="B395" s="76" t="s">
        <v>3594</v>
      </c>
      <c r="C395" s="77" t="str">
        <f>HYPERLINK("https://www.xeno-canto.org/species/Circus-melanoleucos")</f>
        <v>https://www.xeno-canto.org/species/Circus-melanoleucos</v>
      </c>
      <c r="D395" s="94" t="str">
        <f>HYPERLINK("https://ebird.org/species/piehar1")</f>
        <v>https://ebird.org/species/piehar1</v>
      </c>
      <c r="E395" s="122" t="str">
        <f>HYPERLINK("https://en.wikipedia.org/wiki/Pied_Harrier")</f>
        <v>https://en.wikipedia.org/wiki/Pied_Harrier</v>
      </c>
      <c r="F395" s="123" t="str">
        <f>HYPERLINK("https://apiv3.iucnredlist.org/api/v3/website/Circus melanoleucos")</f>
        <v>https://apiv3.iucnredlist.org/api/v3/website/Circus melanoleucos</v>
      </c>
      <c r="G395" s="90">
        <v>9</v>
      </c>
      <c r="H395" s="90">
        <v>193</v>
      </c>
      <c r="J395" s="87" t="s">
        <v>686</v>
      </c>
      <c r="K395" s="95" t="s">
        <v>724</v>
      </c>
      <c r="M395" s="93" t="s">
        <v>725</v>
      </c>
      <c r="N395" s="90" t="s">
        <v>346</v>
      </c>
      <c r="Q395" s="2" t="s">
        <v>3595</v>
      </c>
    </row>
    <row r="396" spans="1:18" ht="20.399999999999999" x14ac:dyDescent="0.3">
      <c r="A396" s="85">
        <v>320</v>
      </c>
      <c r="B396" s="76" t="s">
        <v>3596</v>
      </c>
      <c r="C396" s="77" t="str">
        <f>HYPERLINK("https://www.xeno-canto.org/species/Milvus-migrans")</f>
        <v>https://www.xeno-canto.org/species/Milvus-migrans</v>
      </c>
      <c r="D396" s="94" t="str">
        <f>HYPERLINK("https://ebird.org/species/blakit1")</f>
        <v>https://ebird.org/species/blakit1</v>
      </c>
      <c r="E396" s="122" t="str">
        <f>HYPERLINK("https://en.wikipedia.org/wiki/Black_Kite")</f>
        <v>https://en.wikipedia.org/wiki/Black_Kite</v>
      </c>
      <c r="F396" s="123" t="str">
        <f>HYPERLINK("https://apiv3.iucnredlist.org/api/v3/website/Milvus migrans")</f>
        <v>https://apiv3.iucnredlist.org/api/v3/website/Milvus migrans</v>
      </c>
      <c r="G396" s="90">
        <v>8</v>
      </c>
      <c r="H396" s="90">
        <v>199</v>
      </c>
      <c r="J396" s="87" t="s">
        <v>686</v>
      </c>
      <c r="K396" s="95" t="s">
        <v>726</v>
      </c>
      <c r="M396" s="93" t="s">
        <v>727</v>
      </c>
      <c r="N396" s="90" t="s">
        <v>89</v>
      </c>
      <c r="Q396" s="2" t="s">
        <v>3086</v>
      </c>
      <c r="R396" s="2" t="s">
        <v>6549</v>
      </c>
    </row>
    <row r="397" spans="1:18" ht="14.4" x14ac:dyDescent="0.3">
      <c r="A397" s="85">
        <v>321</v>
      </c>
      <c r="B397" s="76" t="s">
        <v>3597</v>
      </c>
      <c r="C397" s="77" t="str">
        <f>HYPERLINK("https://www.xeno-canto.org/species/Haliastur-indus")</f>
        <v>https://www.xeno-canto.org/species/Haliastur-indus</v>
      </c>
      <c r="D397" s="94" t="str">
        <f>HYPERLINK("https://ebird.org/species/brakit1")</f>
        <v>https://ebird.org/species/brakit1</v>
      </c>
      <c r="E397" s="122" t="str">
        <f>HYPERLINK("https://en.wikipedia.org/wiki/Brahminy_Kite")</f>
        <v>https://en.wikipedia.org/wiki/Brahminy_Kite</v>
      </c>
      <c r="F397" s="123" t="str">
        <f>HYPERLINK("https://apiv3.iucnredlist.org/api/v3/website/Haliastur indus")</f>
        <v>https://apiv3.iucnredlist.org/api/v3/website/Haliastur indus</v>
      </c>
      <c r="G397" s="90">
        <v>8</v>
      </c>
      <c r="H397" s="90">
        <v>197</v>
      </c>
      <c r="J397" s="87" t="s">
        <v>686</v>
      </c>
      <c r="K397" s="95" t="s">
        <v>728</v>
      </c>
      <c r="M397" s="93" t="s">
        <v>729</v>
      </c>
      <c r="N397" s="90" t="s">
        <v>37</v>
      </c>
      <c r="Q397" s="2" t="s">
        <v>3125</v>
      </c>
    </row>
    <row r="398" spans="1:18" ht="14.4" x14ac:dyDescent="0.3">
      <c r="A398" s="85">
        <v>322</v>
      </c>
      <c r="B398" s="76" t="s">
        <v>6550</v>
      </c>
      <c r="C398" s="77" t="str">
        <f>HYPERLINK("https://www.xeno-canto.org/species/Icthyophaga-leucogaster")</f>
        <v>https://www.xeno-canto.org/species/Icthyophaga-leucogaster</v>
      </c>
      <c r="D398" s="94" t="str">
        <f>HYPERLINK("https://ebird.org/species/wbseag1")</f>
        <v>https://ebird.org/species/wbseag1</v>
      </c>
      <c r="E398" s="122" t="str">
        <f>HYPERLINK("https://en.wikipedia.org/wiki/White-bellied_Sea_Eagle")</f>
        <v>https://en.wikipedia.org/wiki/White-bellied_Sea_Eagle</v>
      </c>
      <c r="F398" s="123" t="str">
        <f>HYPERLINK("https://apiv3.iucnredlist.org/api/v3/website/Icthyophaga leucogaster")</f>
        <v>https://apiv3.iucnredlist.org/api/v3/website/Icthyophaga leucogaster</v>
      </c>
      <c r="G398" s="90">
        <v>9</v>
      </c>
      <c r="H398" s="90">
        <v>197</v>
      </c>
      <c r="J398" s="87" t="s">
        <v>686</v>
      </c>
      <c r="K398" s="95" t="s">
        <v>730</v>
      </c>
      <c r="M398" s="93" t="s">
        <v>6551</v>
      </c>
      <c r="N398" s="90" t="s">
        <v>37</v>
      </c>
      <c r="Q398" s="2" t="s">
        <v>3125</v>
      </c>
    </row>
    <row r="399" spans="1:18" ht="20.399999999999999" x14ac:dyDescent="0.3">
      <c r="A399" s="85">
        <v>323</v>
      </c>
      <c r="B399" s="76" t="s">
        <v>6552</v>
      </c>
      <c r="C399" s="77" t="str">
        <f>HYPERLINK("https://www.xeno-canto.org/species/Icthyophaga-ichthyaetus")</f>
        <v>https://www.xeno-canto.org/species/Icthyophaga-ichthyaetus</v>
      </c>
      <c r="D399" s="94" t="str">
        <f>HYPERLINK("https://ebird.org/species/gyhfie1")</f>
        <v>https://ebird.org/species/gyhfie1</v>
      </c>
      <c r="E399" s="122" t="str">
        <f>HYPERLINK("https://en.wikipedia.org/wiki/Grey-headed_Fish_Eagle")</f>
        <v>https://en.wikipedia.org/wiki/Grey-headed_Fish_Eagle</v>
      </c>
      <c r="F399" s="123" t="str">
        <f>HYPERLINK("https://apiv3.iucnredlist.org/api/v3/website/Icthyophaga ichthyaetus")</f>
        <v>https://apiv3.iucnredlist.org/api/v3/website/Icthyophaga ichthyaetus</v>
      </c>
      <c r="G399" s="90">
        <v>9</v>
      </c>
      <c r="H399" s="90">
        <v>197</v>
      </c>
      <c r="J399" s="87" t="s">
        <v>686</v>
      </c>
      <c r="K399" s="95" t="s">
        <v>732</v>
      </c>
      <c r="M399" s="93" t="s">
        <v>1897</v>
      </c>
      <c r="N399" s="90" t="s">
        <v>37</v>
      </c>
      <c r="O399" s="90" t="s">
        <v>50</v>
      </c>
      <c r="P399" s="90" t="s">
        <v>38</v>
      </c>
      <c r="Q399" s="2" t="s">
        <v>3598</v>
      </c>
    </row>
    <row r="400" spans="1:18" ht="14.4" x14ac:dyDescent="0.3">
      <c r="A400" s="85">
        <v>324</v>
      </c>
      <c r="B400" s="76" t="s">
        <v>3599</v>
      </c>
      <c r="C400" s="77" t="str">
        <f>HYPERLINK("https://www.xeno-canto.org/species/Butastur-indicus")</f>
        <v>https://www.xeno-canto.org/species/Butastur-indicus</v>
      </c>
      <c r="D400" s="94" t="str">
        <f>HYPERLINK("https://ebird.org/species/gyfbuz1")</f>
        <v>https://ebird.org/species/gyfbuz1</v>
      </c>
      <c r="E400" s="122" t="str">
        <f>HYPERLINK("https://en.wikipedia.org/wiki/Grey-faced_Buzzard")</f>
        <v>https://en.wikipedia.org/wiki/Grey-faced_Buzzard</v>
      </c>
      <c r="F400" s="123" t="str">
        <f>HYPERLINK("https://apiv3.iucnredlist.org/api/v3/website/Butastur indicus")</f>
        <v>https://apiv3.iucnredlist.org/api/v3/website/Butastur indicus</v>
      </c>
      <c r="G400" s="90">
        <v>10</v>
      </c>
      <c r="H400" s="90">
        <v>199</v>
      </c>
      <c r="J400" s="87" t="s">
        <v>686</v>
      </c>
      <c r="K400" s="95" t="s">
        <v>733</v>
      </c>
      <c r="M400" s="93" t="s">
        <v>734</v>
      </c>
      <c r="N400" s="90" t="s">
        <v>89</v>
      </c>
      <c r="Q400" s="2" t="s">
        <v>3588</v>
      </c>
      <c r="R400" s="2" t="s">
        <v>9</v>
      </c>
    </row>
    <row r="401" spans="1:18" ht="40.799999999999997" x14ac:dyDescent="0.3">
      <c r="A401" s="85">
        <v>325</v>
      </c>
      <c r="B401" s="76" t="s">
        <v>3600</v>
      </c>
      <c r="C401" s="77" t="str">
        <f>HYPERLINK("https://www.xeno-canto.org/species/Buteo-japonicus")</f>
        <v>https://www.xeno-canto.org/species/Buteo-japonicus</v>
      </c>
      <c r="D401" s="94" t="str">
        <f>HYPERLINK("https://ebird.org/species/combuz6")</f>
        <v>https://ebird.org/species/combuz6</v>
      </c>
      <c r="E401" s="122" t="str">
        <f>HYPERLINK("https://en.wikipedia.org/wiki/Eastern_Buzzard")</f>
        <v>https://en.wikipedia.org/wiki/Eastern_Buzzard</v>
      </c>
      <c r="F401" s="123" t="str">
        <f>HYPERLINK("https://apiv3.iucnredlist.org/api/v3/website/Buteo japonicus")</f>
        <v>https://apiv3.iucnredlist.org/api/v3/website/Buteo japonicus</v>
      </c>
      <c r="G401" s="90">
        <v>10</v>
      </c>
      <c r="H401" s="90">
        <v>199</v>
      </c>
      <c r="J401" s="87" t="s">
        <v>686</v>
      </c>
      <c r="K401" s="95" t="s">
        <v>735</v>
      </c>
      <c r="L401" s="86" t="s">
        <v>1901</v>
      </c>
      <c r="M401" s="93" t="s">
        <v>736</v>
      </c>
      <c r="N401" s="90" t="s">
        <v>695</v>
      </c>
      <c r="Q401" s="2" t="s">
        <v>3601</v>
      </c>
      <c r="R401" s="2" t="s">
        <v>8565</v>
      </c>
    </row>
    <row r="403" spans="1:18" ht="12" x14ac:dyDescent="0.3">
      <c r="K403" s="88" t="s">
        <v>737</v>
      </c>
      <c r="M403" s="89" t="s">
        <v>738</v>
      </c>
    </row>
    <row r="404" spans="1:18" ht="14.4" x14ac:dyDescent="0.3">
      <c r="A404" s="85">
        <v>326</v>
      </c>
      <c r="B404" s="74" t="s">
        <v>3602</v>
      </c>
      <c r="C404" s="75" t="str">
        <f>HYPERLINK("https://www.xeno-canto.org/species/Tyto-longimembris")</f>
        <v>https://www.xeno-canto.org/species/Tyto-longimembris</v>
      </c>
      <c r="D404" s="91" t="str">
        <f>HYPERLINK("https://ebird.org/species/ausgro1")</f>
        <v>https://ebird.org/species/ausgro1</v>
      </c>
      <c r="E404" s="120" t="str">
        <f>HYPERLINK("https://en.wikipedia.org/wiki/Eastern_Grass_Owl")</f>
        <v>https://en.wikipedia.org/wiki/Eastern_Grass_Owl</v>
      </c>
      <c r="F404" s="121" t="str">
        <f>HYPERLINK("https://apiv3.iucnredlist.org/api/v3/website/Tyto longimembris")</f>
        <v>https://apiv3.iucnredlist.org/api/v3/website/Tyto longimembris</v>
      </c>
      <c r="G404" s="90">
        <v>34</v>
      </c>
      <c r="H404" s="90">
        <v>173</v>
      </c>
      <c r="J404" s="87" t="s">
        <v>738</v>
      </c>
      <c r="K404" s="95" t="s">
        <v>739</v>
      </c>
      <c r="M404" s="93" t="s">
        <v>740</v>
      </c>
      <c r="N404" s="90" t="s">
        <v>37</v>
      </c>
      <c r="Q404" s="2" t="s">
        <v>3125</v>
      </c>
    </row>
    <row r="406" spans="1:18" ht="12" x14ac:dyDescent="0.3">
      <c r="K406" s="88" t="s">
        <v>741</v>
      </c>
      <c r="M406" s="89" t="s">
        <v>742</v>
      </c>
    </row>
    <row r="407" spans="1:18" ht="14.4" x14ac:dyDescent="0.3">
      <c r="A407" s="85">
        <v>327</v>
      </c>
      <c r="B407" s="74" t="s">
        <v>3603</v>
      </c>
      <c r="C407" s="75" t="str">
        <f>HYPERLINK("https://www.xeno-canto.org/species/Ninox-japonica")</f>
        <v>https://www.xeno-canto.org/species/Ninox-japonica</v>
      </c>
      <c r="D407" s="91" t="str">
        <f>HYPERLINK("https://ebird.org/species/norboo1")</f>
        <v>https://ebird.org/species/norboo1</v>
      </c>
      <c r="E407" s="120" t="str">
        <f>HYPERLINK("https://en.wikipedia.org/wiki/Northern_Boobook")</f>
        <v>https://en.wikipedia.org/wiki/Northern_Boobook</v>
      </c>
      <c r="F407" s="121" t="str">
        <f>HYPERLINK("https://apiv3.iucnredlist.org/api/v3/website/Ninox japonica")</f>
        <v>https://apiv3.iucnredlist.org/api/v3/website/Ninox japonica</v>
      </c>
      <c r="G407" s="90">
        <v>35</v>
      </c>
      <c r="H407" s="90">
        <v>173</v>
      </c>
      <c r="J407" s="87" t="s">
        <v>742</v>
      </c>
      <c r="K407" s="95" t="s">
        <v>772</v>
      </c>
      <c r="M407" s="93" t="s">
        <v>773</v>
      </c>
      <c r="N407" s="90" t="s">
        <v>346</v>
      </c>
      <c r="Q407" s="2" t="s">
        <v>3604</v>
      </c>
    </row>
    <row r="408" spans="1:18" ht="14.4" x14ac:dyDescent="0.3">
      <c r="A408" s="85">
        <v>328</v>
      </c>
      <c r="B408" s="76" t="s">
        <v>3605</v>
      </c>
      <c r="C408" s="77" t="str">
        <f>HYPERLINK("https://www.xeno-canto.org/species/Ninox-scutulata")</f>
        <v>https://www.xeno-canto.org/species/Ninox-scutulata</v>
      </c>
      <c r="D408" s="94" t="str">
        <f>HYPERLINK("https://ebird.org/species/brnhao1")</f>
        <v>https://ebird.org/species/brnhao1</v>
      </c>
      <c r="E408" s="122" t="str">
        <f>HYPERLINK("https://en.wikipedia.org/wiki/Brown_Boobook")</f>
        <v>https://en.wikipedia.org/wiki/Brown_Boobook</v>
      </c>
      <c r="F408" s="123" t="str">
        <f>HYPERLINK("https://apiv3.iucnredlist.org/api/v3/website/Ninox scutulata")</f>
        <v>https://apiv3.iucnredlist.org/api/v3/website/Ninox scutulata</v>
      </c>
      <c r="G408" s="90">
        <v>35</v>
      </c>
      <c r="H408" s="90">
        <v>173</v>
      </c>
      <c r="J408" s="87" t="s">
        <v>742</v>
      </c>
      <c r="K408" s="95" t="s">
        <v>1918</v>
      </c>
      <c r="M408" s="93" t="s">
        <v>771</v>
      </c>
      <c r="N408" s="90" t="s">
        <v>37</v>
      </c>
      <c r="Q408" s="2" t="s">
        <v>3606</v>
      </c>
    </row>
    <row r="409" spans="1:18" ht="30.6" x14ac:dyDescent="0.3">
      <c r="A409" s="85">
        <v>329</v>
      </c>
      <c r="B409" s="76" t="s">
        <v>3607</v>
      </c>
      <c r="C409" s="77" t="str">
        <f>HYPERLINK("https://www.xeno-canto.org/species/Ninox-randi")</f>
        <v>https://www.xeno-canto.org/species/Ninox-randi</v>
      </c>
      <c r="D409" s="94" t="str">
        <f>HYPERLINK("https://ebird.org/species/choboo1")</f>
        <v>https://ebird.org/species/choboo1</v>
      </c>
      <c r="E409" s="122" t="str">
        <f>HYPERLINK("https://en.wikipedia.org/wiki/Chocolate_Boobook")</f>
        <v>https://en.wikipedia.org/wiki/Chocolate_Boobook</v>
      </c>
      <c r="F409" s="123" t="str">
        <f>HYPERLINK("https://apiv3.iucnredlist.org/api/v3/website/Ninox randi")</f>
        <v>https://apiv3.iucnredlist.org/api/v3/website/Ninox randi</v>
      </c>
      <c r="G409" s="90">
        <v>35</v>
      </c>
      <c r="H409" s="90">
        <v>175</v>
      </c>
      <c r="J409" s="87" t="s">
        <v>742</v>
      </c>
      <c r="K409" s="95" t="s">
        <v>774</v>
      </c>
      <c r="M409" s="93" t="s">
        <v>775</v>
      </c>
      <c r="N409" s="90" t="s">
        <v>253</v>
      </c>
      <c r="O409" s="90" t="s">
        <v>50</v>
      </c>
      <c r="P409" s="90" t="s">
        <v>38</v>
      </c>
      <c r="Q409" s="2" t="s">
        <v>3608</v>
      </c>
      <c r="R409" s="2" t="s">
        <v>3003</v>
      </c>
    </row>
    <row r="410" spans="1:18" ht="14.4" x14ac:dyDescent="0.3">
      <c r="A410" s="85">
        <v>330</v>
      </c>
      <c r="B410" s="76" t="s">
        <v>3609</v>
      </c>
      <c r="C410" s="77" t="str">
        <f>HYPERLINK("https://www.xeno-canto.org/species/Ninox-philippensis")</f>
        <v>https://www.xeno-canto.org/species/Ninox-philippensis</v>
      </c>
      <c r="D410" s="94" t="str">
        <f>HYPERLINK("https://ebird.org/species/phihao1")</f>
        <v>https://ebird.org/species/phihao1</v>
      </c>
      <c r="E410" s="122" t="str">
        <f>HYPERLINK("https://en.wikipedia.org/wiki/Luzon_Boobook")</f>
        <v>https://en.wikipedia.org/wiki/Luzon_Boobook</v>
      </c>
      <c r="F410" s="123" t="str">
        <f>HYPERLINK("https://apiv3.iucnredlist.org/api/v3/website/Ninox philippensis")</f>
        <v>https://apiv3.iucnredlist.org/api/v3/website/Ninox philippensis</v>
      </c>
      <c r="G410" s="90">
        <v>35</v>
      </c>
      <c r="H410" s="90">
        <v>175</v>
      </c>
      <c r="J410" s="87" t="s">
        <v>742</v>
      </c>
      <c r="K410" s="98" t="s">
        <v>1922</v>
      </c>
      <c r="M410" s="99" t="s">
        <v>776</v>
      </c>
      <c r="N410" s="90" t="s">
        <v>57</v>
      </c>
      <c r="Q410" s="2" t="s">
        <v>3610</v>
      </c>
    </row>
    <row r="411" spans="1:18" ht="14.4" x14ac:dyDescent="0.3">
      <c r="A411" s="85">
        <v>331</v>
      </c>
      <c r="B411" s="76" t="s">
        <v>3611</v>
      </c>
      <c r="C411" s="77" t="str">
        <f>HYPERLINK("https://www.xeno-canto.org/species/Ninox-spilocephala")</f>
        <v>https://www.xeno-canto.org/species/Ninox-spilocephala</v>
      </c>
      <c r="D411" s="94" t="str">
        <f>HYPERLINK("https://ebird.org/species/minboo1")</f>
        <v>https://ebird.org/species/minboo1</v>
      </c>
      <c r="E411" s="122" t="str">
        <f>HYPERLINK("https://en.wikipedia.org/wiki/Mindanao_Boobook")</f>
        <v>https://en.wikipedia.org/wiki/Mindanao_Boobook</v>
      </c>
      <c r="F411" s="123" t="str">
        <f>HYPERLINK("https://apiv3.iucnredlist.org/api/v3/website/Ninox spilocephala")</f>
        <v>https://apiv3.iucnredlist.org/api/v3/website/Ninox spilocephala</v>
      </c>
      <c r="G411" s="90">
        <v>35</v>
      </c>
      <c r="H411" s="90">
        <v>175</v>
      </c>
      <c r="J411" s="87" t="s">
        <v>742</v>
      </c>
      <c r="K411" s="98" t="s">
        <v>1924</v>
      </c>
      <c r="M411" s="99" t="s">
        <v>777</v>
      </c>
      <c r="N411" s="90" t="s">
        <v>57</v>
      </c>
      <c r="O411" s="90" t="s">
        <v>50</v>
      </c>
      <c r="P411" s="90" t="s">
        <v>38</v>
      </c>
      <c r="Q411" s="2" t="s">
        <v>3612</v>
      </c>
    </row>
    <row r="412" spans="1:18" ht="14.4" x14ac:dyDescent="0.3">
      <c r="A412" s="85">
        <v>332</v>
      </c>
      <c r="B412" s="76" t="s">
        <v>3613</v>
      </c>
      <c r="C412" s="77" t="str">
        <f>HYPERLINK("https://www.xeno-canto.org/species/Ninox-leventisi")</f>
        <v>https://www.xeno-canto.org/species/Ninox-leventisi</v>
      </c>
      <c r="D412" s="94" t="str">
        <f>HYPERLINK("https://ebird.org/species/camboo1")</f>
        <v>https://ebird.org/species/camboo1</v>
      </c>
      <c r="E412" s="122" t="str">
        <f>HYPERLINK("https://en.wikipedia.org/wiki/Camiguin_Boobook")</f>
        <v>https://en.wikipedia.org/wiki/Camiguin_Boobook</v>
      </c>
      <c r="F412" s="123" t="str">
        <f>HYPERLINK("https://apiv3.iucnredlist.org/api/v3/website/Ninox leventisi")</f>
        <v>https://apiv3.iucnredlist.org/api/v3/website/Ninox leventisi</v>
      </c>
      <c r="H412" s="90">
        <v>175</v>
      </c>
      <c r="J412" s="87" t="s">
        <v>742</v>
      </c>
      <c r="K412" s="98" t="s">
        <v>1935</v>
      </c>
      <c r="M412" s="99" t="s">
        <v>782</v>
      </c>
      <c r="N412" s="90" t="s">
        <v>57</v>
      </c>
      <c r="O412" s="90" t="s">
        <v>58</v>
      </c>
      <c r="P412" s="90" t="s">
        <v>58</v>
      </c>
      <c r="Q412" s="2" t="s">
        <v>3614</v>
      </c>
      <c r="R412" s="2" t="s">
        <v>3004</v>
      </c>
    </row>
    <row r="413" spans="1:18" ht="14.4" x14ac:dyDescent="0.3">
      <c r="A413" s="85">
        <v>333</v>
      </c>
      <c r="B413" s="76" t="s">
        <v>3615</v>
      </c>
      <c r="C413" s="77" t="str">
        <f>HYPERLINK("https://www.xeno-canto.org/species/Ninox-reyi")</f>
        <v>https://www.xeno-canto.org/species/Ninox-reyi</v>
      </c>
      <c r="D413" s="94" t="str">
        <f>HYPERLINK("https://ebird.org/species/sulboo1")</f>
        <v>https://ebird.org/species/sulboo1</v>
      </c>
      <c r="E413" s="122" t="str">
        <f>HYPERLINK("https://en.wikipedia.org/wiki/Sulu_Boobook")</f>
        <v>https://en.wikipedia.org/wiki/Sulu_Boobook</v>
      </c>
      <c r="F413" s="123" t="str">
        <f>HYPERLINK("https://apiv3.iucnredlist.org/api/v3/website/Ninox reyi")</f>
        <v>https://apiv3.iucnredlist.org/api/v3/website/Ninox reyi</v>
      </c>
      <c r="G413" s="90">
        <v>35</v>
      </c>
      <c r="H413" s="90">
        <v>177</v>
      </c>
      <c r="J413" s="87" t="s">
        <v>742</v>
      </c>
      <c r="K413" s="98" t="s">
        <v>1938</v>
      </c>
      <c r="M413" s="99" t="s">
        <v>783</v>
      </c>
      <c r="N413" s="90" t="s">
        <v>57</v>
      </c>
      <c r="O413" s="90" t="s">
        <v>38</v>
      </c>
      <c r="P413" s="90" t="s">
        <v>38</v>
      </c>
      <c r="Q413" s="2" t="s">
        <v>3616</v>
      </c>
    </row>
    <row r="414" spans="1:18" ht="14.4" x14ac:dyDescent="0.3">
      <c r="A414" s="85">
        <v>334</v>
      </c>
      <c r="B414" s="76" t="s">
        <v>3617</v>
      </c>
      <c r="C414" s="77" t="str">
        <f>HYPERLINK("https://www.xeno-canto.org/species/Ninox-rumseyi")</f>
        <v>https://www.xeno-canto.org/species/Ninox-rumseyi</v>
      </c>
      <c r="D414" s="94" t="str">
        <f>HYPERLINK("https://ebird.org/species/cebboo1")</f>
        <v>https://ebird.org/species/cebboo1</v>
      </c>
      <c r="E414" s="122" t="str">
        <f>HYPERLINK("https://en.wikipedia.org/wiki/Cebu_Boobook")</f>
        <v>https://en.wikipedia.org/wiki/Cebu_Boobook</v>
      </c>
      <c r="F414" s="123" t="str">
        <f>HYPERLINK("https://apiv3.iucnredlist.org/api/v3/website/Ninox rumseyi")</f>
        <v>https://apiv3.iucnredlist.org/api/v3/website/Ninox rumseyi</v>
      </c>
      <c r="H414" s="90">
        <v>177</v>
      </c>
      <c r="J414" s="87" t="s">
        <v>742</v>
      </c>
      <c r="K414" s="98" t="s">
        <v>1932</v>
      </c>
      <c r="M414" s="99" t="s">
        <v>780</v>
      </c>
      <c r="N414" s="90" t="s">
        <v>57</v>
      </c>
      <c r="O414" s="90" t="s">
        <v>58</v>
      </c>
      <c r="P414" s="90" t="s">
        <v>58</v>
      </c>
      <c r="Q414" s="2" t="s">
        <v>3618</v>
      </c>
      <c r="R414" s="2" t="s">
        <v>3004</v>
      </c>
    </row>
    <row r="415" spans="1:18" ht="14.4" x14ac:dyDescent="0.3">
      <c r="A415" s="85">
        <v>335</v>
      </c>
      <c r="B415" s="76" t="s">
        <v>3619</v>
      </c>
      <c r="C415" s="77" t="str">
        <f>HYPERLINK("https://www.xeno-canto.org/species/Ninox-spilonotus")</f>
        <v>https://www.xeno-canto.org/species/Ninox-spilonotus</v>
      </c>
      <c r="D415" s="94" t="str">
        <f>HYPERLINK("https://ebird.org/species/romboo1")</f>
        <v>https://ebird.org/species/romboo1</v>
      </c>
      <c r="E415" s="122" t="str">
        <f>HYPERLINK("https://en.wikipedia.org/wiki/Romblon_Boobook")</f>
        <v>https://en.wikipedia.org/wiki/Romblon_Boobook</v>
      </c>
      <c r="F415" s="123" t="str">
        <f>HYPERLINK("https://apiv3.iucnredlist.org/api/v3/website/Ninox spilonotus")</f>
        <v>https://apiv3.iucnredlist.org/api/v3/website/Ninox spilonotus</v>
      </c>
      <c r="G415" s="90">
        <v>35</v>
      </c>
      <c r="H415" s="90">
        <v>177</v>
      </c>
      <c r="J415" s="87" t="s">
        <v>742</v>
      </c>
      <c r="K415" s="98" t="s">
        <v>1928</v>
      </c>
      <c r="M415" s="99" t="s">
        <v>779</v>
      </c>
      <c r="N415" s="90" t="s">
        <v>57</v>
      </c>
      <c r="O415" s="90" t="s">
        <v>58</v>
      </c>
      <c r="P415" s="90" t="s">
        <v>58</v>
      </c>
      <c r="Q415" s="2" t="s">
        <v>3620</v>
      </c>
    </row>
    <row r="416" spans="1:18" ht="14.4" x14ac:dyDescent="0.3">
      <c r="A416" s="85">
        <v>336</v>
      </c>
      <c r="B416" s="76" t="s">
        <v>3621</v>
      </c>
      <c r="C416" s="77" t="str">
        <f>HYPERLINK("https://www.xeno-canto.org/species/Ninox-mindorensis")</f>
        <v>https://www.xeno-canto.org/species/Ninox-mindorensis</v>
      </c>
      <c r="D416" s="94" t="str">
        <f>HYPERLINK("https://ebird.org/species/minboo2")</f>
        <v>https://ebird.org/species/minboo2</v>
      </c>
      <c r="E416" s="122" t="str">
        <f>HYPERLINK("https://en.wikipedia.org/wiki/Mindoro_Boobook")</f>
        <v>https://en.wikipedia.org/wiki/Mindoro_Boobook</v>
      </c>
      <c r="F416" s="123" t="str">
        <f>HYPERLINK("https://apiv3.iucnredlist.org/api/v3/website/Ninox mindorensis")</f>
        <v>https://apiv3.iucnredlist.org/api/v3/website/Ninox mindorensis</v>
      </c>
      <c r="G416" s="90">
        <v>35</v>
      </c>
      <c r="H416" s="90">
        <v>177</v>
      </c>
      <c r="J416" s="87" t="s">
        <v>742</v>
      </c>
      <c r="K416" s="98" t="s">
        <v>1926</v>
      </c>
      <c r="M416" s="99" t="s">
        <v>778</v>
      </c>
      <c r="N416" s="90" t="s">
        <v>57</v>
      </c>
      <c r="O416" s="90" t="s">
        <v>38</v>
      </c>
      <c r="P416" s="90" t="s">
        <v>38</v>
      </c>
      <c r="Q416" s="2" t="s">
        <v>3278</v>
      </c>
    </row>
    <row r="417" spans="1:18" ht="14.4" x14ac:dyDescent="0.3">
      <c r="A417" s="85">
        <v>337</v>
      </c>
      <c r="B417" s="76" t="s">
        <v>3622</v>
      </c>
      <c r="C417" s="77" t="str">
        <f>HYPERLINK("https://www.xeno-canto.org/species/Otus-gurneyi")</f>
        <v>https://www.xeno-canto.org/species/Otus-gurneyi</v>
      </c>
      <c r="D417" s="94" t="str">
        <f>HYPERLINK("https://ebird.org/species/mineao1")</f>
        <v>https://ebird.org/species/mineao1</v>
      </c>
      <c r="E417" s="122" t="str">
        <f>HYPERLINK("https://en.wikipedia.org/wiki/Giant_Scops_Owl")</f>
        <v>https://en.wikipedia.org/wiki/Giant_Scops_Owl</v>
      </c>
      <c r="F417" s="123" t="str">
        <f>HYPERLINK("https://apiv3.iucnredlist.org/api/v3/website/Otus gurneyi")</f>
        <v>https://apiv3.iucnredlist.org/api/v3/website/Otus gurneyi</v>
      </c>
      <c r="G417" s="90">
        <v>35</v>
      </c>
      <c r="H417" s="90">
        <v>179</v>
      </c>
      <c r="J417" s="87" t="s">
        <v>742</v>
      </c>
      <c r="K417" s="98" t="s">
        <v>743</v>
      </c>
      <c r="M417" s="99" t="s">
        <v>744</v>
      </c>
      <c r="N417" s="90" t="s">
        <v>57</v>
      </c>
      <c r="O417" s="90" t="s">
        <v>38</v>
      </c>
      <c r="P417" s="90" t="s">
        <v>58</v>
      </c>
      <c r="Q417" s="2" t="s">
        <v>3623</v>
      </c>
    </row>
    <row r="418" spans="1:18" ht="14.4" x14ac:dyDescent="0.3">
      <c r="A418" s="85">
        <v>338</v>
      </c>
      <c r="B418" s="76" t="s">
        <v>3624</v>
      </c>
      <c r="C418" s="77" t="str">
        <f>HYPERLINK("https://www.xeno-canto.org/species/Otus-mirus")</f>
        <v>https://www.xeno-canto.org/species/Otus-mirus</v>
      </c>
      <c r="D418" s="94" t="str">
        <f>HYPERLINK("https://ebird.org/species/misowl1")</f>
        <v>https://ebird.org/species/misowl1</v>
      </c>
      <c r="E418" s="122" t="str">
        <f>HYPERLINK("https://en.wikipedia.org/wiki/Mindanao_Scops_Owl")</f>
        <v>https://en.wikipedia.org/wiki/Mindanao_Scops_Owl</v>
      </c>
      <c r="F418" s="123" t="str">
        <f>HYPERLINK("https://apiv3.iucnredlist.org/api/v3/website/Otus mirus")</f>
        <v>https://apiv3.iucnredlist.org/api/v3/website/Otus mirus</v>
      </c>
      <c r="G418" s="90">
        <v>34</v>
      </c>
      <c r="H418" s="90">
        <v>181</v>
      </c>
      <c r="J418" s="87" t="s">
        <v>742</v>
      </c>
      <c r="K418" s="98" t="s">
        <v>753</v>
      </c>
      <c r="L418" s="86" t="s">
        <v>1915</v>
      </c>
      <c r="M418" s="99" t="s">
        <v>754</v>
      </c>
      <c r="N418" s="90" t="s">
        <v>57</v>
      </c>
      <c r="O418" s="90" t="s">
        <v>50</v>
      </c>
      <c r="Q418" s="2" t="s">
        <v>3625</v>
      </c>
    </row>
    <row r="419" spans="1:18" ht="14.4" x14ac:dyDescent="0.3">
      <c r="A419" s="85">
        <v>339</v>
      </c>
      <c r="B419" s="76" t="s">
        <v>3626</v>
      </c>
      <c r="C419" s="77" t="str">
        <f>HYPERLINK("https://www.xeno-canto.org/species/Otus-longicornis")</f>
        <v>https://www.xeno-canto.org/species/Otus-longicornis</v>
      </c>
      <c r="D419" s="94" t="str">
        <f>HYPERLINK("https://ebird.org/species/lusowl1")</f>
        <v>https://ebird.org/species/lusowl1</v>
      </c>
      <c r="E419" s="122" t="str">
        <f>HYPERLINK("https://en.wikipedia.org/wiki/Luzon_Scops_Owl")</f>
        <v>https://en.wikipedia.org/wiki/Luzon_Scops_Owl</v>
      </c>
      <c r="F419" s="123" t="str">
        <f>HYPERLINK("https://apiv3.iucnredlist.org/api/v3/website/Otus longicornis")</f>
        <v>https://apiv3.iucnredlist.org/api/v3/website/Otus longicornis</v>
      </c>
      <c r="G419" s="90">
        <v>34</v>
      </c>
      <c r="H419" s="90">
        <v>181</v>
      </c>
      <c r="J419" s="87" t="s">
        <v>742</v>
      </c>
      <c r="K419" s="98" t="s">
        <v>755</v>
      </c>
      <c r="L419" s="86" t="s">
        <v>1916</v>
      </c>
      <c r="M419" s="99" t="s">
        <v>756</v>
      </c>
      <c r="N419" s="90" t="s">
        <v>57</v>
      </c>
      <c r="O419" s="90" t="s">
        <v>50</v>
      </c>
      <c r="P419" s="90" t="s">
        <v>38</v>
      </c>
      <c r="Q419" s="2" t="s">
        <v>3627</v>
      </c>
    </row>
    <row r="420" spans="1:18" ht="14.4" x14ac:dyDescent="0.3">
      <c r="A420" s="85">
        <v>340</v>
      </c>
      <c r="B420" s="76" t="s">
        <v>3628</v>
      </c>
      <c r="C420" s="77" t="str">
        <f>HYPERLINK("https://www.xeno-canto.org/species/Otus-mindorensis")</f>
        <v>https://www.xeno-canto.org/species/Otus-mindorensis</v>
      </c>
      <c r="D420" s="94" t="str">
        <f>HYPERLINK("https://ebird.org/species/misowl2")</f>
        <v>https://ebird.org/species/misowl2</v>
      </c>
      <c r="E420" s="122" t="str">
        <f>HYPERLINK("https://en.wikipedia.org/wiki/Mindoro_Scops_Owl")</f>
        <v>https://en.wikipedia.org/wiki/Mindoro_Scops_Owl</v>
      </c>
      <c r="F420" s="123" t="str">
        <f>HYPERLINK("https://apiv3.iucnredlist.org/api/v3/website/Otus mindorensis")</f>
        <v>https://apiv3.iucnredlist.org/api/v3/website/Otus mindorensis</v>
      </c>
      <c r="G420" s="90">
        <v>34</v>
      </c>
      <c r="H420" s="90">
        <v>181</v>
      </c>
      <c r="J420" s="87" t="s">
        <v>742</v>
      </c>
      <c r="K420" s="98" t="s">
        <v>757</v>
      </c>
      <c r="M420" s="99" t="s">
        <v>758</v>
      </c>
      <c r="N420" s="90" t="s">
        <v>57</v>
      </c>
      <c r="O420" s="90" t="s">
        <v>50</v>
      </c>
      <c r="P420" s="90" t="s">
        <v>38</v>
      </c>
      <c r="Q420" s="2" t="s">
        <v>3629</v>
      </c>
    </row>
    <row r="421" spans="1:18" ht="20.399999999999999" x14ac:dyDescent="0.3">
      <c r="A421" s="85">
        <v>341</v>
      </c>
      <c r="B421" s="76" t="s">
        <v>3630</v>
      </c>
      <c r="C421" s="77" t="str">
        <f>HYPERLINK("https://www.xeno-canto.org/species/Otus-sunia")</f>
        <v>https://www.xeno-canto.org/species/Otus-sunia</v>
      </c>
      <c r="D421" s="94" t="str">
        <f>HYPERLINK("https://ebird.org/species/orsowl")</f>
        <v>https://ebird.org/species/orsowl</v>
      </c>
      <c r="E421" s="122" t="str">
        <f>HYPERLINK("https://en.wikipedia.org/wiki/Oriental_Scops_Owl")</f>
        <v>https://en.wikipedia.org/wiki/Oriental_Scops_Owl</v>
      </c>
      <c r="F421" s="123" t="str">
        <f>HYPERLINK("https://apiv3.iucnredlist.org/api/v3/website/Otus sunia")</f>
        <v>https://apiv3.iucnredlist.org/api/v3/website/Otus sunia</v>
      </c>
      <c r="H421" s="90">
        <v>181</v>
      </c>
      <c r="J421" s="87" t="s">
        <v>742</v>
      </c>
      <c r="K421" s="92" t="s">
        <v>759</v>
      </c>
      <c r="M421" s="93" t="s">
        <v>760</v>
      </c>
      <c r="N421" s="90" t="s">
        <v>49</v>
      </c>
      <c r="Q421" s="2" t="s">
        <v>3631</v>
      </c>
      <c r="R421" s="2" t="s">
        <v>6432</v>
      </c>
    </row>
    <row r="422" spans="1:18" ht="14.4" x14ac:dyDescent="0.3">
      <c r="A422" s="85">
        <v>342</v>
      </c>
      <c r="B422" s="76" t="s">
        <v>3632</v>
      </c>
      <c r="C422" s="77" t="str">
        <f>HYPERLINK("https://www.xeno-canto.org/species/Otus-elegans")</f>
        <v>https://www.xeno-canto.org/species/Otus-elegans</v>
      </c>
      <c r="D422" s="94" t="str">
        <f>HYPERLINK("https://ebird.org/species/ryusco1")</f>
        <v>https://ebird.org/species/ryusco1</v>
      </c>
      <c r="E422" s="122" t="str">
        <f>HYPERLINK("https://en.wikipedia.org/wiki/Ryukyu_Scops_Owl")</f>
        <v>https://en.wikipedia.org/wiki/Ryukyu_Scops_Owl</v>
      </c>
      <c r="F422" s="123" t="str">
        <f>HYPERLINK("https://apiv3.iucnredlist.org/api/v3/website/Otus elegans")</f>
        <v>https://apiv3.iucnredlist.org/api/v3/website/Otus elegans</v>
      </c>
      <c r="G422" s="90">
        <v>34</v>
      </c>
      <c r="H422" s="90">
        <v>181</v>
      </c>
      <c r="J422" s="87" t="s">
        <v>742</v>
      </c>
      <c r="K422" s="95" t="s">
        <v>764</v>
      </c>
      <c r="M422" s="93" t="s">
        <v>765</v>
      </c>
      <c r="N422" s="90" t="s">
        <v>37</v>
      </c>
      <c r="O422" s="90" t="s">
        <v>50</v>
      </c>
      <c r="P422" s="90" t="s">
        <v>186</v>
      </c>
      <c r="Q422" s="2" t="s">
        <v>3633</v>
      </c>
    </row>
    <row r="423" spans="1:18" ht="20.399999999999999" x14ac:dyDescent="0.3">
      <c r="A423" s="85">
        <v>343</v>
      </c>
      <c r="B423" s="76" t="s">
        <v>3634</v>
      </c>
      <c r="C423" s="77" t="str">
        <f>HYPERLINK("https://www.xeno-canto.org/species/Otus-mantananensis")</f>
        <v>https://www.xeno-canto.org/species/Otus-mantananensis</v>
      </c>
      <c r="D423" s="94" t="str">
        <f>HYPERLINK("https://ebird.org/species/masowl2")</f>
        <v>https://ebird.org/species/masowl2</v>
      </c>
      <c r="E423" s="122" t="str">
        <f>HYPERLINK("https://en.wikipedia.org/wiki/Mantanani_Scops_Owl")</f>
        <v>https://en.wikipedia.org/wiki/Mantanani_Scops_Owl</v>
      </c>
      <c r="F423" s="123" t="str">
        <f>HYPERLINK("https://apiv3.iucnredlist.org/api/v3/website/Otus mantananensis")</f>
        <v>https://apiv3.iucnredlist.org/api/v3/website/Otus mantananensis</v>
      </c>
      <c r="G423" s="90">
        <v>34</v>
      </c>
      <c r="H423" s="90">
        <v>183</v>
      </c>
      <c r="J423" s="87" t="s">
        <v>742</v>
      </c>
      <c r="K423" s="95" t="s">
        <v>761</v>
      </c>
      <c r="M423" s="93" t="s">
        <v>762</v>
      </c>
      <c r="N423" s="90" t="s">
        <v>253</v>
      </c>
      <c r="O423" s="90" t="s">
        <v>50</v>
      </c>
      <c r="P423" s="90" t="s">
        <v>38</v>
      </c>
      <c r="Q423" s="2" t="s">
        <v>3635</v>
      </c>
      <c r="R423" s="2" t="s">
        <v>763</v>
      </c>
    </row>
    <row r="424" spans="1:18" ht="14.4" x14ac:dyDescent="0.3">
      <c r="A424" s="85">
        <v>344</v>
      </c>
      <c r="B424" s="76" t="s">
        <v>3636</v>
      </c>
      <c r="C424" s="77" t="str">
        <f>HYPERLINK("https://www.xeno-canto.org/species/Otus-megalotis")</f>
        <v>https://www.xeno-canto.org/species/Otus-megalotis</v>
      </c>
      <c r="D424" s="94" t="str">
        <f>HYPERLINK("https://ebird.org/species/phsowl1")</f>
        <v>https://ebird.org/species/phsowl1</v>
      </c>
      <c r="E424" s="122" t="str">
        <f>HYPERLINK("https://en.wikipedia.org/wiki/Philippine_Scops_Owl")</f>
        <v>https://en.wikipedia.org/wiki/Philippine_Scops_Owl</v>
      </c>
      <c r="F424" s="123" t="str">
        <f>HYPERLINK("https://apiv3.iucnredlist.org/api/v3/website/Otus megalotis")</f>
        <v>https://apiv3.iucnredlist.org/api/v3/website/Otus megalotis</v>
      </c>
      <c r="G424" s="90">
        <v>35</v>
      </c>
      <c r="H424" s="90">
        <v>179</v>
      </c>
      <c r="J424" s="87" t="s">
        <v>742</v>
      </c>
      <c r="K424" s="98" t="s">
        <v>747</v>
      </c>
      <c r="L424" s="86" t="s">
        <v>1909</v>
      </c>
      <c r="M424" s="99" t="s">
        <v>748</v>
      </c>
      <c r="N424" s="90" t="s">
        <v>57</v>
      </c>
      <c r="Q424" s="2" t="s">
        <v>3637</v>
      </c>
    </row>
    <row r="425" spans="1:18" ht="14.4" x14ac:dyDescent="0.3">
      <c r="A425" s="85">
        <v>345</v>
      </c>
      <c r="B425" s="76" t="s">
        <v>3638</v>
      </c>
      <c r="C425" s="77" t="str">
        <f>HYPERLINK("https://www.xeno-canto.org/species/Otus-nigrorum")</f>
        <v>https://www.xeno-canto.org/species/Otus-nigrorum</v>
      </c>
      <c r="D425" s="94" t="str">
        <f>HYPERLINK("https://ebird.org/species/negsco1")</f>
        <v>https://ebird.org/species/negsco1</v>
      </c>
      <c r="E425" s="122" t="str">
        <f>HYPERLINK("https://en.wikipedia.org/wiki/Negros_Scops_Owl")</f>
        <v>https://en.wikipedia.org/wiki/Negros_Scops_Owl</v>
      </c>
      <c r="F425" s="123" t="str">
        <f>HYPERLINK("https://apiv3.iucnredlist.org/api/v3/website/Otus nigrorum")</f>
        <v>https://apiv3.iucnredlist.org/api/v3/website/Otus nigrorum</v>
      </c>
      <c r="G425" s="90">
        <v>35</v>
      </c>
      <c r="H425" s="90">
        <v>179</v>
      </c>
      <c r="J425" s="87" t="s">
        <v>742</v>
      </c>
      <c r="K425" s="98" t="s">
        <v>751</v>
      </c>
      <c r="L425" s="86" t="s">
        <v>1912</v>
      </c>
      <c r="M425" s="99" t="s">
        <v>752</v>
      </c>
      <c r="N425" s="90" t="s">
        <v>57</v>
      </c>
      <c r="O425" s="90" t="s">
        <v>38</v>
      </c>
      <c r="P425" s="90" t="s">
        <v>38</v>
      </c>
      <c r="Q425" s="2" t="s">
        <v>3639</v>
      </c>
    </row>
    <row r="426" spans="1:18" ht="14.4" x14ac:dyDescent="0.3">
      <c r="A426" s="85">
        <v>346</v>
      </c>
      <c r="B426" s="76" t="s">
        <v>3640</v>
      </c>
      <c r="C426" s="77" t="str">
        <f>HYPERLINK("https://www.xeno-canto.org/species/Otus-everetti")</f>
        <v>https://www.xeno-canto.org/species/Otus-everetti</v>
      </c>
      <c r="D426" s="94" t="str">
        <f>HYPERLINK("https://ebird.org/species/evesco1")</f>
        <v>https://ebird.org/species/evesco1</v>
      </c>
      <c r="E426" s="122" t="str">
        <f>HYPERLINK("https://en.wikipedia.org/wiki/Everett's_Scops_Owl")</f>
        <v>https://en.wikipedia.org/wiki/Everett's_Scops_Owl</v>
      </c>
      <c r="F426" s="123" t="str">
        <f>HYPERLINK("https://apiv3.iucnredlist.org/api/v3/website/Otus everetti")</f>
        <v>https://apiv3.iucnredlist.org/api/v3/website/Otus everetti</v>
      </c>
      <c r="G426" s="90">
        <v>35</v>
      </c>
      <c r="H426" s="90">
        <v>179</v>
      </c>
      <c r="J426" s="87" t="s">
        <v>742</v>
      </c>
      <c r="K426" s="98" t="s">
        <v>749</v>
      </c>
      <c r="L426" s="86" t="s">
        <v>1910</v>
      </c>
      <c r="M426" s="99" t="s">
        <v>750</v>
      </c>
      <c r="N426" s="90" t="s">
        <v>57</v>
      </c>
      <c r="Q426" s="2" t="s">
        <v>3641</v>
      </c>
    </row>
    <row r="427" spans="1:18" ht="14.4" x14ac:dyDescent="0.3">
      <c r="A427" s="85">
        <v>347</v>
      </c>
      <c r="B427" s="76" t="s">
        <v>3642</v>
      </c>
      <c r="C427" s="77" t="str">
        <f>HYPERLINK("https://www.xeno-canto.org/species/Otus-fuliginosus")</f>
        <v>https://www.xeno-canto.org/species/Otus-fuliginosus</v>
      </c>
      <c r="D427" s="94" t="str">
        <f>HYPERLINK("https://ebird.org/species/pasowl2")</f>
        <v>https://ebird.org/species/pasowl2</v>
      </c>
      <c r="E427" s="122" t="str">
        <f>HYPERLINK("https://en.wikipedia.org/wiki/Palawan_Scops_Owl")</f>
        <v>https://en.wikipedia.org/wiki/Palawan_Scops_Owl</v>
      </c>
      <c r="F427" s="123" t="str">
        <f>HYPERLINK("https://apiv3.iucnredlist.org/api/v3/website/Otus fuliginosus")</f>
        <v>https://apiv3.iucnredlist.org/api/v3/website/Otus fuliginosus</v>
      </c>
      <c r="G427" s="90">
        <v>34</v>
      </c>
      <c r="H427" s="90">
        <v>179</v>
      </c>
      <c r="J427" s="87" t="s">
        <v>742</v>
      </c>
      <c r="K427" s="98" t="s">
        <v>745</v>
      </c>
      <c r="M427" s="99" t="s">
        <v>746</v>
      </c>
      <c r="N427" s="90" t="s">
        <v>57</v>
      </c>
      <c r="O427" s="90" t="s">
        <v>50</v>
      </c>
      <c r="P427" s="90" t="s">
        <v>58</v>
      </c>
      <c r="Q427" s="2" t="s">
        <v>3134</v>
      </c>
    </row>
    <row r="428" spans="1:18" ht="20.399999999999999" x14ac:dyDescent="0.3">
      <c r="A428" s="85">
        <v>348</v>
      </c>
      <c r="B428" s="76" t="s">
        <v>3643</v>
      </c>
      <c r="C428" s="77" t="str">
        <f>HYPERLINK("https://www.xeno-canto.org/species/Asio-flammeus")</f>
        <v>https://www.xeno-canto.org/species/Asio-flammeus</v>
      </c>
      <c r="D428" s="94" t="str">
        <f>HYPERLINK("https://ebird.org/species/sheowl")</f>
        <v>https://ebird.org/species/sheowl</v>
      </c>
      <c r="E428" s="122" t="str">
        <f>HYPERLINK("https://en.wikipedia.org/wiki/Short-eared_Owl")</f>
        <v>https://en.wikipedia.org/wiki/Short-eared_Owl</v>
      </c>
      <c r="F428" s="123" t="str">
        <f>HYPERLINK("https://apiv3.iucnredlist.org/api/v3/website/Asio flammeus")</f>
        <v>https://apiv3.iucnredlist.org/api/v3/website/Asio flammeus</v>
      </c>
      <c r="G428" s="90">
        <v>35</v>
      </c>
      <c r="H428" s="90">
        <v>183</v>
      </c>
      <c r="J428" s="87" t="s">
        <v>742</v>
      </c>
      <c r="K428" s="92" t="s">
        <v>784</v>
      </c>
      <c r="M428" s="93" t="s">
        <v>785</v>
      </c>
      <c r="N428" s="90" t="s">
        <v>49</v>
      </c>
      <c r="Q428" s="2" t="s">
        <v>3644</v>
      </c>
      <c r="R428" s="2" t="s">
        <v>6433</v>
      </c>
    </row>
    <row r="429" spans="1:18" ht="14.4" x14ac:dyDescent="0.3">
      <c r="A429" s="85">
        <v>349</v>
      </c>
      <c r="B429" s="76" t="s">
        <v>5824</v>
      </c>
      <c r="C429" s="77" t="str">
        <f>HYPERLINK("https://www.xeno-canto.org/species/Ketupa-philippensis")</f>
        <v>https://www.xeno-canto.org/species/Ketupa-philippensis</v>
      </c>
      <c r="D429" s="94" t="str">
        <f>HYPERLINK("https://ebird.org/species/pheowl2")</f>
        <v>https://ebird.org/species/pheowl2</v>
      </c>
      <c r="E429" s="122" t="str">
        <f>HYPERLINK("https://en.wikipedia.org/wiki/Philippine_Eagle-Owl")</f>
        <v>https://en.wikipedia.org/wiki/Philippine_Eagle-Owl</v>
      </c>
      <c r="F429" s="123" t="str">
        <f>HYPERLINK("https://apiv3.iucnredlist.org/api/v3/website/Ketupa philippensis")</f>
        <v>https://apiv3.iucnredlist.org/api/v3/website/Ketupa philippensis</v>
      </c>
      <c r="G429" s="90">
        <v>35</v>
      </c>
      <c r="H429" s="90">
        <v>183</v>
      </c>
      <c r="J429" s="87" t="s">
        <v>742</v>
      </c>
      <c r="K429" s="98" t="s">
        <v>766</v>
      </c>
      <c r="M429" s="99" t="s">
        <v>5825</v>
      </c>
      <c r="N429" s="90" t="s">
        <v>57</v>
      </c>
      <c r="O429" s="90" t="s">
        <v>38</v>
      </c>
      <c r="P429" s="90" t="s">
        <v>58</v>
      </c>
      <c r="Q429" s="2" t="s">
        <v>3645</v>
      </c>
    </row>
    <row r="430" spans="1:18" ht="14.4" x14ac:dyDescent="0.3">
      <c r="A430" s="85">
        <v>350</v>
      </c>
      <c r="B430" s="76" t="s">
        <v>3646</v>
      </c>
      <c r="C430" s="77" t="str">
        <f>HYPERLINK("https://www.xeno-canto.org/species/Strix-seloputo")</f>
        <v>https://www.xeno-canto.org/species/Strix-seloputo</v>
      </c>
      <c r="D430" s="94" t="str">
        <f>HYPERLINK("https://ebird.org/species/spwowl1")</f>
        <v>https://ebird.org/species/spwowl1</v>
      </c>
      <c r="E430" s="122" t="str">
        <f>HYPERLINK("https://en.wikipedia.org/wiki/Spotted_Wood_Owl")</f>
        <v>https://en.wikipedia.org/wiki/Spotted_Wood_Owl</v>
      </c>
      <c r="F430" s="123" t="str">
        <f>HYPERLINK("https://apiv3.iucnredlist.org/api/v3/website/Strix seloputo")</f>
        <v>https://apiv3.iucnredlist.org/api/v3/website/Strix seloputo</v>
      </c>
      <c r="G430" s="90">
        <v>35</v>
      </c>
      <c r="H430" s="90">
        <v>183</v>
      </c>
      <c r="J430" s="87" t="s">
        <v>742</v>
      </c>
      <c r="K430" s="95" t="s">
        <v>768</v>
      </c>
      <c r="M430" s="93" t="s">
        <v>769</v>
      </c>
      <c r="N430" s="90" t="s">
        <v>37</v>
      </c>
      <c r="Q430" s="2" t="s">
        <v>3647</v>
      </c>
    </row>
    <row r="432" spans="1:18" ht="12" x14ac:dyDescent="0.3">
      <c r="K432" s="88" t="s">
        <v>787</v>
      </c>
      <c r="M432" s="89" t="s">
        <v>788</v>
      </c>
    </row>
    <row r="433" spans="1:18" ht="14.4" x14ac:dyDescent="0.3">
      <c r="A433" s="85">
        <v>351</v>
      </c>
      <c r="B433" s="74" t="s">
        <v>3648</v>
      </c>
      <c r="C433" s="75" t="str">
        <f>HYPERLINK("https://www.xeno-canto.org/species/Harpactes-ardens")</f>
        <v>https://www.xeno-canto.org/species/Harpactes-ardens</v>
      </c>
      <c r="D433" s="91" t="str">
        <f>HYPERLINK("https://ebird.org/species/phitro1")</f>
        <v>https://ebird.org/species/phitro1</v>
      </c>
      <c r="E433" s="120" t="str">
        <f>HYPERLINK("https://en.wikipedia.org/wiki/Philippine_Trogon")</f>
        <v>https://en.wikipedia.org/wiki/Philippine_Trogon</v>
      </c>
      <c r="F433" s="121" t="str">
        <f>HYPERLINK("https://apiv3.iucnredlist.org/api/v3/website/Harpactes ardens")</f>
        <v>https://apiv3.iucnredlist.org/api/v3/website/Harpactes ardens</v>
      </c>
      <c r="G433" s="90">
        <v>39</v>
      </c>
      <c r="H433" s="90">
        <v>201</v>
      </c>
      <c r="J433" s="87" t="s">
        <v>788</v>
      </c>
      <c r="K433" s="98" t="s">
        <v>789</v>
      </c>
      <c r="M433" s="99" t="s">
        <v>790</v>
      </c>
      <c r="N433" s="90" t="s">
        <v>57</v>
      </c>
      <c r="Q433" s="2" t="s">
        <v>3649</v>
      </c>
    </row>
    <row r="435" spans="1:18" ht="12" x14ac:dyDescent="0.3">
      <c r="K435" s="88" t="s">
        <v>791</v>
      </c>
      <c r="M435" s="89" t="s">
        <v>792</v>
      </c>
    </row>
    <row r="436" spans="1:18" ht="20.399999999999999" x14ac:dyDescent="0.3">
      <c r="A436" s="85">
        <v>352</v>
      </c>
      <c r="B436" s="74" t="s">
        <v>3650</v>
      </c>
      <c r="C436" s="75" t="str">
        <f>HYPERLINK("https://www.xeno-canto.org/species/Upupa-epops")</f>
        <v>https://www.xeno-canto.org/species/Upupa-epops</v>
      </c>
      <c r="D436" s="91" t="str">
        <f>HYPERLINK("https://ebird.org/species/hoopoe")</f>
        <v>https://ebird.org/species/hoopoe</v>
      </c>
      <c r="E436" s="120" t="str">
        <f>HYPERLINK("https://en.wikipedia.org/wiki/Eurasian_Hoopoe")</f>
        <v>https://en.wikipedia.org/wiki/Eurasian_Hoopoe</v>
      </c>
      <c r="F436" s="121" t="str">
        <f>HYPERLINK("https://apiv3.iucnredlist.org/api/v3/website/Upupa epops")</f>
        <v>https://apiv3.iucnredlist.org/api/v3/website/Upupa epops</v>
      </c>
      <c r="G436" s="90">
        <v>41</v>
      </c>
      <c r="H436" s="90">
        <v>205</v>
      </c>
      <c r="J436" s="87" t="s">
        <v>792</v>
      </c>
      <c r="K436" s="95" t="s">
        <v>793</v>
      </c>
      <c r="M436" s="93" t="s">
        <v>794</v>
      </c>
      <c r="N436" s="90" t="s">
        <v>89</v>
      </c>
      <c r="Q436" s="2" t="s">
        <v>3651</v>
      </c>
      <c r="R436" s="2" t="s">
        <v>6434</v>
      </c>
    </row>
    <row r="438" spans="1:18" ht="12" x14ac:dyDescent="0.3">
      <c r="K438" s="88" t="s">
        <v>795</v>
      </c>
      <c r="M438" s="89" t="s">
        <v>796</v>
      </c>
    </row>
    <row r="439" spans="1:18" ht="20.399999999999999" x14ac:dyDescent="0.3">
      <c r="A439" s="85">
        <v>353</v>
      </c>
      <c r="B439" s="74" t="s">
        <v>3652</v>
      </c>
      <c r="C439" s="75" t="str">
        <f>HYPERLINK("https://www.xeno-canto.org/species/Buceros-hydrocorax")</f>
        <v>https://www.xeno-canto.org/species/Buceros-hydrocorax</v>
      </c>
      <c r="D439" s="91" t="str">
        <f>HYPERLINK("https://ebird.org/species/rufhor1")</f>
        <v>https://ebird.org/species/rufhor1</v>
      </c>
      <c r="E439" s="120" t="str">
        <f>HYPERLINK("https://en.wikipedia.org/wiki/Rufous_Hornbill")</f>
        <v>https://en.wikipedia.org/wiki/Rufous_Hornbill</v>
      </c>
      <c r="F439" s="121" t="str">
        <f>HYPERLINK("https://apiv3.iucnredlist.org/api/v3/website/Buceros hydrocorax")</f>
        <v>https://apiv3.iucnredlist.org/api/v3/website/Buceros hydrocorax</v>
      </c>
      <c r="G439" s="90">
        <v>41</v>
      </c>
      <c r="H439" s="90">
        <v>201</v>
      </c>
      <c r="J439" s="87" t="s">
        <v>796</v>
      </c>
      <c r="K439" s="98" t="s">
        <v>797</v>
      </c>
      <c r="L439" s="86" t="s">
        <v>4758</v>
      </c>
      <c r="M439" s="99" t="s">
        <v>798</v>
      </c>
      <c r="N439" s="90" t="s">
        <v>57</v>
      </c>
      <c r="P439" s="90" t="s">
        <v>58</v>
      </c>
      <c r="Q439" s="2" t="s">
        <v>3653</v>
      </c>
    </row>
    <row r="440" spans="1:18" ht="14.4" x14ac:dyDescent="0.3">
      <c r="A440" s="85">
        <v>354</v>
      </c>
      <c r="B440" s="76" t="s">
        <v>3654</v>
      </c>
      <c r="C440" s="77" t="str">
        <f>HYPERLINK("https://www.xeno-canto.org/species/Anthracoceros-marchei")</f>
        <v>https://www.xeno-canto.org/species/Anthracoceros-marchei</v>
      </c>
      <c r="D440" s="94" t="str">
        <f>HYPERLINK("https://ebird.org/species/palhor1")</f>
        <v>https://ebird.org/species/palhor1</v>
      </c>
      <c r="E440" s="122" t="str">
        <f>HYPERLINK("https://en.wikipedia.org/wiki/Palawan_Hornbill")</f>
        <v>https://en.wikipedia.org/wiki/Palawan_Hornbill</v>
      </c>
      <c r="F440" s="123" t="str">
        <f>HYPERLINK("https://apiv3.iucnredlist.org/api/v3/website/Anthracoceros marchei")</f>
        <v>https://apiv3.iucnredlist.org/api/v3/website/Anthracoceros marchei</v>
      </c>
      <c r="G440" s="90">
        <v>41</v>
      </c>
      <c r="H440" s="90">
        <v>201</v>
      </c>
      <c r="J440" s="87" t="s">
        <v>796</v>
      </c>
      <c r="K440" s="98" t="s">
        <v>799</v>
      </c>
      <c r="M440" s="99" t="s">
        <v>800</v>
      </c>
      <c r="N440" s="90" t="s">
        <v>57</v>
      </c>
      <c r="O440" s="90" t="s">
        <v>38</v>
      </c>
      <c r="P440" s="90" t="s">
        <v>38</v>
      </c>
      <c r="Q440" s="2" t="s">
        <v>3655</v>
      </c>
    </row>
    <row r="441" spans="1:18" ht="14.4" x14ac:dyDescent="0.3">
      <c r="A441" s="85">
        <v>355</v>
      </c>
      <c r="B441" s="76" t="s">
        <v>3656</v>
      </c>
      <c r="C441" s="77" t="str">
        <f>HYPERLINK("https://www.xeno-canto.org/species/Anthracoceros-montani")</f>
        <v>https://www.xeno-canto.org/species/Anthracoceros-montani</v>
      </c>
      <c r="D441" s="94" t="str">
        <f>HYPERLINK("https://ebird.org/species/sulhor2")</f>
        <v>https://ebird.org/species/sulhor2</v>
      </c>
      <c r="E441" s="122" t="str">
        <f>HYPERLINK("https://en.wikipedia.org/wiki/Sulu_Hornbill")</f>
        <v>https://en.wikipedia.org/wiki/Sulu_Hornbill</v>
      </c>
      <c r="F441" s="123" t="str">
        <f>HYPERLINK("https://apiv3.iucnredlist.org/api/v3/website/Anthracoceros montani")</f>
        <v>https://apiv3.iucnredlist.org/api/v3/website/Anthracoceros montani</v>
      </c>
      <c r="G441" s="90">
        <v>41</v>
      </c>
      <c r="H441" s="90">
        <v>201</v>
      </c>
      <c r="J441" s="87" t="s">
        <v>796</v>
      </c>
      <c r="K441" s="98" t="s">
        <v>801</v>
      </c>
      <c r="M441" s="99" t="s">
        <v>802</v>
      </c>
      <c r="N441" s="90" t="s">
        <v>57</v>
      </c>
      <c r="O441" s="90" t="s">
        <v>112</v>
      </c>
      <c r="P441" s="90" t="s">
        <v>112</v>
      </c>
      <c r="Q441" s="2" t="s">
        <v>3657</v>
      </c>
    </row>
    <row r="442" spans="1:18" ht="14.4" x14ac:dyDescent="0.3">
      <c r="A442" s="85">
        <v>356</v>
      </c>
      <c r="B442" s="76" t="s">
        <v>3658</v>
      </c>
      <c r="C442" s="77" t="str">
        <f>HYPERLINK("https://www.xeno-canto.org/species/Rhabdotorrhinus-waldeni")</f>
        <v>https://www.xeno-canto.org/species/Rhabdotorrhinus-waldeni</v>
      </c>
      <c r="D442" s="94" t="str">
        <f>HYPERLINK("https://ebird.org/species/wrbhor1")</f>
        <v>https://ebird.org/species/wrbhor1</v>
      </c>
      <c r="E442" s="122" t="str">
        <f>HYPERLINK("https://en.wikipedia.org/wiki/Walden's_Hornbill")</f>
        <v>https://en.wikipedia.org/wiki/Walden's_Hornbill</v>
      </c>
      <c r="F442" s="123" t="str">
        <f>HYPERLINK("https://apiv3.iucnredlist.org/api/v3/website/Rhabdotorrhinus waldeni")</f>
        <v>https://apiv3.iucnredlist.org/api/v3/website/Rhabdotorrhinus waldeni</v>
      </c>
      <c r="G442" s="90">
        <v>41</v>
      </c>
      <c r="H442" s="90">
        <v>203</v>
      </c>
      <c r="J442" s="87" t="s">
        <v>796</v>
      </c>
      <c r="K442" s="102" t="s">
        <v>803</v>
      </c>
      <c r="L442" s="86" t="s">
        <v>1945</v>
      </c>
      <c r="M442" s="99" t="s">
        <v>804</v>
      </c>
      <c r="N442" s="90" t="s">
        <v>57</v>
      </c>
      <c r="O442" s="90" t="s">
        <v>112</v>
      </c>
      <c r="P442" s="90" t="s">
        <v>112</v>
      </c>
      <c r="Q442" s="2" t="s">
        <v>3659</v>
      </c>
      <c r="R442" s="2" t="s">
        <v>9</v>
      </c>
    </row>
    <row r="443" spans="1:18" ht="14.4" x14ac:dyDescent="0.3">
      <c r="A443" s="85">
        <v>357</v>
      </c>
      <c r="B443" s="76" t="s">
        <v>3660</v>
      </c>
      <c r="C443" s="77" t="str">
        <f>HYPERLINK("https://www.xeno-canto.org/species/Rhabdotorrhinus-leucocephalus")</f>
        <v>https://www.xeno-canto.org/species/Rhabdotorrhinus-leucocephalus</v>
      </c>
      <c r="D443" s="94" t="str">
        <f>HYPERLINK("https://ebird.org/species/wrihor2")</f>
        <v>https://ebird.org/species/wrihor2</v>
      </c>
      <c r="E443" s="122" t="str">
        <f>HYPERLINK("https://en.wikipedia.org/wiki/Writhed_Hornbill")</f>
        <v>https://en.wikipedia.org/wiki/Writhed_Hornbill</v>
      </c>
      <c r="F443" s="123" t="str">
        <f>HYPERLINK("https://apiv3.iucnredlist.org/api/v3/website/Rhabdotorrhinus leucocephalus")</f>
        <v>https://apiv3.iucnredlist.org/api/v3/website/Rhabdotorrhinus leucocephalus</v>
      </c>
      <c r="G443" s="90">
        <v>41</v>
      </c>
      <c r="H443" s="90">
        <v>201</v>
      </c>
      <c r="J443" s="87" t="s">
        <v>796</v>
      </c>
      <c r="K443" s="98" t="s">
        <v>805</v>
      </c>
      <c r="M443" s="99" t="s">
        <v>806</v>
      </c>
      <c r="N443" s="90" t="s">
        <v>57</v>
      </c>
      <c r="O443" s="90" t="s">
        <v>50</v>
      </c>
      <c r="P443" s="90" t="s">
        <v>38</v>
      </c>
      <c r="Q443" s="2" t="s">
        <v>3661</v>
      </c>
      <c r="R443" s="2" t="s">
        <v>9</v>
      </c>
    </row>
    <row r="444" spans="1:18" ht="14.4" x14ac:dyDescent="0.3">
      <c r="A444" s="85">
        <v>358</v>
      </c>
      <c r="B444" s="76" t="s">
        <v>3662</v>
      </c>
      <c r="C444" s="77" t="str">
        <f>HYPERLINK("https://www.xeno-canto.org/species/Penelopides-manillae")</f>
        <v>https://www.xeno-canto.org/species/Penelopides-manillae</v>
      </c>
      <c r="D444" s="94" t="str">
        <f>HYPERLINK("https://ebird.org/species/luzhor1")</f>
        <v>https://ebird.org/species/luzhor1</v>
      </c>
      <c r="E444" s="122" t="str">
        <f>HYPERLINK("https://en.wikipedia.org/wiki/Luzon_Hornbill")</f>
        <v>https://en.wikipedia.org/wiki/Luzon_Hornbill</v>
      </c>
      <c r="F444" s="123" t="str">
        <f>HYPERLINK("https://apiv3.iucnredlist.org/api/v3/website/Penelopides manillae")</f>
        <v>https://apiv3.iucnredlist.org/api/v3/website/Penelopides manillae</v>
      </c>
      <c r="G444" s="90">
        <v>41</v>
      </c>
      <c r="H444" s="90">
        <v>203</v>
      </c>
      <c r="J444" s="87" t="s">
        <v>796</v>
      </c>
      <c r="K444" s="98" t="s">
        <v>807</v>
      </c>
      <c r="M444" s="99" t="s">
        <v>808</v>
      </c>
      <c r="N444" s="90" t="s">
        <v>57</v>
      </c>
      <c r="P444" s="90" t="s">
        <v>38</v>
      </c>
      <c r="Q444" s="2" t="s">
        <v>3663</v>
      </c>
    </row>
    <row r="445" spans="1:18" ht="14.4" x14ac:dyDescent="0.3">
      <c r="A445" s="85">
        <v>359</v>
      </c>
      <c r="B445" s="76" t="s">
        <v>3664</v>
      </c>
      <c r="C445" s="77" t="str">
        <f>HYPERLINK("https://www.xeno-canto.org/species/Penelopides-mindorensis")</f>
        <v>https://www.xeno-canto.org/species/Penelopides-mindorensis</v>
      </c>
      <c r="D445" s="94" t="str">
        <f>HYPERLINK("https://ebird.org/species/minhor2")</f>
        <v>https://ebird.org/species/minhor2</v>
      </c>
      <c r="E445" s="122" t="str">
        <f>HYPERLINK("https://en.wikipedia.org/wiki/Mindoro_Hornbill")</f>
        <v>https://en.wikipedia.org/wiki/Mindoro_Hornbill</v>
      </c>
      <c r="F445" s="123" t="str">
        <f>HYPERLINK("https://apiv3.iucnredlist.org/api/v3/website/Penelopides mindorensis")</f>
        <v>https://apiv3.iucnredlist.org/api/v3/website/Penelopides mindorensis</v>
      </c>
      <c r="G445" s="90">
        <v>41</v>
      </c>
      <c r="H445" s="90">
        <v>203</v>
      </c>
      <c r="J445" s="87" t="s">
        <v>796</v>
      </c>
      <c r="K445" s="98" t="s">
        <v>810</v>
      </c>
      <c r="M445" s="99" t="s">
        <v>811</v>
      </c>
      <c r="N445" s="90" t="s">
        <v>57</v>
      </c>
      <c r="O445" s="90" t="s">
        <v>58</v>
      </c>
      <c r="P445" s="90" t="s">
        <v>58</v>
      </c>
      <c r="Q445" s="2" t="s">
        <v>3665</v>
      </c>
    </row>
    <row r="446" spans="1:18" ht="14.4" x14ac:dyDescent="0.3">
      <c r="A446" s="85">
        <v>360</v>
      </c>
      <c r="B446" s="76" t="s">
        <v>3666</v>
      </c>
      <c r="C446" s="77" t="str">
        <f>HYPERLINK("https://www.xeno-canto.org/species/Penelopides-affinis")</f>
        <v>https://www.xeno-canto.org/species/Penelopides-affinis</v>
      </c>
      <c r="D446" s="94" t="str">
        <f>HYPERLINK("https://ebird.org/species/minhor1")</f>
        <v>https://ebird.org/species/minhor1</v>
      </c>
      <c r="E446" s="122" t="str">
        <f>HYPERLINK("https://en.wikipedia.org/wiki/Mindanao_Hornbill")</f>
        <v>https://en.wikipedia.org/wiki/Mindanao_Hornbill</v>
      </c>
      <c r="F446" s="123" t="str">
        <f>HYPERLINK("https://apiv3.iucnredlist.org/api/v3/website/Penelopides affinis")</f>
        <v>https://apiv3.iucnredlist.org/api/v3/website/Penelopides affinis</v>
      </c>
      <c r="G446" s="90">
        <v>41</v>
      </c>
      <c r="H446" s="90">
        <v>203</v>
      </c>
      <c r="J446" s="87" t="s">
        <v>796</v>
      </c>
      <c r="K446" s="98" t="s">
        <v>812</v>
      </c>
      <c r="M446" s="99" t="s">
        <v>813</v>
      </c>
      <c r="N446" s="90" t="s">
        <v>57</v>
      </c>
      <c r="P446" s="90" t="s">
        <v>58</v>
      </c>
      <c r="Q446" s="2" t="s">
        <v>3612</v>
      </c>
    </row>
    <row r="447" spans="1:18" ht="14.4" x14ac:dyDescent="0.3">
      <c r="A447" s="85">
        <v>361</v>
      </c>
      <c r="B447" s="76" t="s">
        <v>3667</v>
      </c>
      <c r="C447" s="77" t="str">
        <f>HYPERLINK("https://www.xeno-canto.org/species/Penelopides-samarensis")</f>
        <v>https://www.xeno-canto.org/species/Penelopides-samarensis</v>
      </c>
      <c r="D447" s="94" t="str">
        <f>HYPERLINK("https://ebird.org/species/samhor1")</f>
        <v>https://ebird.org/species/samhor1</v>
      </c>
      <c r="E447" s="122" t="str">
        <f>HYPERLINK("https://en.wikipedia.org/wiki/Samar_Hornbill")</f>
        <v>https://en.wikipedia.org/wiki/Samar_Hornbill</v>
      </c>
      <c r="F447" s="123" t="str">
        <f>HYPERLINK("https://apiv3.iucnredlist.org/api/v3/website/Penelopides samarensis")</f>
        <v>https://apiv3.iucnredlist.org/api/v3/website/Penelopides samarensis</v>
      </c>
      <c r="G447" s="90">
        <v>41</v>
      </c>
      <c r="H447" s="90">
        <v>203</v>
      </c>
      <c r="J447" s="87" t="s">
        <v>796</v>
      </c>
      <c r="K447" s="98" t="s">
        <v>814</v>
      </c>
      <c r="M447" s="99" t="s">
        <v>815</v>
      </c>
      <c r="N447" s="90" t="s">
        <v>57</v>
      </c>
      <c r="P447" s="90" t="s">
        <v>58</v>
      </c>
      <c r="Q447" s="2" t="s">
        <v>3668</v>
      </c>
    </row>
    <row r="448" spans="1:18" ht="14.4" x14ac:dyDescent="0.3">
      <c r="A448" s="85">
        <v>362</v>
      </c>
      <c r="B448" s="76" t="s">
        <v>3669</v>
      </c>
      <c r="C448" s="77" t="str">
        <f>HYPERLINK("https://www.xeno-canto.org/species/Penelopides-panini")</f>
        <v>https://www.xeno-canto.org/species/Penelopides-panini</v>
      </c>
      <c r="D448" s="94" t="str">
        <f>HYPERLINK("https://ebird.org/species/tarhor1")</f>
        <v>https://ebird.org/species/tarhor1</v>
      </c>
      <c r="E448" s="122" t="str">
        <f>HYPERLINK("https://en.wikipedia.org/wiki/Visayan_Hornbill")</f>
        <v>https://en.wikipedia.org/wiki/Visayan_Hornbill</v>
      </c>
      <c r="F448" s="123" t="str">
        <f>HYPERLINK("https://apiv3.iucnredlist.org/api/v3/website/Penelopides panini")</f>
        <v>https://apiv3.iucnredlist.org/api/v3/website/Penelopides panini</v>
      </c>
      <c r="G448" s="90">
        <v>41</v>
      </c>
      <c r="H448" s="90">
        <v>203</v>
      </c>
      <c r="J448" s="87" t="s">
        <v>796</v>
      </c>
      <c r="K448" s="98" t="s">
        <v>816</v>
      </c>
      <c r="M448" s="99" t="s">
        <v>817</v>
      </c>
      <c r="N448" s="90" t="s">
        <v>57</v>
      </c>
      <c r="O448" s="90" t="s">
        <v>58</v>
      </c>
      <c r="P448" s="90" t="s">
        <v>112</v>
      </c>
      <c r="Q448" s="2" t="s">
        <v>3670</v>
      </c>
    </row>
    <row r="450" spans="1:18" ht="12" x14ac:dyDescent="0.3">
      <c r="K450" s="88" t="s">
        <v>818</v>
      </c>
      <c r="M450" s="89" t="s">
        <v>819</v>
      </c>
    </row>
    <row r="451" spans="1:18" ht="14.4" x14ac:dyDescent="0.3">
      <c r="A451" s="85">
        <v>363</v>
      </c>
      <c r="B451" s="74" t="s">
        <v>3671</v>
      </c>
      <c r="C451" s="75" t="str">
        <f>HYPERLINK("https://www.xeno-canto.org/species/Eurystomus-orientalis")</f>
        <v>https://www.xeno-canto.org/species/Eurystomus-orientalis</v>
      </c>
      <c r="D451" s="91" t="str">
        <f>HYPERLINK("https://ebird.org/species/dollar1")</f>
        <v>https://ebird.org/species/dollar1</v>
      </c>
      <c r="E451" s="120" t="str">
        <f>HYPERLINK("https://en.wikipedia.org/wiki/Oriental_Dollarbird")</f>
        <v>https://en.wikipedia.org/wiki/Oriental_Dollarbird</v>
      </c>
      <c r="F451" s="121" t="str">
        <f>HYPERLINK("https://apiv3.iucnredlist.org/api/v3/website/Eurystomus orientalis")</f>
        <v>https://apiv3.iucnredlist.org/api/v3/website/Eurystomus orientalis</v>
      </c>
      <c r="G451" s="90">
        <v>39</v>
      </c>
      <c r="H451" s="90">
        <v>205</v>
      </c>
      <c r="J451" s="87" t="s">
        <v>819</v>
      </c>
      <c r="K451" s="95" t="s">
        <v>820</v>
      </c>
      <c r="M451" s="93" t="s">
        <v>821</v>
      </c>
      <c r="N451" s="90" t="s">
        <v>37</v>
      </c>
      <c r="Q451" s="2" t="s">
        <v>3672</v>
      </c>
    </row>
    <row r="453" spans="1:18" ht="12" x14ac:dyDescent="0.3">
      <c r="K453" s="88" t="s">
        <v>822</v>
      </c>
      <c r="M453" s="89" t="s">
        <v>823</v>
      </c>
    </row>
    <row r="454" spans="1:18" ht="20.399999999999999" x14ac:dyDescent="0.3">
      <c r="A454" s="85">
        <v>364</v>
      </c>
      <c r="B454" s="74" t="s">
        <v>3673</v>
      </c>
      <c r="C454" s="75" t="str">
        <f>HYPERLINK("https://www.xeno-canto.org/species/Actenoides-lindsayi")</f>
        <v>https://www.xeno-canto.org/species/Actenoides-lindsayi</v>
      </c>
      <c r="D454" s="91" t="str">
        <f>HYPERLINK("https://ebird.org/species/spokin1")</f>
        <v>https://ebird.org/species/spokin1</v>
      </c>
      <c r="E454" s="120" t="str">
        <f>HYPERLINK("https://en.wikipedia.org/wiki/Spotted_Wood_Kingfisher")</f>
        <v>https://en.wikipedia.org/wiki/Spotted_Wood_Kingfisher</v>
      </c>
      <c r="F454" s="121" t="str">
        <f>HYPERLINK("https://apiv3.iucnredlist.org/api/v3/website/Actenoides lindsayi")</f>
        <v>https://apiv3.iucnredlist.org/api/v3/website/Actenoides lindsayi</v>
      </c>
      <c r="G454" s="90">
        <v>40</v>
      </c>
      <c r="H454" s="90">
        <v>211</v>
      </c>
      <c r="J454" s="87" t="s">
        <v>823</v>
      </c>
      <c r="K454" s="98" t="s">
        <v>824</v>
      </c>
      <c r="L454" s="86" t="s">
        <v>1953</v>
      </c>
      <c r="M454" s="99" t="s">
        <v>825</v>
      </c>
      <c r="N454" s="90" t="s">
        <v>57</v>
      </c>
      <c r="Q454" s="2" t="s">
        <v>3674</v>
      </c>
    </row>
    <row r="455" spans="1:18" ht="14.4" x14ac:dyDescent="0.3">
      <c r="A455" s="85">
        <v>365</v>
      </c>
      <c r="B455" s="76" t="s">
        <v>3675</v>
      </c>
      <c r="C455" s="77" t="str">
        <f>HYPERLINK("https://www.xeno-canto.org/species/Actenoides-hombroni")</f>
        <v>https://www.xeno-canto.org/species/Actenoides-hombroni</v>
      </c>
      <c r="D455" s="94" t="str">
        <f>HYPERLINK("https://ebird.org/species/blckin2")</f>
        <v>https://ebird.org/species/blckin2</v>
      </c>
      <c r="E455" s="122" t="str">
        <f>HYPERLINK("https://en.wikipedia.org/wiki/Hombron's_Kingfisher")</f>
        <v>https://en.wikipedia.org/wiki/Hombron's_Kingfisher</v>
      </c>
      <c r="F455" s="123" t="str">
        <f>HYPERLINK("https://apiv3.iucnredlist.org/api/v3/website/Actenoides hombroni")</f>
        <v>https://apiv3.iucnredlist.org/api/v3/website/Actenoides hombroni</v>
      </c>
      <c r="G455" s="90">
        <v>40</v>
      </c>
      <c r="H455" s="90">
        <v>213</v>
      </c>
      <c r="J455" s="87" t="s">
        <v>823</v>
      </c>
      <c r="K455" s="98" t="s">
        <v>1957</v>
      </c>
      <c r="L455" s="86" t="s">
        <v>1956</v>
      </c>
      <c r="M455" s="99" t="s">
        <v>826</v>
      </c>
      <c r="N455" s="90" t="s">
        <v>57</v>
      </c>
      <c r="O455" s="90" t="s">
        <v>38</v>
      </c>
      <c r="P455" s="90" t="s">
        <v>38</v>
      </c>
      <c r="Q455" s="2" t="s">
        <v>3676</v>
      </c>
    </row>
    <row r="456" spans="1:18" ht="14.4" x14ac:dyDescent="0.3">
      <c r="A456" s="85">
        <v>366</v>
      </c>
      <c r="B456" s="76" t="s">
        <v>3677</v>
      </c>
      <c r="C456" s="77" t="str">
        <f>HYPERLINK("https://www.xeno-canto.org/species/Pelargopsis-capensis")</f>
        <v>https://www.xeno-canto.org/species/Pelargopsis-capensis</v>
      </c>
      <c r="D456" s="94" t="str">
        <f>HYPERLINK("https://ebird.org/species/stbkin1")</f>
        <v>https://ebird.org/species/stbkin1</v>
      </c>
      <c r="E456" s="122" t="str">
        <f>HYPERLINK("https://en.wikipedia.org/wiki/Stork-billed_Kingfisher")</f>
        <v>https://en.wikipedia.org/wiki/Stork-billed_Kingfisher</v>
      </c>
      <c r="F456" s="123" t="str">
        <f>HYPERLINK("https://apiv3.iucnredlist.org/api/v3/website/Pelargopsis capensis")</f>
        <v>https://apiv3.iucnredlist.org/api/v3/website/Pelargopsis capensis</v>
      </c>
      <c r="G456" s="90">
        <v>40</v>
      </c>
      <c r="H456" s="90">
        <v>211</v>
      </c>
      <c r="J456" s="87" t="s">
        <v>823</v>
      </c>
      <c r="K456" s="95" t="s">
        <v>827</v>
      </c>
      <c r="M456" s="93" t="s">
        <v>828</v>
      </c>
      <c r="N456" s="90" t="s">
        <v>37</v>
      </c>
      <c r="Q456" s="2" t="s">
        <v>3678</v>
      </c>
    </row>
    <row r="457" spans="1:18" ht="20.399999999999999" x14ac:dyDescent="0.3">
      <c r="A457" s="85">
        <v>367</v>
      </c>
      <c r="B457" s="76" t="s">
        <v>3679</v>
      </c>
      <c r="C457" s="77" t="str">
        <f>HYPERLINK("https://www.xeno-canto.org/species/Halcyon-coromanda")</f>
        <v>https://www.xeno-canto.org/species/Halcyon-coromanda</v>
      </c>
      <c r="D457" s="94" t="str">
        <f>HYPERLINK("https://ebird.org/species/rudkin1")</f>
        <v>https://ebird.org/species/rudkin1</v>
      </c>
      <c r="E457" s="122" t="str">
        <f>HYPERLINK("https://en.wikipedia.org/wiki/Ruddy_Kingfisher")</f>
        <v>https://en.wikipedia.org/wiki/Ruddy_Kingfisher</v>
      </c>
      <c r="F457" s="123" t="str">
        <f>HYPERLINK("https://apiv3.iucnredlist.org/api/v3/website/Halcyon coromanda")</f>
        <v>https://apiv3.iucnredlist.org/api/v3/website/Halcyon coromanda</v>
      </c>
      <c r="G457" s="90">
        <v>40</v>
      </c>
      <c r="H457" s="90">
        <v>211</v>
      </c>
      <c r="J457" s="87" t="s">
        <v>823</v>
      </c>
      <c r="K457" s="95" t="s">
        <v>829</v>
      </c>
      <c r="M457" s="93" t="s">
        <v>830</v>
      </c>
      <c r="N457" s="90" t="s">
        <v>346</v>
      </c>
      <c r="Q457" s="2" t="s">
        <v>3680</v>
      </c>
    </row>
    <row r="458" spans="1:18" ht="20.399999999999999" x14ac:dyDescent="0.3">
      <c r="A458" s="85">
        <v>368</v>
      </c>
      <c r="B458" s="76" t="s">
        <v>5153</v>
      </c>
      <c r="C458" s="77" t="str">
        <f>HYPERLINK("https://www.xeno-canto.org/species/Halcyon-gularis")</f>
        <v>https://www.xeno-canto.org/species/Halcyon-gularis</v>
      </c>
      <c r="D458" s="94" t="str">
        <f>HYPERLINK("https://ebird.org/species/bnbkin1")</f>
        <v>https://ebird.org/species/bnbkin1</v>
      </c>
      <c r="E458" s="122" t="str">
        <f>HYPERLINK("https://en.wikipedia.org/wiki/Brown-breasted_Kingfisher")</f>
        <v>https://en.wikipedia.org/wiki/Brown-breasted_Kingfisher</v>
      </c>
      <c r="F458" s="123" t="str">
        <f>HYPERLINK("https://apiv3.iucnredlist.org/api/v3/website/Halcyon gularis")</f>
        <v>https://apiv3.iucnredlist.org/api/v3/website/Halcyon gularis</v>
      </c>
      <c r="G458" s="90">
        <v>40</v>
      </c>
      <c r="H458" s="90">
        <v>211</v>
      </c>
      <c r="J458" s="87" t="s">
        <v>823</v>
      </c>
      <c r="K458" s="95" t="s">
        <v>4389</v>
      </c>
      <c r="L458" s="86" t="s">
        <v>831</v>
      </c>
      <c r="M458" s="93" t="s">
        <v>1958</v>
      </c>
      <c r="N458" s="90" t="s">
        <v>37</v>
      </c>
      <c r="Q458" s="2" t="s">
        <v>3681</v>
      </c>
    </row>
    <row r="459" spans="1:18" ht="14.4" x14ac:dyDescent="0.3">
      <c r="A459" s="85">
        <v>369</v>
      </c>
      <c r="B459" s="76" t="s">
        <v>3682</v>
      </c>
      <c r="C459" s="77" t="str">
        <f>HYPERLINK("https://www.xeno-canto.org/species/Halcyon-pileata")</f>
        <v>https://www.xeno-canto.org/species/Halcyon-pileata</v>
      </c>
      <c r="D459" s="94" t="str">
        <f>HYPERLINK("https://ebird.org/species/blckin1")</f>
        <v>https://ebird.org/species/blckin1</v>
      </c>
      <c r="E459" s="122" t="str">
        <f>HYPERLINK("https://en.wikipedia.org/wiki/Black-capped_Kingfisher")</f>
        <v>https://en.wikipedia.org/wiki/Black-capped_Kingfisher</v>
      </c>
      <c r="F459" s="123" t="str">
        <f>HYPERLINK("https://apiv3.iucnredlist.org/api/v3/website/Halcyon pileata")</f>
        <v>https://apiv3.iucnredlist.org/api/v3/website/Halcyon pileata</v>
      </c>
      <c r="G459" s="90">
        <v>40</v>
      </c>
      <c r="H459" s="90">
        <v>211</v>
      </c>
      <c r="J459" s="87" t="s">
        <v>823</v>
      </c>
      <c r="K459" s="92" t="s">
        <v>832</v>
      </c>
      <c r="M459" s="93" t="s">
        <v>833</v>
      </c>
      <c r="N459" s="90" t="s">
        <v>37</v>
      </c>
      <c r="Q459" s="2" t="s">
        <v>3683</v>
      </c>
    </row>
    <row r="460" spans="1:18" ht="20.399999999999999" x14ac:dyDescent="0.3">
      <c r="A460" s="85">
        <v>370</v>
      </c>
      <c r="B460" s="76" t="s">
        <v>3684</v>
      </c>
      <c r="C460" s="77" t="str">
        <f>HYPERLINK("https://www.xeno-canto.org/species/Todiramphus-winchelli")</f>
        <v>https://www.xeno-canto.org/species/Todiramphus-winchelli</v>
      </c>
      <c r="D460" s="94" t="str">
        <f>HYPERLINK("https://ebird.org/species/rulkin1")</f>
        <v>https://ebird.org/species/rulkin1</v>
      </c>
      <c r="E460" s="122" t="str">
        <f>HYPERLINK("https://en.wikipedia.org/wiki/Winchell's_Kingfisher")</f>
        <v>https://en.wikipedia.org/wiki/Winchell's_Kingfisher</v>
      </c>
      <c r="F460" s="123" t="str">
        <f>HYPERLINK("https://apiv3.iucnredlist.org/api/v3/website/Todiramphus winchelli")</f>
        <v>https://apiv3.iucnredlist.org/api/v3/website/Todiramphus winchelli</v>
      </c>
      <c r="G460" s="90">
        <v>40</v>
      </c>
      <c r="H460" s="90">
        <v>213</v>
      </c>
      <c r="J460" s="87" t="s">
        <v>823</v>
      </c>
      <c r="K460" s="98" t="s">
        <v>1960</v>
      </c>
      <c r="L460" s="86" t="s">
        <v>834</v>
      </c>
      <c r="M460" s="99" t="s">
        <v>835</v>
      </c>
      <c r="N460" s="90" t="s">
        <v>57</v>
      </c>
      <c r="O460" s="90" t="s">
        <v>38</v>
      </c>
      <c r="P460" s="90" t="s">
        <v>38</v>
      </c>
      <c r="Q460" s="2" t="s">
        <v>3685</v>
      </c>
    </row>
    <row r="461" spans="1:18" ht="14.4" x14ac:dyDescent="0.3">
      <c r="A461" s="85">
        <v>371</v>
      </c>
      <c r="B461" s="76" t="s">
        <v>3686</v>
      </c>
      <c r="C461" s="77" t="str">
        <f>HYPERLINK("https://www.xeno-canto.org/species/Todiramphus-chloris")</f>
        <v>https://www.xeno-canto.org/species/Todiramphus-chloris</v>
      </c>
      <c r="D461" s="94" t="str">
        <f>HYPERLINK("https://ebird.org/species/colkin1")</f>
        <v>https://ebird.org/species/colkin1</v>
      </c>
      <c r="E461" s="122" t="str">
        <f>HYPERLINK("https://en.wikipedia.org/wiki/Collared_Kingfisher")</f>
        <v>https://en.wikipedia.org/wiki/Collared_Kingfisher</v>
      </c>
      <c r="F461" s="123" t="str">
        <f>HYPERLINK("https://apiv3.iucnredlist.org/api/v3/website/Todiramphus chloris")</f>
        <v>https://apiv3.iucnredlist.org/api/v3/website/Todiramphus chloris</v>
      </c>
      <c r="G461" s="90">
        <v>40</v>
      </c>
      <c r="H461" s="90">
        <v>213</v>
      </c>
      <c r="J461" s="87" t="s">
        <v>823</v>
      </c>
      <c r="K461" s="95" t="s">
        <v>836</v>
      </c>
      <c r="M461" s="93" t="s">
        <v>837</v>
      </c>
      <c r="N461" s="90" t="s">
        <v>37</v>
      </c>
      <c r="Q461" s="2" t="s">
        <v>3233</v>
      </c>
    </row>
    <row r="462" spans="1:18" ht="20.399999999999999" x14ac:dyDescent="0.3">
      <c r="A462" s="85">
        <v>372</v>
      </c>
      <c r="B462" s="76" t="s">
        <v>3687</v>
      </c>
      <c r="C462" s="77" t="str">
        <f>HYPERLINK("https://www.xeno-canto.org/species/Todiramphus-sanctus")</f>
        <v>https://www.xeno-canto.org/species/Todiramphus-sanctus</v>
      </c>
      <c r="D462" s="94" t="str">
        <f>HYPERLINK("https://ebird.org/species/sackin1")</f>
        <v>https://ebird.org/species/sackin1</v>
      </c>
      <c r="E462" s="122" t="str">
        <f>HYPERLINK("https://en.wikipedia.org/wiki/Sacred_Kingfisher")</f>
        <v>https://en.wikipedia.org/wiki/Sacred_Kingfisher</v>
      </c>
      <c r="F462" s="123" t="str">
        <f>HYPERLINK("https://apiv3.iucnredlist.org/api/v3/website/Todiramphus sanctus")</f>
        <v>https://apiv3.iucnredlist.org/api/v3/website/Todiramphus sanctus</v>
      </c>
      <c r="H462" s="90">
        <v>213</v>
      </c>
      <c r="J462" s="87" t="s">
        <v>823</v>
      </c>
      <c r="K462" s="92" t="s">
        <v>838</v>
      </c>
      <c r="M462" s="93" t="s">
        <v>839</v>
      </c>
      <c r="N462" s="90" t="s">
        <v>49</v>
      </c>
      <c r="Q462" s="2" t="s">
        <v>3439</v>
      </c>
      <c r="R462" s="2" t="s">
        <v>6435</v>
      </c>
    </row>
    <row r="463" spans="1:18" ht="14.4" x14ac:dyDescent="0.3">
      <c r="A463" s="85">
        <v>373</v>
      </c>
      <c r="B463" s="76" t="s">
        <v>3688</v>
      </c>
      <c r="C463" s="77" t="str">
        <f>HYPERLINK("https://www.xeno-canto.org/species/Alcedo-meninting")</f>
        <v>https://www.xeno-canto.org/species/Alcedo-meninting</v>
      </c>
      <c r="D463" s="94" t="str">
        <f>HYPERLINK("https://ebird.org/species/blekin1")</f>
        <v>https://ebird.org/species/blekin1</v>
      </c>
      <c r="E463" s="122" t="str">
        <f>HYPERLINK("https://en.wikipedia.org/wiki/Blue-eared_Kingfisher")</f>
        <v>https://en.wikipedia.org/wiki/Blue-eared_Kingfisher</v>
      </c>
      <c r="F463" s="123" t="str">
        <f>HYPERLINK("https://apiv3.iucnredlist.org/api/v3/website/Alcedo meninting")</f>
        <v>https://apiv3.iucnredlist.org/api/v3/website/Alcedo meninting</v>
      </c>
      <c r="G463" s="90">
        <v>39</v>
      </c>
      <c r="H463" s="90">
        <v>209</v>
      </c>
      <c r="J463" s="87" t="s">
        <v>823</v>
      </c>
      <c r="K463" s="95" t="s">
        <v>840</v>
      </c>
      <c r="M463" s="93" t="s">
        <v>841</v>
      </c>
      <c r="N463" s="90" t="s">
        <v>37</v>
      </c>
      <c r="Q463" s="2" t="s">
        <v>3689</v>
      </c>
      <c r="R463" s="2" t="s">
        <v>9</v>
      </c>
    </row>
    <row r="464" spans="1:18" ht="14.4" x14ac:dyDescent="0.3">
      <c r="A464" s="85">
        <v>374</v>
      </c>
      <c r="B464" s="76" t="s">
        <v>3690</v>
      </c>
      <c r="C464" s="77" t="str">
        <f>HYPERLINK("https://www.xeno-canto.org/species/Alcedo-atthis")</f>
        <v>https://www.xeno-canto.org/species/Alcedo-atthis</v>
      </c>
      <c r="D464" s="94" t="str">
        <f>HYPERLINK("https://ebird.org/species/comkin1")</f>
        <v>https://ebird.org/species/comkin1</v>
      </c>
      <c r="E464" s="122" t="str">
        <f>HYPERLINK("https://en.wikipedia.org/wiki/Common_Kingfisher")</f>
        <v>https://en.wikipedia.org/wiki/Common_Kingfisher</v>
      </c>
      <c r="F464" s="123" t="str">
        <f>HYPERLINK("https://apiv3.iucnredlist.org/api/v3/website/Alcedo atthis")</f>
        <v>https://apiv3.iucnredlist.org/api/v3/website/Alcedo atthis</v>
      </c>
      <c r="G464" s="90">
        <v>39</v>
      </c>
      <c r="H464" s="90">
        <v>209</v>
      </c>
      <c r="J464" s="87" t="s">
        <v>823</v>
      </c>
      <c r="K464" s="95" t="s">
        <v>842</v>
      </c>
      <c r="M464" s="93" t="s">
        <v>843</v>
      </c>
      <c r="N464" s="90" t="s">
        <v>89</v>
      </c>
      <c r="Q464" s="2" t="s">
        <v>3691</v>
      </c>
    </row>
    <row r="465" spans="1:18" ht="20.399999999999999" x14ac:dyDescent="0.3">
      <c r="A465" s="85">
        <v>375</v>
      </c>
      <c r="B465" s="76" t="s">
        <v>6553</v>
      </c>
      <c r="C465" s="77" t="str">
        <f>HYPERLINK("https://www.xeno-canto.org/species/Ceyx-rufidorsa")</f>
        <v>https://www.xeno-canto.org/species/Ceyx-rufidorsa</v>
      </c>
      <c r="D465" s="94" t="str">
        <f>HYPERLINK("https://ebird.org/species/rubkin1")</f>
        <v>https://ebird.org/species/rubkin1</v>
      </c>
      <c r="E465" s="122" t="str">
        <f>HYPERLINK("https://en.wikipedia.org/wiki/Rufous-backed_Dwarf_Kingfisher")</f>
        <v>https://en.wikipedia.org/wiki/Rufous-backed_Dwarf_Kingfisher</v>
      </c>
      <c r="F465" s="123" t="str">
        <f>HYPERLINK("https://apiv3.iucnredlist.org/api/v3/website/Ceyx rufidorsa")</f>
        <v>https://apiv3.iucnredlist.org/api/v3/website/Ceyx rufidorsa</v>
      </c>
      <c r="H465" s="90">
        <v>207</v>
      </c>
      <c r="J465" s="87" t="s">
        <v>823</v>
      </c>
      <c r="K465" s="106" t="s">
        <v>6554</v>
      </c>
      <c r="L465" s="86" t="s">
        <v>6555</v>
      </c>
      <c r="M465" s="97" t="s">
        <v>1963</v>
      </c>
      <c r="N465" s="90" t="s">
        <v>37</v>
      </c>
      <c r="Q465" s="2" t="s">
        <v>3692</v>
      </c>
    </row>
    <row r="466" spans="1:18" ht="20.399999999999999" x14ac:dyDescent="0.3">
      <c r="A466" s="85">
        <v>376</v>
      </c>
      <c r="B466" s="76" t="s">
        <v>3693</v>
      </c>
      <c r="C466" s="77" t="str">
        <f>HYPERLINK("https://www.xeno-canto.org/species/Ceyx-melanurus")</f>
        <v>https://www.xeno-canto.org/species/Ceyx-melanurus</v>
      </c>
      <c r="D466" s="94" t="str">
        <f>HYPERLINK("https://ebird.org/species/phikin1")</f>
        <v>https://ebird.org/species/phikin1</v>
      </c>
      <c r="E466" s="122" t="str">
        <f>HYPERLINK("https://en.wikipedia.org/wiki/Philippine_Dwarf_Kingfisher")</f>
        <v>https://en.wikipedia.org/wiki/Philippine_Dwarf_Kingfisher</v>
      </c>
      <c r="F466" s="123" t="str">
        <f>HYPERLINK("https://apiv3.iucnredlist.org/api/v3/website/Ceyx melanurus")</f>
        <v>https://apiv3.iucnredlist.org/api/v3/website/Ceyx melanurus</v>
      </c>
      <c r="G466" s="90">
        <v>39</v>
      </c>
      <c r="H466" s="90">
        <v>207</v>
      </c>
      <c r="J466" s="87" t="s">
        <v>823</v>
      </c>
      <c r="K466" s="98" t="s">
        <v>845</v>
      </c>
      <c r="L466" s="86" t="s">
        <v>4759</v>
      </c>
      <c r="M466" s="99" t="s">
        <v>846</v>
      </c>
      <c r="N466" s="90" t="s">
        <v>57</v>
      </c>
      <c r="P466" s="90" t="s">
        <v>38</v>
      </c>
      <c r="Q466" s="2" t="s">
        <v>5154</v>
      </c>
    </row>
    <row r="467" spans="1:18" ht="30.6" x14ac:dyDescent="0.3">
      <c r="A467" s="85">
        <v>377</v>
      </c>
      <c r="B467" s="76" t="s">
        <v>3694</v>
      </c>
      <c r="C467" s="77" t="str">
        <f>HYPERLINK("https://www.xeno-canto.org/species/Ceyx-margarethae")</f>
        <v>https://www.xeno-canto.org/species/Ceyx-margarethae</v>
      </c>
      <c r="D467" s="94" t="str">
        <f>HYPERLINK("https://ebird.org/species/vardwk1")</f>
        <v>https://ebird.org/species/vardwk1</v>
      </c>
      <c r="E467" s="122" t="str">
        <f>HYPERLINK("https://en.wikipedia.org/wiki/Dimorphic_Dwarf_Kingfisher")</f>
        <v>https://en.wikipedia.org/wiki/Dimorphic_Dwarf_Kingfisher</v>
      </c>
      <c r="F467" s="123" t="str">
        <f>HYPERLINK("https://apiv3.iucnredlist.org/api/v3/website/Ceyx margarethae")</f>
        <v>https://apiv3.iucnredlist.org/api/v3/website/Ceyx margarethae</v>
      </c>
      <c r="G467" s="90">
        <v>39</v>
      </c>
      <c r="H467" s="90">
        <v>207</v>
      </c>
      <c r="J467" s="87" t="s">
        <v>823</v>
      </c>
      <c r="K467" s="98" t="s">
        <v>847</v>
      </c>
      <c r="M467" s="99" t="s">
        <v>848</v>
      </c>
      <c r="N467" s="90" t="s">
        <v>57</v>
      </c>
      <c r="P467" s="90" t="s">
        <v>186</v>
      </c>
      <c r="Q467" s="2" t="s">
        <v>3695</v>
      </c>
    </row>
    <row r="468" spans="1:18" ht="30.6" x14ac:dyDescent="0.3">
      <c r="A468" s="85">
        <v>378</v>
      </c>
      <c r="B468" s="76" t="s">
        <v>3696</v>
      </c>
      <c r="C468" s="77" t="str">
        <f>HYPERLINK("https://www.xeno-canto.org/species/Ceyx-cyanopectus")</f>
        <v>https://www.xeno-canto.org/species/Ceyx-cyanopectus</v>
      </c>
      <c r="D468" s="94" t="str">
        <f>HYPERLINK("https://ebird.org/species/inbkin2")</f>
        <v>https://ebird.org/species/inbkin2</v>
      </c>
      <c r="E468" s="122" t="str">
        <f>HYPERLINK("https://en.wikipedia.org/wiki/Indigo-banded_Kingfisher")</f>
        <v>https://en.wikipedia.org/wiki/Indigo-banded_Kingfisher</v>
      </c>
      <c r="F468" s="123" t="str">
        <f>HYPERLINK("https://apiv3.iucnredlist.org/api/v3/website/Ceyx cyanopectus")</f>
        <v>https://apiv3.iucnredlist.org/api/v3/website/Ceyx cyanopectus</v>
      </c>
      <c r="G468" s="90">
        <v>39</v>
      </c>
      <c r="H468" s="90">
        <v>209</v>
      </c>
      <c r="J468" s="87" t="s">
        <v>823</v>
      </c>
      <c r="K468" s="98" t="s">
        <v>849</v>
      </c>
      <c r="L468" s="86" t="s">
        <v>4760</v>
      </c>
      <c r="M468" s="99" t="s">
        <v>850</v>
      </c>
      <c r="N468" s="90" t="s">
        <v>57</v>
      </c>
      <c r="P468" s="90" t="s">
        <v>112</v>
      </c>
      <c r="Q468" s="2" t="s">
        <v>3697</v>
      </c>
    </row>
    <row r="469" spans="1:18" ht="14.4" x14ac:dyDescent="0.3">
      <c r="A469" s="85">
        <v>379</v>
      </c>
      <c r="B469" s="76" t="s">
        <v>3698</v>
      </c>
      <c r="C469" s="77" t="str">
        <f>HYPERLINK("https://www.xeno-canto.org/species/Ceyx-argentatus")</f>
        <v>https://www.xeno-canto.org/species/Ceyx-argentatus</v>
      </c>
      <c r="D469" s="94" t="str">
        <f>HYPERLINK("https://ebird.org/species/silkin1")</f>
        <v>https://ebird.org/species/silkin1</v>
      </c>
      <c r="E469" s="122" t="str">
        <f>HYPERLINK("https://en.wikipedia.org/wiki/Southern_Silvery_Kingfisher")</f>
        <v>https://en.wikipedia.org/wiki/Southern_Silvery_Kingfisher</v>
      </c>
      <c r="F469" s="123" t="str">
        <f>HYPERLINK("https://apiv3.iucnredlist.org/api/v3/website/Ceyx argentatus")</f>
        <v>https://apiv3.iucnredlist.org/api/v3/website/Ceyx argentatus</v>
      </c>
      <c r="G469" s="90">
        <v>39</v>
      </c>
      <c r="H469" s="90">
        <v>209</v>
      </c>
      <c r="J469" s="87" t="s">
        <v>823</v>
      </c>
      <c r="K469" s="98" t="s">
        <v>851</v>
      </c>
      <c r="M469" s="99" t="s">
        <v>852</v>
      </c>
      <c r="N469" s="90" t="s">
        <v>57</v>
      </c>
      <c r="O469" s="90" t="s">
        <v>50</v>
      </c>
      <c r="P469" s="90" t="s">
        <v>38</v>
      </c>
      <c r="Q469" s="2" t="s">
        <v>3699</v>
      </c>
    </row>
    <row r="470" spans="1:18" ht="14.4" x14ac:dyDescent="0.3">
      <c r="A470" s="85">
        <v>380</v>
      </c>
      <c r="B470" s="76" t="s">
        <v>3700</v>
      </c>
      <c r="C470" s="77" t="str">
        <f>HYPERLINK("https://www.xeno-canto.org/species/Ceyx-flumenicola")</f>
        <v>https://www.xeno-canto.org/species/Ceyx-flumenicola</v>
      </c>
      <c r="D470" s="94" t="str">
        <f>HYPERLINK("https://ebird.org/species/norsik1")</f>
        <v>https://ebird.org/species/norsik1</v>
      </c>
      <c r="E470" s="122" t="str">
        <f>HYPERLINK("https://en.wikipedia.org/wiki/Northern_Silvery_Kingfisher")</f>
        <v>https://en.wikipedia.org/wiki/Northern_Silvery_Kingfisher</v>
      </c>
      <c r="F470" s="123" t="str">
        <f>HYPERLINK("https://apiv3.iucnredlist.org/api/v3/website/Ceyx flumenicola")</f>
        <v>https://apiv3.iucnredlist.org/api/v3/website/Ceyx flumenicola</v>
      </c>
      <c r="G470" s="90">
        <v>39</v>
      </c>
      <c r="H470" s="90">
        <v>209</v>
      </c>
      <c r="J470" s="87" t="s">
        <v>823</v>
      </c>
      <c r="K470" s="98" t="s">
        <v>853</v>
      </c>
      <c r="M470" s="99" t="s">
        <v>854</v>
      </c>
      <c r="N470" s="90" t="s">
        <v>57</v>
      </c>
      <c r="O470" s="90" t="s">
        <v>50</v>
      </c>
      <c r="P470" s="90" t="s">
        <v>38</v>
      </c>
      <c r="Q470" s="2" t="s">
        <v>3701</v>
      </c>
    </row>
    <row r="472" spans="1:18" ht="12" x14ac:dyDescent="0.3">
      <c r="K472" s="88" t="s">
        <v>855</v>
      </c>
      <c r="M472" s="89" t="s">
        <v>856</v>
      </c>
    </row>
    <row r="473" spans="1:18" ht="14.4" x14ac:dyDescent="0.3">
      <c r="A473" s="85">
        <v>381</v>
      </c>
      <c r="B473" s="74" t="s">
        <v>3702</v>
      </c>
      <c r="C473" s="75" t="str">
        <f>HYPERLINK("https://www.xeno-canto.org/species/Merops-philippinus")</f>
        <v>https://www.xeno-canto.org/species/Merops-philippinus</v>
      </c>
      <c r="D473" s="91" t="str">
        <f>HYPERLINK("https://ebird.org/species/btbeat1")</f>
        <v>https://ebird.org/species/btbeat1</v>
      </c>
      <c r="E473" s="120" t="str">
        <f>HYPERLINK("https://en.wikipedia.org/wiki/Blue-tailed_Bee-eater")</f>
        <v>https://en.wikipedia.org/wiki/Blue-tailed_Bee-eater</v>
      </c>
      <c r="F473" s="121" t="str">
        <f>HYPERLINK("https://apiv3.iucnredlist.org/api/v3/website/Merops philippinus")</f>
        <v>https://apiv3.iucnredlist.org/api/v3/website/Merops philippinus</v>
      </c>
      <c r="G473" s="90">
        <v>41</v>
      </c>
      <c r="H473" s="90">
        <v>205</v>
      </c>
      <c r="J473" s="87" t="s">
        <v>856</v>
      </c>
      <c r="K473" s="95" t="s">
        <v>857</v>
      </c>
      <c r="M473" s="93" t="s">
        <v>858</v>
      </c>
      <c r="N473" s="90" t="s">
        <v>37</v>
      </c>
      <c r="Q473" s="2" t="s">
        <v>3125</v>
      </c>
    </row>
    <row r="474" spans="1:18" ht="14.4" x14ac:dyDescent="0.3">
      <c r="A474" s="85">
        <v>382</v>
      </c>
      <c r="B474" s="76" t="s">
        <v>5155</v>
      </c>
      <c r="C474" s="77" t="str">
        <f>HYPERLINK("https://www.xeno-canto.org/species/Merops-americanus")</f>
        <v>https://www.xeno-canto.org/species/Merops-americanus</v>
      </c>
      <c r="D474" s="94" t="str">
        <f>HYPERLINK("https://ebird.org/species/rucbee1")</f>
        <v>https://ebird.org/species/rucbee1</v>
      </c>
      <c r="E474" s="122" t="str">
        <f>HYPERLINK("https://en.wikipedia.org/wiki/Rufous-crowned_Bee-eater")</f>
        <v>https://en.wikipedia.org/wiki/Rufous-crowned_Bee-eater</v>
      </c>
      <c r="F474" s="123" t="str">
        <f>HYPERLINK("https://apiv3.iucnredlist.org/api/v3/website/Merops americanus")</f>
        <v>https://apiv3.iucnredlist.org/api/v3/website/Merops americanus</v>
      </c>
      <c r="G474" s="90">
        <v>41</v>
      </c>
      <c r="H474" s="90">
        <v>205</v>
      </c>
      <c r="J474" s="87" t="s">
        <v>856</v>
      </c>
      <c r="K474" s="95" t="s">
        <v>1973</v>
      </c>
      <c r="M474" s="93" t="s">
        <v>1974</v>
      </c>
      <c r="N474" s="90" t="s">
        <v>37</v>
      </c>
      <c r="Q474" s="2" t="s">
        <v>3125</v>
      </c>
    </row>
    <row r="476" spans="1:18" ht="12" x14ac:dyDescent="0.3">
      <c r="K476" s="88" t="s">
        <v>859</v>
      </c>
      <c r="M476" s="89" t="s">
        <v>860</v>
      </c>
    </row>
    <row r="477" spans="1:18" ht="20.399999999999999" x14ac:dyDescent="0.3">
      <c r="A477" s="85">
        <v>383</v>
      </c>
      <c r="B477" s="74" t="s">
        <v>3703</v>
      </c>
      <c r="C477" s="75" t="str">
        <f>HYPERLINK("https://www.xeno-canto.org/species/Psilopogon-haemacephalus")</f>
        <v>https://www.xeno-canto.org/species/Psilopogon-haemacephalus</v>
      </c>
      <c r="D477" s="91" t="str">
        <f>HYPERLINK("https://ebird.org/species/copbar1")</f>
        <v>https://ebird.org/species/copbar1</v>
      </c>
      <c r="E477" s="120" t="str">
        <f>HYPERLINK("https://en.wikipedia.org/wiki/Coppersmith_Barbet")</f>
        <v>https://en.wikipedia.org/wiki/Coppersmith_Barbet</v>
      </c>
      <c r="F477" s="121" t="str">
        <f>HYPERLINK("https://apiv3.iucnredlist.org/api/v3/website/Psilopogon haemacephalus")</f>
        <v>https://apiv3.iucnredlist.org/api/v3/website/Psilopogon haemacephalus</v>
      </c>
      <c r="G477" s="90">
        <v>42</v>
      </c>
      <c r="H477" s="90">
        <v>215</v>
      </c>
      <c r="J477" s="87" t="s">
        <v>860</v>
      </c>
      <c r="K477" s="95" t="s">
        <v>861</v>
      </c>
      <c r="M477" s="93" t="s">
        <v>862</v>
      </c>
      <c r="N477" s="90" t="s">
        <v>37</v>
      </c>
      <c r="Q477" s="2" t="s">
        <v>3681</v>
      </c>
    </row>
    <row r="479" spans="1:18" ht="12" x14ac:dyDescent="0.3">
      <c r="K479" s="88" t="s">
        <v>863</v>
      </c>
      <c r="M479" s="89" t="s">
        <v>864</v>
      </c>
    </row>
    <row r="480" spans="1:18" ht="20.399999999999999" x14ac:dyDescent="0.3">
      <c r="A480" s="85">
        <v>384</v>
      </c>
      <c r="B480" s="74" t="s">
        <v>6556</v>
      </c>
      <c r="C480" s="75" t="str">
        <f>HYPERLINK("https://www.xeno-canto.org/species/Jynx-torquilla")</f>
        <v>https://www.xeno-canto.org/species/Jynx-torquilla</v>
      </c>
      <c r="D480" s="91" t="str">
        <f>HYPERLINK("https://ebird.org/species/eurwry")</f>
        <v>https://ebird.org/species/eurwry</v>
      </c>
      <c r="E480" s="120" t="str">
        <f>HYPERLINK("https://en.wikipedia.org/wiki/Eurasian_Wryneck")</f>
        <v>https://en.wikipedia.org/wiki/Eurasian_Wryneck</v>
      </c>
      <c r="F480" s="121" t="str">
        <f>HYPERLINK("https://apiv3.iucnredlist.org/api/v3/website/Jynx torquilla")</f>
        <v>https://apiv3.iucnredlist.org/api/v3/website/Jynx torquilla</v>
      </c>
      <c r="J480" s="87" t="s">
        <v>864</v>
      </c>
      <c r="K480" s="96" t="s">
        <v>6557</v>
      </c>
      <c r="M480" s="97" t="s">
        <v>6558</v>
      </c>
      <c r="N480" s="90" t="s">
        <v>49</v>
      </c>
      <c r="R480" s="2" t="s">
        <v>6559</v>
      </c>
    </row>
    <row r="481" spans="1:18" ht="20.399999999999999" x14ac:dyDescent="0.3">
      <c r="A481" s="85">
        <v>385</v>
      </c>
      <c r="B481" s="76" t="s">
        <v>3704</v>
      </c>
      <c r="C481" s="77" t="str">
        <f>HYPERLINK("https://www.xeno-canto.org/species/Yungipicus-maculatus")</f>
        <v>https://www.xeno-canto.org/species/Yungipicus-maculatus</v>
      </c>
      <c r="D481" s="94" t="str">
        <f>HYPERLINK("https://ebird.org/species/phiwoo1")</f>
        <v>https://ebird.org/species/phiwoo1</v>
      </c>
      <c r="E481" s="122" t="str">
        <f>HYPERLINK("https://en.wikipedia.org/wiki/Philippine_Pygmy_Woodpecker")</f>
        <v>https://en.wikipedia.org/wiki/Philippine_Pygmy_Woodpecker</v>
      </c>
      <c r="F481" s="123" t="str">
        <f>HYPERLINK("https://apiv3.iucnredlist.org/api/v3/website/Yungipicus maculatus")</f>
        <v>https://apiv3.iucnredlist.org/api/v3/website/Yungipicus maculatus</v>
      </c>
      <c r="G481" s="90">
        <v>42</v>
      </c>
      <c r="H481" s="90">
        <v>219</v>
      </c>
      <c r="J481" s="87" t="s">
        <v>864</v>
      </c>
      <c r="K481" s="98" t="s">
        <v>865</v>
      </c>
      <c r="M481" s="99" t="s">
        <v>866</v>
      </c>
      <c r="N481" s="90" t="s">
        <v>57</v>
      </c>
      <c r="Q481" s="2" t="s">
        <v>3681</v>
      </c>
    </row>
    <row r="482" spans="1:18" ht="14.4" x14ac:dyDescent="0.3">
      <c r="A482" s="85">
        <v>386</v>
      </c>
      <c r="B482" s="76" t="s">
        <v>3705</v>
      </c>
      <c r="C482" s="77" t="str">
        <f>HYPERLINK("https://www.xeno-canto.org/species/Yungipicus-ramsayi")</f>
        <v>https://www.xeno-canto.org/species/Yungipicus-ramsayi</v>
      </c>
      <c r="D482" s="94" t="str">
        <f>HYPERLINK("https://ebird.org/species/phiwoo3")</f>
        <v>https://ebird.org/species/phiwoo3</v>
      </c>
      <c r="E482" s="122" t="str">
        <f>HYPERLINK("https://en.wikipedia.org/wiki/Sulu_Pygmy_Woodpecker")</f>
        <v>https://en.wikipedia.org/wiki/Sulu_Pygmy_Woodpecker</v>
      </c>
      <c r="F482" s="123" t="str">
        <f>HYPERLINK("https://apiv3.iucnredlist.org/api/v3/website/Yungipicus ramsayi")</f>
        <v>https://apiv3.iucnredlist.org/api/v3/website/Yungipicus ramsayi</v>
      </c>
      <c r="G482" s="90">
        <v>42</v>
      </c>
      <c r="H482" s="90">
        <v>219</v>
      </c>
      <c r="J482" s="87" t="s">
        <v>864</v>
      </c>
      <c r="K482" s="98" t="s">
        <v>867</v>
      </c>
      <c r="M482" s="99" t="s">
        <v>868</v>
      </c>
      <c r="N482" s="90" t="s">
        <v>57</v>
      </c>
      <c r="O482" s="90" t="s">
        <v>38</v>
      </c>
      <c r="P482" s="90" t="s">
        <v>38</v>
      </c>
      <c r="Q482" s="2" t="s">
        <v>3706</v>
      </c>
    </row>
    <row r="483" spans="1:18" ht="14.4" x14ac:dyDescent="0.3">
      <c r="A483" s="85">
        <v>387</v>
      </c>
      <c r="B483" s="76" t="s">
        <v>3707</v>
      </c>
      <c r="C483" s="77" t="str">
        <f>HYPERLINK("https://www.xeno-canto.org/species/Dryocopus-javensis")</f>
        <v>https://www.xeno-canto.org/species/Dryocopus-javensis</v>
      </c>
      <c r="D483" s="94" t="str">
        <f>HYPERLINK("https://ebird.org/species/whbwoo2")</f>
        <v>https://ebird.org/species/whbwoo2</v>
      </c>
      <c r="E483" s="122" t="str">
        <f>HYPERLINK("https://en.wikipedia.org/wiki/White-bellied_Woodpecker")</f>
        <v>https://en.wikipedia.org/wiki/White-bellied_Woodpecker</v>
      </c>
      <c r="F483" s="123" t="str">
        <f>HYPERLINK("https://apiv3.iucnredlist.org/api/v3/website/Dryocopus javensis")</f>
        <v>https://apiv3.iucnredlist.org/api/v3/website/Dryocopus javensis</v>
      </c>
      <c r="G483" s="90">
        <v>42</v>
      </c>
      <c r="H483" s="90">
        <v>219</v>
      </c>
      <c r="J483" s="87" t="s">
        <v>864</v>
      </c>
      <c r="K483" s="95" t="s">
        <v>869</v>
      </c>
      <c r="M483" s="93" t="s">
        <v>870</v>
      </c>
      <c r="N483" s="90" t="s">
        <v>37</v>
      </c>
      <c r="Q483" s="2" t="s">
        <v>3325</v>
      </c>
    </row>
    <row r="484" spans="1:18" ht="14.4" x14ac:dyDescent="0.3">
      <c r="A484" s="85">
        <v>388</v>
      </c>
      <c r="B484" s="76" t="s">
        <v>3708</v>
      </c>
      <c r="C484" s="77" t="str">
        <f>HYPERLINK("https://www.xeno-canto.org/species/Dinopium-everetti")</f>
        <v>https://www.xeno-canto.org/species/Dinopium-everetti</v>
      </c>
      <c r="D484" s="94" t="str">
        <f>HYPERLINK("https://ebird.org/species/sptfla1")</f>
        <v>https://ebird.org/species/sptfla1</v>
      </c>
      <c r="E484" s="122" t="str">
        <f>HYPERLINK("https://en.wikipedia.org/wiki/Spot-throated_Flameback")</f>
        <v>https://en.wikipedia.org/wiki/Spot-throated_Flameback</v>
      </c>
      <c r="F484" s="123" t="str">
        <f>HYPERLINK("https://apiv3.iucnredlist.org/api/v3/website/Dinopium everetti")</f>
        <v>https://apiv3.iucnredlist.org/api/v3/website/Dinopium everetti</v>
      </c>
      <c r="G484" s="90">
        <v>42</v>
      </c>
      <c r="H484" s="90">
        <v>217</v>
      </c>
      <c r="J484" s="87" t="s">
        <v>864</v>
      </c>
      <c r="K484" s="98" t="s">
        <v>871</v>
      </c>
      <c r="M484" s="99" t="s">
        <v>872</v>
      </c>
      <c r="N484" s="90" t="s">
        <v>57</v>
      </c>
      <c r="O484" s="90" t="s">
        <v>50</v>
      </c>
      <c r="P484" s="90" t="s">
        <v>186</v>
      </c>
      <c r="Q484" s="2" t="s">
        <v>3709</v>
      </c>
    </row>
    <row r="485" spans="1:18" ht="14.4" x14ac:dyDescent="0.3">
      <c r="A485" s="85">
        <v>389</v>
      </c>
      <c r="B485" s="76" t="s">
        <v>3710</v>
      </c>
      <c r="C485" s="77" t="str">
        <f>HYPERLINK("https://www.xeno-canto.org/species/Chrysocolaptes-lucidus")</f>
        <v>https://www.xeno-canto.org/species/Chrysocolaptes-lucidus</v>
      </c>
      <c r="D485" s="94" t="str">
        <f>HYPERLINK("https://ebird.org/species/busfla1")</f>
        <v>https://ebird.org/species/busfla1</v>
      </c>
      <c r="E485" s="122" t="str">
        <f>HYPERLINK("https://en.wikipedia.org/wiki/Buff-spotted_Flameback")</f>
        <v>https://en.wikipedia.org/wiki/Buff-spotted_Flameback</v>
      </c>
      <c r="F485" s="123" t="str">
        <f>HYPERLINK("https://apiv3.iucnredlist.org/api/v3/website/Chrysocolaptes lucidus")</f>
        <v>https://apiv3.iucnredlist.org/api/v3/website/Chrysocolaptes lucidus</v>
      </c>
      <c r="G485" s="90">
        <v>42</v>
      </c>
      <c r="H485" s="90">
        <v>215</v>
      </c>
      <c r="J485" s="87" t="s">
        <v>864</v>
      </c>
      <c r="K485" s="98" t="s">
        <v>873</v>
      </c>
      <c r="M485" s="99" t="s">
        <v>874</v>
      </c>
      <c r="N485" s="90" t="s">
        <v>57</v>
      </c>
      <c r="Q485" s="2" t="s">
        <v>3711</v>
      </c>
    </row>
    <row r="486" spans="1:18" ht="14.4" x14ac:dyDescent="0.3">
      <c r="A486" s="85">
        <v>390</v>
      </c>
      <c r="B486" s="76" t="s">
        <v>3712</v>
      </c>
      <c r="C486" s="77" t="str">
        <f>HYPERLINK("https://www.xeno-canto.org/species/Chrysocolaptes-haematribon")</f>
        <v>https://www.xeno-canto.org/species/Chrysocolaptes-haematribon</v>
      </c>
      <c r="D486" s="94" t="str">
        <f>HYPERLINK("https://ebird.org/species/luzfla1")</f>
        <v>https://ebird.org/species/luzfla1</v>
      </c>
      <c r="E486" s="122" t="str">
        <f>HYPERLINK("https://en.wikipedia.org/wiki/Luzon_Flameback")</f>
        <v>https://en.wikipedia.org/wiki/Luzon_Flameback</v>
      </c>
      <c r="F486" s="123" t="str">
        <f>HYPERLINK("https://apiv3.iucnredlist.org/api/v3/website/Chrysocolaptes haematribon")</f>
        <v>https://apiv3.iucnredlist.org/api/v3/website/Chrysocolaptes haematribon</v>
      </c>
      <c r="G486" s="90">
        <v>42</v>
      </c>
      <c r="H486" s="90">
        <v>215</v>
      </c>
      <c r="J486" s="87" t="s">
        <v>864</v>
      </c>
      <c r="K486" s="98" t="s">
        <v>876</v>
      </c>
      <c r="M486" s="99" t="s">
        <v>877</v>
      </c>
      <c r="N486" s="90" t="s">
        <v>57</v>
      </c>
      <c r="Q486" s="2" t="s">
        <v>3713</v>
      </c>
    </row>
    <row r="487" spans="1:18" ht="20.399999999999999" x14ac:dyDescent="0.3">
      <c r="A487" s="85">
        <v>391</v>
      </c>
      <c r="B487" s="76" t="s">
        <v>3714</v>
      </c>
      <c r="C487" s="77" t="str">
        <f>HYPERLINK("https://www.xeno-canto.org/species/Chrysocolaptes-xanthocephalus")</f>
        <v>https://www.xeno-canto.org/species/Chrysocolaptes-xanthocephalus</v>
      </c>
      <c r="D487" s="94" t="str">
        <f>HYPERLINK("https://ebird.org/species/yeffla1")</f>
        <v>https://ebird.org/species/yeffla1</v>
      </c>
      <c r="E487" s="122" t="str">
        <f>HYPERLINK("https://en.wikipedia.org/wiki/Yellow-faced_Flameback")</f>
        <v>https://en.wikipedia.org/wiki/Yellow-faced_Flameback</v>
      </c>
      <c r="F487" s="123" t="str">
        <f>HYPERLINK("https://apiv3.iucnredlist.org/api/v3/website/Chrysocolaptes xanthocephalus")</f>
        <v>https://apiv3.iucnredlist.org/api/v3/website/Chrysocolaptes xanthocephalus</v>
      </c>
      <c r="G487" s="90">
        <v>42</v>
      </c>
      <c r="H487" s="90">
        <v>217</v>
      </c>
      <c r="J487" s="87" t="s">
        <v>864</v>
      </c>
      <c r="K487" s="98" t="s">
        <v>878</v>
      </c>
      <c r="M487" s="99" t="s">
        <v>879</v>
      </c>
      <c r="N487" s="90" t="s">
        <v>57</v>
      </c>
      <c r="O487" s="90" t="s">
        <v>58</v>
      </c>
      <c r="P487" s="90" t="s">
        <v>58</v>
      </c>
      <c r="Q487" s="2" t="s">
        <v>3715</v>
      </c>
    </row>
    <row r="488" spans="1:18" ht="14.4" x14ac:dyDescent="0.3">
      <c r="A488" s="85">
        <v>392</v>
      </c>
      <c r="B488" s="76" t="s">
        <v>3716</v>
      </c>
      <c r="C488" s="77" t="str">
        <f>HYPERLINK("https://www.xeno-canto.org/species/Chrysocolaptes-erythrocephalus")</f>
        <v>https://www.xeno-canto.org/species/Chrysocolaptes-erythrocephalus</v>
      </c>
      <c r="D488" s="94" t="str">
        <f>HYPERLINK("https://ebird.org/species/rehfla1")</f>
        <v>https://ebird.org/species/rehfla1</v>
      </c>
      <c r="E488" s="122" t="str">
        <f>HYPERLINK("https://en.wikipedia.org/wiki/Red-headed_Flameback")</f>
        <v>https://en.wikipedia.org/wiki/Red-headed_Flameback</v>
      </c>
      <c r="F488" s="123" t="str">
        <f>HYPERLINK("https://apiv3.iucnredlist.org/api/v3/website/Chrysocolaptes erythrocephalus")</f>
        <v>https://apiv3.iucnredlist.org/api/v3/website/Chrysocolaptes erythrocephalus</v>
      </c>
      <c r="G488" s="90">
        <v>42</v>
      </c>
      <c r="H488" s="90">
        <v>215</v>
      </c>
      <c r="J488" s="87" t="s">
        <v>864</v>
      </c>
      <c r="K488" s="98" t="s">
        <v>880</v>
      </c>
      <c r="M488" s="99" t="s">
        <v>881</v>
      </c>
      <c r="N488" s="90" t="s">
        <v>57</v>
      </c>
      <c r="O488" s="90" t="s">
        <v>58</v>
      </c>
      <c r="P488" s="90" t="s">
        <v>58</v>
      </c>
      <c r="Q488" s="2" t="s">
        <v>3717</v>
      </c>
    </row>
    <row r="489" spans="1:18" ht="14.4" x14ac:dyDescent="0.3">
      <c r="A489" s="85">
        <v>393</v>
      </c>
      <c r="B489" s="76" t="s">
        <v>3718</v>
      </c>
      <c r="C489" s="77" t="str">
        <f>HYPERLINK("https://www.xeno-canto.org/species/Mulleripicus-funebris")</f>
        <v>https://www.xeno-canto.org/species/Mulleripicus-funebris</v>
      </c>
      <c r="D489" s="94" t="str">
        <f>HYPERLINK("https://ebird.org/species/soowoo1")</f>
        <v>https://ebird.org/species/soowoo1</v>
      </c>
      <c r="E489" s="122" t="str">
        <f>HYPERLINK("https://en.wikipedia.org/wiki/Northern_Sooty_Woodpecker")</f>
        <v>https://en.wikipedia.org/wiki/Northern_Sooty_Woodpecker</v>
      </c>
      <c r="F489" s="123" t="str">
        <f>HYPERLINK("https://apiv3.iucnredlist.org/api/v3/website/Mulleripicus funebris")</f>
        <v>https://apiv3.iucnredlist.org/api/v3/website/Mulleripicus funebris</v>
      </c>
      <c r="G489" s="90">
        <v>42</v>
      </c>
      <c r="H489" s="90">
        <v>217</v>
      </c>
      <c r="J489" s="87" t="s">
        <v>864</v>
      </c>
      <c r="K489" s="98" t="s">
        <v>1985</v>
      </c>
      <c r="M489" s="99" t="s">
        <v>883</v>
      </c>
      <c r="N489" s="90" t="s">
        <v>57</v>
      </c>
      <c r="O489" s="90" t="s">
        <v>50</v>
      </c>
      <c r="Q489" s="2" t="s">
        <v>3663</v>
      </c>
    </row>
    <row r="490" spans="1:18" ht="14.4" x14ac:dyDescent="0.3">
      <c r="A490" s="85">
        <v>394</v>
      </c>
      <c r="B490" s="76" t="s">
        <v>5156</v>
      </c>
      <c r="C490" s="77" t="str">
        <f>HYPERLINK("https://www.xeno-canto.org/species/Mulleripicus-fuliginosus")</f>
        <v>https://www.xeno-canto.org/species/Mulleripicus-fuliginosus</v>
      </c>
      <c r="D490" s="94" t="str">
        <f>HYPERLINK("https://ebird.org/species/sousow1")</f>
        <v>https://ebird.org/species/sousow1</v>
      </c>
      <c r="E490" s="122" t="str">
        <f>HYPERLINK("https://en.wikipedia.org/wiki/Southern_Sooty_Woodpecker")</f>
        <v>https://en.wikipedia.org/wiki/Southern_Sooty_Woodpecker</v>
      </c>
      <c r="F490" s="123" t="str">
        <f>HYPERLINK("https://apiv3.iucnredlist.org/api/v3/website/Mulleripicus fuliginosus")</f>
        <v>https://apiv3.iucnredlist.org/api/v3/website/Mulleripicus fuliginosus</v>
      </c>
      <c r="H490" s="90">
        <v>217</v>
      </c>
      <c r="J490" s="87" t="s">
        <v>864</v>
      </c>
      <c r="K490" s="98" t="s">
        <v>2599</v>
      </c>
      <c r="M490" s="99" t="s">
        <v>2600</v>
      </c>
      <c r="N490" s="90" t="s">
        <v>57</v>
      </c>
      <c r="O490" s="90" t="s">
        <v>50</v>
      </c>
      <c r="Q490" s="2" t="s">
        <v>4606</v>
      </c>
    </row>
    <row r="491" spans="1:18" ht="14.4" x14ac:dyDescent="0.3">
      <c r="A491" s="85">
        <v>395</v>
      </c>
      <c r="B491" s="76" t="s">
        <v>3719</v>
      </c>
      <c r="C491" s="77" t="str">
        <f>HYPERLINK("https://www.xeno-canto.org/species/Mulleripicus-pulverulentus")</f>
        <v>https://www.xeno-canto.org/species/Mulleripicus-pulverulentus</v>
      </c>
      <c r="D491" s="94" t="str">
        <f>HYPERLINK("https://ebird.org/species/grswoo1")</f>
        <v>https://ebird.org/species/grswoo1</v>
      </c>
      <c r="E491" s="122" t="str">
        <f>HYPERLINK("https://en.wikipedia.org/wiki/Great_Slaty_Woodpecker")</f>
        <v>https://en.wikipedia.org/wiki/Great_Slaty_Woodpecker</v>
      </c>
      <c r="F491" s="123" t="str">
        <f>HYPERLINK("https://apiv3.iucnredlist.org/api/v3/website/Mulleripicus pulverulentus")</f>
        <v>https://apiv3.iucnredlist.org/api/v3/website/Mulleripicus pulverulentus</v>
      </c>
      <c r="G491" s="90">
        <v>42</v>
      </c>
      <c r="H491" s="90">
        <v>217</v>
      </c>
      <c r="J491" s="87" t="s">
        <v>864</v>
      </c>
      <c r="K491" s="95" t="s">
        <v>884</v>
      </c>
      <c r="M491" s="93" t="s">
        <v>885</v>
      </c>
      <c r="N491" s="90" t="s">
        <v>37</v>
      </c>
      <c r="O491" s="90" t="s">
        <v>38</v>
      </c>
      <c r="P491" s="90" t="s">
        <v>38</v>
      </c>
      <c r="Q491" s="2" t="s">
        <v>3720</v>
      </c>
    </row>
    <row r="493" spans="1:18" ht="12" x14ac:dyDescent="0.3">
      <c r="K493" s="88" t="s">
        <v>5826</v>
      </c>
      <c r="M493" s="89" t="s">
        <v>886</v>
      </c>
    </row>
    <row r="494" spans="1:18" ht="20.399999999999999" x14ac:dyDescent="0.3">
      <c r="A494" s="85">
        <v>396</v>
      </c>
      <c r="B494" s="74" t="s">
        <v>3721</v>
      </c>
      <c r="C494" s="75" t="str">
        <f>HYPERLINK("https://www.xeno-canto.org/species/Microhierax-erythrogenys")</f>
        <v>https://www.xeno-canto.org/species/Microhierax-erythrogenys</v>
      </c>
      <c r="D494" s="91" t="str">
        <f>HYPERLINK("https://ebird.org/species/phifal1")</f>
        <v>https://ebird.org/species/phifal1</v>
      </c>
      <c r="E494" s="120" t="str">
        <f>HYPERLINK("https://en.wikipedia.org/wiki/Philippine_Falconet")</f>
        <v>https://en.wikipedia.org/wiki/Philippine_Falconet</v>
      </c>
      <c r="F494" s="121" t="str">
        <f>HYPERLINK("https://apiv3.iucnredlist.org/api/v3/website/Microhierax erythrogenys")</f>
        <v>https://apiv3.iucnredlist.org/api/v3/website/Microhierax erythrogenys</v>
      </c>
      <c r="G494" s="90">
        <v>11</v>
      </c>
      <c r="H494" s="90">
        <v>221</v>
      </c>
      <c r="J494" s="87" t="s">
        <v>886</v>
      </c>
      <c r="K494" s="98" t="s">
        <v>887</v>
      </c>
      <c r="M494" s="99" t="s">
        <v>888</v>
      </c>
      <c r="N494" s="90" t="s">
        <v>57</v>
      </c>
      <c r="Q494" s="2" t="s">
        <v>3722</v>
      </c>
    </row>
    <row r="495" spans="1:18" ht="20.399999999999999" x14ac:dyDescent="0.3">
      <c r="A495" s="85">
        <v>397</v>
      </c>
      <c r="B495" s="76" t="s">
        <v>3723</v>
      </c>
      <c r="C495" s="77" t="str">
        <f>HYPERLINK("https://www.xeno-canto.org/species/Falco-tinnunculus")</f>
        <v>https://www.xeno-canto.org/species/Falco-tinnunculus</v>
      </c>
      <c r="D495" s="94" t="str">
        <f>HYPERLINK("https://ebird.org/species/eurkes")</f>
        <v>https://ebird.org/species/eurkes</v>
      </c>
      <c r="E495" s="122" t="str">
        <f>HYPERLINK("https://en.wikipedia.org/wiki/Common_Kestrel")</f>
        <v>https://en.wikipedia.org/wiki/Common_Kestrel</v>
      </c>
      <c r="F495" s="123" t="str">
        <f>HYPERLINK("https://apiv3.iucnredlist.org/api/v3/website/Falco tinnunculus")</f>
        <v>https://apiv3.iucnredlist.org/api/v3/website/Falco tinnunculus</v>
      </c>
      <c r="G495" s="90">
        <v>11</v>
      </c>
      <c r="H495" s="90">
        <v>221</v>
      </c>
      <c r="J495" s="87" t="s">
        <v>886</v>
      </c>
      <c r="K495" s="95" t="s">
        <v>889</v>
      </c>
      <c r="M495" s="93" t="s">
        <v>890</v>
      </c>
      <c r="N495" s="90" t="s">
        <v>89</v>
      </c>
      <c r="Q495" s="2" t="s">
        <v>3724</v>
      </c>
    </row>
    <row r="496" spans="1:18" ht="20.399999999999999" x14ac:dyDescent="0.3">
      <c r="A496" s="85">
        <v>398</v>
      </c>
      <c r="B496" s="76" t="s">
        <v>3725</v>
      </c>
      <c r="C496" s="77" t="str">
        <f>HYPERLINK("https://www.xeno-canto.org/species/Falco-moluccensis")</f>
        <v>https://www.xeno-canto.org/species/Falco-moluccensis</v>
      </c>
      <c r="D496" s="94" t="str">
        <f>HYPERLINK("https://ebird.org/species/spokes1")</f>
        <v>https://ebird.org/species/spokes1</v>
      </c>
      <c r="E496" s="122" t="str">
        <f>HYPERLINK("https://en.wikipedia.org/wiki/Spotted_Kestrel")</f>
        <v>https://en.wikipedia.org/wiki/Spotted_Kestrel</v>
      </c>
      <c r="F496" s="123" t="str">
        <f>HYPERLINK("https://apiv3.iucnredlist.org/api/v3/website/Falco moluccensis")</f>
        <v>https://apiv3.iucnredlist.org/api/v3/website/Falco moluccensis</v>
      </c>
      <c r="H496" s="90">
        <v>221</v>
      </c>
      <c r="J496" s="87" t="s">
        <v>886</v>
      </c>
      <c r="K496" s="92" t="s">
        <v>891</v>
      </c>
      <c r="M496" s="93" t="s">
        <v>892</v>
      </c>
      <c r="N496" s="90" t="s">
        <v>37</v>
      </c>
      <c r="Q496" s="2" t="s">
        <v>8566</v>
      </c>
      <c r="R496" s="2" t="s">
        <v>6436</v>
      </c>
    </row>
    <row r="497" spans="1:18" ht="20.399999999999999" x14ac:dyDescent="0.3">
      <c r="A497" s="85">
        <v>399</v>
      </c>
      <c r="B497" s="76" t="s">
        <v>3726</v>
      </c>
      <c r="C497" s="77" t="str">
        <f>HYPERLINK("https://www.xeno-canto.org/species/Falco-amurensis")</f>
        <v>https://www.xeno-canto.org/species/Falco-amurensis</v>
      </c>
      <c r="D497" s="94" t="str">
        <f>HYPERLINK("https://ebird.org/species/amufal1")</f>
        <v>https://ebird.org/species/amufal1</v>
      </c>
      <c r="E497" s="122" t="str">
        <f>HYPERLINK("https://en.wikipedia.org/wiki/Amur_Falcon")</f>
        <v>https://en.wikipedia.org/wiki/Amur_Falcon</v>
      </c>
      <c r="F497" s="123" t="str">
        <f>HYPERLINK("https://apiv3.iucnredlist.org/api/v3/website/Falco amurensis")</f>
        <v>https://apiv3.iucnredlist.org/api/v3/website/Falco amurensis</v>
      </c>
      <c r="H497" s="90">
        <v>221</v>
      </c>
      <c r="J497" s="87" t="s">
        <v>886</v>
      </c>
      <c r="K497" s="92" t="s">
        <v>893</v>
      </c>
      <c r="M497" s="93" t="s">
        <v>894</v>
      </c>
      <c r="N497" s="90" t="s">
        <v>49</v>
      </c>
      <c r="Q497" s="2" t="s">
        <v>3083</v>
      </c>
      <c r="R497" s="2" t="s">
        <v>6437</v>
      </c>
    </row>
    <row r="498" spans="1:18" ht="20.399999999999999" x14ac:dyDescent="0.3">
      <c r="A498" s="85">
        <v>400</v>
      </c>
      <c r="B498" s="76" t="s">
        <v>3727</v>
      </c>
      <c r="C498" s="77" t="str">
        <f>HYPERLINK("https://www.xeno-canto.org/species/Falco-columbarius")</f>
        <v>https://www.xeno-canto.org/species/Falco-columbarius</v>
      </c>
      <c r="D498" s="94" t="str">
        <f>HYPERLINK("https://ebird.org/species/merlin")</f>
        <v>https://ebird.org/species/merlin</v>
      </c>
      <c r="E498" s="122" t="str">
        <f>HYPERLINK("https://en.wikipedia.org/wiki/Merlin")</f>
        <v>https://en.wikipedia.org/wiki/Merlin</v>
      </c>
      <c r="F498" s="123" t="str">
        <f>HYPERLINK("https://apiv3.iucnredlist.org/api/v3/website/Falco columbarius")</f>
        <v>https://apiv3.iucnredlist.org/api/v3/website/Falco columbarius</v>
      </c>
      <c r="G498" s="90">
        <v>11</v>
      </c>
      <c r="H498" s="90">
        <v>221</v>
      </c>
      <c r="J498" s="87" t="s">
        <v>886</v>
      </c>
      <c r="K498" s="92" t="s">
        <v>895</v>
      </c>
      <c r="M498" s="93" t="s">
        <v>896</v>
      </c>
      <c r="N498" s="90" t="s">
        <v>49</v>
      </c>
      <c r="Q498" s="2" t="s">
        <v>3728</v>
      </c>
      <c r="R498" s="2" t="s">
        <v>6438</v>
      </c>
    </row>
    <row r="499" spans="1:18" ht="20.399999999999999" x14ac:dyDescent="0.3">
      <c r="A499" s="85">
        <v>401</v>
      </c>
      <c r="B499" s="76" t="s">
        <v>3729</v>
      </c>
      <c r="C499" s="77" t="str">
        <f>HYPERLINK("https://www.xeno-canto.org/species/Falco-subbuteo")</f>
        <v>https://www.xeno-canto.org/species/Falco-subbuteo</v>
      </c>
      <c r="D499" s="94" t="str">
        <f>HYPERLINK("https://ebird.org/species/eurhob")</f>
        <v>https://ebird.org/species/eurhob</v>
      </c>
      <c r="E499" s="122" t="str">
        <f>HYPERLINK("https://en.wikipedia.org/wiki/Eurasian_Hobby")</f>
        <v>https://en.wikipedia.org/wiki/Eurasian_Hobby</v>
      </c>
      <c r="F499" s="123" t="str">
        <f>HYPERLINK("https://apiv3.iucnredlist.org/api/v3/website/Falco subbuteo")</f>
        <v>https://apiv3.iucnredlist.org/api/v3/website/Falco subbuteo</v>
      </c>
      <c r="H499" s="90">
        <v>223</v>
      </c>
      <c r="J499" s="87" t="s">
        <v>886</v>
      </c>
      <c r="K499" s="92" t="s">
        <v>897</v>
      </c>
      <c r="M499" s="93" t="s">
        <v>898</v>
      </c>
      <c r="N499" s="90" t="s">
        <v>49</v>
      </c>
      <c r="Q499" s="2" t="s">
        <v>3730</v>
      </c>
      <c r="R499" s="2" t="s">
        <v>6560</v>
      </c>
    </row>
    <row r="500" spans="1:18" ht="20.399999999999999" x14ac:dyDescent="0.3">
      <c r="A500" s="85">
        <v>402</v>
      </c>
      <c r="B500" s="76" t="s">
        <v>3731</v>
      </c>
      <c r="C500" s="77" t="str">
        <f>HYPERLINK("https://www.xeno-canto.org/species/Falco-severus")</f>
        <v>https://www.xeno-canto.org/species/Falco-severus</v>
      </c>
      <c r="D500" s="94" t="str">
        <f>HYPERLINK("https://ebird.org/species/orihob1")</f>
        <v>https://ebird.org/species/orihob1</v>
      </c>
      <c r="E500" s="122" t="str">
        <f>HYPERLINK("https://en.wikipedia.org/wiki/Oriental_Hobby")</f>
        <v>https://en.wikipedia.org/wiki/Oriental_Hobby</v>
      </c>
      <c r="F500" s="123" t="str">
        <f>HYPERLINK("https://apiv3.iucnredlist.org/api/v3/website/Falco severus")</f>
        <v>https://apiv3.iucnredlist.org/api/v3/website/Falco severus</v>
      </c>
      <c r="G500" s="90">
        <v>11</v>
      </c>
      <c r="H500" s="90">
        <v>223</v>
      </c>
      <c r="J500" s="87" t="s">
        <v>886</v>
      </c>
      <c r="K500" s="95" t="s">
        <v>899</v>
      </c>
      <c r="M500" s="93" t="s">
        <v>900</v>
      </c>
      <c r="N500" s="90" t="s">
        <v>37</v>
      </c>
      <c r="Q500" s="2" t="s">
        <v>3732</v>
      </c>
      <c r="R500" s="2" t="s">
        <v>6561</v>
      </c>
    </row>
    <row r="501" spans="1:18" ht="14.4" x14ac:dyDescent="0.3">
      <c r="A501" s="85">
        <v>403</v>
      </c>
      <c r="B501" s="76" t="s">
        <v>3733</v>
      </c>
      <c r="C501" s="77" t="str">
        <f>HYPERLINK("https://www.xeno-canto.org/species/Falco-peregrinus")</f>
        <v>https://www.xeno-canto.org/species/Falco-peregrinus</v>
      </c>
      <c r="D501" s="94" t="str">
        <f>HYPERLINK("https://ebird.org/species/perfal")</f>
        <v>https://ebird.org/species/perfal</v>
      </c>
      <c r="E501" s="122" t="str">
        <f>HYPERLINK("https://en.wikipedia.org/wiki/Peregrine_Falcon")</f>
        <v>https://en.wikipedia.org/wiki/Peregrine_Falcon</v>
      </c>
      <c r="F501" s="123" t="str">
        <f>HYPERLINK("https://apiv3.iucnredlist.org/api/v3/website/Falco peregrinus")</f>
        <v>https://apiv3.iucnredlist.org/api/v3/website/Falco peregrinus</v>
      </c>
      <c r="G501" s="90">
        <v>11</v>
      </c>
      <c r="H501" s="90">
        <v>223</v>
      </c>
      <c r="J501" s="87" t="s">
        <v>886</v>
      </c>
      <c r="K501" s="95" t="s">
        <v>901</v>
      </c>
      <c r="M501" s="93" t="s">
        <v>902</v>
      </c>
      <c r="N501" s="90" t="s">
        <v>346</v>
      </c>
      <c r="Q501" s="2" t="s">
        <v>3734</v>
      </c>
    </row>
    <row r="503" spans="1:18" ht="12" x14ac:dyDescent="0.3">
      <c r="K503" s="88" t="s">
        <v>903</v>
      </c>
      <c r="M503" s="89" t="s">
        <v>904</v>
      </c>
    </row>
    <row r="504" spans="1:18" ht="20.399999999999999" x14ac:dyDescent="0.3">
      <c r="A504" s="85">
        <v>404</v>
      </c>
      <c r="B504" s="74" t="s">
        <v>3735</v>
      </c>
      <c r="C504" s="75" t="str">
        <f>HYPERLINK("https://www.xeno-canto.org/species/Cacatua-haematuropygia")</f>
        <v>https://www.xeno-canto.org/species/Cacatua-haematuropygia</v>
      </c>
      <c r="D504" s="91" t="str">
        <f>HYPERLINK("https://ebird.org/species/phicoc1")</f>
        <v>https://ebird.org/species/phicoc1</v>
      </c>
      <c r="E504" s="120" t="str">
        <f>HYPERLINK("https://en.wikipedia.org/wiki/Red-vented_Cockatoo")</f>
        <v>https://en.wikipedia.org/wiki/Red-vented_Cockatoo</v>
      </c>
      <c r="F504" s="121" t="str">
        <f>HYPERLINK("https://apiv3.iucnredlist.org/api/v3/website/Cacatua haematuropygia")</f>
        <v>https://apiv3.iucnredlist.org/api/v3/website/Cacatua haematuropygia</v>
      </c>
      <c r="G504" s="90">
        <v>29</v>
      </c>
      <c r="H504" s="90">
        <v>223</v>
      </c>
      <c r="J504" s="87" t="s">
        <v>904</v>
      </c>
      <c r="K504" s="102" t="s">
        <v>905</v>
      </c>
      <c r="L504" s="86" t="s">
        <v>1992</v>
      </c>
      <c r="M504" s="99" t="s">
        <v>906</v>
      </c>
      <c r="N504" s="90" t="s">
        <v>57</v>
      </c>
      <c r="O504" s="90" t="s">
        <v>112</v>
      </c>
      <c r="P504" s="90" t="s">
        <v>112</v>
      </c>
      <c r="Q504" s="2" t="s">
        <v>3736</v>
      </c>
    </row>
    <row r="506" spans="1:18" ht="12" x14ac:dyDescent="0.3">
      <c r="K506" s="88" t="s">
        <v>907</v>
      </c>
      <c r="M506" s="89" t="s">
        <v>908</v>
      </c>
    </row>
    <row r="507" spans="1:18" ht="14.4" x14ac:dyDescent="0.3">
      <c r="A507" s="85">
        <v>405</v>
      </c>
      <c r="B507" s="74" t="s">
        <v>3737</v>
      </c>
      <c r="C507" s="75" t="str">
        <f>HYPERLINK("https://www.xeno-canto.org/species/Prioniturus-waterstradti")</f>
        <v>https://www.xeno-canto.org/species/Prioniturus-waterstradti</v>
      </c>
      <c r="D507" s="91" t="str">
        <f>HYPERLINK("https://ebird.org/species/mirtai1")</f>
        <v>https://ebird.org/species/mirtai1</v>
      </c>
      <c r="E507" s="120" t="str">
        <f>HYPERLINK("https://en.wikipedia.org/wiki/Mindanao_Racket-tail")</f>
        <v>https://en.wikipedia.org/wiki/Mindanao_Racket-tail</v>
      </c>
      <c r="F507" s="121" t="str">
        <f>HYPERLINK("https://apiv3.iucnredlist.org/api/v3/website/Prioniturus waterstradti")</f>
        <v>https://apiv3.iucnredlist.org/api/v3/website/Prioniturus waterstradti</v>
      </c>
      <c r="G507" s="90">
        <v>30</v>
      </c>
      <c r="H507" s="90">
        <v>227</v>
      </c>
      <c r="J507" s="87" t="s">
        <v>908</v>
      </c>
      <c r="K507" s="98" t="s">
        <v>909</v>
      </c>
      <c r="L507" s="86" t="s">
        <v>1995</v>
      </c>
      <c r="M507" s="99" t="s">
        <v>910</v>
      </c>
      <c r="N507" s="90" t="s">
        <v>57</v>
      </c>
      <c r="O507" s="90" t="s">
        <v>50</v>
      </c>
      <c r="P507" s="90" t="s">
        <v>38</v>
      </c>
      <c r="Q507" s="2" t="s">
        <v>3676</v>
      </c>
    </row>
    <row r="508" spans="1:18" ht="14.4" x14ac:dyDescent="0.3">
      <c r="A508" s="85">
        <v>406</v>
      </c>
      <c r="B508" s="76" t="s">
        <v>3738</v>
      </c>
      <c r="C508" s="77" t="str">
        <f>HYPERLINK("https://www.xeno-canto.org/species/Prioniturus-montanus")</f>
        <v>https://www.xeno-canto.org/species/Prioniturus-montanus</v>
      </c>
      <c r="D508" s="94" t="str">
        <f>HYPERLINK("https://ebird.org/species/luzrat1")</f>
        <v>https://ebird.org/species/luzrat1</v>
      </c>
      <c r="E508" s="122" t="str">
        <f>HYPERLINK("https://en.wikipedia.org/wiki/Montane_Racket-tail")</f>
        <v>https://en.wikipedia.org/wiki/Montane_Racket-tail</v>
      </c>
      <c r="F508" s="123" t="str">
        <f>HYPERLINK("https://apiv3.iucnredlist.org/api/v3/website/Prioniturus montanus")</f>
        <v>https://apiv3.iucnredlist.org/api/v3/website/Prioniturus montanus</v>
      </c>
      <c r="G508" s="90">
        <v>30</v>
      </c>
      <c r="H508" s="90">
        <v>227</v>
      </c>
      <c r="J508" s="87" t="s">
        <v>908</v>
      </c>
      <c r="K508" s="98" t="s">
        <v>911</v>
      </c>
      <c r="L508" s="86" t="s">
        <v>1994</v>
      </c>
      <c r="M508" s="99" t="s">
        <v>912</v>
      </c>
      <c r="N508" s="90" t="s">
        <v>57</v>
      </c>
      <c r="O508" s="90" t="s">
        <v>50</v>
      </c>
      <c r="P508" s="90" t="s">
        <v>58</v>
      </c>
      <c r="Q508" s="2" t="s">
        <v>3739</v>
      </c>
    </row>
    <row r="509" spans="1:18" ht="14.4" x14ac:dyDescent="0.3">
      <c r="A509" s="85">
        <v>407</v>
      </c>
      <c r="B509" s="76" t="s">
        <v>3740</v>
      </c>
      <c r="C509" s="77" t="str">
        <f>HYPERLINK("https://www.xeno-canto.org/species/Prioniturus-platenae")</f>
        <v>https://www.xeno-canto.org/species/Prioniturus-platenae</v>
      </c>
      <c r="D509" s="94" t="str">
        <f>HYPERLINK("https://ebird.org/species/bhrtai1")</f>
        <v>https://ebird.org/species/bhrtai1</v>
      </c>
      <c r="E509" s="122" t="str">
        <f>HYPERLINK("https://en.wikipedia.org/wiki/Blue-headed_Racket-tail")</f>
        <v>https://en.wikipedia.org/wiki/Blue-headed_Racket-tail</v>
      </c>
      <c r="F509" s="123" t="str">
        <f>HYPERLINK("https://apiv3.iucnredlist.org/api/v3/website/Prioniturus platenae")</f>
        <v>https://apiv3.iucnredlist.org/api/v3/website/Prioniturus platenae</v>
      </c>
      <c r="G509" s="90">
        <v>30</v>
      </c>
      <c r="H509" s="90">
        <v>227</v>
      </c>
      <c r="J509" s="87" t="s">
        <v>908</v>
      </c>
      <c r="K509" s="98" t="s">
        <v>913</v>
      </c>
      <c r="L509" s="86" t="s">
        <v>1999</v>
      </c>
      <c r="M509" s="99" t="s">
        <v>914</v>
      </c>
      <c r="N509" s="90" t="s">
        <v>57</v>
      </c>
      <c r="O509" s="90" t="s">
        <v>38</v>
      </c>
      <c r="P509" s="90" t="s">
        <v>38</v>
      </c>
      <c r="Q509" s="2" t="s">
        <v>3741</v>
      </c>
    </row>
    <row r="510" spans="1:18" ht="14.4" x14ac:dyDescent="0.3">
      <c r="A510" s="85">
        <v>408</v>
      </c>
      <c r="B510" s="76" t="s">
        <v>3742</v>
      </c>
      <c r="C510" s="77" t="str">
        <f>HYPERLINK("https://www.xeno-canto.org/species/Prioniturus-mindorensis")</f>
        <v>https://www.xeno-canto.org/species/Prioniturus-mindorensis</v>
      </c>
      <c r="D510" s="94" t="str">
        <f>HYPERLINK("https://ebird.org/species/minrat1")</f>
        <v>https://ebird.org/species/minrat1</v>
      </c>
      <c r="E510" s="122" t="str">
        <f>HYPERLINK("https://en.wikipedia.org/wiki/Mindoro_Racket-tail")</f>
        <v>https://en.wikipedia.org/wiki/Mindoro_Racket-tail</v>
      </c>
      <c r="F510" s="123" t="str">
        <f>HYPERLINK("https://apiv3.iucnredlist.org/api/v3/website/Prioniturus mindorensis")</f>
        <v>https://apiv3.iucnredlist.org/api/v3/website/Prioniturus mindorensis</v>
      </c>
      <c r="G510" s="90">
        <v>30</v>
      </c>
      <c r="H510" s="90">
        <v>227</v>
      </c>
      <c r="J510" s="87" t="s">
        <v>908</v>
      </c>
      <c r="K510" s="98" t="s">
        <v>915</v>
      </c>
      <c r="L510" s="86" t="s">
        <v>2002</v>
      </c>
      <c r="M510" s="99" t="s">
        <v>916</v>
      </c>
      <c r="N510" s="90" t="s">
        <v>57</v>
      </c>
      <c r="O510" s="90" t="s">
        <v>38</v>
      </c>
      <c r="P510" s="90" t="s">
        <v>58</v>
      </c>
      <c r="Q510" s="2" t="s">
        <v>3743</v>
      </c>
    </row>
    <row r="511" spans="1:18" ht="14.4" x14ac:dyDescent="0.3">
      <c r="A511" s="85">
        <v>409</v>
      </c>
      <c r="B511" s="76" t="s">
        <v>3744</v>
      </c>
      <c r="C511" s="77" t="str">
        <f>HYPERLINK("https://www.xeno-canto.org/species/Prioniturus-verticalis")</f>
        <v>https://www.xeno-canto.org/species/Prioniturus-verticalis</v>
      </c>
      <c r="D511" s="94" t="str">
        <f>HYPERLINK("https://ebird.org/species/bwrtai1")</f>
        <v>https://ebird.org/species/bwrtai1</v>
      </c>
      <c r="E511" s="122" t="str">
        <f>HYPERLINK("https://en.wikipedia.org/wiki/Blue-winged_Racket-tail")</f>
        <v>https://en.wikipedia.org/wiki/Blue-winged_Racket-tail</v>
      </c>
      <c r="F511" s="123" t="str">
        <f>HYPERLINK("https://apiv3.iucnredlist.org/api/v3/website/Prioniturus verticalis")</f>
        <v>https://apiv3.iucnredlist.org/api/v3/website/Prioniturus verticalis</v>
      </c>
      <c r="G511" s="90">
        <v>30</v>
      </c>
      <c r="H511" s="90">
        <v>227</v>
      </c>
      <c r="J511" s="87" t="s">
        <v>908</v>
      </c>
      <c r="K511" s="102" t="s">
        <v>917</v>
      </c>
      <c r="L511" s="86" t="s">
        <v>2005</v>
      </c>
      <c r="M511" s="99" t="s">
        <v>918</v>
      </c>
      <c r="N511" s="90" t="s">
        <v>57</v>
      </c>
      <c r="O511" s="90" t="s">
        <v>112</v>
      </c>
      <c r="P511" s="90" t="s">
        <v>112</v>
      </c>
      <c r="Q511" s="2" t="s">
        <v>3745</v>
      </c>
    </row>
    <row r="512" spans="1:18" ht="14.4" x14ac:dyDescent="0.3">
      <c r="A512" s="85">
        <v>410</v>
      </c>
      <c r="B512" s="76" t="s">
        <v>3746</v>
      </c>
      <c r="C512" s="77" t="str">
        <f>HYPERLINK("https://www.xeno-canto.org/species/Prioniturus-luconensis")</f>
        <v>https://www.xeno-canto.org/species/Prioniturus-luconensis</v>
      </c>
      <c r="D512" s="94" t="str">
        <f>HYPERLINK("https://ebird.org/species/grrtai1")</f>
        <v>https://ebird.org/species/grrtai1</v>
      </c>
      <c r="E512" s="122" t="str">
        <f>HYPERLINK("https://en.wikipedia.org/wiki/Green_Racket-tail")</f>
        <v>https://en.wikipedia.org/wiki/Green_Racket-tail</v>
      </c>
      <c r="F512" s="123" t="str">
        <f>HYPERLINK("https://apiv3.iucnredlist.org/api/v3/website/Prioniturus luconensis")</f>
        <v>https://apiv3.iucnredlist.org/api/v3/website/Prioniturus luconensis</v>
      </c>
      <c r="G512" s="90">
        <v>30</v>
      </c>
      <c r="H512" s="90">
        <v>229</v>
      </c>
      <c r="J512" s="87" t="s">
        <v>908</v>
      </c>
      <c r="K512" s="98" t="s">
        <v>919</v>
      </c>
      <c r="L512" s="86" t="s">
        <v>2007</v>
      </c>
      <c r="M512" s="99" t="s">
        <v>920</v>
      </c>
      <c r="N512" s="90" t="s">
        <v>57</v>
      </c>
      <c r="O512" s="90" t="s">
        <v>58</v>
      </c>
      <c r="P512" s="90" t="s">
        <v>112</v>
      </c>
      <c r="Q512" s="2" t="s">
        <v>3747</v>
      </c>
    </row>
    <row r="513" spans="1:18" ht="14.4" x14ac:dyDescent="0.3">
      <c r="A513" s="85">
        <v>411</v>
      </c>
      <c r="B513" s="76" t="s">
        <v>3748</v>
      </c>
      <c r="C513" s="77" t="str">
        <f>HYPERLINK("https://www.xeno-canto.org/species/Prioniturus-discurus")</f>
        <v>https://www.xeno-canto.org/species/Prioniturus-discurus</v>
      </c>
      <c r="D513" s="94" t="str">
        <f>HYPERLINK("https://ebird.org/species/bcrtai1")</f>
        <v>https://ebird.org/species/bcrtai1</v>
      </c>
      <c r="E513" s="122" t="str">
        <f>HYPERLINK("https://en.wikipedia.org/wiki/Blue-crowned_Racket-tail")</f>
        <v>https://en.wikipedia.org/wiki/Blue-crowned_Racket-tail</v>
      </c>
      <c r="F513" s="123" t="str">
        <f>HYPERLINK("https://apiv3.iucnredlist.org/api/v3/website/Prioniturus discurus")</f>
        <v>https://apiv3.iucnredlist.org/api/v3/website/Prioniturus discurus</v>
      </c>
      <c r="G513" s="90">
        <v>30</v>
      </c>
      <c r="H513" s="90">
        <v>229</v>
      </c>
      <c r="J513" s="87" t="s">
        <v>908</v>
      </c>
      <c r="K513" s="98" t="s">
        <v>921</v>
      </c>
      <c r="L513" s="86" t="s">
        <v>2001</v>
      </c>
      <c r="M513" s="99" t="s">
        <v>922</v>
      </c>
      <c r="N513" s="90" t="s">
        <v>57</v>
      </c>
      <c r="P513" s="90" t="s">
        <v>186</v>
      </c>
      <c r="Q513" s="2" t="s">
        <v>3749</v>
      </c>
    </row>
    <row r="514" spans="1:18" ht="40.799999999999997" x14ac:dyDescent="0.3">
      <c r="A514" s="85">
        <v>412</v>
      </c>
      <c r="B514" s="76" t="s">
        <v>3750</v>
      </c>
      <c r="C514" s="77" t="str">
        <f>HYPERLINK("https://www.xeno-canto.org/species/Tanygnathus-megalorynchos")</f>
        <v>https://www.xeno-canto.org/species/Tanygnathus-megalorynchos</v>
      </c>
      <c r="D514" s="94" t="str">
        <f>HYPERLINK("https://ebird.org/species/grbpar1")</f>
        <v>https://ebird.org/species/grbpar1</v>
      </c>
      <c r="E514" s="122" t="str">
        <f>HYPERLINK("https://en.wikipedia.org/wiki/Great-billed_Parrot")</f>
        <v>https://en.wikipedia.org/wiki/Great-billed_Parrot</v>
      </c>
      <c r="F514" s="123" t="str">
        <f>HYPERLINK("https://apiv3.iucnredlist.org/api/v3/website/Tanygnathus megalorynchos")</f>
        <v>https://apiv3.iucnredlist.org/api/v3/website/Tanygnathus megalorynchos</v>
      </c>
      <c r="G514" s="90">
        <v>29</v>
      </c>
      <c r="H514" s="90">
        <v>229</v>
      </c>
      <c r="J514" s="87" t="s">
        <v>908</v>
      </c>
      <c r="K514" s="92" t="s">
        <v>923</v>
      </c>
      <c r="M514" s="93" t="s">
        <v>924</v>
      </c>
      <c r="N514" s="90" t="s">
        <v>37</v>
      </c>
      <c r="Q514" s="2" t="s">
        <v>3751</v>
      </c>
      <c r="R514" s="2" t="s">
        <v>3752</v>
      </c>
    </row>
    <row r="515" spans="1:18" ht="20.399999999999999" x14ac:dyDescent="0.3">
      <c r="A515" s="85">
        <v>413</v>
      </c>
      <c r="B515" s="76" t="s">
        <v>3753</v>
      </c>
      <c r="C515" s="77" t="str">
        <f>HYPERLINK("https://www.xeno-canto.org/species/Tanygnathus-lucionensis")</f>
        <v>https://www.xeno-canto.org/species/Tanygnathus-lucionensis</v>
      </c>
      <c r="D515" s="94" t="str">
        <f>HYPERLINK("https://ebird.org/species/blnpar1")</f>
        <v>https://ebird.org/species/blnpar1</v>
      </c>
      <c r="E515" s="122" t="str">
        <f>HYPERLINK("https://en.wikipedia.org/wiki/Blue-naped_Parrot")</f>
        <v>https://en.wikipedia.org/wiki/Blue-naped_Parrot</v>
      </c>
      <c r="F515" s="123" t="str">
        <f>HYPERLINK("https://apiv3.iucnredlist.org/api/v3/website/Tanygnathus lucionensis")</f>
        <v>https://apiv3.iucnredlist.org/api/v3/website/Tanygnathus lucionensis</v>
      </c>
      <c r="G515" s="90">
        <v>29</v>
      </c>
      <c r="H515" s="90">
        <v>229</v>
      </c>
      <c r="J515" s="87" t="s">
        <v>908</v>
      </c>
      <c r="K515" s="95" t="s">
        <v>925</v>
      </c>
      <c r="M515" s="93" t="s">
        <v>926</v>
      </c>
      <c r="N515" s="90" t="s">
        <v>253</v>
      </c>
      <c r="O515" s="90" t="s">
        <v>50</v>
      </c>
      <c r="P515" s="90" t="s">
        <v>112</v>
      </c>
      <c r="Q515" s="2" t="s">
        <v>3754</v>
      </c>
      <c r="R515" s="2" t="s">
        <v>927</v>
      </c>
    </row>
    <row r="516" spans="1:18" ht="51" x14ac:dyDescent="0.3">
      <c r="A516" s="85">
        <v>414</v>
      </c>
      <c r="B516" s="76" t="s">
        <v>5157</v>
      </c>
      <c r="C516" s="77" t="str">
        <f>HYPERLINK("https://www.xeno-canto.org/species/Tanygnathus-everetti")</f>
        <v>https://www.xeno-canto.org/species/Tanygnathus-everetti</v>
      </c>
      <c r="D516" s="94" t="str">
        <f>HYPERLINK("https://ebird.org/species/azrpar8")</f>
        <v>https://ebird.org/species/azrpar8</v>
      </c>
      <c r="E516" s="122" t="str">
        <f>HYPERLINK("https://en.wikipedia.org/wiki/Blue-backed_Parrot")</f>
        <v>https://en.wikipedia.org/wiki/Blue-backed_Parrot</v>
      </c>
      <c r="F516" s="123" t="str">
        <f>HYPERLINK("https://apiv3.iucnredlist.org/api/v3/website/Tanygnathus everetti")</f>
        <v>https://apiv3.iucnredlist.org/api/v3/website/Tanygnathus everetti</v>
      </c>
      <c r="G516" s="90">
        <v>29</v>
      </c>
      <c r="H516" s="90">
        <v>231</v>
      </c>
      <c r="J516" s="87" t="s">
        <v>908</v>
      </c>
      <c r="K516" s="92" t="s">
        <v>928</v>
      </c>
      <c r="M516" s="93" t="s">
        <v>5158</v>
      </c>
      <c r="N516" s="90" t="s">
        <v>37</v>
      </c>
      <c r="P516" s="90" t="s">
        <v>112</v>
      </c>
      <c r="Q516" s="2" t="s">
        <v>3755</v>
      </c>
      <c r="R516" s="2" t="s">
        <v>8567</v>
      </c>
    </row>
    <row r="517" spans="1:18" ht="30.6" x14ac:dyDescent="0.3">
      <c r="A517" s="85">
        <v>415</v>
      </c>
      <c r="B517" s="76" t="s">
        <v>3756</v>
      </c>
      <c r="C517" s="77" t="str">
        <f>HYPERLINK("https://www.xeno-canto.org/species/Psittacula-krameri")</f>
        <v>https://www.xeno-canto.org/species/Psittacula-krameri</v>
      </c>
      <c r="D517" s="94" t="str">
        <f>HYPERLINK("https://ebird.org/species/rorpar")</f>
        <v>https://ebird.org/species/rorpar</v>
      </c>
      <c r="E517" s="122" t="str">
        <f>HYPERLINK("https://en.wikipedia.org/wiki/Rose-ringed_Parakeet")</f>
        <v>https://en.wikipedia.org/wiki/Rose-ringed_Parakeet</v>
      </c>
      <c r="F517" s="123" t="str">
        <f>HYPERLINK("https://apiv3.iucnredlist.org/api/v3/website/Psittacula krameri")</f>
        <v>https://apiv3.iucnredlist.org/api/v3/website/Psittacula krameri</v>
      </c>
      <c r="H517" s="90">
        <v>231</v>
      </c>
      <c r="J517" s="87" t="s">
        <v>908</v>
      </c>
      <c r="K517" s="100" t="s">
        <v>929</v>
      </c>
      <c r="M517" s="101" t="s">
        <v>930</v>
      </c>
      <c r="N517" s="90" t="s">
        <v>42</v>
      </c>
      <c r="Q517" s="2" t="s">
        <v>3757</v>
      </c>
      <c r="R517" s="2" t="s">
        <v>3758</v>
      </c>
    </row>
    <row r="518" spans="1:18" ht="14.4" x14ac:dyDescent="0.3">
      <c r="A518" s="85">
        <v>416</v>
      </c>
      <c r="B518" s="76" t="s">
        <v>5159</v>
      </c>
      <c r="C518" s="77" t="str">
        <f>HYPERLINK("https://www.xeno-canto.org/species/Saudareos-johnstoniae")</f>
        <v>https://www.xeno-canto.org/species/Saudareos-johnstoniae</v>
      </c>
      <c r="D518" s="94" t="str">
        <f>HYPERLINK("https://ebird.org/species/minlor1")</f>
        <v>https://ebird.org/species/minlor1</v>
      </c>
      <c r="E518" s="122" t="str">
        <f>HYPERLINK("https://en.wikipedia.org/wiki/Mindanao_Lorikeet")</f>
        <v>https://en.wikipedia.org/wiki/Mindanao_Lorikeet</v>
      </c>
      <c r="F518" s="123" t="str">
        <f>HYPERLINK("https://apiv3.iucnredlist.org/api/v3/website/Saudareos johnstoniae")</f>
        <v>https://apiv3.iucnredlist.org/api/v3/website/Saudareos johnstoniae</v>
      </c>
      <c r="G518" s="90">
        <v>29</v>
      </c>
      <c r="H518" s="90">
        <v>225</v>
      </c>
      <c r="J518" s="87" t="s">
        <v>908</v>
      </c>
      <c r="K518" s="98" t="s">
        <v>932</v>
      </c>
      <c r="M518" s="99" t="s">
        <v>5160</v>
      </c>
      <c r="N518" s="90" t="s">
        <v>57</v>
      </c>
      <c r="O518" s="90" t="s">
        <v>50</v>
      </c>
      <c r="P518" s="90" t="s">
        <v>38</v>
      </c>
      <c r="Q518" s="2" t="s">
        <v>3360</v>
      </c>
    </row>
    <row r="519" spans="1:18" ht="14.4" x14ac:dyDescent="0.3">
      <c r="A519" s="85">
        <v>417</v>
      </c>
      <c r="B519" s="76" t="s">
        <v>3759</v>
      </c>
      <c r="C519" s="77" t="str">
        <f>HYPERLINK("https://www.xeno-canto.org/species/Bolbopsittacus-lunulatus")</f>
        <v>https://www.xeno-canto.org/species/Bolbopsittacus-lunulatus</v>
      </c>
      <c r="D519" s="94" t="str">
        <f>HYPERLINK("https://ebird.org/species/guaiab1")</f>
        <v>https://ebird.org/species/guaiab1</v>
      </c>
      <c r="E519" s="122" t="str">
        <f>HYPERLINK("https://en.wikipedia.org/wiki/Guaiabero")</f>
        <v>https://en.wikipedia.org/wiki/Guaiabero</v>
      </c>
      <c r="F519" s="123" t="str">
        <f>HYPERLINK("https://apiv3.iucnredlist.org/api/v3/website/Bolbopsittacus lunulatus")</f>
        <v>https://apiv3.iucnredlist.org/api/v3/website/Bolbopsittacus lunulatus</v>
      </c>
      <c r="G519" s="90">
        <v>29</v>
      </c>
      <c r="H519" s="90">
        <v>225</v>
      </c>
      <c r="J519" s="87" t="s">
        <v>908</v>
      </c>
      <c r="K519" s="98" t="s">
        <v>934</v>
      </c>
      <c r="M519" s="99" t="s">
        <v>935</v>
      </c>
      <c r="N519" s="90" t="s">
        <v>57</v>
      </c>
      <c r="Q519" s="2" t="s">
        <v>3649</v>
      </c>
    </row>
    <row r="520" spans="1:18" ht="14.4" x14ac:dyDescent="0.3">
      <c r="A520" s="85">
        <v>418</v>
      </c>
      <c r="B520" s="76" t="s">
        <v>3760</v>
      </c>
      <c r="C520" s="77" t="str">
        <f>HYPERLINK("https://www.xeno-canto.org/species/Loriculus-philippensis")</f>
        <v>https://www.xeno-canto.org/species/Loriculus-philippensis</v>
      </c>
      <c r="D520" s="94" t="str">
        <f>HYPERLINK("https://ebird.org/species/phihap1")</f>
        <v>https://ebird.org/species/phihap1</v>
      </c>
      <c r="E520" s="122" t="str">
        <f>HYPERLINK("https://en.wikipedia.org/wiki/Philippine_Hanging_Parrot")</f>
        <v>https://en.wikipedia.org/wiki/Philippine_Hanging_Parrot</v>
      </c>
      <c r="F520" s="123" t="str">
        <f>HYPERLINK("https://apiv3.iucnredlist.org/api/v3/website/Loriculus philippensis")</f>
        <v>https://apiv3.iucnredlist.org/api/v3/website/Loriculus philippensis</v>
      </c>
      <c r="G520" s="90">
        <v>30</v>
      </c>
      <c r="H520" s="90">
        <v>225</v>
      </c>
      <c r="J520" s="87" t="s">
        <v>908</v>
      </c>
      <c r="K520" s="98" t="s">
        <v>2010</v>
      </c>
      <c r="M520" s="99" t="s">
        <v>936</v>
      </c>
      <c r="N520" s="90" t="s">
        <v>57</v>
      </c>
      <c r="P520" s="90" t="s">
        <v>112</v>
      </c>
      <c r="Q520" s="2" t="s">
        <v>4608</v>
      </c>
    </row>
    <row r="521" spans="1:18" ht="14.4" x14ac:dyDescent="0.3">
      <c r="A521" s="85">
        <v>419</v>
      </c>
      <c r="B521" s="76" t="s">
        <v>3761</v>
      </c>
      <c r="C521" s="77" t="str">
        <f>HYPERLINK("https://www.xeno-canto.org/species/Loriculus-camiguinensis")</f>
        <v>https://www.xeno-canto.org/species/Loriculus-camiguinensis</v>
      </c>
      <c r="D521" s="94" t="str">
        <f>HYPERLINK("https://ebird.org/species/camhap1")</f>
        <v>https://ebird.org/species/camhap1</v>
      </c>
      <c r="E521" s="122" t="str">
        <f>HYPERLINK("https://en.wikipedia.org/wiki/Camiguin_Hanging_Parrot")</f>
        <v>https://en.wikipedia.org/wiki/Camiguin_Hanging_Parrot</v>
      </c>
      <c r="F521" s="123" t="str">
        <f>HYPERLINK("https://apiv3.iucnredlist.org/api/v3/website/Loriculus camiguinensis")</f>
        <v>https://apiv3.iucnredlist.org/api/v3/website/Loriculus camiguinensis</v>
      </c>
      <c r="H521" s="90">
        <v>225</v>
      </c>
      <c r="J521" s="87" t="s">
        <v>908</v>
      </c>
      <c r="K521" s="98" t="s">
        <v>937</v>
      </c>
      <c r="M521" s="99" t="s">
        <v>938</v>
      </c>
      <c r="N521" s="90" t="s">
        <v>57</v>
      </c>
      <c r="O521" s="90" t="s">
        <v>253</v>
      </c>
      <c r="Q521" s="2" t="s">
        <v>3762</v>
      </c>
      <c r="R521" s="2" t="s">
        <v>3005</v>
      </c>
    </row>
    <row r="522" spans="1:18" ht="14.4" x14ac:dyDescent="0.3">
      <c r="A522" s="85">
        <v>420</v>
      </c>
      <c r="B522" s="76" t="s">
        <v>5827</v>
      </c>
      <c r="C522" s="77" t="str">
        <f>HYPERLINK("https://www.xeno-canto.org/species/Loriculus-bonapartei")</f>
        <v>https://www.xeno-canto.org/species/Loriculus-bonapartei</v>
      </c>
      <c r="D522" s="94" t="str">
        <f>HYPERLINK("https://ebird.org/species/phihap11")</f>
        <v>https://ebird.org/species/phihap11</v>
      </c>
      <c r="E522" s="122" t="str">
        <f>HYPERLINK("https://en.wikipedia.org/wiki/Black-billed_Hanging_Parrot")</f>
        <v>https://en.wikipedia.org/wiki/Black-billed_Hanging_Parrot</v>
      </c>
      <c r="F522" s="123" t="str">
        <f>HYPERLINK("https://apiv3.iucnredlist.org/api/v3/website/Loriculus bonapartei")</f>
        <v>https://apiv3.iucnredlist.org/api/v3/website/Loriculus bonapartei</v>
      </c>
      <c r="H522" s="90">
        <v>225</v>
      </c>
      <c r="J522" s="87" t="s">
        <v>908</v>
      </c>
      <c r="K522" s="98" t="s">
        <v>5828</v>
      </c>
      <c r="M522" s="99" t="s">
        <v>5829</v>
      </c>
      <c r="N522" s="90" t="s">
        <v>57</v>
      </c>
      <c r="Q522" s="2" t="s">
        <v>4609</v>
      </c>
    </row>
    <row r="524" spans="1:18" ht="12" x14ac:dyDescent="0.3">
      <c r="K524" s="88" t="s">
        <v>5830</v>
      </c>
      <c r="M524" s="89" t="s">
        <v>939</v>
      </c>
    </row>
    <row r="525" spans="1:18" ht="14.4" x14ac:dyDescent="0.3">
      <c r="A525" s="85">
        <v>421</v>
      </c>
      <c r="B525" s="74" t="s">
        <v>3763</v>
      </c>
      <c r="C525" s="75" t="str">
        <f>HYPERLINK("https://www.xeno-canto.org/species/Sarcophanops-samarensis")</f>
        <v>https://www.xeno-canto.org/species/Sarcophanops-samarensis</v>
      </c>
      <c r="D525" s="91" t="str">
        <f>HYPERLINK("https://ebird.org/species/visbro1")</f>
        <v>https://ebird.org/species/visbro1</v>
      </c>
      <c r="E525" s="120" t="str">
        <f>HYPERLINK("https://en.wikipedia.org/wiki/Visayan_Broadbill")</f>
        <v>https://en.wikipedia.org/wiki/Visayan_Broadbill</v>
      </c>
      <c r="F525" s="121" t="str">
        <f>HYPERLINK("https://apiv3.iucnredlist.org/api/v3/website/Sarcophanops samarensis")</f>
        <v>https://apiv3.iucnredlist.org/api/v3/website/Sarcophanops samarensis</v>
      </c>
      <c r="G525" s="90">
        <v>43</v>
      </c>
      <c r="H525" s="90">
        <v>235</v>
      </c>
      <c r="J525" s="87" t="s">
        <v>939</v>
      </c>
      <c r="K525" s="98" t="s">
        <v>942</v>
      </c>
      <c r="L525" s="86" t="s">
        <v>2014</v>
      </c>
      <c r="M525" s="99" t="s">
        <v>943</v>
      </c>
      <c r="N525" s="90" t="s">
        <v>57</v>
      </c>
      <c r="O525" s="90" t="s">
        <v>38</v>
      </c>
      <c r="P525" s="90" t="s">
        <v>38</v>
      </c>
      <c r="Q525" s="2" t="s">
        <v>3764</v>
      </c>
    </row>
    <row r="526" spans="1:18" ht="14.4" x14ac:dyDescent="0.3">
      <c r="A526" s="85">
        <v>422</v>
      </c>
      <c r="B526" s="76" t="s">
        <v>3765</v>
      </c>
      <c r="C526" s="77" t="str">
        <f>HYPERLINK("https://www.xeno-canto.org/species/Sarcophanops-steerii")</f>
        <v>https://www.xeno-canto.org/species/Sarcophanops-steerii</v>
      </c>
      <c r="D526" s="94" t="str">
        <f>HYPERLINK("https://ebird.org/species/watbro1")</f>
        <v>https://ebird.org/species/watbro1</v>
      </c>
      <c r="E526" s="122" t="str">
        <f>HYPERLINK("https://en.wikipedia.org/wiki/Wattled_Broadbill")</f>
        <v>https://en.wikipedia.org/wiki/Wattled_Broadbill</v>
      </c>
      <c r="F526" s="123" t="str">
        <f>HYPERLINK("https://apiv3.iucnredlist.org/api/v3/website/Sarcophanops steerii")</f>
        <v>https://apiv3.iucnredlist.org/api/v3/website/Sarcophanops steerii</v>
      </c>
      <c r="G526" s="90">
        <v>43</v>
      </c>
      <c r="H526" s="90">
        <v>235</v>
      </c>
      <c r="J526" s="87" t="s">
        <v>939</v>
      </c>
      <c r="K526" s="98" t="s">
        <v>940</v>
      </c>
      <c r="L526" s="86" t="s">
        <v>2012</v>
      </c>
      <c r="M526" s="99" t="s">
        <v>941</v>
      </c>
      <c r="N526" s="90" t="s">
        <v>57</v>
      </c>
      <c r="O526" s="90" t="s">
        <v>38</v>
      </c>
      <c r="P526" s="90" t="s">
        <v>38</v>
      </c>
      <c r="Q526" s="2" t="s">
        <v>3766</v>
      </c>
    </row>
    <row r="528" spans="1:18" ht="12" x14ac:dyDescent="0.3">
      <c r="K528" s="88" t="s">
        <v>944</v>
      </c>
      <c r="M528" s="89" t="s">
        <v>945</v>
      </c>
    </row>
    <row r="529" spans="1:18" ht="14.4" x14ac:dyDescent="0.3">
      <c r="A529" s="85">
        <v>423</v>
      </c>
      <c r="B529" s="74" t="s">
        <v>3767</v>
      </c>
      <c r="C529" s="75" t="str">
        <f>HYPERLINK("https://www.xeno-canto.org/species/Erythropitta-kochi")</f>
        <v>https://www.xeno-canto.org/species/Erythropitta-kochi</v>
      </c>
      <c r="D529" s="91" t="str">
        <f>HYPERLINK("https://ebird.org/species/whipit1")</f>
        <v>https://ebird.org/species/whipit1</v>
      </c>
      <c r="E529" s="120" t="str">
        <f>HYPERLINK("https://en.wikipedia.org/wiki/Whiskered_Pitta")</f>
        <v>https://en.wikipedia.org/wiki/Whiskered_Pitta</v>
      </c>
      <c r="F529" s="121" t="str">
        <f>HYPERLINK("https://apiv3.iucnredlist.org/api/v3/website/Erythropitta kochi")</f>
        <v>https://apiv3.iucnredlist.org/api/v3/website/Erythropitta kochi</v>
      </c>
      <c r="G529" s="90">
        <v>43</v>
      </c>
      <c r="H529" s="90">
        <v>233</v>
      </c>
      <c r="J529" s="87" t="s">
        <v>945</v>
      </c>
      <c r="K529" s="98" t="s">
        <v>946</v>
      </c>
      <c r="M529" s="99" t="s">
        <v>947</v>
      </c>
      <c r="N529" s="90" t="s">
        <v>57</v>
      </c>
      <c r="O529" s="90" t="s">
        <v>50</v>
      </c>
      <c r="P529" s="90" t="s">
        <v>38</v>
      </c>
      <c r="Q529" s="2" t="s">
        <v>3288</v>
      </c>
    </row>
    <row r="530" spans="1:18" ht="14.4" x14ac:dyDescent="0.3">
      <c r="A530" s="85">
        <v>424</v>
      </c>
      <c r="B530" s="76" t="s">
        <v>3768</v>
      </c>
      <c r="C530" s="77" t="str">
        <f>HYPERLINK("https://www.xeno-canto.org/species/Erythropitta-erythrogaster")</f>
        <v>https://www.xeno-canto.org/species/Erythropitta-erythrogaster</v>
      </c>
      <c r="D530" s="94" t="str">
        <f>HYPERLINK("https://ebird.org/species/rebpit1")</f>
        <v>https://ebird.org/species/rebpit1</v>
      </c>
      <c r="E530" s="122" t="str">
        <f>HYPERLINK("https://en.wikipedia.org/wiki/Philippine_Pitta")</f>
        <v>https://en.wikipedia.org/wiki/Philippine_Pitta</v>
      </c>
      <c r="F530" s="123" t="str">
        <f>HYPERLINK("https://apiv3.iucnredlist.org/api/v3/website/Erythropitta erythrogaster")</f>
        <v>https://apiv3.iucnredlist.org/api/v3/website/Erythropitta erythrogaster</v>
      </c>
      <c r="G530" s="90">
        <v>43</v>
      </c>
      <c r="H530" s="90">
        <v>233</v>
      </c>
      <c r="J530" s="87" t="s">
        <v>945</v>
      </c>
      <c r="K530" s="95" t="s">
        <v>948</v>
      </c>
      <c r="M530" s="93" t="s">
        <v>949</v>
      </c>
      <c r="N530" s="90" t="s">
        <v>253</v>
      </c>
      <c r="Q530" s="2" t="s">
        <v>3125</v>
      </c>
      <c r="R530" s="2" t="s">
        <v>8568</v>
      </c>
    </row>
    <row r="531" spans="1:18" ht="20.399999999999999" x14ac:dyDescent="0.3">
      <c r="A531" s="85">
        <v>425</v>
      </c>
      <c r="B531" s="76" t="s">
        <v>3769</v>
      </c>
      <c r="C531" s="77" t="str">
        <f>HYPERLINK("https://www.xeno-canto.org/species/Pitta-moluccensis")</f>
        <v>https://www.xeno-canto.org/species/Pitta-moluccensis</v>
      </c>
      <c r="D531" s="94" t="str">
        <f>HYPERLINK("https://ebird.org/species/blwpit1")</f>
        <v>https://ebird.org/species/blwpit1</v>
      </c>
      <c r="E531" s="122" t="str">
        <f>HYPERLINK("https://en.wikipedia.org/wiki/Blue-winged_Pitta")</f>
        <v>https://en.wikipedia.org/wiki/Blue-winged_Pitta</v>
      </c>
      <c r="F531" s="123" t="str">
        <f>HYPERLINK("https://apiv3.iucnredlist.org/api/v3/website/Pitta moluccensis")</f>
        <v>https://apiv3.iucnredlist.org/api/v3/website/Pitta moluccensis</v>
      </c>
      <c r="G531" s="90">
        <v>43</v>
      </c>
      <c r="H531" s="90">
        <v>233</v>
      </c>
      <c r="J531" s="87" t="s">
        <v>945</v>
      </c>
      <c r="K531" s="92" t="s">
        <v>955</v>
      </c>
      <c r="M531" s="93" t="s">
        <v>956</v>
      </c>
      <c r="N531" s="90" t="s">
        <v>49</v>
      </c>
      <c r="Q531" s="2" t="s">
        <v>3770</v>
      </c>
      <c r="R531" s="2" t="s">
        <v>6439</v>
      </c>
    </row>
    <row r="532" spans="1:18" ht="20.399999999999999" x14ac:dyDescent="0.3">
      <c r="A532" s="85">
        <v>426</v>
      </c>
      <c r="B532" s="76" t="s">
        <v>3771</v>
      </c>
      <c r="C532" s="77" t="str">
        <f>HYPERLINK("https://www.xeno-canto.org/species/Pitta-sordida")</f>
        <v>https://www.xeno-canto.org/species/Pitta-sordida</v>
      </c>
      <c r="D532" s="94" t="str">
        <f>HYPERLINK("https://ebird.org/species/wehpit1")</f>
        <v>https://ebird.org/species/wehpit1</v>
      </c>
      <c r="E532" s="122" t="str">
        <f>HYPERLINK("https://en.wikipedia.org/wiki/Western_Hooded_Pitta")</f>
        <v>https://en.wikipedia.org/wiki/Western_Hooded_Pitta</v>
      </c>
      <c r="F532" s="123" t="str">
        <f>HYPERLINK("https://apiv3.iucnredlist.org/api/v3/website/Pitta sordida")</f>
        <v>https://apiv3.iucnredlist.org/api/v3/website/Pitta sordida</v>
      </c>
      <c r="G532" s="90">
        <v>43</v>
      </c>
      <c r="H532" s="90">
        <v>233</v>
      </c>
      <c r="J532" s="87" t="s">
        <v>945</v>
      </c>
      <c r="K532" s="106" t="s">
        <v>2017</v>
      </c>
      <c r="M532" s="97" t="s">
        <v>950</v>
      </c>
      <c r="N532" s="90" t="s">
        <v>37</v>
      </c>
      <c r="Q532" s="2" t="s">
        <v>8569</v>
      </c>
    </row>
    <row r="533" spans="1:18" ht="20.399999999999999" x14ac:dyDescent="0.3">
      <c r="A533" s="85">
        <v>427</v>
      </c>
      <c r="B533" s="76" t="s">
        <v>3772</v>
      </c>
      <c r="C533" s="77" t="str">
        <f>HYPERLINK("https://www.xeno-canto.org/species/Pitta-nympha")</f>
        <v>https://www.xeno-canto.org/species/Pitta-nympha</v>
      </c>
      <c r="D533" s="94" t="str">
        <f>HYPERLINK("https://ebird.org/species/faipit1")</f>
        <v>https://ebird.org/species/faipit1</v>
      </c>
      <c r="E533" s="122" t="str">
        <f>HYPERLINK("https://en.wikipedia.org/wiki/Fairy_Pitta")</f>
        <v>https://en.wikipedia.org/wiki/Fairy_Pitta</v>
      </c>
      <c r="F533" s="123" t="str">
        <f>HYPERLINK("https://apiv3.iucnredlist.org/api/v3/website/Pitta nympha")</f>
        <v>https://apiv3.iucnredlist.org/api/v3/website/Pitta nympha</v>
      </c>
      <c r="H533" s="90">
        <v>233</v>
      </c>
      <c r="J533" s="87" t="s">
        <v>945</v>
      </c>
      <c r="K533" s="92" t="s">
        <v>953</v>
      </c>
      <c r="M533" s="93" t="s">
        <v>954</v>
      </c>
      <c r="N533" s="90" t="s">
        <v>49</v>
      </c>
      <c r="O533" s="90" t="s">
        <v>38</v>
      </c>
      <c r="P533" s="90" t="s">
        <v>38</v>
      </c>
      <c r="Q533" s="2" t="s">
        <v>3164</v>
      </c>
      <c r="R533" s="2" t="s">
        <v>6440</v>
      </c>
    </row>
    <row r="534" spans="1:18" ht="14.4" x14ac:dyDescent="0.3">
      <c r="A534" s="85">
        <v>428</v>
      </c>
      <c r="B534" s="76" t="s">
        <v>3773</v>
      </c>
      <c r="C534" s="77" t="str">
        <f>HYPERLINK("https://www.xeno-canto.org/species/Pitta-steerii")</f>
        <v>https://www.xeno-canto.org/species/Pitta-steerii</v>
      </c>
      <c r="D534" s="94" t="str">
        <f>HYPERLINK("https://ebird.org/species/azbpit1")</f>
        <v>https://ebird.org/species/azbpit1</v>
      </c>
      <c r="E534" s="122" t="str">
        <f>HYPERLINK("https://en.wikipedia.org/wiki/Azure-breasted_Pitta")</f>
        <v>https://en.wikipedia.org/wiki/Azure-breasted_Pitta</v>
      </c>
      <c r="F534" s="123" t="str">
        <f>HYPERLINK("https://apiv3.iucnredlist.org/api/v3/website/Pitta steerii")</f>
        <v>https://apiv3.iucnredlist.org/api/v3/website/Pitta steerii</v>
      </c>
      <c r="G534" s="90">
        <v>43</v>
      </c>
      <c r="H534" s="90">
        <v>235</v>
      </c>
      <c r="J534" s="87" t="s">
        <v>945</v>
      </c>
      <c r="K534" s="98" t="s">
        <v>951</v>
      </c>
      <c r="M534" s="99" t="s">
        <v>952</v>
      </c>
      <c r="N534" s="90" t="s">
        <v>57</v>
      </c>
      <c r="O534" s="90" t="s">
        <v>38</v>
      </c>
      <c r="P534" s="90" t="s">
        <v>38</v>
      </c>
      <c r="Q534" s="2" t="s">
        <v>3774</v>
      </c>
    </row>
    <row r="536" spans="1:18" ht="12" x14ac:dyDescent="0.3">
      <c r="K536" s="88" t="s">
        <v>957</v>
      </c>
      <c r="M536" s="89" t="s">
        <v>958</v>
      </c>
    </row>
    <row r="537" spans="1:18" ht="14.4" x14ac:dyDescent="0.3">
      <c r="A537" s="85">
        <v>429</v>
      </c>
      <c r="B537" s="74" t="s">
        <v>3775</v>
      </c>
      <c r="C537" s="75" t="str">
        <f>HYPERLINK("https://www.xeno-canto.org/species/Gerygone-sulphurea")</f>
        <v>https://www.xeno-canto.org/species/Gerygone-sulphurea</v>
      </c>
      <c r="D537" s="91" t="str">
        <f>HYPERLINK("https://ebird.org/species/gobger1")</f>
        <v>https://ebird.org/species/gobger1</v>
      </c>
      <c r="E537" s="120" t="str">
        <f>HYPERLINK("https://en.wikipedia.org/wiki/Golden-bellied_Gerygone")</f>
        <v>https://en.wikipedia.org/wiki/Golden-bellied_Gerygone</v>
      </c>
      <c r="F537" s="121" t="str">
        <f>HYPERLINK("https://apiv3.iucnredlist.org/api/v3/website/Gerygone sulphurea")</f>
        <v>https://apiv3.iucnredlist.org/api/v3/website/Gerygone sulphurea</v>
      </c>
      <c r="G537" s="90">
        <v>56</v>
      </c>
      <c r="H537" s="90">
        <v>235</v>
      </c>
      <c r="J537" s="87" t="s">
        <v>958</v>
      </c>
      <c r="K537" s="95" t="s">
        <v>959</v>
      </c>
      <c r="M537" s="93" t="s">
        <v>960</v>
      </c>
      <c r="N537" s="90" t="s">
        <v>37</v>
      </c>
      <c r="Q537" s="2" t="s">
        <v>3233</v>
      </c>
    </row>
    <row r="539" spans="1:18" ht="24" x14ac:dyDescent="0.3">
      <c r="K539" s="88" t="s">
        <v>5831</v>
      </c>
      <c r="M539" s="89" t="s">
        <v>961</v>
      </c>
    </row>
    <row r="540" spans="1:18" ht="14.4" x14ac:dyDescent="0.3">
      <c r="A540" s="85">
        <v>430</v>
      </c>
      <c r="B540" s="74" t="s">
        <v>3776</v>
      </c>
      <c r="C540" s="75" t="str">
        <f>HYPERLINK("https://www.xeno-canto.org/species/Artamus-leucorynchus")</f>
        <v>https://www.xeno-canto.org/species/Artamus-leucorynchus</v>
      </c>
      <c r="D540" s="91" t="str">
        <f>HYPERLINK("https://ebird.org/species/whbwoo4")</f>
        <v>https://ebird.org/species/whbwoo4</v>
      </c>
      <c r="E540" s="120" t="str">
        <f>HYPERLINK("https://en.wikipedia.org/wiki/White-breasted_Woodswallow")</f>
        <v>https://en.wikipedia.org/wiki/White-breasted_Woodswallow</v>
      </c>
      <c r="F540" s="121" t="str">
        <f>HYPERLINK("https://apiv3.iucnredlist.org/api/v3/website/Artamus leucorynchus")</f>
        <v>https://apiv3.iucnredlist.org/api/v3/website/Artamus leucorynchus</v>
      </c>
      <c r="G540" s="90">
        <v>65</v>
      </c>
      <c r="H540" s="90">
        <v>245</v>
      </c>
      <c r="J540" s="87" t="s">
        <v>961</v>
      </c>
      <c r="K540" s="95" t="s">
        <v>962</v>
      </c>
      <c r="M540" s="93" t="s">
        <v>963</v>
      </c>
      <c r="N540" s="90" t="s">
        <v>37</v>
      </c>
      <c r="Q540" s="2" t="s">
        <v>3233</v>
      </c>
    </row>
    <row r="542" spans="1:18" ht="12" x14ac:dyDescent="0.3">
      <c r="K542" s="88" t="s">
        <v>964</v>
      </c>
      <c r="M542" s="89" t="s">
        <v>965</v>
      </c>
    </row>
    <row r="543" spans="1:18" ht="14.4" x14ac:dyDescent="0.3">
      <c r="A543" s="85">
        <v>431</v>
      </c>
      <c r="B543" s="74" t="s">
        <v>3777</v>
      </c>
      <c r="C543" s="75" t="str">
        <f>HYPERLINK("https://www.xeno-canto.org/species/Aegithina-tiphia")</f>
        <v>https://www.xeno-canto.org/species/Aegithina-tiphia</v>
      </c>
      <c r="D543" s="91" t="str">
        <f>HYPERLINK("https://ebird.org/species/comior1")</f>
        <v>https://ebird.org/species/comior1</v>
      </c>
      <c r="E543" s="120" t="str">
        <f>HYPERLINK("https://en.wikipedia.org/wiki/Common_Iora")</f>
        <v>https://en.wikipedia.org/wiki/Common_Iora</v>
      </c>
      <c r="F543" s="121" t="str">
        <f>HYPERLINK("https://apiv3.iucnredlist.org/api/v3/website/Aegithina tiphia")</f>
        <v>https://apiv3.iucnredlist.org/api/v3/website/Aegithina tiphia</v>
      </c>
      <c r="G543" s="90">
        <v>46</v>
      </c>
      <c r="H543" s="90">
        <v>247</v>
      </c>
      <c r="J543" s="87" t="s">
        <v>965</v>
      </c>
      <c r="K543" s="95" t="s">
        <v>966</v>
      </c>
      <c r="M543" s="93" t="s">
        <v>967</v>
      </c>
      <c r="N543" s="90" t="s">
        <v>37</v>
      </c>
      <c r="Q543" s="2" t="s">
        <v>3778</v>
      </c>
    </row>
    <row r="545" spans="1:18" ht="12" x14ac:dyDescent="0.3">
      <c r="K545" s="88" t="s">
        <v>968</v>
      </c>
      <c r="M545" s="89" t="s">
        <v>969</v>
      </c>
    </row>
    <row r="546" spans="1:18" ht="14.4" x14ac:dyDescent="0.3">
      <c r="A546" s="85">
        <v>432</v>
      </c>
      <c r="B546" s="74" t="s">
        <v>3779</v>
      </c>
      <c r="C546" s="75" t="str">
        <f>HYPERLINK("https://www.xeno-canto.org/species/Pericrocotus-igneus")</f>
        <v>https://www.xeno-canto.org/species/Pericrocotus-igneus</v>
      </c>
      <c r="D546" s="91" t="str">
        <f>HYPERLINK("https://ebird.org/species/fiemin1")</f>
        <v>https://ebird.org/species/fiemin1</v>
      </c>
      <c r="E546" s="120" t="str">
        <f>HYPERLINK("https://en.wikipedia.org/wiki/Fiery_Minivet")</f>
        <v>https://en.wikipedia.org/wiki/Fiery_Minivet</v>
      </c>
      <c r="F546" s="121" t="str">
        <f>HYPERLINK("https://apiv3.iucnredlist.org/api/v3/website/Pericrocotus igneus")</f>
        <v>https://apiv3.iucnredlist.org/api/v3/website/Pericrocotus igneus</v>
      </c>
      <c r="G546" s="90">
        <v>46</v>
      </c>
      <c r="H546" s="90">
        <v>241</v>
      </c>
      <c r="J546" s="87" t="s">
        <v>969</v>
      </c>
      <c r="K546" s="95" t="s">
        <v>970</v>
      </c>
      <c r="M546" s="93" t="s">
        <v>971</v>
      </c>
      <c r="N546" s="90" t="s">
        <v>37</v>
      </c>
      <c r="O546" s="90" t="s">
        <v>50</v>
      </c>
      <c r="P546" s="90" t="s">
        <v>38</v>
      </c>
      <c r="Q546" s="2" t="s">
        <v>3780</v>
      </c>
    </row>
    <row r="547" spans="1:18" ht="14.4" x14ac:dyDescent="0.3">
      <c r="A547" s="85">
        <v>433</v>
      </c>
      <c r="B547" s="76" t="s">
        <v>3781</v>
      </c>
      <c r="C547" s="77" t="str">
        <f>HYPERLINK("https://www.xeno-canto.org/species/Pericrocotus-speciosus")</f>
        <v>https://www.xeno-canto.org/species/Pericrocotus-speciosus</v>
      </c>
      <c r="D547" s="94" t="str">
        <f>HYPERLINK("https://ebird.org/species/scamin1")</f>
        <v>https://ebird.org/species/scamin1</v>
      </c>
      <c r="E547" s="122" t="str">
        <f>HYPERLINK("https://en.wikipedia.org/wiki/Scarlet_Minivet")</f>
        <v>https://en.wikipedia.org/wiki/Scarlet_Minivet</v>
      </c>
      <c r="F547" s="123" t="str">
        <f>HYPERLINK("https://apiv3.iucnredlist.org/api/v3/website/Pericrocotus speciosus")</f>
        <v>https://apiv3.iucnredlist.org/api/v3/website/Pericrocotus speciosus</v>
      </c>
      <c r="G547" s="90">
        <v>46</v>
      </c>
      <c r="H547" s="90">
        <v>241</v>
      </c>
      <c r="J547" s="87" t="s">
        <v>969</v>
      </c>
      <c r="K547" s="95" t="s">
        <v>972</v>
      </c>
      <c r="M547" s="93" t="s">
        <v>973</v>
      </c>
      <c r="N547" s="90" t="s">
        <v>37</v>
      </c>
      <c r="Q547" s="2" t="s">
        <v>3782</v>
      </c>
    </row>
    <row r="548" spans="1:18" ht="14.4" x14ac:dyDescent="0.3">
      <c r="A548" s="85">
        <v>434</v>
      </c>
      <c r="B548" s="76" t="s">
        <v>3783</v>
      </c>
      <c r="C548" s="77" t="str">
        <f>HYPERLINK("https://www.xeno-canto.org/species/Pericrocotus-divaricatus")</f>
        <v>https://www.xeno-canto.org/species/Pericrocotus-divaricatus</v>
      </c>
      <c r="D548" s="94" t="str">
        <f>HYPERLINK("https://ebird.org/species/ashmin1")</f>
        <v>https://ebird.org/species/ashmin1</v>
      </c>
      <c r="E548" s="122" t="str">
        <f>HYPERLINK("https://en.wikipedia.org/wiki/Ashy_Minivet")</f>
        <v>https://en.wikipedia.org/wiki/Ashy_Minivet</v>
      </c>
      <c r="F548" s="123" t="str">
        <f>HYPERLINK("https://apiv3.iucnredlist.org/api/v3/website/Pericrocotus divaricatus")</f>
        <v>https://apiv3.iucnredlist.org/api/v3/website/Pericrocotus divaricatus</v>
      </c>
      <c r="G548" s="90">
        <v>46</v>
      </c>
      <c r="H548" s="90">
        <v>241</v>
      </c>
      <c r="J548" s="87" t="s">
        <v>969</v>
      </c>
      <c r="K548" s="95" t="s">
        <v>975</v>
      </c>
      <c r="M548" s="93" t="s">
        <v>976</v>
      </c>
      <c r="N548" s="90" t="s">
        <v>89</v>
      </c>
      <c r="Q548" s="2" t="s">
        <v>3784</v>
      </c>
    </row>
    <row r="549" spans="1:18" ht="20.399999999999999" x14ac:dyDescent="0.3">
      <c r="A549" s="85">
        <v>435</v>
      </c>
      <c r="B549" s="76" t="s">
        <v>3785</v>
      </c>
      <c r="C549" s="77" t="str">
        <f>HYPERLINK("https://www.xeno-canto.org/species/Coracina-striata")</f>
        <v>https://www.xeno-canto.org/species/Coracina-striata</v>
      </c>
      <c r="D549" s="94" t="str">
        <f>HYPERLINK("https://ebird.org/species/babcus1")</f>
        <v>https://ebird.org/species/babcus1</v>
      </c>
      <c r="E549" s="122" t="str">
        <f>HYPERLINK("https://en.wikipedia.org/wiki/Bar-bellied_Cuckooshrike")</f>
        <v>https://en.wikipedia.org/wiki/Bar-bellied_Cuckooshrike</v>
      </c>
      <c r="F549" s="123" t="str">
        <f>HYPERLINK("https://apiv3.iucnredlist.org/api/v3/website/Coracina striata")</f>
        <v>https://apiv3.iucnredlist.org/api/v3/website/Coracina striata</v>
      </c>
      <c r="G549" s="90">
        <v>45</v>
      </c>
      <c r="H549" s="90">
        <v>241</v>
      </c>
      <c r="J549" s="87" t="s">
        <v>969</v>
      </c>
      <c r="K549" s="95" t="s">
        <v>977</v>
      </c>
      <c r="L549" s="86" t="s">
        <v>5128</v>
      </c>
      <c r="M549" s="93" t="s">
        <v>978</v>
      </c>
      <c r="N549" s="90" t="s">
        <v>37</v>
      </c>
      <c r="Q549" s="2" t="s">
        <v>3786</v>
      </c>
    </row>
    <row r="550" spans="1:18" ht="14.4" x14ac:dyDescent="0.3">
      <c r="A550" s="85">
        <v>436</v>
      </c>
      <c r="B550" s="76" t="s">
        <v>3787</v>
      </c>
      <c r="C550" s="77" t="str">
        <f>HYPERLINK("https://www.xeno-canto.org/species/Malindangia-mcgregori")</f>
        <v>https://www.xeno-canto.org/species/Malindangia-mcgregori</v>
      </c>
      <c r="D550" s="94" t="str">
        <f>HYPERLINK("https://ebird.org/species/mcgcus1")</f>
        <v>https://ebird.org/species/mcgcus1</v>
      </c>
      <c r="E550" s="122" t="str">
        <f>HYPERLINK("https://en.wikipedia.org/wiki/McGregor's_Cuckooshrike")</f>
        <v>https://en.wikipedia.org/wiki/McGregor's_Cuckooshrike</v>
      </c>
      <c r="F550" s="123" t="str">
        <f>HYPERLINK("https://apiv3.iucnredlist.org/api/v3/website/Malindangia mcgregori")</f>
        <v>https://apiv3.iucnredlist.org/api/v3/website/Malindangia mcgregori</v>
      </c>
      <c r="G550" s="90">
        <v>45</v>
      </c>
      <c r="H550" s="90">
        <v>243</v>
      </c>
      <c r="J550" s="87" t="s">
        <v>969</v>
      </c>
      <c r="K550" s="98" t="s">
        <v>979</v>
      </c>
      <c r="M550" s="99" t="s">
        <v>980</v>
      </c>
      <c r="N550" s="90" t="s">
        <v>57</v>
      </c>
      <c r="P550" s="90" t="s">
        <v>38</v>
      </c>
      <c r="Q550" s="2" t="s">
        <v>3788</v>
      </c>
    </row>
    <row r="551" spans="1:18" ht="14.4" x14ac:dyDescent="0.3">
      <c r="A551" s="85">
        <v>437</v>
      </c>
      <c r="B551" s="76" t="s">
        <v>3789</v>
      </c>
      <c r="C551" s="77" t="str">
        <f>HYPERLINK("https://www.xeno-canto.org/species/Edolisoma-ostentum")</f>
        <v>https://www.xeno-canto.org/species/Edolisoma-ostentum</v>
      </c>
      <c r="D551" s="94" t="str">
        <f>HYPERLINK("https://ebird.org/species/whwcus1")</f>
        <v>https://ebird.org/species/whwcus1</v>
      </c>
      <c r="E551" s="122" t="str">
        <f>HYPERLINK("https://en.wikipedia.org/wiki/White-winged_Cuckooshrike")</f>
        <v>https://en.wikipedia.org/wiki/White-winged_Cuckooshrike</v>
      </c>
      <c r="F551" s="123" t="str">
        <f>HYPERLINK("https://apiv3.iucnredlist.org/api/v3/website/Edolisoma ostentum")</f>
        <v>https://apiv3.iucnredlist.org/api/v3/website/Edolisoma ostentum</v>
      </c>
      <c r="G551" s="90">
        <v>45</v>
      </c>
      <c r="H551" s="90">
        <v>243</v>
      </c>
      <c r="J551" s="87" t="s">
        <v>969</v>
      </c>
      <c r="K551" s="98" t="s">
        <v>981</v>
      </c>
      <c r="L551" s="86" t="s">
        <v>2028</v>
      </c>
      <c r="M551" s="99" t="s">
        <v>982</v>
      </c>
      <c r="N551" s="90" t="s">
        <v>57</v>
      </c>
      <c r="O551" s="90" t="s">
        <v>38</v>
      </c>
      <c r="P551" s="90" t="s">
        <v>38</v>
      </c>
      <c r="Q551" s="2" t="s">
        <v>3790</v>
      </c>
    </row>
    <row r="552" spans="1:18" ht="14.4" x14ac:dyDescent="0.3">
      <c r="A552" s="85">
        <v>438</v>
      </c>
      <c r="B552" s="76" t="s">
        <v>3791</v>
      </c>
      <c r="C552" s="77" t="str">
        <f>HYPERLINK("https://www.xeno-canto.org/species/Edolisoma-coerulescens")</f>
        <v>https://www.xeno-canto.org/species/Edolisoma-coerulescens</v>
      </c>
      <c r="D552" s="94" t="str">
        <f>HYPERLINK("https://ebird.org/species/blacus1")</f>
        <v>https://ebird.org/species/blacus1</v>
      </c>
      <c r="E552" s="122" t="str">
        <f>HYPERLINK("https://en.wikipedia.org/wiki/Blackish_Cuckooshrike")</f>
        <v>https://en.wikipedia.org/wiki/Blackish_Cuckooshrike</v>
      </c>
      <c r="F552" s="123" t="str">
        <f>HYPERLINK("https://apiv3.iucnredlist.org/api/v3/website/Edolisoma coerulescens")</f>
        <v>https://apiv3.iucnredlist.org/api/v3/website/Edolisoma coerulescens</v>
      </c>
      <c r="G552" s="90">
        <v>45</v>
      </c>
      <c r="H552" s="90">
        <v>243</v>
      </c>
      <c r="J552" s="87" t="s">
        <v>969</v>
      </c>
      <c r="K552" s="98" t="s">
        <v>983</v>
      </c>
      <c r="L552" s="86" t="s">
        <v>2030</v>
      </c>
      <c r="M552" s="99" t="s">
        <v>984</v>
      </c>
      <c r="N552" s="90" t="s">
        <v>57</v>
      </c>
      <c r="Q552" s="2" t="s">
        <v>3792</v>
      </c>
    </row>
    <row r="553" spans="1:18" ht="14.4" x14ac:dyDescent="0.3">
      <c r="A553" s="85">
        <v>439</v>
      </c>
      <c r="B553" s="76" t="s">
        <v>3793</v>
      </c>
      <c r="C553" s="77" t="str">
        <f>HYPERLINK("https://www.xeno-canto.org/species/Edolisoma-mindanense")</f>
        <v>https://www.xeno-canto.org/species/Edolisoma-mindanense</v>
      </c>
      <c r="D553" s="94" t="str">
        <f>HYPERLINK("https://ebird.org/species/bkbcus1")</f>
        <v>https://ebird.org/species/bkbcus1</v>
      </c>
      <c r="E553" s="122" t="str">
        <f>HYPERLINK("https://en.wikipedia.org/wiki/Black-bibbed_Cicadabird")</f>
        <v>https://en.wikipedia.org/wiki/Black-bibbed_Cicadabird</v>
      </c>
      <c r="F553" s="123" t="str">
        <f>HYPERLINK("https://apiv3.iucnredlist.org/api/v3/website/Edolisoma mindanense")</f>
        <v>https://apiv3.iucnredlist.org/api/v3/website/Edolisoma mindanense</v>
      </c>
      <c r="G553" s="90">
        <v>45</v>
      </c>
      <c r="H553" s="90">
        <v>243</v>
      </c>
      <c r="J553" s="87" t="s">
        <v>969</v>
      </c>
      <c r="K553" s="98" t="s">
        <v>2033</v>
      </c>
      <c r="M553" s="99" t="s">
        <v>986</v>
      </c>
      <c r="N553" s="90" t="s">
        <v>57</v>
      </c>
      <c r="O553" s="90" t="s">
        <v>38</v>
      </c>
      <c r="P553" s="90" t="s">
        <v>38</v>
      </c>
      <c r="Q553" s="2" t="s">
        <v>3794</v>
      </c>
    </row>
    <row r="554" spans="1:18" ht="20.399999999999999" x14ac:dyDescent="0.3">
      <c r="A554" s="85">
        <v>440</v>
      </c>
      <c r="B554" s="76" t="s">
        <v>3795</v>
      </c>
      <c r="C554" s="77" t="str">
        <f>HYPERLINK("https://www.xeno-canto.org/species/Lalage-melanoleuca")</f>
        <v>https://www.xeno-canto.org/species/Lalage-melanoleuca</v>
      </c>
      <c r="D554" s="94" t="str">
        <f>HYPERLINK("https://ebird.org/species/bawtri1")</f>
        <v>https://ebird.org/species/bawtri1</v>
      </c>
      <c r="E554" s="122" t="str">
        <f>HYPERLINK("https://en.wikipedia.org/wiki/Black-and-white_Triller")</f>
        <v>https://en.wikipedia.org/wiki/Black-and-white_Triller</v>
      </c>
      <c r="F554" s="123" t="str">
        <f>HYPERLINK("https://apiv3.iucnredlist.org/api/v3/website/Lalage melanoleuca")</f>
        <v>https://apiv3.iucnredlist.org/api/v3/website/Lalage melanoleuca</v>
      </c>
      <c r="G554" s="90">
        <v>46</v>
      </c>
      <c r="H554" s="90">
        <v>245</v>
      </c>
      <c r="J554" s="87" t="s">
        <v>969</v>
      </c>
      <c r="K554" s="98" t="s">
        <v>987</v>
      </c>
      <c r="L554" s="86" t="s">
        <v>4761</v>
      </c>
      <c r="M554" s="99" t="s">
        <v>988</v>
      </c>
      <c r="N554" s="90" t="s">
        <v>57</v>
      </c>
      <c r="Q554" s="2" t="s">
        <v>3796</v>
      </c>
    </row>
    <row r="555" spans="1:18" ht="14.4" x14ac:dyDescent="0.3">
      <c r="A555" s="85">
        <v>441</v>
      </c>
      <c r="B555" s="76" t="s">
        <v>3797</v>
      </c>
      <c r="C555" s="77" t="str">
        <f>HYPERLINK("https://www.xeno-canto.org/species/Lalage-nigra")</f>
        <v>https://www.xeno-canto.org/species/Lalage-nigra</v>
      </c>
      <c r="D555" s="94" t="str">
        <f>HYPERLINK("https://ebird.org/species/pietri1")</f>
        <v>https://ebird.org/species/pietri1</v>
      </c>
      <c r="E555" s="122" t="str">
        <f>HYPERLINK("https://en.wikipedia.org/wiki/Pied_Triller")</f>
        <v>https://en.wikipedia.org/wiki/Pied_Triller</v>
      </c>
      <c r="F555" s="123" t="str">
        <f>HYPERLINK("https://apiv3.iucnredlist.org/api/v3/website/Lalage nigra")</f>
        <v>https://apiv3.iucnredlist.org/api/v3/website/Lalage nigra</v>
      </c>
      <c r="G555" s="90">
        <v>46</v>
      </c>
      <c r="H555" s="90">
        <v>245</v>
      </c>
      <c r="J555" s="87" t="s">
        <v>969</v>
      </c>
      <c r="K555" s="95" t="s">
        <v>989</v>
      </c>
      <c r="M555" s="93" t="s">
        <v>990</v>
      </c>
      <c r="N555" s="90" t="s">
        <v>37</v>
      </c>
      <c r="Q555" s="2" t="s">
        <v>3233</v>
      </c>
    </row>
    <row r="556" spans="1:18" ht="30.6" x14ac:dyDescent="0.3">
      <c r="A556" s="85">
        <v>442</v>
      </c>
      <c r="B556" s="76" t="s">
        <v>3798</v>
      </c>
      <c r="C556" s="77" t="str">
        <f>HYPERLINK("https://www.xeno-canto.org/species/Lalage-melaschistos")</f>
        <v>https://www.xeno-canto.org/species/Lalage-melaschistos</v>
      </c>
      <c r="D556" s="94" t="str">
        <f>HYPERLINK("https://ebird.org/species/bkwcus1")</f>
        <v>https://ebird.org/species/bkwcus1</v>
      </c>
      <c r="E556" s="122" t="str">
        <f>HYPERLINK("https://en.wikipedia.org/wiki/Black-winged_Cuckooshrike")</f>
        <v>https://en.wikipedia.org/wiki/Black-winged_Cuckooshrike</v>
      </c>
      <c r="F556" s="123" t="str">
        <f>HYPERLINK("https://apiv3.iucnredlist.org/api/v3/website/Lalage melaschistos")</f>
        <v>https://apiv3.iucnredlist.org/api/v3/website/Lalage melaschistos</v>
      </c>
      <c r="H556" s="90">
        <v>245</v>
      </c>
      <c r="J556" s="87" t="s">
        <v>969</v>
      </c>
      <c r="K556" s="92" t="s">
        <v>991</v>
      </c>
      <c r="M556" s="93" t="s">
        <v>992</v>
      </c>
      <c r="N556" s="90" t="s">
        <v>49</v>
      </c>
      <c r="Q556" s="2" t="s">
        <v>3799</v>
      </c>
      <c r="R556" s="2" t="s">
        <v>6441</v>
      </c>
    </row>
    <row r="558" spans="1:18" ht="12" x14ac:dyDescent="0.3">
      <c r="K558" s="88" t="s">
        <v>5832</v>
      </c>
      <c r="M558" s="89" t="s">
        <v>993</v>
      </c>
    </row>
    <row r="559" spans="1:18" ht="14.4" x14ac:dyDescent="0.3">
      <c r="A559" s="85">
        <v>443</v>
      </c>
      <c r="B559" s="74" t="s">
        <v>3800</v>
      </c>
      <c r="C559" s="75" t="str">
        <f>HYPERLINK("https://www.xeno-canto.org/species/Pachycephala-cinerea")</f>
        <v>https://www.xeno-canto.org/species/Pachycephala-cinerea</v>
      </c>
      <c r="D559" s="91" t="str">
        <f>HYPERLINK("https://ebird.org/species/manwhi1")</f>
        <v>https://ebird.org/species/manwhi1</v>
      </c>
      <c r="E559" s="120" t="str">
        <f>HYPERLINK("https://en.wikipedia.org/wiki/Mangrove_Whistler")</f>
        <v>https://en.wikipedia.org/wiki/Mangrove_Whistler</v>
      </c>
      <c r="F559" s="121" t="str">
        <f>HYPERLINK("https://apiv3.iucnredlist.org/api/v3/website/Pachycephala cinerea")</f>
        <v>https://apiv3.iucnredlist.org/api/v3/website/Pachycephala cinerea</v>
      </c>
      <c r="G559" s="90">
        <v>63</v>
      </c>
      <c r="H559" s="90">
        <v>239</v>
      </c>
      <c r="J559" s="87" t="s">
        <v>993</v>
      </c>
      <c r="K559" s="95" t="s">
        <v>994</v>
      </c>
      <c r="M559" s="93" t="s">
        <v>995</v>
      </c>
      <c r="N559" s="90" t="s">
        <v>37</v>
      </c>
      <c r="Q559" s="2" t="s">
        <v>3140</v>
      </c>
      <c r="R559" s="2" t="s">
        <v>9</v>
      </c>
    </row>
    <row r="560" spans="1:18" ht="14.4" x14ac:dyDescent="0.3">
      <c r="A560" s="85">
        <v>444</v>
      </c>
      <c r="B560" s="76" t="s">
        <v>3801</v>
      </c>
      <c r="C560" s="77" t="str">
        <f>HYPERLINK("https://www.xeno-canto.org/species/Pachycephala-albiventris")</f>
        <v>https://www.xeno-canto.org/species/Pachycephala-albiventris</v>
      </c>
      <c r="D560" s="94" t="str">
        <f>HYPERLINK("https://ebird.org/species/grbwhi1")</f>
        <v>https://ebird.org/species/grbwhi1</v>
      </c>
      <c r="E560" s="122" t="str">
        <f>HYPERLINK("https://en.wikipedia.org/wiki/Green-backed_Whistler")</f>
        <v>https://en.wikipedia.org/wiki/Green-backed_Whistler</v>
      </c>
      <c r="F560" s="123" t="str">
        <f>HYPERLINK("https://apiv3.iucnredlist.org/api/v3/website/Pachycephala albiventris")</f>
        <v>https://apiv3.iucnredlist.org/api/v3/website/Pachycephala albiventris</v>
      </c>
      <c r="G560" s="90">
        <v>63</v>
      </c>
      <c r="H560" s="90">
        <v>239</v>
      </c>
      <c r="J560" s="87" t="s">
        <v>993</v>
      </c>
      <c r="K560" s="98" t="s">
        <v>996</v>
      </c>
      <c r="M560" s="99" t="s">
        <v>997</v>
      </c>
      <c r="N560" s="90" t="s">
        <v>57</v>
      </c>
      <c r="Q560" s="2" t="s">
        <v>3802</v>
      </c>
      <c r="R560" s="2" t="s">
        <v>9</v>
      </c>
    </row>
    <row r="561" spans="1:18" ht="20.399999999999999" x14ac:dyDescent="0.3">
      <c r="A561" s="85">
        <v>445</v>
      </c>
      <c r="B561" s="76" t="s">
        <v>3803</v>
      </c>
      <c r="C561" s="77" t="str">
        <f>HYPERLINK("https://www.xeno-canto.org/species/Pachycephala-homeyeri")</f>
        <v>https://www.xeno-canto.org/species/Pachycephala-homeyeri</v>
      </c>
      <c r="D561" s="94" t="str">
        <f>HYPERLINK("https://ebird.org/species/whvwhi1")</f>
        <v>https://ebird.org/species/whvwhi1</v>
      </c>
      <c r="E561" s="122" t="str">
        <f>HYPERLINK("https://en.wikipedia.org/wiki/White-vented_Whistler")</f>
        <v>https://en.wikipedia.org/wiki/White-vented_Whistler</v>
      </c>
      <c r="F561" s="123" t="str">
        <f>HYPERLINK("https://apiv3.iucnredlist.org/api/v3/website/Pachycephala homeyeri")</f>
        <v>https://apiv3.iucnredlist.org/api/v3/website/Pachycephala homeyeri</v>
      </c>
      <c r="G561" s="90">
        <v>63</v>
      </c>
      <c r="H561" s="90">
        <v>239</v>
      </c>
      <c r="J561" s="87" t="s">
        <v>993</v>
      </c>
      <c r="K561" s="95" t="s">
        <v>998</v>
      </c>
      <c r="M561" s="93" t="s">
        <v>999</v>
      </c>
      <c r="N561" s="90" t="s">
        <v>253</v>
      </c>
      <c r="Q561" s="2" t="s">
        <v>3804</v>
      </c>
      <c r="R561" s="2" t="s">
        <v>1000</v>
      </c>
    </row>
    <row r="562" spans="1:18" ht="20.399999999999999" x14ac:dyDescent="0.3">
      <c r="A562" s="85">
        <v>446</v>
      </c>
      <c r="B562" s="76" t="s">
        <v>3805</v>
      </c>
      <c r="C562" s="77" t="str">
        <f>HYPERLINK("https://www.xeno-canto.org/species/Pachycephala-philippinensis")</f>
        <v>https://www.xeno-canto.org/species/Pachycephala-philippinensis</v>
      </c>
      <c r="D562" s="94" t="str">
        <f>HYPERLINK("https://ebird.org/species/yebwhi1")</f>
        <v>https://ebird.org/species/yebwhi1</v>
      </c>
      <c r="E562" s="122" t="str">
        <f>HYPERLINK("https://en.wikipedia.org/wiki/Yellow-bellied_Whistler")</f>
        <v>https://en.wikipedia.org/wiki/Yellow-bellied_Whistler</v>
      </c>
      <c r="F562" s="123" t="str">
        <f>HYPERLINK("https://apiv3.iucnredlist.org/api/v3/website/Pachycephala philippinensis")</f>
        <v>https://apiv3.iucnredlist.org/api/v3/website/Pachycephala philippinensis</v>
      </c>
      <c r="G562" s="90">
        <v>63</v>
      </c>
      <c r="H562" s="90">
        <v>239</v>
      </c>
      <c r="J562" s="87" t="s">
        <v>993</v>
      </c>
      <c r="K562" s="98" t="s">
        <v>1001</v>
      </c>
      <c r="M562" s="99" t="s">
        <v>1002</v>
      </c>
      <c r="N562" s="90" t="s">
        <v>57</v>
      </c>
      <c r="Q562" s="2" t="s">
        <v>3806</v>
      </c>
      <c r="R562" s="2" t="s">
        <v>9</v>
      </c>
    </row>
    <row r="564" spans="1:18" ht="24" x14ac:dyDescent="0.3">
      <c r="K564" s="88" t="s">
        <v>5833</v>
      </c>
      <c r="M564" s="89" t="s">
        <v>1013</v>
      </c>
    </row>
    <row r="565" spans="1:18" ht="14.4" x14ac:dyDescent="0.3">
      <c r="A565" s="85">
        <v>447</v>
      </c>
      <c r="B565" s="74" t="s">
        <v>3813</v>
      </c>
      <c r="C565" s="75" t="str">
        <f>HYPERLINK("https://www.xeno-canto.org/species/Oriolus-isabellae")</f>
        <v>https://www.xeno-canto.org/species/Oriolus-isabellae</v>
      </c>
      <c r="D565" s="91" t="str">
        <f>HYPERLINK("https://ebird.org/species/isaori1")</f>
        <v>https://ebird.org/species/isaori1</v>
      </c>
      <c r="E565" s="120" t="str">
        <f>HYPERLINK("https://en.wikipedia.org/wiki/Isabela_Oriole")</f>
        <v>https://en.wikipedia.org/wiki/Isabela_Oriole</v>
      </c>
      <c r="F565" s="121" t="str">
        <f>HYPERLINK("https://apiv3.iucnredlist.org/api/v3/website/Oriolus isabellae")</f>
        <v>https://apiv3.iucnredlist.org/api/v3/website/Oriolus isabellae</v>
      </c>
      <c r="G565" s="90">
        <v>49</v>
      </c>
      <c r="H565" s="90">
        <v>237</v>
      </c>
      <c r="J565" s="87" t="s">
        <v>1013</v>
      </c>
      <c r="K565" s="102" t="s">
        <v>1020</v>
      </c>
      <c r="M565" s="99" t="s">
        <v>1021</v>
      </c>
      <c r="N565" s="90" t="s">
        <v>57</v>
      </c>
      <c r="O565" s="90" t="s">
        <v>112</v>
      </c>
      <c r="P565" s="90" t="s">
        <v>112</v>
      </c>
      <c r="Q565" s="2" t="s">
        <v>3814</v>
      </c>
      <c r="R565" s="2" t="s">
        <v>9</v>
      </c>
    </row>
    <row r="566" spans="1:18" ht="14.4" x14ac:dyDescent="0.3">
      <c r="A566" s="85">
        <v>448</v>
      </c>
      <c r="B566" s="76" t="s">
        <v>6562</v>
      </c>
      <c r="C566" s="77" t="str">
        <f>HYPERLINK("https://www.xeno-canto.org/species/Oriolus-consobrinus")</f>
        <v>https://www.xeno-canto.org/species/Oriolus-consobrinus</v>
      </c>
      <c r="D566" s="94" t="str">
        <f>HYPERLINK("https://ebird.org/species/datori7")</f>
        <v>https://ebird.org/species/datori7</v>
      </c>
      <c r="E566" s="122" t="str">
        <f>HYPERLINK("https://en.wikipedia.org/wiki/Ventriloquial_Oriole")</f>
        <v>https://en.wikipedia.org/wiki/Ventriloquial_Oriole</v>
      </c>
      <c r="F566" s="123" t="str">
        <f>HYPERLINK("https://apiv3.iucnredlist.org/api/v3/website/Oriolus consobrinus")</f>
        <v>https://apiv3.iucnredlist.org/api/v3/website/Oriolus consobrinus</v>
      </c>
      <c r="G566" s="90">
        <v>49</v>
      </c>
      <c r="H566" s="90">
        <v>235</v>
      </c>
      <c r="J566" s="87" t="s">
        <v>1013</v>
      </c>
      <c r="K566" s="106" t="s">
        <v>6563</v>
      </c>
      <c r="L566" s="86" t="s">
        <v>1014</v>
      </c>
      <c r="M566" s="97" t="s">
        <v>6564</v>
      </c>
      <c r="N566" s="90" t="s">
        <v>37</v>
      </c>
      <c r="O566" s="90" t="s">
        <v>50</v>
      </c>
      <c r="P566" s="90" t="s">
        <v>38</v>
      </c>
      <c r="Q566" s="2" t="s">
        <v>3815</v>
      </c>
    </row>
    <row r="567" spans="1:18" ht="14.4" x14ac:dyDescent="0.3">
      <c r="A567" s="85">
        <v>449</v>
      </c>
      <c r="B567" s="76" t="s">
        <v>3816</v>
      </c>
      <c r="C567" s="77" t="str">
        <f>HYPERLINK("https://www.xeno-canto.org/species/Oriolus-steerii")</f>
        <v>https://www.xeno-canto.org/species/Oriolus-steerii</v>
      </c>
      <c r="D567" s="94" t="str">
        <f>HYPERLINK("https://ebird.org/species/phiori1")</f>
        <v>https://ebird.org/species/phiori1</v>
      </c>
      <c r="E567" s="122" t="str">
        <f>HYPERLINK("https://en.wikipedia.org/wiki/Philippine_Oriole")</f>
        <v>https://en.wikipedia.org/wiki/Philippine_Oriole</v>
      </c>
      <c r="F567" s="123" t="str">
        <f>HYPERLINK("https://apiv3.iucnredlist.org/api/v3/website/Oriolus steerii")</f>
        <v>https://apiv3.iucnredlist.org/api/v3/website/Oriolus steerii</v>
      </c>
      <c r="G567" s="90">
        <v>49</v>
      </c>
      <c r="H567" s="90">
        <v>237</v>
      </c>
      <c r="J567" s="87" t="s">
        <v>1013</v>
      </c>
      <c r="K567" s="98" t="s">
        <v>1016</v>
      </c>
      <c r="M567" s="99" t="s">
        <v>1017</v>
      </c>
      <c r="N567" s="90" t="s">
        <v>57</v>
      </c>
      <c r="Q567" s="2" t="s">
        <v>3817</v>
      </c>
    </row>
    <row r="568" spans="1:18" ht="14.4" x14ac:dyDescent="0.3">
      <c r="A568" s="85">
        <v>450</v>
      </c>
      <c r="B568" s="76" t="s">
        <v>3818</v>
      </c>
      <c r="C568" s="77" t="str">
        <f>HYPERLINK("https://www.xeno-canto.org/species/Oriolus-albiloris")</f>
        <v>https://www.xeno-canto.org/species/Oriolus-albiloris</v>
      </c>
      <c r="D568" s="94" t="str">
        <f>HYPERLINK("https://ebird.org/species/whlori1")</f>
        <v>https://ebird.org/species/whlori1</v>
      </c>
      <c r="E568" s="122" t="str">
        <f>HYPERLINK("https://en.wikipedia.org/wiki/White-lored_Oriole")</f>
        <v>https://en.wikipedia.org/wiki/White-lored_Oriole</v>
      </c>
      <c r="F568" s="123" t="str">
        <f>HYPERLINK("https://apiv3.iucnredlist.org/api/v3/website/Oriolus albiloris")</f>
        <v>https://apiv3.iucnredlist.org/api/v3/website/Oriolus albiloris</v>
      </c>
      <c r="G568" s="90">
        <v>49</v>
      </c>
      <c r="H568" s="90">
        <v>237</v>
      </c>
      <c r="J568" s="87" t="s">
        <v>1013</v>
      </c>
      <c r="K568" s="98" t="s">
        <v>1018</v>
      </c>
      <c r="M568" s="99" t="s">
        <v>1019</v>
      </c>
      <c r="N568" s="90" t="s">
        <v>57</v>
      </c>
      <c r="Q568" s="2" t="s">
        <v>3819</v>
      </c>
    </row>
    <row r="569" spans="1:18" ht="14.4" x14ac:dyDescent="0.3">
      <c r="A569" s="85">
        <v>451</v>
      </c>
      <c r="B569" s="76" t="s">
        <v>3820</v>
      </c>
      <c r="C569" s="77" t="str">
        <f>HYPERLINK("https://www.xeno-canto.org/species/Oriolus-chinensis")</f>
        <v>https://www.xeno-canto.org/species/Oriolus-chinensis</v>
      </c>
      <c r="D569" s="94" t="str">
        <f>HYPERLINK("https://ebird.org/species/blnori1")</f>
        <v>https://ebird.org/species/blnori1</v>
      </c>
      <c r="E569" s="122" t="str">
        <f>HYPERLINK("https://en.wikipedia.org/wiki/Black-naped_Oriole")</f>
        <v>https://en.wikipedia.org/wiki/Black-naped_Oriole</v>
      </c>
      <c r="F569" s="123" t="str">
        <f>HYPERLINK("https://apiv3.iucnredlist.org/api/v3/website/Oriolus chinensis")</f>
        <v>https://apiv3.iucnredlist.org/api/v3/website/Oriolus chinensis</v>
      </c>
      <c r="G569" s="90">
        <v>49</v>
      </c>
      <c r="H569" s="90">
        <v>237</v>
      </c>
      <c r="J569" s="87" t="s">
        <v>1013</v>
      </c>
      <c r="K569" s="95" t="s">
        <v>1022</v>
      </c>
      <c r="M569" s="93" t="s">
        <v>1023</v>
      </c>
      <c r="N569" s="90" t="s">
        <v>37</v>
      </c>
      <c r="Q569" s="2" t="s">
        <v>3233</v>
      </c>
    </row>
    <row r="571" spans="1:18" ht="12" x14ac:dyDescent="0.3">
      <c r="K571" s="88" t="s">
        <v>1024</v>
      </c>
      <c r="M571" s="89" t="s">
        <v>1025</v>
      </c>
    </row>
    <row r="572" spans="1:18" ht="20.399999999999999" x14ac:dyDescent="0.3">
      <c r="A572" s="85">
        <v>452</v>
      </c>
      <c r="B572" s="74" t="s">
        <v>3821</v>
      </c>
      <c r="C572" s="75" t="str">
        <f>HYPERLINK("https://www.xeno-canto.org/species/Dicrurus-annectens")</f>
        <v>https://www.xeno-canto.org/species/Dicrurus-annectens</v>
      </c>
      <c r="D572" s="91" t="str">
        <f>HYPERLINK("https://ebird.org/species/crbdro1")</f>
        <v>https://ebird.org/species/crbdro1</v>
      </c>
      <c r="E572" s="120" t="str">
        <f>HYPERLINK("https://en.wikipedia.org/wiki/Crow-billed_Drongo")</f>
        <v>https://en.wikipedia.org/wiki/Crow-billed_Drongo</v>
      </c>
      <c r="F572" s="121" t="str">
        <f>HYPERLINK("https://apiv3.iucnredlist.org/api/v3/website/Dicrurus annectens")</f>
        <v>https://apiv3.iucnredlist.org/api/v3/website/Dicrurus annectens</v>
      </c>
      <c r="G572" s="90">
        <v>48</v>
      </c>
      <c r="H572" s="90">
        <v>249</v>
      </c>
      <c r="J572" s="87" t="s">
        <v>1025</v>
      </c>
      <c r="K572" s="92" t="s">
        <v>1030</v>
      </c>
      <c r="M572" s="93" t="s">
        <v>1031</v>
      </c>
      <c r="N572" s="90" t="s">
        <v>49</v>
      </c>
      <c r="Q572" s="2" t="s">
        <v>3270</v>
      </c>
      <c r="R572" s="2" t="s">
        <v>6443</v>
      </c>
    </row>
    <row r="573" spans="1:18" ht="20.399999999999999" x14ac:dyDescent="0.3">
      <c r="A573" s="85">
        <v>453</v>
      </c>
      <c r="B573" s="76" t="s">
        <v>3822</v>
      </c>
      <c r="C573" s="77" t="str">
        <f>HYPERLINK("https://www.xeno-canto.org/species/Dicrurus-hottentottus")</f>
        <v>https://www.xeno-canto.org/species/Dicrurus-hottentottus</v>
      </c>
      <c r="D573" s="94" t="str">
        <f>HYPERLINK("https://ebird.org/species/hacdro1")</f>
        <v>https://ebird.org/species/hacdro1</v>
      </c>
      <c r="E573" s="122" t="str">
        <f>HYPERLINK("https://en.wikipedia.org/wiki/Hair-crested_Drongo")</f>
        <v>https://en.wikipedia.org/wiki/Hair-crested_Drongo</v>
      </c>
      <c r="F573" s="123" t="str">
        <f>HYPERLINK("https://apiv3.iucnredlist.org/api/v3/website/Dicrurus hottentottus")</f>
        <v>https://apiv3.iucnredlist.org/api/v3/website/Dicrurus hottentottus</v>
      </c>
      <c r="G573" s="90">
        <v>48</v>
      </c>
      <c r="H573" s="90">
        <v>251</v>
      </c>
      <c r="J573" s="87" t="s">
        <v>1025</v>
      </c>
      <c r="K573" s="95" t="s">
        <v>1034</v>
      </c>
      <c r="M573" s="93" t="s">
        <v>1035</v>
      </c>
      <c r="N573" s="90" t="s">
        <v>37</v>
      </c>
      <c r="Q573" s="2" t="s">
        <v>3824</v>
      </c>
      <c r="R573" s="2" t="s">
        <v>9</v>
      </c>
    </row>
    <row r="574" spans="1:18" ht="14.4" x14ac:dyDescent="0.3">
      <c r="A574" s="85">
        <v>454</v>
      </c>
      <c r="B574" s="76" t="s">
        <v>3825</v>
      </c>
      <c r="C574" s="77" t="str">
        <f>HYPERLINK("https://www.xeno-canto.org/species/Dicrurus-menagei")</f>
        <v>https://www.xeno-canto.org/species/Dicrurus-menagei</v>
      </c>
      <c r="D574" s="94" t="str">
        <f>HYPERLINK("https://ebird.org/species/tabdro1")</f>
        <v>https://ebird.org/species/tabdro1</v>
      </c>
      <c r="E574" s="122" t="str">
        <f>HYPERLINK("https://en.wikipedia.org/wiki/Tablas_Drongo")</f>
        <v>https://en.wikipedia.org/wiki/Tablas_Drongo</v>
      </c>
      <c r="F574" s="123" t="str">
        <f>HYPERLINK("https://apiv3.iucnredlist.org/api/v3/website/Dicrurus menagei")</f>
        <v>https://apiv3.iucnredlist.org/api/v3/website/Dicrurus menagei</v>
      </c>
      <c r="G574" s="90">
        <v>48</v>
      </c>
      <c r="H574" s="90">
        <v>253</v>
      </c>
      <c r="J574" s="87" t="s">
        <v>1025</v>
      </c>
      <c r="K574" s="98" t="s">
        <v>1036</v>
      </c>
      <c r="M574" s="99" t="s">
        <v>1037</v>
      </c>
      <c r="N574" s="90" t="s">
        <v>57</v>
      </c>
      <c r="O574" s="90" t="s">
        <v>58</v>
      </c>
      <c r="P574" s="90" t="s">
        <v>112</v>
      </c>
      <c r="Q574" s="2" t="s">
        <v>3826</v>
      </c>
    </row>
    <row r="575" spans="1:18" ht="30.6" x14ac:dyDescent="0.3">
      <c r="A575" s="85">
        <v>455</v>
      </c>
      <c r="B575" s="76" t="s">
        <v>3827</v>
      </c>
      <c r="C575" s="77" t="str">
        <f>HYPERLINK("https://www.xeno-canto.org/species/Dicrurus-palawanensis")</f>
        <v>https://www.xeno-canto.org/species/Dicrurus-palawanensis</v>
      </c>
      <c r="D575" s="94" t="str">
        <f>HYPERLINK("https://ebird.org/species/paldro1")</f>
        <v>https://ebird.org/species/paldro1</v>
      </c>
      <c r="E575" s="122" t="str">
        <f>HYPERLINK("https://en.wikipedia.org/wiki/Palawan_Drongo")</f>
        <v>https://en.wikipedia.org/wiki/Palawan_Drongo</v>
      </c>
      <c r="F575" s="123" t="str">
        <f>HYPERLINK("https://apiv3.iucnredlist.org/api/v3/website/Dicrurus palawanensis")</f>
        <v>https://apiv3.iucnredlist.org/api/v3/website/Dicrurus palawanensis</v>
      </c>
      <c r="H575" s="90">
        <v>251</v>
      </c>
      <c r="J575" s="87" t="s">
        <v>1025</v>
      </c>
      <c r="K575" s="98" t="s">
        <v>3828</v>
      </c>
      <c r="M575" s="99" t="s">
        <v>3829</v>
      </c>
      <c r="N575" s="90" t="s">
        <v>57</v>
      </c>
      <c r="Q575" s="2" t="s">
        <v>3830</v>
      </c>
      <c r="R575" s="2" t="s">
        <v>9</v>
      </c>
    </row>
    <row r="576" spans="1:18" ht="30.6" x14ac:dyDescent="0.3">
      <c r="A576" s="85">
        <v>456</v>
      </c>
      <c r="B576" s="76" t="s">
        <v>3831</v>
      </c>
      <c r="C576" s="77" t="str">
        <f>HYPERLINK("https://www.xeno-canto.org/species/Dicrurus-balicassius")</f>
        <v>https://www.xeno-canto.org/species/Dicrurus-balicassius</v>
      </c>
      <c r="D576" s="94" t="str">
        <f>HYPERLINK("https://ebird.org/species/balica1")</f>
        <v>https://ebird.org/species/balica1</v>
      </c>
      <c r="E576" s="122" t="str">
        <f>HYPERLINK("https://en.wikipedia.org/wiki/Balicassiao")</f>
        <v>https://en.wikipedia.org/wiki/Balicassiao</v>
      </c>
      <c r="F576" s="123" t="str">
        <f>HYPERLINK("https://apiv3.iucnredlist.org/api/v3/website/Dicrurus balicassius")</f>
        <v>https://apiv3.iucnredlist.org/api/v3/website/Dicrurus balicassius</v>
      </c>
      <c r="G576" s="90">
        <v>48</v>
      </c>
      <c r="H576" s="90">
        <v>251</v>
      </c>
      <c r="J576" s="87" t="s">
        <v>1025</v>
      </c>
      <c r="K576" s="98" t="s">
        <v>1032</v>
      </c>
      <c r="M576" s="99" t="s">
        <v>1033</v>
      </c>
      <c r="N576" s="90" t="s">
        <v>57</v>
      </c>
      <c r="Q576" s="2" t="s">
        <v>6565</v>
      </c>
    </row>
    <row r="577" spans="1:18" ht="20.399999999999999" x14ac:dyDescent="0.3">
      <c r="A577" s="85">
        <v>457</v>
      </c>
      <c r="B577" s="76" t="s">
        <v>6566</v>
      </c>
      <c r="C577" s="77" t="str">
        <f>HYPERLINK("https://www.xeno-canto.org/species/Dicrurus-striatus")</f>
        <v>https://www.xeno-canto.org/species/Dicrurus-striatus</v>
      </c>
      <c r="D577" s="94" t="str">
        <f>HYPERLINK("https://ebird.org/species/hacdro3")</f>
        <v>https://ebird.org/species/hacdro3</v>
      </c>
      <c r="E577" s="122" t="str">
        <f>HYPERLINK("https://en.wikipedia.org/wiki/Short-tailed_Drongo")</f>
        <v>https://en.wikipedia.org/wiki/Short-tailed_Drongo</v>
      </c>
      <c r="F577" s="123" t="str">
        <f>HYPERLINK("https://apiv3.iucnredlist.org/api/v3/website/Dicrurus striatus")</f>
        <v>https://apiv3.iucnredlist.org/api/v3/website/Dicrurus striatus</v>
      </c>
      <c r="H577" s="90">
        <v>253</v>
      </c>
      <c r="J577" s="87" t="s">
        <v>1025</v>
      </c>
      <c r="K577" s="104" t="s">
        <v>2683</v>
      </c>
      <c r="M577" s="105" t="s">
        <v>2684</v>
      </c>
      <c r="N577" s="90" t="s">
        <v>57</v>
      </c>
      <c r="Q577" s="2" t="s">
        <v>6567</v>
      </c>
    </row>
    <row r="578" spans="1:18" ht="20.399999999999999" x14ac:dyDescent="0.3">
      <c r="A578" s="85">
        <v>458</v>
      </c>
      <c r="B578" s="76" t="s">
        <v>3832</v>
      </c>
      <c r="C578" s="77" t="str">
        <f>HYPERLINK("https://www.xeno-canto.org/species/Dicrurus-leucophaeus")</f>
        <v>https://www.xeno-canto.org/species/Dicrurus-leucophaeus</v>
      </c>
      <c r="D578" s="94" t="str">
        <f>HYPERLINK("https://ebird.org/species/ashdro1")</f>
        <v>https://ebird.org/species/ashdro1</v>
      </c>
      <c r="E578" s="122" t="str">
        <f>HYPERLINK("https://en.wikipedia.org/wiki/Ashy_Drongo")</f>
        <v>https://en.wikipedia.org/wiki/Ashy_Drongo</v>
      </c>
      <c r="F578" s="123" t="str">
        <f>HYPERLINK("https://apiv3.iucnredlist.org/api/v3/website/Dicrurus leucophaeus")</f>
        <v>https://apiv3.iucnredlist.org/api/v3/website/Dicrurus leucophaeus</v>
      </c>
      <c r="G578" s="90">
        <v>48</v>
      </c>
      <c r="H578" s="90">
        <v>249</v>
      </c>
      <c r="J578" s="87" t="s">
        <v>1025</v>
      </c>
      <c r="K578" s="95" t="s">
        <v>1028</v>
      </c>
      <c r="M578" s="93" t="s">
        <v>1029</v>
      </c>
      <c r="N578" s="90" t="s">
        <v>346</v>
      </c>
      <c r="Q578" s="2" t="s">
        <v>6568</v>
      </c>
    </row>
    <row r="579" spans="1:18" ht="20.399999999999999" x14ac:dyDescent="0.3">
      <c r="A579" s="85">
        <v>459</v>
      </c>
      <c r="B579" s="76" t="s">
        <v>3833</v>
      </c>
      <c r="C579" s="77" t="str">
        <f>HYPERLINK("https://www.xeno-canto.org/species/Dicrurus-macrocercus")</f>
        <v>https://www.xeno-canto.org/species/Dicrurus-macrocercus</v>
      </c>
      <c r="D579" s="94" t="str">
        <f>HYPERLINK("https://ebird.org/species/bladro1")</f>
        <v>https://ebird.org/species/bladro1</v>
      </c>
      <c r="E579" s="122" t="str">
        <f>HYPERLINK("https://en.wikipedia.org/wiki/Black_Drongo")</f>
        <v>https://en.wikipedia.org/wiki/Black_Drongo</v>
      </c>
      <c r="F579" s="123" t="str">
        <f>HYPERLINK("https://apiv3.iucnredlist.org/api/v3/website/Dicrurus macrocercus")</f>
        <v>https://apiv3.iucnredlist.org/api/v3/website/Dicrurus macrocercus</v>
      </c>
      <c r="H579" s="90">
        <v>249</v>
      </c>
      <c r="J579" s="87" t="s">
        <v>1025</v>
      </c>
      <c r="K579" s="92" t="s">
        <v>1026</v>
      </c>
      <c r="M579" s="93" t="s">
        <v>1027</v>
      </c>
      <c r="N579" s="90" t="s">
        <v>49</v>
      </c>
      <c r="Q579" s="2" t="s">
        <v>3834</v>
      </c>
      <c r="R579" s="2" t="s">
        <v>6569</v>
      </c>
    </row>
    <row r="581" spans="1:18" ht="12" x14ac:dyDescent="0.3">
      <c r="K581" s="88" t="s">
        <v>1039</v>
      </c>
      <c r="M581" s="89" t="s">
        <v>1040</v>
      </c>
    </row>
    <row r="582" spans="1:18" ht="14.4" x14ac:dyDescent="0.3">
      <c r="A582" s="85">
        <v>460</v>
      </c>
      <c r="B582" s="74" t="s">
        <v>3835</v>
      </c>
      <c r="C582" s="75" t="str">
        <f>HYPERLINK("https://www.xeno-canto.org/species/Rhipidura-superciliaris")</f>
        <v>https://www.xeno-canto.org/species/Rhipidura-superciliaris</v>
      </c>
      <c r="D582" s="91" t="str">
        <f>HYPERLINK("https://ebird.org/species/blufan1")</f>
        <v>https://ebird.org/species/blufan1</v>
      </c>
      <c r="E582" s="120" t="str">
        <f>HYPERLINK("https://en.wikipedia.org/wiki/Mindanao_Blue_Fantail")</f>
        <v>https://en.wikipedia.org/wiki/Mindanao_Blue_Fantail</v>
      </c>
      <c r="F582" s="121" t="str">
        <f>HYPERLINK("https://apiv3.iucnredlist.org/api/v3/website/Rhipidura superciliaris")</f>
        <v>https://apiv3.iucnredlist.org/api/v3/website/Rhipidura superciliaris</v>
      </c>
      <c r="G582" s="90">
        <v>62</v>
      </c>
      <c r="H582" s="90">
        <v>247</v>
      </c>
      <c r="J582" s="87" t="s">
        <v>1040</v>
      </c>
      <c r="K582" s="98" t="s">
        <v>1041</v>
      </c>
      <c r="M582" s="99" t="s">
        <v>1042</v>
      </c>
      <c r="N582" s="90" t="s">
        <v>57</v>
      </c>
      <c r="Q582" s="2" t="s">
        <v>3836</v>
      </c>
    </row>
    <row r="583" spans="1:18" ht="14.4" x14ac:dyDescent="0.3">
      <c r="A583" s="85">
        <v>461</v>
      </c>
      <c r="B583" s="76" t="s">
        <v>3837</v>
      </c>
      <c r="C583" s="77" t="str">
        <f>HYPERLINK("https://www.xeno-canto.org/species/Rhipidura-samarensis")</f>
        <v>https://www.xeno-canto.org/species/Rhipidura-samarensis</v>
      </c>
      <c r="D583" s="94" t="str">
        <f>HYPERLINK("https://ebird.org/species/visblf1")</f>
        <v>https://ebird.org/species/visblf1</v>
      </c>
      <c r="E583" s="122" t="str">
        <f>HYPERLINK("https://en.wikipedia.org/wiki/Visayan_Blue_Fantail")</f>
        <v>https://en.wikipedia.org/wiki/Visayan_Blue_Fantail</v>
      </c>
      <c r="F583" s="123" t="str">
        <f>HYPERLINK("https://apiv3.iucnredlist.org/api/v3/website/Rhipidura samarensis")</f>
        <v>https://apiv3.iucnredlist.org/api/v3/website/Rhipidura samarensis</v>
      </c>
      <c r="G583" s="90">
        <v>62</v>
      </c>
      <c r="H583" s="90">
        <v>247</v>
      </c>
      <c r="J583" s="87" t="s">
        <v>1040</v>
      </c>
      <c r="K583" s="98" t="s">
        <v>1043</v>
      </c>
      <c r="M583" s="99" t="s">
        <v>1044</v>
      </c>
      <c r="N583" s="90" t="s">
        <v>57</v>
      </c>
      <c r="Q583" s="2" t="s">
        <v>3764</v>
      </c>
    </row>
    <row r="584" spans="1:18" ht="14.4" x14ac:dyDescent="0.3">
      <c r="A584" s="85">
        <v>462</v>
      </c>
      <c r="B584" s="76" t="s">
        <v>3838</v>
      </c>
      <c r="C584" s="77" t="str">
        <f>HYPERLINK("https://www.xeno-canto.org/species/Rhipidura-cyaniceps")</f>
        <v>https://www.xeno-canto.org/species/Rhipidura-cyaniceps</v>
      </c>
      <c r="D584" s="94" t="str">
        <f>HYPERLINK("https://ebird.org/species/blhfan1")</f>
        <v>https://ebird.org/species/blhfan1</v>
      </c>
      <c r="E584" s="122" t="str">
        <f>HYPERLINK("https://en.wikipedia.org/wiki/Blue-headed_Fantail")</f>
        <v>https://en.wikipedia.org/wiki/Blue-headed_Fantail</v>
      </c>
      <c r="F584" s="123" t="str">
        <f>HYPERLINK("https://apiv3.iucnredlist.org/api/v3/website/Rhipidura cyaniceps")</f>
        <v>https://apiv3.iucnredlist.org/api/v3/website/Rhipidura cyaniceps</v>
      </c>
      <c r="G584" s="90">
        <v>62</v>
      </c>
      <c r="H584" s="90">
        <v>247</v>
      </c>
      <c r="J584" s="87" t="s">
        <v>1040</v>
      </c>
      <c r="K584" s="98" t="s">
        <v>1045</v>
      </c>
      <c r="M584" s="99" t="s">
        <v>1046</v>
      </c>
      <c r="N584" s="90" t="s">
        <v>57</v>
      </c>
      <c r="Q584" s="2" t="s">
        <v>3839</v>
      </c>
    </row>
    <row r="585" spans="1:18" ht="14.4" x14ac:dyDescent="0.3">
      <c r="A585" s="85">
        <v>463</v>
      </c>
      <c r="B585" s="76" t="s">
        <v>3840</v>
      </c>
      <c r="C585" s="77" t="str">
        <f>HYPERLINK("https://www.xeno-canto.org/species/Rhipidura-sauli")</f>
        <v>https://www.xeno-canto.org/species/Rhipidura-sauli</v>
      </c>
      <c r="D585" s="94" t="str">
        <f>HYPERLINK("https://ebird.org/species/tabfan1")</f>
        <v>https://ebird.org/species/tabfan1</v>
      </c>
      <c r="E585" s="122" t="str">
        <f>HYPERLINK("https://en.wikipedia.org/wiki/Tablas_Fantail")</f>
        <v>https://en.wikipedia.org/wiki/Tablas_Fantail</v>
      </c>
      <c r="F585" s="123" t="str">
        <f>HYPERLINK("https://apiv3.iucnredlist.org/api/v3/website/Rhipidura sauli")</f>
        <v>https://apiv3.iucnredlist.org/api/v3/website/Rhipidura sauli</v>
      </c>
      <c r="G585" s="90">
        <v>62</v>
      </c>
      <c r="H585" s="90">
        <v>247</v>
      </c>
      <c r="J585" s="87" t="s">
        <v>1040</v>
      </c>
      <c r="K585" s="98" t="s">
        <v>1047</v>
      </c>
      <c r="M585" s="99" t="s">
        <v>1048</v>
      </c>
      <c r="N585" s="90" t="s">
        <v>57</v>
      </c>
      <c r="O585" s="90" t="s">
        <v>38</v>
      </c>
      <c r="P585" s="90" t="s">
        <v>58</v>
      </c>
      <c r="Q585" s="2" t="s">
        <v>3841</v>
      </c>
    </row>
    <row r="586" spans="1:18" ht="14.4" x14ac:dyDescent="0.3">
      <c r="A586" s="85">
        <v>464</v>
      </c>
      <c r="B586" s="76" t="s">
        <v>3842</v>
      </c>
      <c r="C586" s="77" t="str">
        <f>HYPERLINK("https://www.xeno-canto.org/species/Rhipidura-albiventris")</f>
        <v>https://www.xeno-canto.org/species/Rhipidura-albiventris</v>
      </c>
      <c r="D586" s="94" t="str">
        <f>HYPERLINK("https://ebird.org/species/visfan1")</f>
        <v>https://ebird.org/species/visfan1</v>
      </c>
      <c r="E586" s="122" t="str">
        <f>HYPERLINK("https://en.wikipedia.org/wiki/Visayan_Fantail")</f>
        <v>https://en.wikipedia.org/wiki/Visayan_Fantail</v>
      </c>
      <c r="F586" s="123" t="str">
        <f>HYPERLINK("https://apiv3.iucnredlist.org/api/v3/website/Rhipidura albiventris")</f>
        <v>https://apiv3.iucnredlist.org/api/v3/website/Rhipidura albiventris</v>
      </c>
      <c r="G586" s="90">
        <v>62</v>
      </c>
      <c r="H586" s="90">
        <v>247</v>
      </c>
      <c r="J586" s="87" t="s">
        <v>1040</v>
      </c>
      <c r="K586" s="98" t="s">
        <v>1049</v>
      </c>
      <c r="M586" s="99" t="s">
        <v>1050</v>
      </c>
      <c r="N586" s="90" t="s">
        <v>57</v>
      </c>
      <c r="Q586" s="2" t="s">
        <v>3843</v>
      </c>
    </row>
    <row r="587" spans="1:18" ht="14.4" x14ac:dyDescent="0.3">
      <c r="A587" s="85">
        <v>465</v>
      </c>
      <c r="B587" s="76" t="s">
        <v>3844</v>
      </c>
      <c r="C587" s="77" t="str">
        <f>HYPERLINK("https://www.xeno-canto.org/species/Rhipidura-nigritorquis")</f>
        <v>https://www.xeno-canto.org/species/Rhipidura-nigritorquis</v>
      </c>
      <c r="D587" s="94" t="str">
        <f>HYPERLINK("https://ebird.org/species/phipif1")</f>
        <v>https://ebird.org/species/phipif1</v>
      </c>
      <c r="E587" s="122" t="str">
        <f>HYPERLINK("https://en.wikipedia.org/wiki/Philippine_Pied_Fantail")</f>
        <v>https://en.wikipedia.org/wiki/Philippine_Pied_Fantail</v>
      </c>
      <c r="F587" s="123" t="str">
        <f>HYPERLINK("https://apiv3.iucnredlist.org/api/v3/website/Rhipidura nigritorquis")</f>
        <v>https://apiv3.iucnredlist.org/api/v3/website/Rhipidura nigritorquis</v>
      </c>
      <c r="G587" s="90">
        <v>62</v>
      </c>
      <c r="H587" s="90">
        <v>249</v>
      </c>
      <c r="J587" s="87" t="s">
        <v>1040</v>
      </c>
      <c r="K587" s="98" t="s">
        <v>1051</v>
      </c>
      <c r="M587" s="99" t="s">
        <v>1052</v>
      </c>
      <c r="N587" s="90" t="s">
        <v>57</v>
      </c>
      <c r="Q587" s="2" t="s">
        <v>3233</v>
      </c>
    </row>
    <row r="588" spans="1:18" ht="14.4" x14ac:dyDescent="0.3">
      <c r="A588" s="85">
        <v>466</v>
      </c>
      <c r="B588" s="76" t="s">
        <v>3845</v>
      </c>
      <c r="C588" s="77" t="str">
        <f>HYPERLINK("https://www.xeno-canto.org/species/Rhipidura-nigrocinnamomea")</f>
        <v>https://www.xeno-canto.org/species/Rhipidura-nigrocinnamomea</v>
      </c>
      <c r="D588" s="94" t="str">
        <f>HYPERLINK("https://ebird.org/species/bacfan1")</f>
        <v>https://ebird.org/species/bacfan1</v>
      </c>
      <c r="E588" s="122" t="str">
        <f>HYPERLINK("https://en.wikipedia.org/wiki/Black-and-cinnamon_Fantail")</f>
        <v>https://en.wikipedia.org/wiki/Black-and-cinnamon_Fantail</v>
      </c>
      <c r="F588" s="123" t="str">
        <f>HYPERLINK("https://apiv3.iucnredlist.org/api/v3/website/Rhipidura nigrocinnamomea")</f>
        <v>https://apiv3.iucnredlist.org/api/v3/website/Rhipidura nigrocinnamomea</v>
      </c>
      <c r="G588" s="90">
        <v>62</v>
      </c>
      <c r="H588" s="90">
        <v>247</v>
      </c>
      <c r="J588" s="87" t="s">
        <v>1040</v>
      </c>
      <c r="K588" s="98" t="s">
        <v>1053</v>
      </c>
      <c r="M588" s="99" t="s">
        <v>1054</v>
      </c>
      <c r="N588" s="90" t="s">
        <v>57</v>
      </c>
      <c r="Q588" s="2" t="s">
        <v>3846</v>
      </c>
    </row>
    <row r="590" spans="1:18" ht="12" x14ac:dyDescent="0.3">
      <c r="K590" s="88" t="s">
        <v>1055</v>
      </c>
      <c r="M590" s="89" t="s">
        <v>1056</v>
      </c>
    </row>
    <row r="591" spans="1:18" ht="14.4" x14ac:dyDescent="0.3">
      <c r="A591" s="85">
        <v>467</v>
      </c>
      <c r="B591" s="74" t="s">
        <v>3847</v>
      </c>
      <c r="C591" s="75" t="str">
        <f>HYPERLINK("https://www.xeno-canto.org/species/Hypothymis-azurea")</f>
        <v>https://www.xeno-canto.org/species/Hypothymis-azurea</v>
      </c>
      <c r="D591" s="91" t="str">
        <f>HYPERLINK("https://ebird.org/species/blnmon1")</f>
        <v>https://ebird.org/species/blnmon1</v>
      </c>
      <c r="E591" s="120" t="str">
        <f>HYPERLINK("https://en.wikipedia.org/wiki/Black-naped_Monarch")</f>
        <v>https://en.wikipedia.org/wiki/Black-naped_Monarch</v>
      </c>
      <c r="F591" s="121" t="str">
        <f>HYPERLINK("https://apiv3.iucnredlist.org/api/v3/website/Hypothymis azurea")</f>
        <v>https://apiv3.iucnredlist.org/api/v3/website/Hypothymis azurea</v>
      </c>
      <c r="G591" s="90">
        <v>63</v>
      </c>
      <c r="H591" s="90">
        <v>253</v>
      </c>
      <c r="J591" s="87" t="s">
        <v>1056</v>
      </c>
      <c r="K591" s="95" t="s">
        <v>1057</v>
      </c>
      <c r="M591" s="93" t="s">
        <v>1058</v>
      </c>
      <c r="N591" s="90" t="s">
        <v>37</v>
      </c>
      <c r="Q591" s="2" t="s">
        <v>3233</v>
      </c>
    </row>
    <row r="592" spans="1:18" ht="20.399999999999999" x14ac:dyDescent="0.3">
      <c r="A592" s="85">
        <v>468</v>
      </c>
      <c r="B592" s="76" t="s">
        <v>3848</v>
      </c>
      <c r="C592" s="77" t="str">
        <f>HYPERLINK("https://www.xeno-canto.org/species/Hypothymis-helenae")</f>
        <v>https://www.xeno-canto.org/species/Hypothymis-helenae</v>
      </c>
      <c r="D592" s="94" t="str">
        <f>HYPERLINK("https://ebird.org/species/shcmon1")</f>
        <v>https://ebird.org/species/shcmon1</v>
      </c>
      <c r="E592" s="122" t="str">
        <f>HYPERLINK("https://en.wikipedia.org/wiki/Short-crested_Monarch")</f>
        <v>https://en.wikipedia.org/wiki/Short-crested_Monarch</v>
      </c>
      <c r="F592" s="123" t="str">
        <f>HYPERLINK("https://apiv3.iucnredlist.org/api/v3/website/Hypothymis helenae")</f>
        <v>https://apiv3.iucnredlist.org/api/v3/website/Hypothymis helenae</v>
      </c>
      <c r="G592" s="90">
        <v>63</v>
      </c>
      <c r="H592" s="90">
        <v>253</v>
      </c>
      <c r="J592" s="87" t="s">
        <v>1056</v>
      </c>
      <c r="K592" s="98" t="s">
        <v>1059</v>
      </c>
      <c r="M592" s="99" t="s">
        <v>1060</v>
      </c>
      <c r="N592" s="90" t="s">
        <v>57</v>
      </c>
      <c r="O592" s="90" t="s">
        <v>50</v>
      </c>
      <c r="P592" s="90" t="s">
        <v>186</v>
      </c>
      <c r="Q592" s="2" t="s">
        <v>3849</v>
      </c>
    </row>
    <row r="593" spans="1:18" ht="20.399999999999999" x14ac:dyDescent="0.3">
      <c r="A593" s="85">
        <v>469</v>
      </c>
      <c r="B593" s="76" t="s">
        <v>3850</v>
      </c>
      <c r="C593" s="77" t="str">
        <f>HYPERLINK("https://www.xeno-canto.org/species/Hypothymis-coelestis")</f>
        <v>https://www.xeno-canto.org/species/Hypothymis-coelestis</v>
      </c>
      <c r="D593" s="94" t="str">
        <f>HYPERLINK("https://ebird.org/species/celmon1")</f>
        <v>https://ebird.org/species/celmon1</v>
      </c>
      <c r="E593" s="122" t="str">
        <f>HYPERLINK("https://en.wikipedia.org/wiki/Celestial_Monarch")</f>
        <v>https://en.wikipedia.org/wiki/Celestial_Monarch</v>
      </c>
      <c r="F593" s="123" t="str">
        <f>HYPERLINK("https://apiv3.iucnredlist.org/api/v3/website/Hypothymis coelestis")</f>
        <v>https://apiv3.iucnredlist.org/api/v3/website/Hypothymis coelestis</v>
      </c>
      <c r="G593" s="90">
        <v>63</v>
      </c>
      <c r="H593" s="90">
        <v>255</v>
      </c>
      <c r="J593" s="87" t="s">
        <v>1056</v>
      </c>
      <c r="K593" s="98" t="s">
        <v>1061</v>
      </c>
      <c r="M593" s="99" t="s">
        <v>1062</v>
      </c>
      <c r="N593" s="90" t="s">
        <v>57</v>
      </c>
      <c r="O593" s="90" t="s">
        <v>38</v>
      </c>
      <c r="P593" s="90" t="s">
        <v>112</v>
      </c>
      <c r="Q593" s="2" t="s">
        <v>3851</v>
      </c>
    </row>
    <row r="594" spans="1:18" ht="20.399999999999999" x14ac:dyDescent="0.3">
      <c r="A594" s="85">
        <v>470</v>
      </c>
      <c r="B594" s="76" t="s">
        <v>3852</v>
      </c>
      <c r="C594" s="77" t="str">
        <f>HYPERLINK("https://www.xeno-canto.org/species/Terpsiphone-incei")</f>
        <v>https://www.xeno-canto.org/species/Terpsiphone-incei</v>
      </c>
      <c r="D594" s="94" t="str">
        <f>HYPERLINK("https://ebird.org/species/amupaf1")</f>
        <v>https://ebird.org/species/amupaf1</v>
      </c>
      <c r="E594" s="122" t="str">
        <f>HYPERLINK("https://en.wikipedia.org/wiki/Amur_Paradise_Flycatcher")</f>
        <v>https://en.wikipedia.org/wiki/Amur_Paradise_Flycatcher</v>
      </c>
      <c r="F594" s="123" t="str">
        <f>HYPERLINK("https://apiv3.iucnredlist.org/api/v3/website/Terpsiphone incei")</f>
        <v>https://apiv3.iucnredlist.org/api/v3/website/Terpsiphone incei</v>
      </c>
      <c r="H594" s="90">
        <v>257</v>
      </c>
      <c r="J594" s="87" t="s">
        <v>1056</v>
      </c>
      <c r="K594" s="92" t="s">
        <v>1063</v>
      </c>
      <c r="L594" s="86" t="s">
        <v>2049</v>
      </c>
      <c r="M594" s="93" t="s">
        <v>1064</v>
      </c>
      <c r="N594" s="90" t="s">
        <v>49</v>
      </c>
      <c r="Q594" s="2" t="s">
        <v>3078</v>
      </c>
      <c r="R594" s="2" t="s">
        <v>6444</v>
      </c>
    </row>
    <row r="595" spans="1:18" ht="20.399999999999999" x14ac:dyDescent="0.3">
      <c r="A595" s="85">
        <v>471</v>
      </c>
      <c r="B595" s="76" t="s">
        <v>3853</v>
      </c>
      <c r="C595" s="77" t="str">
        <f>HYPERLINK("https://www.xeno-canto.org/species/Terpsiphone-atrocaudata")</f>
        <v>https://www.xeno-canto.org/species/Terpsiphone-atrocaudata</v>
      </c>
      <c r="D595" s="94" t="str">
        <f>HYPERLINK("https://ebird.org/species/japfly1")</f>
        <v>https://ebird.org/species/japfly1</v>
      </c>
      <c r="E595" s="122" t="str">
        <f>HYPERLINK("https://en.wikipedia.org/wiki/Black_Paradise_Flycatcher")</f>
        <v>https://en.wikipedia.org/wiki/Black_Paradise_Flycatcher</v>
      </c>
      <c r="F595" s="123" t="str">
        <f>HYPERLINK("https://apiv3.iucnredlist.org/api/v3/website/Terpsiphone atrocaudata")</f>
        <v>https://apiv3.iucnredlist.org/api/v3/website/Terpsiphone atrocaudata</v>
      </c>
      <c r="G595" s="90">
        <v>63</v>
      </c>
      <c r="H595" s="90">
        <v>255</v>
      </c>
      <c r="J595" s="87" t="s">
        <v>1056</v>
      </c>
      <c r="K595" s="95" t="s">
        <v>6570</v>
      </c>
      <c r="L595" s="86" t="s">
        <v>6571</v>
      </c>
      <c r="M595" s="93" t="s">
        <v>1066</v>
      </c>
      <c r="N595" s="90" t="s">
        <v>346</v>
      </c>
      <c r="O595" s="90" t="s">
        <v>50</v>
      </c>
      <c r="P595" s="90" t="s">
        <v>38</v>
      </c>
      <c r="Q595" s="2" t="s">
        <v>3854</v>
      </c>
    </row>
    <row r="596" spans="1:18" ht="14.4" x14ac:dyDescent="0.3">
      <c r="A596" s="85">
        <v>472</v>
      </c>
      <c r="B596" s="76" t="s">
        <v>3855</v>
      </c>
      <c r="C596" s="77" t="str">
        <f>HYPERLINK("https://www.xeno-canto.org/species/Terpsiphone-cyanescens")</f>
        <v>https://www.xeno-canto.org/species/Terpsiphone-cyanescens</v>
      </c>
      <c r="D596" s="94" t="str">
        <f>HYPERLINK("https://ebird.org/species/blpfly1")</f>
        <v>https://ebird.org/species/blpfly1</v>
      </c>
      <c r="E596" s="122" t="str">
        <f>HYPERLINK("https://en.wikipedia.org/wiki/Blue_Paradise_Flycatcher")</f>
        <v>https://en.wikipedia.org/wiki/Blue_Paradise_Flycatcher</v>
      </c>
      <c r="F596" s="123" t="str">
        <f>HYPERLINK("https://apiv3.iucnredlist.org/api/v3/website/Terpsiphone cyanescens")</f>
        <v>https://apiv3.iucnredlist.org/api/v3/website/Terpsiphone cyanescens</v>
      </c>
      <c r="G596" s="90">
        <v>63</v>
      </c>
      <c r="H596" s="90">
        <v>255</v>
      </c>
      <c r="J596" s="87" t="s">
        <v>1056</v>
      </c>
      <c r="K596" s="98" t="s">
        <v>1067</v>
      </c>
      <c r="M596" s="99" t="s">
        <v>1068</v>
      </c>
      <c r="N596" s="90" t="s">
        <v>57</v>
      </c>
      <c r="Q596" s="2" t="s">
        <v>3856</v>
      </c>
    </row>
    <row r="597" spans="1:18" ht="30.6" x14ac:dyDescent="0.3">
      <c r="A597" s="85">
        <v>473</v>
      </c>
      <c r="B597" s="76" t="s">
        <v>3857</v>
      </c>
      <c r="C597" s="77" t="str">
        <f>HYPERLINK("https://www.xeno-canto.org/species/Terpsiphone-cinnamomea")</f>
        <v>https://www.xeno-canto.org/species/Terpsiphone-cinnamomea</v>
      </c>
      <c r="D597" s="94" t="str">
        <f>HYPERLINK("https://ebird.org/species/rupfly1")</f>
        <v>https://ebird.org/species/rupfly1</v>
      </c>
      <c r="E597" s="122" t="str">
        <f>HYPERLINK("https://en.wikipedia.org/wiki/Rufous_Paradise_Flycatcher")</f>
        <v>https://en.wikipedia.org/wiki/Rufous_Paradise_Flycatcher</v>
      </c>
      <c r="F597" s="123" t="str">
        <f>HYPERLINK("https://apiv3.iucnredlist.org/api/v3/website/Terpsiphone cinnamomea")</f>
        <v>https://apiv3.iucnredlist.org/api/v3/website/Terpsiphone cinnamomea</v>
      </c>
      <c r="G597" s="90">
        <v>63</v>
      </c>
      <c r="H597" s="90">
        <v>255</v>
      </c>
      <c r="J597" s="87" t="s">
        <v>1056</v>
      </c>
      <c r="K597" s="95" t="s">
        <v>1069</v>
      </c>
      <c r="L597" s="86" t="s">
        <v>4762</v>
      </c>
      <c r="M597" s="93" t="s">
        <v>1070</v>
      </c>
      <c r="N597" s="90" t="s">
        <v>253</v>
      </c>
      <c r="Q597" s="2" t="s">
        <v>3858</v>
      </c>
      <c r="R597" s="2" t="s">
        <v>8570</v>
      </c>
    </row>
    <row r="599" spans="1:18" ht="12" x14ac:dyDescent="0.3">
      <c r="K599" s="88" t="s">
        <v>1003</v>
      </c>
      <c r="M599" s="89" t="s">
        <v>1004</v>
      </c>
    </row>
    <row r="600" spans="1:18" ht="20.399999999999999" x14ac:dyDescent="0.3">
      <c r="A600" s="85">
        <v>474</v>
      </c>
      <c r="B600" s="74" t="s">
        <v>3807</v>
      </c>
      <c r="C600" s="75" t="str">
        <f>HYPERLINK("https://www.xeno-canto.org/species/Lanius-tigrinus")</f>
        <v>https://www.xeno-canto.org/species/Lanius-tigrinus</v>
      </c>
      <c r="D600" s="91" t="str">
        <f>HYPERLINK("https://ebird.org/species/tigshr1")</f>
        <v>https://ebird.org/species/tigshr1</v>
      </c>
      <c r="E600" s="120" t="str">
        <f>HYPERLINK("https://en.wikipedia.org/wiki/Tiger_Shrike")</f>
        <v>https://en.wikipedia.org/wiki/Tiger_Shrike</v>
      </c>
      <c r="F600" s="121" t="str">
        <f>HYPERLINK("https://apiv3.iucnredlist.org/api/v3/website/Lanius tigrinus")</f>
        <v>https://apiv3.iucnredlist.org/api/v3/website/Lanius tigrinus</v>
      </c>
      <c r="G600" s="90">
        <v>65</v>
      </c>
      <c r="H600" s="90">
        <v>257</v>
      </c>
      <c r="J600" s="87" t="s">
        <v>1004</v>
      </c>
      <c r="K600" s="92" t="s">
        <v>1005</v>
      </c>
      <c r="M600" s="93" t="s">
        <v>1006</v>
      </c>
      <c r="N600" s="90" t="s">
        <v>49</v>
      </c>
      <c r="Q600" s="2" t="s">
        <v>3808</v>
      </c>
      <c r="R600" s="2" t="s">
        <v>6442</v>
      </c>
    </row>
    <row r="601" spans="1:18" ht="14.4" x14ac:dyDescent="0.3">
      <c r="A601" s="85">
        <v>475</v>
      </c>
      <c r="B601" s="76" t="s">
        <v>3811</v>
      </c>
      <c r="C601" s="77" t="str">
        <f>HYPERLINK("https://www.xeno-canto.org/species/Lanius-validirostris")</f>
        <v>https://www.xeno-canto.org/species/Lanius-validirostris</v>
      </c>
      <c r="D601" s="94" t="str">
        <f>HYPERLINK("https://ebird.org/species/gycshr1")</f>
        <v>https://ebird.org/species/gycshr1</v>
      </c>
      <c r="E601" s="122" t="str">
        <f>HYPERLINK("https://en.wikipedia.org/wiki/Mountain_Shrike")</f>
        <v>https://en.wikipedia.org/wiki/Mountain_Shrike</v>
      </c>
      <c r="F601" s="123" t="str">
        <f>HYPERLINK("https://apiv3.iucnredlist.org/api/v3/website/Lanius validirostris")</f>
        <v>https://apiv3.iucnredlist.org/api/v3/website/Lanius validirostris</v>
      </c>
      <c r="G601" s="90">
        <v>65</v>
      </c>
      <c r="H601" s="90">
        <v>257</v>
      </c>
      <c r="J601" s="87" t="s">
        <v>1004</v>
      </c>
      <c r="K601" s="98" t="s">
        <v>1011</v>
      </c>
      <c r="M601" s="99" t="s">
        <v>1012</v>
      </c>
      <c r="N601" s="90" t="s">
        <v>57</v>
      </c>
      <c r="O601" s="90" t="s">
        <v>50</v>
      </c>
      <c r="P601" s="90" t="s">
        <v>38</v>
      </c>
      <c r="Q601" s="2" t="s">
        <v>3812</v>
      </c>
    </row>
    <row r="602" spans="1:18" ht="20.399999999999999" x14ac:dyDescent="0.3">
      <c r="A602" s="85">
        <v>476</v>
      </c>
      <c r="B602" s="76" t="s">
        <v>3809</v>
      </c>
      <c r="C602" s="77" t="str">
        <f>HYPERLINK("https://www.xeno-canto.org/species/Lanius-cristatus")</f>
        <v>https://www.xeno-canto.org/species/Lanius-cristatus</v>
      </c>
      <c r="D602" s="94" t="str">
        <f>HYPERLINK("https://ebird.org/species/brnshr")</f>
        <v>https://ebird.org/species/brnshr</v>
      </c>
      <c r="E602" s="122" t="str">
        <f>HYPERLINK("https://en.wikipedia.org/wiki/Brown_Shrike")</f>
        <v>https://en.wikipedia.org/wiki/Brown_Shrike</v>
      </c>
      <c r="F602" s="123" t="str">
        <f>HYPERLINK("https://apiv3.iucnredlist.org/api/v3/website/Lanius cristatus")</f>
        <v>https://apiv3.iucnredlist.org/api/v3/website/Lanius cristatus</v>
      </c>
      <c r="G602" s="90">
        <v>65</v>
      </c>
      <c r="H602" s="90">
        <v>257</v>
      </c>
      <c r="J602" s="87" t="s">
        <v>1004</v>
      </c>
      <c r="K602" s="95" t="s">
        <v>1007</v>
      </c>
      <c r="M602" s="93" t="s">
        <v>1008</v>
      </c>
      <c r="N602" s="90" t="s">
        <v>89</v>
      </c>
      <c r="Q602" s="2" t="s">
        <v>6572</v>
      </c>
    </row>
    <row r="603" spans="1:18" ht="14.4" x14ac:dyDescent="0.3">
      <c r="A603" s="85">
        <v>477</v>
      </c>
      <c r="B603" s="76" t="s">
        <v>3810</v>
      </c>
      <c r="C603" s="77" t="str">
        <f>HYPERLINK("https://www.xeno-canto.org/species/Lanius-schach")</f>
        <v>https://www.xeno-canto.org/species/Lanius-schach</v>
      </c>
      <c r="D603" s="94" t="str">
        <f>HYPERLINK("https://ebird.org/species/lotshr1")</f>
        <v>https://ebird.org/species/lotshr1</v>
      </c>
      <c r="E603" s="122" t="str">
        <f>HYPERLINK("https://en.wikipedia.org/wiki/Long-tailed_Shrike")</f>
        <v>https://en.wikipedia.org/wiki/Long-tailed_Shrike</v>
      </c>
      <c r="F603" s="123" t="str">
        <f>HYPERLINK("https://apiv3.iucnredlist.org/api/v3/website/Lanius schach")</f>
        <v>https://apiv3.iucnredlist.org/api/v3/website/Lanius schach</v>
      </c>
      <c r="G603" s="90">
        <v>65</v>
      </c>
      <c r="H603" s="90">
        <v>259</v>
      </c>
      <c r="J603" s="87" t="s">
        <v>1004</v>
      </c>
      <c r="K603" s="95" t="s">
        <v>1009</v>
      </c>
      <c r="M603" s="93" t="s">
        <v>1010</v>
      </c>
      <c r="N603" s="90" t="s">
        <v>37</v>
      </c>
      <c r="Q603" s="2" t="s">
        <v>3573</v>
      </c>
    </row>
    <row r="605" spans="1:18" ht="12" x14ac:dyDescent="0.3">
      <c r="K605" s="88" t="s">
        <v>5834</v>
      </c>
      <c r="M605" s="89" t="s">
        <v>1071</v>
      </c>
    </row>
    <row r="606" spans="1:18" ht="20.399999999999999" x14ac:dyDescent="0.3">
      <c r="A606" s="85">
        <v>478</v>
      </c>
      <c r="B606" s="74" t="s">
        <v>5161</v>
      </c>
      <c r="C606" s="75" t="str">
        <f>HYPERLINK("https://www.xeno-canto.org/species/Corvus-samarensis")</f>
        <v>https://www.xeno-canto.org/species/Corvus-samarensis</v>
      </c>
      <c r="D606" s="91" t="str">
        <f>HYPERLINK("https://ebird.org/species/slbcro4")</f>
        <v>https://ebird.org/species/slbcro4</v>
      </c>
      <c r="E606" s="120" t="str">
        <f>HYPERLINK("https://en.wikipedia.org/wiki/Small_Crow")</f>
        <v>https://en.wikipedia.org/wiki/Small_Crow</v>
      </c>
      <c r="F606" s="121" t="str">
        <f>HYPERLINK("https://apiv3.iucnredlist.org/api/v3/website/Corvus samarensis")</f>
        <v>https://apiv3.iucnredlist.org/api/v3/website/Corvus samarensis</v>
      </c>
      <c r="G606" s="90">
        <v>49</v>
      </c>
      <c r="H606" s="90">
        <v>259</v>
      </c>
      <c r="J606" s="87" t="s">
        <v>1071</v>
      </c>
      <c r="K606" s="98" t="s">
        <v>5162</v>
      </c>
      <c r="L606" s="86" t="s">
        <v>1072</v>
      </c>
      <c r="M606" s="99" t="s">
        <v>5163</v>
      </c>
      <c r="N606" s="90" t="s">
        <v>57</v>
      </c>
      <c r="Q606" s="2" t="s">
        <v>5164</v>
      </c>
    </row>
    <row r="607" spans="1:18" ht="20.399999999999999" x14ac:dyDescent="0.3">
      <c r="A607" s="85">
        <v>479</v>
      </c>
      <c r="B607" s="76" t="s">
        <v>5165</v>
      </c>
      <c r="C607" s="77" t="str">
        <f>HYPERLINK("https://www.xeno-canto.org/species/Corvus-pusillus")</f>
        <v>https://www.xeno-canto.org/species/Corvus-pusillus</v>
      </c>
      <c r="D607" s="94" t="str">
        <f>HYPERLINK("https://ebird.org/species/slbcro7")</f>
        <v>https://ebird.org/species/slbcro7</v>
      </c>
      <c r="E607" s="122" t="str">
        <f>HYPERLINK("https://en.wikipedia.org/wiki/Palawan_Crow")</f>
        <v>https://en.wikipedia.org/wiki/Palawan_Crow</v>
      </c>
      <c r="F607" s="123" t="str">
        <f>HYPERLINK("https://apiv3.iucnredlist.org/api/v3/website/Corvus pusillus")</f>
        <v>https://apiv3.iucnredlist.org/api/v3/website/Corvus pusillus</v>
      </c>
      <c r="H607" s="90">
        <v>259</v>
      </c>
      <c r="J607" s="87" t="s">
        <v>1071</v>
      </c>
      <c r="K607" s="98" t="s">
        <v>4646</v>
      </c>
      <c r="M607" s="99" t="s">
        <v>5166</v>
      </c>
      <c r="N607" s="90" t="s">
        <v>57</v>
      </c>
      <c r="Q607" s="2" t="s">
        <v>4645</v>
      </c>
    </row>
    <row r="608" spans="1:18" ht="14.4" x14ac:dyDescent="0.3">
      <c r="A608" s="85">
        <v>480</v>
      </c>
      <c r="B608" s="76" t="s">
        <v>3859</v>
      </c>
      <c r="C608" s="77" t="str">
        <f>HYPERLINK("https://www.xeno-canto.org/species/Corvus-macrorhynchos")</f>
        <v>https://www.xeno-canto.org/species/Corvus-macrorhynchos</v>
      </c>
      <c r="D608" s="94" t="str">
        <f>HYPERLINK("https://ebird.org/species/labcro1")</f>
        <v>https://ebird.org/species/labcro1</v>
      </c>
      <c r="E608" s="122" t="str">
        <f>HYPERLINK("https://en.wikipedia.org/wiki/Large-billed_Crow")</f>
        <v>https://en.wikipedia.org/wiki/Large-billed_Crow</v>
      </c>
      <c r="F608" s="123" t="str">
        <f>HYPERLINK("https://apiv3.iucnredlist.org/api/v3/website/Corvus macrorhynchos")</f>
        <v>https://apiv3.iucnredlist.org/api/v3/website/Corvus macrorhynchos</v>
      </c>
      <c r="G608" s="90">
        <v>49</v>
      </c>
      <c r="H608" s="90">
        <v>259</v>
      </c>
      <c r="J608" s="87" t="s">
        <v>1071</v>
      </c>
      <c r="K608" s="95" t="s">
        <v>1074</v>
      </c>
      <c r="M608" s="93" t="s">
        <v>1075</v>
      </c>
      <c r="N608" s="90" t="s">
        <v>37</v>
      </c>
      <c r="Q608" s="2" t="s">
        <v>3233</v>
      </c>
    </row>
    <row r="610" spans="1:18" ht="12" x14ac:dyDescent="0.3">
      <c r="K610" s="88" t="s">
        <v>1076</v>
      </c>
      <c r="M610" s="89" t="s">
        <v>1077</v>
      </c>
    </row>
    <row r="611" spans="1:18" ht="20.399999999999999" x14ac:dyDescent="0.3">
      <c r="A611" s="85">
        <v>481</v>
      </c>
      <c r="B611" s="74" t="s">
        <v>3860</v>
      </c>
      <c r="C611" s="75" t="str">
        <f>HYPERLINK("https://www.xeno-canto.org/species/Bombycilla-japonica")</f>
        <v>https://www.xeno-canto.org/species/Bombycilla-japonica</v>
      </c>
      <c r="D611" s="91" t="str">
        <f>HYPERLINK("https://ebird.org/species/japwax1")</f>
        <v>https://ebird.org/species/japwax1</v>
      </c>
      <c r="E611" s="120" t="str">
        <f>HYPERLINK("https://en.wikipedia.org/wiki/Japanese_Waxwing")</f>
        <v>https://en.wikipedia.org/wiki/Japanese_Waxwing</v>
      </c>
      <c r="F611" s="121" t="str">
        <f>HYPERLINK("https://apiv3.iucnredlist.org/api/v3/website/Bombycilla japonica")</f>
        <v>https://apiv3.iucnredlist.org/api/v3/website/Bombycilla japonica</v>
      </c>
      <c r="H611" s="90">
        <v>339</v>
      </c>
      <c r="J611" s="87" t="s">
        <v>1077</v>
      </c>
      <c r="K611" s="92" t="s">
        <v>1078</v>
      </c>
      <c r="M611" s="93" t="s">
        <v>1079</v>
      </c>
      <c r="N611" s="90" t="s">
        <v>49</v>
      </c>
      <c r="O611" s="90" t="s">
        <v>50</v>
      </c>
      <c r="P611" s="90" t="s">
        <v>186</v>
      </c>
      <c r="Q611" s="2" t="s">
        <v>3078</v>
      </c>
      <c r="R611" s="2" t="s">
        <v>6573</v>
      </c>
    </row>
    <row r="613" spans="1:18" ht="12" x14ac:dyDescent="0.3">
      <c r="K613" s="88" t="s">
        <v>1080</v>
      </c>
      <c r="M613" s="89" t="s">
        <v>1081</v>
      </c>
    </row>
    <row r="614" spans="1:18" ht="14.4" x14ac:dyDescent="0.3">
      <c r="A614" s="85">
        <v>482</v>
      </c>
      <c r="B614" s="74" t="s">
        <v>3861</v>
      </c>
      <c r="C614" s="75" t="str">
        <f>HYPERLINK("https://www.xeno-canto.org/species/Culicicapa-helianthea")</f>
        <v>https://www.xeno-canto.org/species/Culicicapa-helianthea</v>
      </c>
      <c r="D614" s="91" t="str">
        <f>HYPERLINK("https://ebird.org/species/citcaf1")</f>
        <v>https://ebird.org/species/citcaf1</v>
      </c>
      <c r="E614" s="120" t="str">
        <f>HYPERLINK("https://en.wikipedia.org/wiki/Citrine_Canary-flycatcher")</f>
        <v>https://en.wikipedia.org/wiki/Citrine_Canary-flycatcher</v>
      </c>
      <c r="F614" s="121" t="str">
        <f>HYPERLINK("https://apiv3.iucnredlist.org/api/v3/website/Culicicapa helianthea")</f>
        <v>https://apiv3.iucnredlist.org/api/v3/website/Culicicapa helianthea</v>
      </c>
      <c r="G614" s="90">
        <v>62</v>
      </c>
      <c r="H614" s="90">
        <v>261</v>
      </c>
      <c r="J614" s="87" t="s">
        <v>1081</v>
      </c>
      <c r="K614" s="95" t="s">
        <v>1082</v>
      </c>
      <c r="M614" s="93" t="s">
        <v>1083</v>
      </c>
      <c r="N614" s="90" t="s">
        <v>37</v>
      </c>
      <c r="Q614" s="2" t="s">
        <v>3862</v>
      </c>
    </row>
    <row r="616" spans="1:18" ht="12" x14ac:dyDescent="0.3">
      <c r="K616" s="88" t="s">
        <v>5835</v>
      </c>
      <c r="M616" s="89" t="s">
        <v>1084</v>
      </c>
    </row>
    <row r="617" spans="1:18" ht="20.399999999999999" x14ac:dyDescent="0.3">
      <c r="A617" s="85">
        <v>483</v>
      </c>
      <c r="B617" s="74" t="s">
        <v>3863</v>
      </c>
      <c r="C617" s="75" t="str">
        <f>HYPERLINK("https://www.xeno-canto.org/species/Pardaliparus-elegans")</f>
        <v>https://www.xeno-canto.org/species/Pardaliparus-elegans</v>
      </c>
      <c r="D617" s="91" t="str">
        <f>HYPERLINK("https://ebird.org/species/eletit2")</f>
        <v>https://ebird.org/species/eletit2</v>
      </c>
      <c r="E617" s="120" t="str">
        <f>HYPERLINK("https://en.wikipedia.org/wiki/Elegant_Tit")</f>
        <v>https://en.wikipedia.org/wiki/Elegant_Tit</v>
      </c>
      <c r="F617" s="121" t="str">
        <f>HYPERLINK("https://apiv3.iucnredlist.org/api/v3/website/Pardaliparus elegans")</f>
        <v>https://apiv3.iucnredlist.org/api/v3/website/Pardaliparus elegans</v>
      </c>
      <c r="G617" s="90">
        <v>50</v>
      </c>
      <c r="H617" s="90">
        <v>261</v>
      </c>
      <c r="J617" s="87" t="s">
        <v>1084</v>
      </c>
      <c r="K617" s="98" t="s">
        <v>1085</v>
      </c>
      <c r="M617" s="99" t="s">
        <v>1086</v>
      </c>
      <c r="N617" s="90" t="s">
        <v>57</v>
      </c>
      <c r="Q617" s="2" t="s">
        <v>3864</v>
      </c>
    </row>
    <row r="618" spans="1:18" ht="14.4" x14ac:dyDescent="0.3">
      <c r="A618" s="85">
        <v>484</v>
      </c>
      <c r="B618" s="76" t="s">
        <v>3865</v>
      </c>
      <c r="C618" s="77" t="str">
        <f>HYPERLINK("https://www.xeno-canto.org/species/Pardaliparus-amabilis")</f>
        <v>https://www.xeno-canto.org/species/Pardaliparus-amabilis</v>
      </c>
      <c r="D618" s="94" t="str">
        <f>HYPERLINK("https://ebird.org/species/paltit2")</f>
        <v>https://ebird.org/species/paltit2</v>
      </c>
      <c r="E618" s="122" t="str">
        <f>HYPERLINK("https://en.wikipedia.org/wiki/Palawan_Tit")</f>
        <v>https://en.wikipedia.org/wiki/Palawan_Tit</v>
      </c>
      <c r="F618" s="123" t="str">
        <f>HYPERLINK("https://apiv3.iucnredlist.org/api/v3/website/Pardaliparus amabilis")</f>
        <v>https://apiv3.iucnredlist.org/api/v3/website/Pardaliparus amabilis</v>
      </c>
      <c r="G618" s="90">
        <v>50</v>
      </c>
      <c r="H618" s="90">
        <v>261</v>
      </c>
      <c r="J618" s="87" t="s">
        <v>1084</v>
      </c>
      <c r="K618" s="98" t="s">
        <v>1087</v>
      </c>
      <c r="M618" s="99" t="s">
        <v>1088</v>
      </c>
      <c r="N618" s="90" t="s">
        <v>57</v>
      </c>
      <c r="O618" s="90" t="s">
        <v>50</v>
      </c>
      <c r="P618" s="90" t="s">
        <v>186</v>
      </c>
      <c r="Q618" s="2" t="s">
        <v>3134</v>
      </c>
    </row>
    <row r="619" spans="1:18" ht="14.4" x14ac:dyDescent="0.3">
      <c r="A619" s="85">
        <v>485</v>
      </c>
      <c r="B619" s="76" t="s">
        <v>3866</v>
      </c>
      <c r="C619" s="77" t="str">
        <f>HYPERLINK("https://www.xeno-canto.org/species/Sittiparus-semilarvatus")</f>
        <v>https://www.xeno-canto.org/species/Sittiparus-semilarvatus</v>
      </c>
      <c r="D619" s="94" t="str">
        <f>HYPERLINK("https://ebird.org/species/whftit2")</f>
        <v>https://ebird.org/species/whftit2</v>
      </c>
      <c r="E619" s="122" t="str">
        <f>HYPERLINK("https://en.wikipedia.org/wiki/White-fronted_Tit")</f>
        <v>https://en.wikipedia.org/wiki/White-fronted_Tit</v>
      </c>
      <c r="F619" s="123" t="str">
        <f>HYPERLINK("https://apiv3.iucnredlist.org/api/v3/website/Sittiparus semilarvatus")</f>
        <v>https://apiv3.iucnredlist.org/api/v3/website/Sittiparus semilarvatus</v>
      </c>
      <c r="G619" s="90">
        <v>50</v>
      </c>
      <c r="H619" s="90">
        <v>263</v>
      </c>
      <c r="J619" s="87" t="s">
        <v>1084</v>
      </c>
      <c r="K619" s="98" t="s">
        <v>1089</v>
      </c>
      <c r="M619" s="99" t="s">
        <v>1090</v>
      </c>
      <c r="N619" s="90" t="s">
        <v>57</v>
      </c>
      <c r="O619" s="90" t="s">
        <v>50</v>
      </c>
      <c r="P619" s="90" t="s">
        <v>186</v>
      </c>
      <c r="Q619" s="2" t="s">
        <v>3867</v>
      </c>
    </row>
    <row r="621" spans="1:18" ht="12" x14ac:dyDescent="0.3">
      <c r="K621" s="88" t="s">
        <v>1091</v>
      </c>
      <c r="M621" s="89" t="s">
        <v>1092</v>
      </c>
    </row>
    <row r="622" spans="1:18" ht="14.4" x14ac:dyDescent="0.3">
      <c r="A622" s="85">
        <v>486</v>
      </c>
      <c r="B622" s="74" t="s">
        <v>3868</v>
      </c>
      <c r="C622" s="75" t="str">
        <f>HYPERLINK("https://www.xeno-canto.org/species/Mirafra-javanica")</f>
        <v>https://www.xeno-canto.org/species/Mirafra-javanica</v>
      </c>
      <c r="D622" s="91" t="str">
        <f>HYPERLINK("https://ebird.org/species/sinbus6")</f>
        <v>https://ebird.org/species/sinbus6</v>
      </c>
      <c r="E622" s="120" t="str">
        <f>HYPERLINK("https://en.wikipedia.org/wiki/Singing_Bush_Lark")</f>
        <v>https://en.wikipedia.org/wiki/Singing_Bush_Lark</v>
      </c>
      <c r="F622" s="121" t="str">
        <f>HYPERLINK("https://apiv3.iucnredlist.org/api/v3/website/Mirafra javanica")</f>
        <v>https://apiv3.iucnredlist.org/api/v3/website/Mirafra javanica</v>
      </c>
      <c r="G622" s="90">
        <v>45</v>
      </c>
      <c r="H622" s="90">
        <v>263</v>
      </c>
      <c r="J622" s="87" t="s">
        <v>1092</v>
      </c>
      <c r="K622" s="95" t="s">
        <v>6574</v>
      </c>
      <c r="L622" s="86" t="s">
        <v>2057</v>
      </c>
      <c r="M622" s="93" t="s">
        <v>1093</v>
      </c>
      <c r="N622" s="90" t="s">
        <v>37</v>
      </c>
      <c r="Q622" s="2" t="s">
        <v>3325</v>
      </c>
      <c r="R622" s="2" t="s">
        <v>9</v>
      </c>
    </row>
    <row r="623" spans="1:18" ht="14.4" x14ac:dyDescent="0.3">
      <c r="A623" s="85">
        <v>487</v>
      </c>
      <c r="B623" s="76" t="s">
        <v>3869</v>
      </c>
      <c r="C623" s="77" t="str">
        <f>HYPERLINK("https://www.xeno-canto.org/species/Alauda-gulgula")</f>
        <v>https://www.xeno-canto.org/species/Alauda-gulgula</v>
      </c>
      <c r="D623" s="94" t="str">
        <f>HYPERLINK("https://ebird.org/species/orisky1")</f>
        <v>https://ebird.org/species/orisky1</v>
      </c>
      <c r="E623" s="122" t="str">
        <f>HYPERLINK("https://en.wikipedia.org/wiki/Oriental_Skylark")</f>
        <v>https://en.wikipedia.org/wiki/Oriental_Skylark</v>
      </c>
      <c r="F623" s="123" t="str">
        <f>HYPERLINK("https://apiv3.iucnredlist.org/api/v3/website/Alauda gulgula")</f>
        <v>https://apiv3.iucnredlist.org/api/v3/website/Alauda gulgula</v>
      </c>
      <c r="G623" s="90">
        <v>45</v>
      </c>
      <c r="H623" s="90">
        <v>263</v>
      </c>
      <c r="J623" s="87" t="s">
        <v>1092</v>
      </c>
      <c r="K623" s="95" t="s">
        <v>1094</v>
      </c>
      <c r="M623" s="93" t="s">
        <v>1095</v>
      </c>
      <c r="N623" s="90" t="s">
        <v>37</v>
      </c>
      <c r="Q623" s="2" t="s">
        <v>3870</v>
      </c>
    </row>
    <row r="624" spans="1:18" ht="20.399999999999999" x14ac:dyDescent="0.3">
      <c r="A624" s="85">
        <v>488</v>
      </c>
      <c r="B624" s="76" t="s">
        <v>3871</v>
      </c>
      <c r="C624" s="77" t="str">
        <f>HYPERLINK("https://www.xeno-canto.org/species/Alauda-arvensis")</f>
        <v>https://www.xeno-canto.org/species/Alauda-arvensis</v>
      </c>
      <c r="D624" s="94" t="str">
        <f>HYPERLINK("https://ebird.org/species/skylar")</f>
        <v>https://ebird.org/species/skylar</v>
      </c>
      <c r="E624" s="122" t="str">
        <f>HYPERLINK("https://en.wikipedia.org/wiki/Eurasian_Skylark")</f>
        <v>https://en.wikipedia.org/wiki/Eurasian_Skylark</v>
      </c>
      <c r="F624" s="123" t="str">
        <f>HYPERLINK("https://apiv3.iucnredlist.org/api/v3/website/Alauda arvensis")</f>
        <v>https://apiv3.iucnredlist.org/api/v3/website/Alauda arvensis</v>
      </c>
      <c r="J624" s="87" t="s">
        <v>1092</v>
      </c>
      <c r="K624" s="92" t="s">
        <v>3872</v>
      </c>
      <c r="M624" s="93" t="s">
        <v>3873</v>
      </c>
      <c r="N624" s="90" t="s">
        <v>49</v>
      </c>
      <c r="R624" s="2" t="s">
        <v>6575</v>
      </c>
    </row>
    <row r="626" spans="1:18" ht="12" x14ac:dyDescent="0.3">
      <c r="K626" s="88" t="s">
        <v>1097</v>
      </c>
      <c r="M626" s="89" t="s">
        <v>1098</v>
      </c>
    </row>
    <row r="627" spans="1:18" ht="14.4" x14ac:dyDescent="0.3">
      <c r="A627" s="85">
        <v>489</v>
      </c>
      <c r="B627" s="74" t="s">
        <v>3874</v>
      </c>
      <c r="C627" s="75" t="str">
        <f>HYPERLINK("https://www.xeno-canto.org/species/Alophoixus-frater")</f>
        <v>https://www.xeno-canto.org/species/Alophoixus-frater</v>
      </c>
      <c r="D627" s="91" t="str">
        <f>HYPERLINK("https://ebird.org/species/gytbul1")</f>
        <v>https://ebird.org/species/gytbul1</v>
      </c>
      <c r="E627" s="120" t="str">
        <f>HYPERLINK("https://en.wikipedia.org/wiki/Palawan_Bulbul")</f>
        <v>https://en.wikipedia.org/wiki/Palawan_Bulbul</v>
      </c>
      <c r="F627" s="121" t="str">
        <f>HYPERLINK("https://apiv3.iucnredlist.org/api/v3/website/Alophoixus frater")</f>
        <v>https://apiv3.iucnredlist.org/api/v3/website/Alophoixus frater</v>
      </c>
      <c r="G627" s="90">
        <v>47</v>
      </c>
      <c r="H627" s="90">
        <v>279</v>
      </c>
      <c r="J627" s="87" t="s">
        <v>1098</v>
      </c>
      <c r="K627" s="98" t="s">
        <v>1107</v>
      </c>
      <c r="M627" s="99" t="s">
        <v>1108</v>
      </c>
      <c r="N627" s="90" t="s">
        <v>57</v>
      </c>
      <c r="P627" s="90" t="s">
        <v>186</v>
      </c>
      <c r="Q627" s="2" t="s">
        <v>3875</v>
      </c>
    </row>
    <row r="628" spans="1:18" ht="14.4" x14ac:dyDescent="0.3">
      <c r="A628" s="85">
        <v>490</v>
      </c>
      <c r="B628" s="76" t="s">
        <v>3876</v>
      </c>
      <c r="C628" s="77" t="str">
        <f>HYPERLINK("https://www.xeno-canto.org/species/Iole-palawanensis")</f>
        <v>https://www.xeno-canto.org/species/Iole-palawanensis</v>
      </c>
      <c r="D628" s="94" t="str">
        <f>HYPERLINK("https://ebird.org/species/subbul1")</f>
        <v>https://ebird.org/species/subbul1</v>
      </c>
      <c r="E628" s="122" t="str">
        <f>HYPERLINK("https://en.wikipedia.org/wiki/Sulphur-bellied_Bulbul")</f>
        <v>https://en.wikipedia.org/wiki/Sulphur-bellied_Bulbul</v>
      </c>
      <c r="F628" s="123" t="str">
        <f>HYPERLINK("https://apiv3.iucnredlist.org/api/v3/website/Iole palawanensis")</f>
        <v>https://apiv3.iucnredlist.org/api/v3/website/Iole palawanensis</v>
      </c>
      <c r="G628" s="90">
        <v>47</v>
      </c>
      <c r="H628" s="90">
        <v>279</v>
      </c>
      <c r="J628" s="87" t="s">
        <v>1098</v>
      </c>
      <c r="K628" s="98" t="s">
        <v>1109</v>
      </c>
      <c r="M628" s="99" t="s">
        <v>1110</v>
      </c>
      <c r="N628" s="90" t="s">
        <v>57</v>
      </c>
      <c r="Q628" s="2" t="s">
        <v>3134</v>
      </c>
    </row>
    <row r="629" spans="1:18" ht="20.399999999999999" x14ac:dyDescent="0.3">
      <c r="A629" s="85">
        <v>491</v>
      </c>
      <c r="B629" s="76" t="s">
        <v>3877</v>
      </c>
      <c r="C629" s="77" t="str">
        <f>HYPERLINK("https://www.xeno-canto.org/species/Hypsipetes-philippinus")</f>
        <v>https://www.xeno-canto.org/species/Hypsipetes-philippinus</v>
      </c>
      <c r="D629" s="94" t="str">
        <f>HYPERLINK("https://ebird.org/species/phibul1")</f>
        <v>https://ebird.org/species/phibul1</v>
      </c>
      <c r="E629" s="122" t="str">
        <f>HYPERLINK("https://en.wikipedia.org/wiki/Philippine_Bulbul")</f>
        <v>https://en.wikipedia.org/wiki/Philippine_Bulbul</v>
      </c>
      <c r="F629" s="123" t="str">
        <f>HYPERLINK("https://apiv3.iucnredlist.org/api/v3/website/Hypsipetes philippinus")</f>
        <v>https://apiv3.iucnredlist.org/api/v3/website/Hypsipetes philippinus</v>
      </c>
      <c r="G629" s="90">
        <v>47</v>
      </c>
      <c r="H629" s="90">
        <v>283</v>
      </c>
      <c r="J629" s="87" t="s">
        <v>1098</v>
      </c>
      <c r="K629" s="98" t="s">
        <v>1113</v>
      </c>
      <c r="M629" s="99" t="s">
        <v>1114</v>
      </c>
      <c r="N629" s="90" t="s">
        <v>57</v>
      </c>
      <c r="Q629" s="2" t="s">
        <v>3878</v>
      </c>
    </row>
    <row r="630" spans="1:18" ht="14.4" x14ac:dyDescent="0.3">
      <c r="A630" s="85">
        <v>492</v>
      </c>
      <c r="B630" s="76" t="s">
        <v>3879</v>
      </c>
      <c r="C630" s="77" t="str">
        <f>HYPERLINK("https://www.xeno-canto.org/species/Hypsipetes-mindorensis")</f>
        <v>https://www.xeno-canto.org/species/Hypsipetes-mindorensis</v>
      </c>
      <c r="D630" s="94" t="str">
        <f>HYPERLINK("https://ebird.org/species/minbul1")</f>
        <v>https://ebird.org/species/minbul1</v>
      </c>
      <c r="E630" s="122" t="str">
        <f>HYPERLINK("https://en.wikipedia.org/wiki/Mindoro_Bulbul")</f>
        <v>https://en.wikipedia.org/wiki/Mindoro_Bulbul</v>
      </c>
      <c r="F630" s="123" t="str">
        <f>HYPERLINK("https://apiv3.iucnredlist.org/api/v3/website/Hypsipetes mindorensis")</f>
        <v>https://apiv3.iucnredlist.org/api/v3/website/Hypsipetes mindorensis</v>
      </c>
      <c r="G630" s="90">
        <v>47</v>
      </c>
      <c r="H630" s="90">
        <v>283</v>
      </c>
      <c r="J630" s="87" t="s">
        <v>1098</v>
      </c>
      <c r="K630" s="98" t="s">
        <v>1115</v>
      </c>
      <c r="M630" s="99" t="s">
        <v>1116</v>
      </c>
      <c r="N630" s="90" t="s">
        <v>57</v>
      </c>
      <c r="Q630" s="2" t="s">
        <v>3880</v>
      </c>
    </row>
    <row r="631" spans="1:18" ht="30.6" x14ac:dyDescent="0.3">
      <c r="A631" s="85">
        <v>493</v>
      </c>
      <c r="B631" s="76" t="s">
        <v>3881</v>
      </c>
      <c r="C631" s="77" t="str">
        <f>HYPERLINK("https://www.xeno-canto.org/species/Hypsipetes-siquijorensis")</f>
        <v>https://www.xeno-canto.org/species/Hypsipetes-siquijorensis</v>
      </c>
      <c r="D631" s="94" t="str">
        <f>HYPERLINK("https://ebird.org/species/stbbul1")</f>
        <v>https://ebird.org/species/stbbul1</v>
      </c>
      <c r="E631" s="122" t="str">
        <f>HYPERLINK("https://en.wikipedia.org/wiki/Streak-breasted_Bulbul")</f>
        <v>https://en.wikipedia.org/wiki/Streak-breasted_Bulbul</v>
      </c>
      <c r="F631" s="123" t="str">
        <f>HYPERLINK("https://apiv3.iucnredlist.org/api/v3/website/Hypsipetes siquijorensis")</f>
        <v>https://apiv3.iucnredlist.org/api/v3/website/Hypsipetes siquijorensis</v>
      </c>
      <c r="G631" s="90">
        <v>48</v>
      </c>
      <c r="H631" s="90">
        <v>281</v>
      </c>
      <c r="J631" s="87" t="s">
        <v>1098</v>
      </c>
      <c r="K631" s="98" t="s">
        <v>1121</v>
      </c>
      <c r="M631" s="99" t="s">
        <v>1122</v>
      </c>
      <c r="N631" s="90" t="s">
        <v>57</v>
      </c>
      <c r="O631" s="90" t="s">
        <v>58</v>
      </c>
      <c r="P631" s="90" t="s">
        <v>112</v>
      </c>
      <c r="Q631" s="2" t="s">
        <v>3882</v>
      </c>
      <c r="R631" s="2" t="s">
        <v>9</v>
      </c>
    </row>
    <row r="632" spans="1:18" ht="14.4" x14ac:dyDescent="0.3">
      <c r="A632" s="85">
        <v>494</v>
      </c>
      <c r="B632" s="76" t="s">
        <v>3883</v>
      </c>
      <c r="C632" s="77" t="str">
        <f>HYPERLINK("https://www.xeno-canto.org/species/Hypsipetes-guimarasensis")</f>
        <v>https://www.xeno-canto.org/species/Hypsipetes-guimarasensis</v>
      </c>
      <c r="D632" s="94" t="str">
        <f>HYPERLINK("https://ebird.org/species/visbul1")</f>
        <v>https://ebird.org/species/visbul1</v>
      </c>
      <c r="E632" s="122" t="str">
        <f>HYPERLINK("https://en.wikipedia.org/wiki/Visayan_Bulbul")</f>
        <v>https://en.wikipedia.org/wiki/Visayan_Bulbul</v>
      </c>
      <c r="F632" s="123" t="str">
        <f>HYPERLINK("https://apiv3.iucnredlist.org/api/v3/website/Hypsipetes guimarasensis")</f>
        <v>https://apiv3.iucnredlist.org/api/v3/website/Hypsipetes guimarasensis</v>
      </c>
      <c r="G632" s="90">
        <v>47</v>
      </c>
      <c r="H632" s="90">
        <v>283</v>
      </c>
      <c r="J632" s="87" t="s">
        <v>1098</v>
      </c>
      <c r="K632" s="98" t="s">
        <v>1117</v>
      </c>
      <c r="M632" s="99" t="s">
        <v>1118</v>
      </c>
      <c r="N632" s="90" t="s">
        <v>57</v>
      </c>
      <c r="Q632" s="2" t="s">
        <v>3884</v>
      </c>
    </row>
    <row r="633" spans="1:18" ht="20.399999999999999" x14ac:dyDescent="0.3">
      <c r="A633" s="85">
        <v>495</v>
      </c>
      <c r="B633" s="76" t="s">
        <v>3885</v>
      </c>
      <c r="C633" s="77" t="str">
        <f>HYPERLINK("https://www.xeno-canto.org/species/Hypsipetes-everetti")</f>
        <v>https://www.xeno-canto.org/species/Hypsipetes-everetti</v>
      </c>
      <c r="D633" s="94" t="str">
        <f>HYPERLINK("https://ebird.org/species/yelbul1")</f>
        <v>https://ebird.org/species/yelbul1</v>
      </c>
      <c r="E633" s="122" t="str">
        <f>HYPERLINK("https://en.wikipedia.org/wiki/Yellowish_Bulbul")</f>
        <v>https://en.wikipedia.org/wiki/Yellowish_Bulbul</v>
      </c>
      <c r="F633" s="123" t="str">
        <f>HYPERLINK("https://apiv3.iucnredlist.org/api/v3/website/Hypsipetes everetti")</f>
        <v>https://apiv3.iucnredlist.org/api/v3/website/Hypsipetes everetti</v>
      </c>
      <c r="G633" s="90">
        <v>48</v>
      </c>
      <c r="H633" s="90">
        <v>281</v>
      </c>
      <c r="J633" s="87" t="s">
        <v>1098</v>
      </c>
      <c r="K633" s="98" t="s">
        <v>1123</v>
      </c>
      <c r="L633" s="86" t="s">
        <v>5167</v>
      </c>
      <c r="M633" s="99" t="s">
        <v>1124</v>
      </c>
      <c r="N633" s="90" t="s">
        <v>57</v>
      </c>
      <c r="Q633" s="2" t="s">
        <v>5168</v>
      </c>
      <c r="R633" s="2" t="s">
        <v>9</v>
      </c>
    </row>
    <row r="634" spans="1:18" ht="14.4" x14ac:dyDescent="0.3">
      <c r="A634" s="85">
        <v>496</v>
      </c>
      <c r="B634" s="76" t="s">
        <v>5169</v>
      </c>
      <c r="C634" s="77" t="str">
        <f>HYPERLINK("https://www.xeno-canto.org/species/Hypsipetes-catarmanensis")</f>
        <v>https://www.xeno-canto.org/species/Hypsipetes-catarmanensis</v>
      </c>
      <c r="D634" s="94" t="str">
        <f>HYPERLINK("https://ebird.org/species/yelbul4")</f>
        <v>https://ebird.org/species/yelbul4</v>
      </c>
      <c r="E634" s="122" t="str">
        <f>HYPERLINK("https://en.wikipedia.org/wiki/Camiguin_Bulbul")</f>
        <v>https://en.wikipedia.org/wiki/Camiguin_Bulbul</v>
      </c>
      <c r="F634" s="123" t="str">
        <f>HYPERLINK("https://apiv3.iucnredlist.org/api/v3/website/Hypsipetes catarmanensis")</f>
        <v>https://apiv3.iucnredlist.org/api/v3/website/Hypsipetes catarmanensis</v>
      </c>
      <c r="H634" s="90">
        <v>281</v>
      </c>
      <c r="J634" s="87" t="s">
        <v>1098</v>
      </c>
      <c r="K634" s="98" t="s">
        <v>2722</v>
      </c>
      <c r="M634" s="99" t="s">
        <v>2723</v>
      </c>
      <c r="N634" s="90" t="s">
        <v>57</v>
      </c>
      <c r="Q634" s="2" t="s">
        <v>4666</v>
      </c>
    </row>
    <row r="635" spans="1:18" ht="14.4" x14ac:dyDescent="0.3">
      <c r="A635" s="85">
        <v>497</v>
      </c>
      <c r="B635" s="76" t="s">
        <v>3886</v>
      </c>
      <c r="C635" s="77" t="str">
        <f>HYPERLINK("https://www.xeno-canto.org/species/Hypsipetes-rufigularis")</f>
        <v>https://www.xeno-canto.org/species/Hypsipetes-rufigularis</v>
      </c>
      <c r="D635" s="94" t="str">
        <f>HYPERLINK("https://ebird.org/species/zambul1")</f>
        <v>https://ebird.org/species/zambul1</v>
      </c>
      <c r="E635" s="122" t="str">
        <f>HYPERLINK("https://en.wikipedia.org/wiki/Zamboanga_Bulbul")</f>
        <v>https://en.wikipedia.org/wiki/Zamboanga_Bulbul</v>
      </c>
      <c r="F635" s="123" t="str">
        <f>HYPERLINK("https://apiv3.iucnredlist.org/api/v3/website/Hypsipetes rufigularis")</f>
        <v>https://apiv3.iucnredlist.org/api/v3/website/Hypsipetes rufigularis</v>
      </c>
      <c r="G635" s="90">
        <v>47</v>
      </c>
      <c r="H635" s="90">
        <v>281</v>
      </c>
      <c r="J635" s="87" t="s">
        <v>1098</v>
      </c>
      <c r="K635" s="98" t="s">
        <v>1119</v>
      </c>
      <c r="M635" s="99" t="s">
        <v>1120</v>
      </c>
      <c r="N635" s="90" t="s">
        <v>57</v>
      </c>
      <c r="O635" s="90" t="s">
        <v>50</v>
      </c>
      <c r="P635" s="90" t="s">
        <v>38</v>
      </c>
      <c r="Q635" s="2" t="s">
        <v>3887</v>
      </c>
      <c r="R635" s="2" t="s">
        <v>9</v>
      </c>
    </row>
    <row r="636" spans="1:18" ht="20.399999999999999" x14ac:dyDescent="0.3">
      <c r="A636" s="85">
        <v>498</v>
      </c>
      <c r="B636" s="76" t="s">
        <v>3888</v>
      </c>
      <c r="C636" s="77" t="str">
        <f>HYPERLINK("https://www.xeno-canto.org/species/Hypsipetes-amaurotis")</f>
        <v>https://www.xeno-canto.org/species/Hypsipetes-amaurotis</v>
      </c>
      <c r="D636" s="94" t="str">
        <f>HYPERLINK("https://ebird.org/species/brebul1")</f>
        <v>https://ebird.org/species/brebul1</v>
      </c>
      <c r="E636" s="122" t="str">
        <f>HYPERLINK("https://en.wikipedia.org/wiki/Brown-eared_Bulbul")</f>
        <v>https://en.wikipedia.org/wiki/Brown-eared_Bulbul</v>
      </c>
      <c r="F636" s="123" t="str">
        <f>HYPERLINK("https://apiv3.iucnredlist.org/api/v3/website/Hypsipetes amaurotis")</f>
        <v>https://apiv3.iucnredlist.org/api/v3/website/Hypsipetes amaurotis</v>
      </c>
      <c r="G636" s="90">
        <v>48</v>
      </c>
      <c r="H636" s="90">
        <v>283</v>
      </c>
      <c r="J636" s="87" t="s">
        <v>1098</v>
      </c>
      <c r="K636" s="95" t="s">
        <v>1125</v>
      </c>
      <c r="M636" s="93" t="s">
        <v>1126</v>
      </c>
      <c r="N636" s="90" t="s">
        <v>37</v>
      </c>
      <c r="Q636" s="2" t="s">
        <v>3889</v>
      </c>
      <c r="R636" s="2" t="s">
        <v>9</v>
      </c>
    </row>
    <row r="637" spans="1:18" ht="20.399999999999999" x14ac:dyDescent="0.3">
      <c r="A637" s="85">
        <v>499</v>
      </c>
      <c r="B637" s="76" t="s">
        <v>3890</v>
      </c>
      <c r="C637" s="77" t="str">
        <f>HYPERLINK("https://www.xeno-canto.org/species/Hypsipetes-leucocephalus")</f>
        <v>https://www.xeno-canto.org/species/Hypsipetes-leucocephalus</v>
      </c>
      <c r="D637" s="94" t="str">
        <f>HYPERLINK("https://ebird.org/species/blabul1")</f>
        <v>https://ebird.org/species/blabul1</v>
      </c>
      <c r="E637" s="122" t="str">
        <f>HYPERLINK("https://en.wikipedia.org/wiki/Black_Bulbul")</f>
        <v>https://en.wikipedia.org/wiki/Black_Bulbul</v>
      </c>
      <c r="F637" s="123" t="str">
        <f>HYPERLINK("https://apiv3.iucnredlist.org/api/v3/website/Hypsipetes leucocephalus")</f>
        <v>https://apiv3.iucnredlist.org/api/v3/website/Hypsipetes leucocephalus</v>
      </c>
      <c r="H637" s="90">
        <v>283</v>
      </c>
      <c r="J637" s="87" t="s">
        <v>1098</v>
      </c>
      <c r="K637" s="92" t="s">
        <v>1111</v>
      </c>
      <c r="M637" s="93" t="s">
        <v>1112</v>
      </c>
      <c r="N637" s="90" t="s">
        <v>49</v>
      </c>
      <c r="Q637" s="2" t="s">
        <v>3891</v>
      </c>
      <c r="R637" s="2" t="s">
        <v>6445</v>
      </c>
    </row>
    <row r="638" spans="1:18" ht="20.399999999999999" x14ac:dyDescent="0.3">
      <c r="A638" s="85">
        <v>500</v>
      </c>
      <c r="B638" s="76" t="s">
        <v>3892</v>
      </c>
      <c r="C638" s="77" t="str">
        <f>HYPERLINK("https://www.xeno-canto.org/species/Poliolophus-urostictus")</f>
        <v>https://www.xeno-canto.org/species/Poliolophus-urostictus</v>
      </c>
      <c r="D638" s="94" t="str">
        <f>HYPERLINK("https://ebird.org/species/yewbul1")</f>
        <v>https://ebird.org/species/yewbul1</v>
      </c>
      <c r="E638" s="122" t="str">
        <f>HYPERLINK("https://en.wikipedia.org/wiki/Yellow-wattled_Bulbul")</f>
        <v>https://en.wikipedia.org/wiki/Yellow-wattled_Bulbul</v>
      </c>
      <c r="F638" s="123" t="str">
        <f>HYPERLINK("https://apiv3.iucnredlist.org/api/v3/website/Poliolophus urostictus")</f>
        <v>https://apiv3.iucnredlist.org/api/v3/website/Poliolophus urostictus</v>
      </c>
      <c r="G638" s="90">
        <v>47</v>
      </c>
      <c r="H638" s="90">
        <v>287</v>
      </c>
      <c r="J638" s="87" t="s">
        <v>1098</v>
      </c>
      <c r="K638" s="98" t="s">
        <v>1100</v>
      </c>
      <c r="M638" s="99" t="s">
        <v>2059</v>
      </c>
      <c r="N638" s="90" t="s">
        <v>57</v>
      </c>
      <c r="Q638" s="2" t="s">
        <v>3893</v>
      </c>
    </row>
    <row r="639" spans="1:18" ht="14.4" x14ac:dyDescent="0.3">
      <c r="A639" s="85">
        <v>501</v>
      </c>
      <c r="B639" s="76" t="s">
        <v>3894</v>
      </c>
      <c r="C639" s="77" t="str">
        <f>HYPERLINK("https://www.xeno-canto.org/species/Brachypodius-melanocephalos")</f>
        <v>https://www.xeno-canto.org/species/Brachypodius-melanocephalos</v>
      </c>
      <c r="D639" s="94" t="str">
        <f>HYPERLINK("https://ebird.org/species/blhbul1")</f>
        <v>https://ebird.org/species/blhbul1</v>
      </c>
      <c r="E639" s="122" t="str">
        <f>HYPERLINK("https://en.wikipedia.org/wiki/Black-headed_Bulbul")</f>
        <v>https://en.wikipedia.org/wiki/Black-headed_Bulbul</v>
      </c>
      <c r="F639" s="123" t="str">
        <f>HYPERLINK("https://apiv3.iucnredlist.org/api/v3/website/Brachypodius melanocephalos")</f>
        <v>https://apiv3.iucnredlist.org/api/v3/website/Brachypodius melanocephalos</v>
      </c>
      <c r="G639" s="90">
        <v>47</v>
      </c>
      <c r="H639" s="90">
        <v>285</v>
      </c>
      <c r="J639" s="87" t="s">
        <v>1098</v>
      </c>
      <c r="K639" s="95" t="s">
        <v>1099</v>
      </c>
      <c r="M639" s="93" t="s">
        <v>3895</v>
      </c>
      <c r="N639" s="90" t="s">
        <v>37</v>
      </c>
      <c r="Q639" s="2" t="s">
        <v>3896</v>
      </c>
    </row>
    <row r="640" spans="1:18" ht="14.4" x14ac:dyDescent="0.3">
      <c r="A640" s="85">
        <v>502</v>
      </c>
      <c r="B640" s="76" t="s">
        <v>3897</v>
      </c>
      <c r="C640" s="77" t="str">
        <f>HYPERLINK("https://www.xeno-canto.org/species/Pycnonotus-plumosus")</f>
        <v>https://www.xeno-canto.org/species/Pycnonotus-plumosus</v>
      </c>
      <c r="D640" s="94" t="str">
        <f>HYPERLINK("https://ebird.org/species/olwbul1")</f>
        <v>https://ebird.org/species/olwbul1</v>
      </c>
      <c r="E640" s="122" t="str">
        <f>HYPERLINK("https://en.wikipedia.org/wiki/Olive-winged_Bulbul")</f>
        <v>https://en.wikipedia.org/wiki/Olive-winged_Bulbul</v>
      </c>
      <c r="F640" s="123" t="str">
        <f>HYPERLINK("https://apiv3.iucnredlist.org/api/v3/website/Pycnonotus plumosus")</f>
        <v>https://apiv3.iucnredlist.org/api/v3/website/Pycnonotus plumosus</v>
      </c>
      <c r="G640" s="90">
        <v>47</v>
      </c>
      <c r="H640" s="90">
        <v>285</v>
      </c>
      <c r="J640" s="87" t="s">
        <v>1098</v>
      </c>
      <c r="K640" s="95" t="s">
        <v>1103</v>
      </c>
      <c r="M640" s="93" t="s">
        <v>1104</v>
      </c>
      <c r="N640" s="90" t="s">
        <v>37</v>
      </c>
      <c r="Q640" s="2" t="s">
        <v>3898</v>
      </c>
    </row>
    <row r="641" spans="1:18" ht="14.4" x14ac:dyDescent="0.3">
      <c r="A641" s="85">
        <v>503</v>
      </c>
      <c r="B641" s="76" t="s">
        <v>3899</v>
      </c>
      <c r="C641" s="77" t="str">
        <f>HYPERLINK("https://www.xeno-canto.org/species/Pycnonotus-cinereifrons")</f>
        <v>https://www.xeno-canto.org/species/Pycnonotus-cinereifrons</v>
      </c>
      <c r="D641" s="94" t="str">
        <f>HYPERLINK("https://ebird.org/species/asfbul1")</f>
        <v>https://ebird.org/species/asfbul1</v>
      </c>
      <c r="E641" s="122" t="str">
        <f>HYPERLINK("https://en.wikipedia.org/wiki/Ashy-fronted_Bulbul")</f>
        <v>https://en.wikipedia.org/wiki/Ashy-fronted_Bulbul</v>
      </c>
      <c r="F641" s="123" t="str">
        <f>HYPERLINK("https://apiv3.iucnredlist.org/api/v3/website/Pycnonotus cinereifrons")</f>
        <v>https://apiv3.iucnredlist.org/api/v3/website/Pycnonotus cinereifrons</v>
      </c>
      <c r="G641" s="90">
        <v>47</v>
      </c>
      <c r="H641" s="90">
        <v>285</v>
      </c>
      <c r="J641" s="87" t="s">
        <v>1098</v>
      </c>
      <c r="K641" s="98" t="s">
        <v>1105</v>
      </c>
      <c r="M641" s="99" t="s">
        <v>1106</v>
      </c>
      <c r="N641" s="90" t="s">
        <v>57</v>
      </c>
      <c r="Q641" s="2" t="s">
        <v>3900</v>
      </c>
    </row>
    <row r="642" spans="1:18" ht="20.399999999999999" x14ac:dyDescent="0.3">
      <c r="A642" s="85">
        <v>504</v>
      </c>
      <c r="B642" s="76" t="s">
        <v>3901</v>
      </c>
      <c r="C642" s="77" t="str">
        <f>HYPERLINK("https://www.xeno-canto.org/species/Pycnonotus-sinensis")</f>
        <v>https://www.xeno-canto.org/species/Pycnonotus-sinensis</v>
      </c>
      <c r="D642" s="94" t="str">
        <f>HYPERLINK("https://ebird.org/species/livbul1")</f>
        <v>https://ebird.org/species/livbul1</v>
      </c>
      <c r="E642" s="122" t="str">
        <f>HYPERLINK("https://en.wikipedia.org/wiki/Light-vented_Bulbul")</f>
        <v>https://en.wikipedia.org/wiki/Light-vented_Bulbul</v>
      </c>
      <c r="F642" s="123" t="str">
        <f>HYPERLINK("https://apiv3.iucnredlist.org/api/v3/website/Pycnonotus sinensis")</f>
        <v>https://apiv3.iucnredlist.org/api/v3/website/Pycnonotus sinensis</v>
      </c>
      <c r="H642" s="90">
        <v>285</v>
      </c>
      <c r="J642" s="87" t="s">
        <v>1098</v>
      </c>
      <c r="K642" s="92" t="s">
        <v>2959</v>
      </c>
      <c r="M642" s="93" t="s">
        <v>2960</v>
      </c>
      <c r="N642" s="90" t="s">
        <v>49</v>
      </c>
      <c r="Q642" s="2" t="s">
        <v>3078</v>
      </c>
      <c r="R642" s="2" t="s">
        <v>6446</v>
      </c>
    </row>
    <row r="643" spans="1:18" ht="20.399999999999999" x14ac:dyDescent="0.3">
      <c r="A643" s="85">
        <v>505</v>
      </c>
      <c r="B643" s="76" t="s">
        <v>3902</v>
      </c>
      <c r="C643" s="77" t="str">
        <f>HYPERLINK("https://www.xeno-canto.org/species/Pycnonotus-goiavier")</f>
        <v>https://www.xeno-canto.org/species/Pycnonotus-goiavier</v>
      </c>
      <c r="D643" s="94" t="str">
        <f>HYPERLINK("https://ebird.org/species/yevbul1")</f>
        <v>https://ebird.org/species/yevbul1</v>
      </c>
      <c r="E643" s="122" t="str">
        <f>HYPERLINK("https://en.wikipedia.org/wiki/Yellow-vented_Bulbul")</f>
        <v>https://en.wikipedia.org/wiki/Yellow-vented_Bulbul</v>
      </c>
      <c r="F643" s="123" t="str">
        <f>HYPERLINK("https://apiv3.iucnredlist.org/api/v3/website/Pycnonotus goiavier")</f>
        <v>https://apiv3.iucnredlist.org/api/v3/website/Pycnonotus goiavier</v>
      </c>
      <c r="G643" s="90">
        <v>47</v>
      </c>
      <c r="H643" s="90">
        <v>285</v>
      </c>
      <c r="J643" s="87" t="s">
        <v>1098</v>
      </c>
      <c r="K643" s="95" t="s">
        <v>1101</v>
      </c>
      <c r="M643" s="93" t="s">
        <v>1102</v>
      </c>
      <c r="N643" s="90" t="s">
        <v>37</v>
      </c>
      <c r="Q643" s="2" t="s">
        <v>3903</v>
      </c>
    </row>
    <row r="645" spans="1:18" ht="12" x14ac:dyDescent="0.3">
      <c r="K645" s="88" t="s">
        <v>5836</v>
      </c>
      <c r="M645" s="89" t="s">
        <v>1127</v>
      </c>
    </row>
    <row r="646" spans="1:18" ht="14.4" x14ac:dyDescent="0.3">
      <c r="A646" s="85">
        <v>506</v>
      </c>
      <c r="B646" s="74" t="s">
        <v>3904</v>
      </c>
      <c r="C646" s="75" t="str">
        <f>HYPERLINK("https://www.xeno-canto.org/species/Riparia-chinensis")</f>
        <v>https://www.xeno-canto.org/species/Riparia-chinensis</v>
      </c>
      <c r="D646" s="91" t="str">
        <f>HYPERLINK("https://ebird.org/species/gytmar1")</f>
        <v>https://ebird.org/species/gytmar1</v>
      </c>
      <c r="E646" s="120" t="str">
        <f>HYPERLINK("https://en.wikipedia.org/wiki/Grey-throated_Martin")</f>
        <v>https://en.wikipedia.org/wiki/Grey-throated_Martin</v>
      </c>
      <c r="F646" s="121" t="str">
        <f>HYPERLINK("https://apiv3.iucnredlist.org/api/v3/website/Riparia chinensis")</f>
        <v>https://apiv3.iucnredlist.org/api/v3/website/Riparia chinensis</v>
      </c>
      <c r="G646" s="90">
        <v>44</v>
      </c>
      <c r="H646" s="90">
        <v>279</v>
      </c>
      <c r="J646" s="87" t="s">
        <v>1127</v>
      </c>
      <c r="K646" s="95" t="s">
        <v>1128</v>
      </c>
      <c r="L646" s="86" t="s">
        <v>2072</v>
      </c>
      <c r="M646" s="93" t="s">
        <v>1129</v>
      </c>
      <c r="N646" s="90" t="s">
        <v>37</v>
      </c>
      <c r="Q646" s="2" t="s">
        <v>3905</v>
      </c>
    </row>
    <row r="647" spans="1:18" ht="14.4" x14ac:dyDescent="0.3">
      <c r="A647" s="85">
        <v>507</v>
      </c>
      <c r="B647" s="76" t="s">
        <v>3906</v>
      </c>
      <c r="C647" s="77" t="str">
        <f>HYPERLINK("https://www.xeno-canto.org/species/Riparia-riparia")</f>
        <v>https://www.xeno-canto.org/species/Riparia-riparia</v>
      </c>
      <c r="D647" s="94" t="str">
        <f>HYPERLINK("https://ebird.org/species/banswa")</f>
        <v>https://ebird.org/species/banswa</v>
      </c>
      <c r="E647" s="122" t="str">
        <f>HYPERLINK("https://en.wikipedia.org/wiki/Sand_Martin")</f>
        <v>https://en.wikipedia.org/wiki/Sand_Martin</v>
      </c>
      <c r="F647" s="123" t="str">
        <f>HYPERLINK("https://apiv3.iucnredlist.org/api/v3/website/Riparia riparia")</f>
        <v>https://apiv3.iucnredlist.org/api/v3/website/Riparia riparia</v>
      </c>
      <c r="G647" s="90">
        <v>44</v>
      </c>
      <c r="H647" s="90">
        <v>279</v>
      </c>
      <c r="J647" s="87" t="s">
        <v>1127</v>
      </c>
      <c r="K647" s="95" t="s">
        <v>1131</v>
      </c>
      <c r="L647" s="86" t="s">
        <v>2075</v>
      </c>
      <c r="M647" s="93" t="s">
        <v>1132</v>
      </c>
      <c r="N647" s="90" t="s">
        <v>89</v>
      </c>
      <c r="Q647" s="2" t="s">
        <v>3907</v>
      </c>
    </row>
    <row r="648" spans="1:18" ht="14.4" x14ac:dyDescent="0.3">
      <c r="A648" s="85">
        <v>508</v>
      </c>
      <c r="B648" s="76" t="s">
        <v>3909</v>
      </c>
      <c r="C648" s="77" t="str">
        <f>HYPERLINK("https://www.xeno-canto.org/species/Hirundo-tahitica")</f>
        <v>https://www.xeno-canto.org/species/Hirundo-tahitica</v>
      </c>
      <c r="D648" s="94" t="str">
        <f>HYPERLINK("https://ebird.org/species/pacswa1")</f>
        <v>https://ebird.org/species/pacswa1</v>
      </c>
      <c r="E648" s="122" t="str">
        <f>HYPERLINK("https://en.wikipedia.org/wiki/Pacific_Swallow")</f>
        <v>https://en.wikipedia.org/wiki/Pacific_Swallow</v>
      </c>
      <c r="F648" s="123" t="str">
        <f>HYPERLINK("https://apiv3.iucnredlist.org/api/v3/website/Hirundo tahitica")</f>
        <v>https://apiv3.iucnredlist.org/api/v3/website/Hirundo tahitica</v>
      </c>
      <c r="G648" s="90">
        <v>44</v>
      </c>
      <c r="H648" s="90">
        <v>277</v>
      </c>
      <c r="J648" s="87" t="s">
        <v>1127</v>
      </c>
      <c r="K648" s="95" t="s">
        <v>1135</v>
      </c>
      <c r="L648" s="86" t="s">
        <v>2076</v>
      </c>
      <c r="M648" s="93" t="s">
        <v>1136</v>
      </c>
      <c r="N648" s="90" t="s">
        <v>37</v>
      </c>
      <c r="Q648" s="2" t="s">
        <v>3233</v>
      </c>
    </row>
    <row r="649" spans="1:18" ht="14.4" x14ac:dyDescent="0.3">
      <c r="A649" s="85">
        <v>509</v>
      </c>
      <c r="B649" s="76" t="s">
        <v>3908</v>
      </c>
      <c r="C649" s="77" t="str">
        <f>HYPERLINK("https://www.xeno-canto.org/species/Hirundo-rustica")</f>
        <v>https://www.xeno-canto.org/species/Hirundo-rustica</v>
      </c>
      <c r="D649" s="94" t="str">
        <f>HYPERLINK("https://ebird.org/species/barswa")</f>
        <v>https://ebird.org/species/barswa</v>
      </c>
      <c r="E649" s="122" t="str">
        <f>HYPERLINK("https://en.wikipedia.org/wiki/Barn_Swallow")</f>
        <v>https://en.wikipedia.org/wiki/Barn_Swallow</v>
      </c>
      <c r="F649" s="123" t="str">
        <f>HYPERLINK("https://apiv3.iucnredlist.org/api/v3/website/Hirundo rustica")</f>
        <v>https://apiv3.iucnredlist.org/api/v3/website/Hirundo rustica</v>
      </c>
      <c r="G649" s="90">
        <v>44</v>
      </c>
      <c r="H649" s="90">
        <v>279</v>
      </c>
      <c r="J649" s="87" t="s">
        <v>1127</v>
      </c>
      <c r="K649" s="95" t="s">
        <v>1133</v>
      </c>
      <c r="M649" s="93" t="s">
        <v>1134</v>
      </c>
      <c r="N649" s="90" t="s">
        <v>89</v>
      </c>
      <c r="Q649" s="2" t="s">
        <v>4670</v>
      </c>
    </row>
    <row r="650" spans="1:18" ht="30.6" x14ac:dyDescent="0.3">
      <c r="A650" s="85">
        <v>510</v>
      </c>
      <c r="B650" s="76" t="s">
        <v>6576</v>
      </c>
      <c r="C650" s="77" t="str">
        <f>HYPERLINK("https://www.xeno-canto.org/species/Delichon-lagopodum")</f>
        <v>https://www.xeno-canto.org/species/Delichon-lagopodum</v>
      </c>
      <c r="D650" s="94" t="str">
        <f>HYPERLINK("https://ebird.org/species/comhom2")</f>
        <v>https://ebird.org/species/comhom2</v>
      </c>
      <c r="E650" s="122" t="str">
        <f>HYPERLINK("https://en.wikipedia.org/wiki/Siberian_House_Martin")</f>
        <v>https://en.wikipedia.org/wiki/Siberian_House_Martin</v>
      </c>
      <c r="F650" s="123" t="str">
        <f>HYPERLINK("https://apiv3.iucnredlist.org/api/v3/website/Delichon lagopodum")</f>
        <v>https://apiv3.iucnredlist.org/api/v3/website/Delichon lagopodum</v>
      </c>
      <c r="J650" s="87" t="s">
        <v>1127</v>
      </c>
      <c r="K650" s="96" t="s">
        <v>6577</v>
      </c>
      <c r="M650" s="97" t="s">
        <v>6578</v>
      </c>
      <c r="N650" s="90" t="s">
        <v>49</v>
      </c>
      <c r="R650" s="2" t="s">
        <v>6579</v>
      </c>
    </row>
    <row r="651" spans="1:18" ht="20.399999999999999" x14ac:dyDescent="0.3">
      <c r="A651" s="85">
        <v>511</v>
      </c>
      <c r="B651" s="76" t="s">
        <v>3910</v>
      </c>
      <c r="C651" s="77" t="str">
        <f>HYPERLINK("https://www.xeno-canto.org/species/Delichon-dasypus")</f>
        <v>https://www.xeno-canto.org/species/Delichon-dasypus</v>
      </c>
      <c r="D651" s="94" t="str">
        <f>HYPERLINK("https://ebird.org/species/ashmar1")</f>
        <v>https://ebird.org/species/ashmar1</v>
      </c>
      <c r="E651" s="122" t="str">
        <f>HYPERLINK("https://en.wikipedia.org/wiki/Asian_House_Martin")</f>
        <v>https://en.wikipedia.org/wiki/Asian_House_Martin</v>
      </c>
      <c r="F651" s="123" t="str">
        <f>HYPERLINK("https://apiv3.iucnredlist.org/api/v3/website/Delichon dasypus")</f>
        <v>https://apiv3.iucnredlist.org/api/v3/website/Delichon dasypus</v>
      </c>
      <c r="G651" s="90">
        <v>44</v>
      </c>
      <c r="H651" s="90">
        <v>277</v>
      </c>
      <c r="J651" s="87" t="s">
        <v>1127</v>
      </c>
      <c r="K651" s="92" t="s">
        <v>1137</v>
      </c>
      <c r="M651" s="93" t="s">
        <v>1138</v>
      </c>
      <c r="N651" s="90" t="s">
        <v>49</v>
      </c>
      <c r="Q651" s="2" t="s">
        <v>3911</v>
      </c>
      <c r="R651" s="2" t="s">
        <v>6580</v>
      </c>
    </row>
    <row r="652" spans="1:18" ht="30.6" x14ac:dyDescent="0.3">
      <c r="A652" s="85">
        <v>512</v>
      </c>
      <c r="B652" s="76" t="s">
        <v>3912</v>
      </c>
      <c r="C652" s="77" t="str">
        <f>HYPERLINK("https://www.xeno-canto.org/species/Cecropis-striolata")</f>
        <v>https://www.xeno-canto.org/species/Cecropis-striolata</v>
      </c>
      <c r="D652" s="94" t="str">
        <f>HYPERLINK("https://ebird.org/species/strswa2")</f>
        <v>https://ebird.org/species/strswa2</v>
      </c>
      <c r="E652" s="122" t="str">
        <f>HYPERLINK("https://en.wikipedia.org/wiki/Striated_Swallow")</f>
        <v>https://en.wikipedia.org/wiki/Striated_Swallow</v>
      </c>
      <c r="F652" s="123" t="str">
        <f>HYPERLINK("https://apiv3.iucnredlist.org/api/v3/website/Cecropis striolata")</f>
        <v>https://apiv3.iucnredlist.org/api/v3/website/Cecropis striolata</v>
      </c>
      <c r="G652" s="90">
        <v>44</v>
      </c>
      <c r="H652" s="90">
        <v>277</v>
      </c>
      <c r="J652" s="87" t="s">
        <v>1127</v>
      </c>
      <c r="K652" s="95" t="s">
        <v>1139</v>
      </c>
      <c r="M652" s="93" t="s">
        <v>1140</v>
      </c>
      <c r="N652" s="90" t="s">
        <v>37</v>
      </c>
      <c r="Q652" s="2" t="s">
        <v>3913</v>
      </c>
    </row>
    <row r="654" spans="1:18" ht="12" x14ac:dyDescent="0.3">
      <c r="K654" s="88" t="s">
        <v>5837</v>
      </c>
      <c r="M654" s="89" t="s">
        <v>1141</v>
      </c>
    </row>
    <row r="655" spans="1:18" ht="14.4" x14ac:dyDescent="0.3">
      <c r="A655" s="85">
        <v>513</v>
      </c>
      <c r="B655" s="74" t="s">
        <v>3914</v>
      </c>
      <c r="C655" s="75" t="str">
        <f>HYPERLINK("https://www.xeno-canto.org/species/Phyllergates-cucullatus")</f>
        <v>https://www.xeno-canto.org/species/Phyllergates-cucullatus</v>
      </c>
      <c r="D655" s="91" t="str">
        <f>HYPERLINK("https://ebird.org/species/moutai2")</f>
        <v>https://ebird.org/species/moutai2</v>
      </c>
      <c r="E655" s="120" t="str">
        <f>HYPERLINK("https://en.wikipedia.org/wiki/Mountain_Tailorbird")</f>
        <v>https://en.wikipedia.org/wiki/Mountain_Tailorbird</v>
      </c>
      <c r="F655" s="121" t="str">
        <f>HYPERLINK("https://apiv3.iucnredlist.org/api/v3/website/Phyllergates cucullatus")</f>
        <v>https://apiv3.iucnredlist.org/api/v3/website/Phyllergates cucullatus</v>
      </c>
      <c r="G655" s="90">
        <v>58</v>
      </c>
      <c r="H655" s="90">
        <v>293</v>
      </c>
      <c r="J655" s="87" t="s">
        <v>1141</v>
      </c>
      <c r="K655" s="95" t="s">
        <v>1142</v>
      </c>
      <c r="M655" s="93" t="s">
        <v>1143</v>
      </c>
      <c r="N655" s="90" t="s">
        <v>37</v>
      </c>
      <c r="Q655" s="2" t="s">
        <v>3915</v>
      </c>
    </row>
    <row r="656" spans="1:18" ht="14.4" x14ac:dyDescent="0.3">
      <c r="A656" s="85">
        <v>514</v>
      </c>
      <c r="B656" s="76" t="s">
        <v>3916</v>
      </c>
      <c r="C656" s="77" t="str">
        <f>HYPERLINK("https://www.xeno-canto.org/species/Phyllergates-heterolaemus")</f>
        <v>https://www.xeno-canto.org/species/Phyllergates-heterolaemus</v>
      </c>
      <c r="D656" s="94" t="str">
        <f>HYPERLINK("https://ebird.org/species/ruhtai2")</f>
        <v>https://ebird.org/species/ruhtai2</v>
      </c>
      <c r="E656" s="122" t="str">
        <f>HYPERLINK("https://en.wikipedia.org/wiki/Rufous-headed_Tailorbird")</f>
        <v>https://en.wikipedia.org/wiki/Rufous-headed_Tailorbird</v>
      </c>
      <c r="F656" s="123" t="str">
        <f>HYPERLINK("https://apiv3.iucnredlist.org/api/v3/website/Phyllergates heterolaemus")</f>
        <v>https://apiv3.iucnredlist.org/api/v3/website/Phyllergates heterolaemus</v>
      </c>
      <c r="G656" s="90">
        <v>58</v>
      </c>
      <c r="H656" s="90">
        <v>293</v>
      </c>
      <c r="J656" s="87" t="s">
        <v>1141</v>
      </c>
      <c r="K656" s="98" t="s">
        <v>1144</v>
      </c>
      <c r="M656" s="99" t="s">
        <v>1145</v>
      </c>
      <c r="N656" s="90" t="s">
        <v>57</v>
      </c>
      <c r="Q656" s="2" t="s">
        <v>3788</v>
      </c>
    </row>
    <row r="657" spans="1:18" ht="14.4" x14ac:dyDescent="0.3">
      <c r="A657" s="85">
        <v>515</v>
      </c>
      <c r="B657" s="76" t="s">
        <v>3917</v>
      </c>
      <c r="C657" s="77" t="str">
        <f>HYPERLINK("https://www.xeno-canto.org/species/Horornis-seebohmi")</f>
        <v>https://www.xeno-canto.org/species/Horornis-seebohmi</v>
      </c>
      <c r="D657" s="94" t="str">
        <f>HYPERLINK("https://ebird.org/species/phbwar1")</f>
        <v>https://ebird.org/species/phbwar1</v>
      </c>
      <c r="E657" s="122" t="str">
        <f>HYPERLINK("https://en.wikipedia.org/wiki/Philippine_Bush_Warbler")</f>
        <v>https://en.wikipedia.org/wiki/Philippine_Bush_Warbler</v>
      </c>
      <c r="F657" s="123" t="str">
        <f>HYPERLINK("https://apiv3.iucnredlist.org/api/v3/website/Horornis seebohmi")</f>
        <v>https://apiv3.iucnredlist.org/api/v3/website/Horornis seebohmi</v>
      </c>
      <c r="G657" s="90">
        <v>59</v>
      </c>
      <c r="H657" s="90">
        <v>293</v>
      </c>
      <c r="J657" s="87" t="s">
        <v>1141</v>
      </c>
      <c r="K657" s="98" t="s">
        <v>1146</v>
      </c>
      <c r="M657" s="99" t="s">
        <v>1147</v>
      </c>
      <c r="N657" s="90" t="s">
        <v>57</v>
      </c>
      <c r="Q657" s="2" t="s">
        <v>3918</v>
      </c>
    </row>
    <row r="658" spans="1:18" ht="30.6" x14ac:dyDescent="0.3">
      <c r="A658" s="85">
        <v>516</v>
      </c>
      <c r="B658" s="76" t="s">
        <v>3919</v>
      </c>
      <c r="C658" s="77" t="str">
        <f>HYPERLINK("https://www.xeno-canto.org/species/Horornis-canturians")</f>
        <v>https://www.xeno-canto.org/species/Horornis-canturians</v>
      </c>
      <c r="D658" s="94" t="str">
        <f>HYPERLINK("https://ebird.org/species/manbuw1")</f>
        <v>https://ebird.org/species/manbuw1</v>
      </c>
      <c r="E658" s="122" t="str">
        <f>HYPERLINK("https://en.wikipedia.org/wiki/Manchurian_Bush_Warbler")</f>
        <v>https://en.wikipedia.org/wiki/Manchurian_Bush_Warbler</v>
      </c>
      <c r="F658" s="123" t="str">
        <f>HYPERLINK("https://apiv3.iucnredlist.org/api/v3/website/Horornis canturians")</f>
        <v>https://apiv3.iucnredlist.org/api/v3/website/Horornis canturians</v>
      </c>
      <c r="G658" s="90">
        <v>59</v>
      </c>
      <c r="H658" s="90">
        <v>295</v>
      </c>
      <c r="J658" s="87" t="s">
        <v>1141</v>
      </c>
      <c r="K658" s="92" t="s">
        <v>1148</v>
      </c>
      <c r="L658" s="86" t="s">
        <v>2083</v>
      </c>
      <c r="M658" s="93" t="s">
        <v>1149</v>
      </c>
      <c r="N658" s="90" t="s">
        <v>89</v>
      </c>
      <c r="Q658" s="2" t="s">
        <v>3920</v>
      </c>
    </row>
    <row r="659" spans="1:18" ht="14.4" x14ac:dyDescent="0.3">
      <c r="A659" s="85">
        <v>517</v>
      </c>
      <c r="B659" s="76" t="s">
        <v>5838</v>
      </c>
      <c r="C659" s="77" t="str">
        <f>HYPERLINK("https://www.xeno-canto.org/species/Horornis-flavolivaceus")</f>
        <v>https://www.xeno-canto.org/species/Horornis-flavolivaceus</v>
      </c>
      <c r="D659" s="94" t="str">
        <f>HYPERLINK("https://ebird.org/species/abbwar1")</f>
        <v>https://ebird.org/species/abbwar1</v>
      </c>
      <c r="E659" s="122" t="str">
        <f>HYPERLINK("https://en.wikipedia.org/wiki/Aberrant_Bush_Warbler")</f>
        <v>https://en.wikipedia.org/wiki/Aberrant_Bush_Warbler</v>
      </c>
      <c r="F659" s="123" t="str">
        <f>HYPERLINK("https://apiv3.iucnredlist.org/api/v3/website/Horornis flavolivaceus")</f>
        <v>https://apiv3.iucnredlist.org/api/v3/website/Horornis flavolivaceus</v>
      </c>
      <c r="G659" s="90">
        <v>59</v>
      </c>
      <c r="H659" s="90">
        <v>293</v>
      </c>
      <c r="J659" s="87" t="s">
        <v>1141</v>
      </c>
      <c r="K659" s="95" t="s">
        <v>5839</v>
      </c>
      <c r="L659" s="86" t="s">
        <v>5840</v>
      </c>
      <c r="M659" s="93" t="s">
        <v>5841</v>
      </c>
      <c r="N659" s="90" t="s">
        <v>37</v>
      </c>
      <c r="Q659" s="2" t="s">
        <v>3921</v>
      </c>
    </row>
    <row r="660" spans="1:18" ht="20.399999999999999" x14ac:dyDescent="0.3">
      <c r="A660" s="85">
        <v>518</v>
      </c>
      <c r="B660" s="76" t="s">
        <v>3922</v>
      </c>
      <c r="C660" s="77" t="str">
        <f>HYPERLINK("https://www.xeno-canto.org/species/Urosphena-squameiceps")</f>
        <v>https://www.xeno-canto.org/species/Urosphena-squameiceps</v>
      </c>
      <c r="D660" s="94" t="str">
        <f>HYPERLINK("https://ebird.org/species/asistu1")</f>
        <v>https://ebird.org/species/asistu1</v>
      </c>
      <c r="E660" s="122" t="str">
        <f>HYPERLINK("https://en.wikipedia.org/wiki/Asian_Stubtail")</f>
        <v>https://en.wikipedia.org/wiki/Asian_Stubtail</v>
      </c>
      <c r="F660" s="123" t="str">
        <f>HYPERLINK("https://apiv3.iucnredlist.org/api/v3/website/Urosphena squameiceps")</f>
        <v>https://apiv3.iucnredlist.org/api/v3/website/Urosphena squameiceps</v>
      </c>
      <c r="H660" s="90">
        <v>293</v>
      </c>
      <c r="J660" s="87" t="s">
        <v>1141</v>
      </c>
      <c r="K660" s="92" t="s">
        <v>1151</v>
      </c>
      <c r="M660" s="93" t="s">
        <v>1152</v>
      </c>
      <c r="N660" s="90" t="s">
        <v>49</v>
      </c>
      <c r="Q660" s="2" t="s">
        <v>3923</v>
      </c>
      <c r="R660" s="2" t="s">
        <v>6447</v>
      </c>
    </row>
    <row r="662" spans="1:18" ht="12" x14ac:dyDescent="0.3">
      <c r="K662" s="88" t="s">
        <v>5842</v>
      </c>
      <c r="M662" s="89" t="s">
        <v>1153</v>
      </c>
    </row>
    <row r="663" spans="1:18" ht="20.399999999999999" x14ac:dyDescent="0.3">
      <c r="A663" s="85">
        <v>519</v>
      </c>
      <c r="B663" s="74" t="s">
        <v>3924</v>
      </c>
      <c r="C663" s="75" t="str">
        <f>HYPERLINK("https://www.xeno-canto.org/species/Phylloscopus-inornatus")</f>
        <v>https://www.xeno-canto.org/species/Phylloscopus-inornatus</v>
      </c>
      <c r="D663" s="91" t="str">
        <f>HYPERLINK("https://ebird.org/species/yebwar3")</f>
        <v>https://ebird.org/species/yebwar3</v>
      </c>
      <c r="E663" s="120" t="str">
        <f>HYPERLINK("https://en.wikipedia.org/wiki/Yellow-browed_Warbler")</f>
        <v>https://en.wikipedia.org/wiki/Yellow-browed_Warbler</v>
      </c>
      <c r="F663" s="121" t="str">
        <f>HYPERLINK("https://apiv3.iucnredlist.org/api/v3/website/Phylloscopus inornatus")</f>
        <v>https://apiv3.iucnredlist.org/api/v3/website/Phylloscopus inornatus</v>
      </c>
      <c r="H663" s="90">
        <v>287</v>
      </c>
      <c r="J663" s="87" t="s">
        <v>1153</v>
      </c>
      <c r="K663" s="92" t="s">
        <v>1154</v>
      </c>
      <c r="M663" s="93" t="s">
        <v>1155</v>
      </c>
      <c r="N663" s="90" t="s">
        <v>49</v>
      </c>
      <c r="Q663" s="2" t="s">
        <v>3728</v>
      </c>
      <c r="R663" s="2" t="s">
        <v>6581</v>
      </c>
    </row>
    <row r="664" spans="1:18" ht="20.399999999999999" x14ac:dyDescent="0.3">
      <c r="A664" s="85">
        <v>520</v>
      </c>
      <c r="B664" s="76" t="s">
        <v>3925</v>
      </c>
      <c r="C664" s="77" t="str">
        <f>HYPERLINK("https://www.xeno-canto.org/species/Phylloscopus-fuscatus")</f>
        <v>https://www.xeno-canto.org/species/Phylloscopus-fuscatus</v>
      </c>
      <c r="D664" s="94" t="str">
        <f>HYPERLINK("https://ebird.org/species/duswar")</f>
        <v>https://ebird.org/species/duswar</v>
      </c>
      <c r="E664" s="122" t="str">
        <f>HYPERLINK("https://en.wikipedia.org/wiki/Dusky_Warbler")</f>
        <v>https://en.wikipedia.org/wiki/Dusky_Warbler</v>
      </c>
      <c r="F664" s="123" t="str">
        <f>HYPERLINK("https://apiv3.iucnredlist.org/api/v3/website/Phylloscopus fuscatus")</f>
        <v>https://apiv3.iucnredlist.org/api/v3/website/Phylloscopus fuscatus</v>
      </c>
      <c r="G664" s="90">
        <v>56</v>
      </c>
      <c r="H664" s="90">
        <v>287</v>
      </c>
      <c r="J664" s="87" t="s">
        <v>1153</v>
      </c>
      <c r="K664" s="92" t="s">
        <v>1156</v>
      </c>
      <c r="M664" s="93" t="s">
        <v>1157</v>
      </c>
      <c r="N664" s="90" t="s">
        <v>49</v>
      </c>
      <c r="Q664" s="2" t="s">
        <v>3926</v>
      </c>
      <c r="R664" s="2" t="s">
        <v>6582</v>
      </c>
    </row>
    <row r="665" spans="1:18" ht="20.399999999999999" x14ac:dyDescent="0.3">
      <c r="A665" s="85">
        <v>521</v>
      </c>
      <c r="B665" s="76" t="s">
        <v>3927</v>
      </c>
      <c r="C665" s="77" t="str">
        <f>HYPERLINK("https://www.xeno-canto.org/species/Phylloscopus-trochilus")</f>
        <v>https://www.xeno-canto.org/species/Phylloscopus-trochilus</v>
      </c>
      <c r="D665" s="94" t="str">
        <f>HYPERLINK("https://ebird.org/species/wlwwar")</f>
        <v>https://ebird.org/species/wlwwar</v>
      </c>
      <c r="E665" s="122" t="str">
        <f>HYPERLINK("https://en.wikipedia.org/wiki/Willow_Warbler")</f>
        <v>https://en.wikipedia.org/wiki/Willow_Warbler</v>
      </c>
      <c r="F665" s="123" t="str">
        <f>HYPERLINK("https://apiv3.iucnredlist.org/api/v3/website/Phylloscopus trochilus")</f>
        <v>https://apiv3.iucnredlist.org/api/v3/website/Phylloscopus trochilus</v>
      </c>
      <c r="H665" s="90">
        <v>287</v>
      </c>
      <c r="J665" s="87" t="s">
        <v>1153</v>
      </c>
      <c r="K665" s="92" t="s">
        <v>1158</v>
      </c>
      <c r="M665" s="93" t="s">
        <v>1159</v>
      </c>
      <c r="N665" s="90" t="s">
        <v>49</v>
      </c>
      <c r="Q665" s="2" t="s">
        <v>3083</v>
      </c>
      <c r="R665" s="2" t="s">
        <v>6583</v>
      </c>
    </row>
    <row r="666" spans="1:18" ht="20.399999999999999" x14ac:dyDescent="0.3">
      <c r="A666" s="85">
        <v>522</v>
      </c>
      <c r="B666" s="76" t="s">
        <v>3928</v>
      </c>
      <c r="C666" s="77" t="str">
        <f>HYPERLINK("https://www.xeno-canto.org/species/Phylloscopus-ijimae")</f>
        <v>https://www.xeno-canto.org/species/Phylloscopus-ijimae</v>
      </c>
      <c r="D666" s="94" t="str">
        <f>HYPERLINK("https://ebird.org/species/ijlwar1")</f>
        <v>https://ebird.org/species/ijlwar1</v>
      </c>
      <c r="E666" s="122" t="str">
        <f>HYPERLINK("https://en.wikipedia.org/wiki/Ijima's_Leaf_Warbler")</f>
        <v>https://en.wikipedia.org/wiki/Ijima's_Leaf_Warbler</v>
      </c>
      <c r="F666" s="123" t="str">
        <f>HYPERLINK("https://apiv3.iucnredlist.org/api/v3/website/Phylloscopus ijimae")</f>
        <v>https://apiv3.iucnredlist.org/api/v3/website/Phylloscopus ijimae</v>
      </c>
      <c r="G666" s="90">
        <v>56</v>
      </c>
      <c r="H666" s="90">
        <v>289</v>
      </c>
      <c r="J666" s="87" t="s">
        <v>1153</v>
      </c>
      <c r="K666" s="92" t="s">
        <v>1160</v>
      </c>
      <c r="M666" s="93" t="s">
        <v>1161</v>
      </c>
      <c r="N666" s="90" t="s">
        <v>49</v>
      </c>
      <c r="O666" s="90" t="s">
        <v>38</v>
      </c>
      <c r="P666" s="90" t="s">
        <v>38</v>
      </c>
      <c r="Q666" s="2" t="s">
        <v>3929</v>
      </c>
      <c r="R666" s="2" t="s">
        <v>6448</v>
      </c>
    </row>
    <row r="667" spans="1:18" ht="20.399999999999999" x14ac:dyDescent="0.3">
      <c r="A667" s="85">
        <v>523</v>
      </c>
      <c r="B667" s="76" t="s">
        <v>3930</v>
      </c>
      <c r="C667" s="77" t="str">
        <f>HYPERLINK("https://www.xeno-canto.org/species/Phylloscopus-olivaceus")</f>
        <v>https://www.xeno-canto.org/species/Phylloscopus-olivaceus</v>
      </c>
      <c r="D667" s="94" t="str">
        <f>HYPERLINK("https://ebird.org/species/phlwar1")</f>
        <v>https://ebird.org/species/phlwar1</v>
      </c>
      <c r="E667" s="122" t="str">
        <f>HYPERLINK("https://en.wikipedia.org/wiki/Philippine_Leaf_Warbler")</f>
        <v>https://en.wikipedia.org/wiki/Philippine_Leaf_Warbler</v>
      </c>
      <c r="F667" s="123" t="str">
        <f>HYPERLINK("https://apiv3.iucnredlist.org/api/v3/website/Phylloscopus olivaceus")</f>
        <v>https://apiv3.iucnredlist.org/api/v3/website/Phylloscopus olivaceus</v>
      </c>
      <c r="G667" s="90">
        <v>56</v>
      </c>
      <c r="H667" s="90">
        <v>289</v>
      </c>
      <c r="J667" s="87" t="s">
        <v>1153</v>
      </c>
      <c r="K667" s="98" t="s">
        <v>1162</v>
      </c>
      <c r="M667" s="99" t="s">
        <v>1163</v>
      </c>
      <c r="N667" s="90" t="s">
        <v>57</v>
      </c>
      <c r="Q667" s="2" t="s">
        <v>3931</v>
      </c>
    </row>
    <row r="668" spans="1:18" ht="14.4" x14ac:dyDescent="0.3">
      <c r="A668" s="85">
        <v>524</v>
      </c>
      <c r="B668" s="76" t="s">
        <v>3932</v>
      </c>
      <c r="C668" s="77" t="str">
        <f>HYPERLINK("https://www.xeno-canto.org/species/Phylloscopus-cebuensis")</f>
        <v>https://www.xeno-canto.org/species/Phylloscopus-cebuensis</v>
      </c>
      <c r="D668" s="94" t="str">
        <f>HYPERLINK("https://ebird.org/species/letwar1")</f>
        <v>https://ebird.org/species/letwar1</v>
      </c>
      <c r="E668" s="122" t="str">
        <f>HYPERLINK("https://en.wikipedia.org/wiki/Lemon-throated_Leaf_Warbler")</f>
        <v>https://en.wikipedia.org/wiki/Lemon-throated_Leaf_Warbler</v>
      </c>
      <c r="F668" s="123" t="str">
        <f>HYPERLINK("https://apiv3.iucnredlist.org/api/v3/website/Phylloscopus cebuensis")</f>
        <v>https://apiv3.iucnredlist.org/api/v3/website/Phylloscopus cebuensis</v>
      </c>
      <c r="G668" s="90">
        <v>56</v>
      </c>
      <c r="H668" s="90">
        <v>289</v>
      </c>
      <c r="J668" s="87" t="s">
        <v>1153</v>
      </c>
      <c r="K668" s="98" t="s">
        <v>1164</v>
      </c>
      <c r="M668" s="99" t="s">
        <v>1165</v>
      </c>
      <c r="N668" s="90" t="s">
        <v>57</v>
      </c>
      <c r="Q668" s="2" t="s">
        <v>3933</v>
      </c>
    </row>
    <row r="669" spans="1:18" ht="14.4" x14ac:dyDescent="0.3">
      <c r="A669" s="85">
        <v>525</v>
      </c>
      <c r="B669" s="76" t="s">
        <v>3934</v>
      </c>
      <c r="C669" s="77" t="str">
        <f>HYPERLINK("https://www.xeno-canto.org/species/Phylloscopus-xanthodryas")</f>
        <v>https://www.xeno-canto.org/species/Phylloscopus-xanthodryas</v>
      </c>
      <c r="D669" s="94" t="str">
        <f>HYPERLINK("https://ebird.org/species/arcwar3")</f>
        <v>https://ebird.org/species/arcwar3</v>
      </c>
      <c r="E669" s="122" t="str">
        <f>HYPERLINK("https://en.wikipedia.org/wiki/Japanese_Leaf_Warbler")</f>
        <v>https://en.wikipedia.org/wiki/Japanese_Leaf_Warbler</v>
      </c>
      <c r="F669" s="123" t="str">
        <f>HYPERLINK("https://apiv3.iucnredlist.org/api/v3/website/Phylloscopus xanthodryas")</f>
        <v>https://apiv3.iucnredlist.org/api/v3/website/Phylloscopus xanthodryas</v>
      </c>
      <c r="G669" s="90">
        <v>56</v>
      </c>
      <c r="H669" s="90">
        <v>291</v>
      </c>
      <c r="J669" s="87" t="s">
        <v>1153</v>
      </c>
      <c r="K669" s="95" t="s">
        <v>1166</v>
      </c>
      <c r="M669" s="93" t="s">
        <v>1167</v>
      </c>
      <c r="N669" s="90" t="s">
        <v>89</v>
      </c>
      <c r="Q669" s="2" t="s">
        <v>3935</v>
      </c>
    </row>
    <row r="670" spans="1:18" ht="14.4" x14ac:dyDescent="0.3">
      <c r="A670" s="85">
        <v>526</v>
      </c>
      <c r="B670" s="76" t="s">
        <v>3936</v>
      </c>
      <c r="C670" s="77" t="str">
        <f>HYPERLINK("https://www.xeno-canto.org/species/Phylloscopus-examinandus")</f>
        <v>https://www.xeno-canto.org/species/Phylloscopus-examinandus</v>
      </c>
      <c r="D670" s="94" t="str">
        <f>HYPERLINK("https://ebird.org/species/arcwar2")</f>
        <v>https://ebird.org/species/arcwar2</v>
      </c>
      <c r="E670" s="122" t="str">
        <f>HYPERLINK("https://en.wikipedia.org/wiki/Kamchatka_Leaf_Warbler")</f>
        <v>https://en.wikipedia.org/wiki/Kamchatka_Leaf_Warbler</v>
      </c>
      <c r="F670" s="123" t="str">
        <f>HYPERLINK("https://apiv3.iucnredlist.org/api/v3/website/Phylloscopus examinandus")</f>
        <v>https://apiv3.iucnredlist.org/api/v3/website/Phylloscopus examinandus</v>
      </c>
      <c r="G670" s="90">
        <v>56</v>
      </c>
      <c r="H670" s="90">
        <v>291</v>
      </c>
      <c r="J670" s="87" t="s">
        <v>1153</v>
      </c>
      <c r="K670" s="95" t="s">
        <v>1168</v>
      </c>
      <c r="M670" s="93" t="s">
        <v>1169</v>
      </c>
      <c r="N670" s="90" t="s">
        <v>89</v>
      </c>
      <c r="Q670" s="2" t="s">
        <v>3937</v>
      </c>
    </row>
    <row r="671" spans="1:18" ht="14.4" x14ac:dyDescent="0.3">
      <c r="A671" s="85">
        <v>527</v>
      </c>
      <c r="B671" s="76" t="s">
        <v>3938</v>
      </c>
      <c r="C671" s="77" t="str">
        <f>HYPERLINK("https://www.xeno-canto.org/species/Phylloscopus-borealis")</f>
        <v>https://www.xeno-canto.org/species/Phylloscopus-borealis</v>
      </c>
      <c r="D671" s="94" t="str">
        <f>HYPERLINK("https://ebird.org/species/arcwar1")</f>
        <v>https://ebird.org/species/arcwar1</v>
      </c>
      <c r="E671" s="122" t="str">
        <f>HYPERLINK("https://en.wikipedia.org/wiki/Arctic_Warbler")</f>
        <v>https://en.wikipedia.org/wiki/Arctic_Warbler</v>
      </c>
      <c r="F671" s="123" t="str">
        <f>HYPERLINK("https://apiv3.iucnredlist.org/api/v3/website/Phylloscopus borealis")</f>
        <v>https://apiv3.iucnredlist.org/api/v3/website/Phylloscopus borealis</v>
      </c>
      <c r="G671" s="90">
        <v>56</v>
      </c>
      <c r="H671" s="90">
        <v>291</v>
      </c>
      <c r="J671" s="87" t="s">
        <v>1153</v>
      </c>
      <c r="K671" s="95" t="s">
        <v>1170</v>
      </c>
      <c r="M671" s="93" t="s">
        <v>1171</v>
      </c>
      <c r="N671" s="90" t="s">
        <v>89</v>
      </c>
      <c r="Q671" s="2" t="s">
        <v>3937</v>
      </c>
    </row>
    <row r="672" spans="1:18" ht="14.4" x14ac:dyDescent="0.3">
      <c r="A672" s="85">
        <v>528</v>
      </c>
      <c r="B672" s="76" t="s">
        <v>3939</v>
      </c>
      <c r="C672" s="77" t="str">
        <f>HYPERLINK("https://www.xeno-canto.org/species/Phylloscopus-montis")</f>
        <v>https://www.xeno-canto.org/species/Phylloscopus-montis</v>
      </c>
      <c r="D672" s="94" t="str">
        <f>HYPERLINK("https://ebird.org/species/yebwar2")</f>
        <v>https://ebird.org/species/yebwar2</v>
      </c>
      <c r="E672" s="122" t="str">
        <f>HYPERLINK("https://en.wikipedia.org/wiki/Yellow-breasted_Warbler")</f>
        <v>https://en.wikipedia.org/wiki/Yellow-breasted_Warbler</v>
      </c>
      <c r="F672" s="123" t="str">
        <f>HYPERLINK("https://apiv3.iucnredlist.org/api/v3/website/Phylloscopus montis")</f>
        <v>https://apiv3.iucnredlist.org/api/v3/website/Phylloscopus montis</v>
      </c>
      <c r="G672" s="90">
        <v>56</v>
      </c>
      <c r="H672" s="90">
        <v>289</v>
      </c>
      <c r="J672" s="87" t="s">
        <v>1153</v>
      </c>
      <c r="K672" s="95" t="s">
        <v>1172</v>
      </c>
      <c r="M672" s="93" t="s">
        <v>1173</v>
      </c>
      <c r="N672" s="90" t="s">
        <v>37</v>
      </c>
      <c r="Q672" s="2" t="s">
        <v>3134</v>
      </c>
    </row>
    <row r="673" spans="1:18" ht="20.399999999999999" x14ac:dyDescent="0.3">
      <c r="A673" s="85">
        <v>529</v>
      </c>
      <c r="B673" s="76" t="s">
        <v>3940</v>
      </c>
      <c r="C673" s="77" t="str">
        <f>HYPERLINK("https://www.xeno-canto.org/species/Phylloscopus-nigrorum")</f>
        <v>https://www.xeno-canto.org/species/Phylloscopus-nigrorum</v>
      </c>
      <c r="D673" s="94" t="str">
        <f>HYPERLINK("https://ebird.org/species/mouwar4")</f>
        <v>https://ebird.org/species/mouwar4</v>
      </c>
      <c r="E673" s="122" t="str">
        <f>HYPERLINK("https://en.wikipedia.org/wiki/Negros_Leaf_Warbler")</f>
        <v>https://en.wikipedia.org/wiki/Negros_Leaf_Warbler</v>
      </c>
      <c r="F673" s="123" t="str">
        <f>HYPERLINK("https://apiv3.iucnredlist.org/api/v3/website/Phylloscopus nigrorum")</f>
        <v>https://apiv3.iucnredlist.org/api/v3/website/Phylloscopus nigrorum</v>
      </c>
      <c r="G673" s="90">
        <v>56</v>
      </c>
      <c r="H673" s="90">
        <v>291</v>
      </c>
      <c r="J673" s="87" t="s">
        <v>1153</v>
      </c>
      <c r="K673" s="98" t="s">
        <v>1174</v>
      </c>
      <c r="L673" s="86" t="s">
        <v>3941</v>
      </c>
      <c r="M673" s="99" t="s">
        <v>1175</v>
      </c>
      <c r="N673" s="90" t="s">
        <v>57</v>
      </c>
      <c r="Q673" s="2" t="s">
        <v>3942</v>
      </c>
    </row>
    <row r="675" spans="1:18" ht="12" x14ac:dyDescent="0.3">
      <c r="K675" s="88" t="s">
        <v>5843</v>
      </c>
      <c r="M675" s="89" t="s">
        <v>1176</v>
      </c>
    </row>
    <row r="676" spans="1:18" ht="14.4" x14ac:dyDescent="0.3">
      <c r="A676" s="85">
        <v>530</v>
      </c>
      <c r="B676" s="74" t="s">
        <v>3943</v>
      </c>
      <c r="C676" s="75" t="str">
        <f>HYPERLINK("https://www.xeno-canto.org/species/Acrocephalus-orientalis")</f>
        <v>https://www.xeno-canto.org/species/Acrocephalus-orientalis</v>
      </c>
      <c r="D676" s="91" t="str">
        <f>HYPERLINK("https://ebird.org/species/orrwar1")</f>
        <v>https://ebird.org/species/orrwar1</v>
      </c>
      <c r="E676" s="120" t="str">
        <f>HYPERLINK("https://en.wikipedia.org/wiki/Oriental_Reed_Warbler")</f>
        <v>https://en.wikipedia.org/wiki/Oriental_Reed_Warbler</v>
      </c>
      <c r="F676" s="121" t="str">
        <f>HYPERLINK("https://apiv3.iucnredlist.org/api/v3/website/Acrocephalus orientalis")</f>
        <v>https://apiv3.iucnredlist.org/api/v3/website/Acrocephalus orientalis</v>
      </c>
      <c r="G676" s="90">
        <v>57</v>
      </c>
      <c r="H676" s="90">
        <v>269</v>
      </c>
      <c r="J676" s="87" t="s">
        <v>1176</v>
      </c>
      <c r="K676" s="95" t="s">
        <v>1177</v>
      </c>
      <c r="M676" s="93" t="s">
        <v>1178</v>
      </c>
      <c r="N676" s="90" t="s">
        <v>89</v>
      </c>
      <c r="Q676" s="2" t="s">
        <v>3350</v>
      </c>
    </row>
    <row r="677" spans="1:18" ht="20.399999999999999" x14ac:dyDescent="0.3">
      <c r="A677" s="85">
        <v>531</v>
      </c>
      <c r="B677" s="76" t="s">
        <v>3944</v>
      </c>
      <c r="C677" s="77" t="str">
        <f>HYPERLINK("https://www.xeno-canto.org/species/Acrocephalus-stentoreus")</f>
        <v>https://www.xeno-canto.org/species/Acrocephalus-stentoreus</v>
      </c>
      <c r="D677" s="94" t="str">
        <f>HYPERLINK("https://ebird.org/species/clrwar1")</f>
        <v>https://ebird.org/species/clrwar1</v>
      </c>
      <c r="E677" s="122" t="str">
        <f>HYPERLINK("https://en.wikipedia.org/wiki/Clamorous_Reed_Warbler")</f>
        <v>https://en.wikipedia.org/wiki/Clamorous_Reed_Warbler</v>
      </c>
      <c r="F677" s="123" t="str">
        <f>HYPERLINK("https://apiv3.iucnredlist.org/api/v3/website/Acrocephalus stentoreus")</f>
        <v>https://apiv3.iucnredlist.org/api/v3/website/Acrocephalus stentoreus</v>
      </c>
      <c r="G677" s="90">
        <v>57</v>
      </c>
      <c r="H677" s="90">
        <v>271</v>
      </c>
      <c r="J677" s="87" t="s">
        <v>1176</v>
      </c>
      <c r="K677" s="95" t="s">
        <v>1179</v>
      </c>
      <c r="L677" s="86" t="s">
        <v>3945</v>
      </c>
      <c r="M677" s="93" t="s">
        <v>1180</v>
      </c>
      <c r="N677" s="90" t="s">
        <v>37</v>
      </c>
      <c r="Q677" s="2" t="s">
        <v>3946</v>
      </c>
    </row>
    <row r="678" spans="1:18" ht="20.399999999999999" x14ac:dyDescent="0.3">
      <c r="A678" s="85">
        <v>532</v>
      </c>
      <c r="B678" s="76" t="s">
        <v>3947</v>
      </c>
      <c r="C678" s="77" t="str">
        <f>HYPERLINK("https://www.xeno-canto.org/species/Acrocephalus-bistrigiceps")</f>
        <v>https://www.xeno-canto.org/species/Acrocephalus-bistrigiceps</v>
      </c>
      <c r="D678" s="94" t="str">
        <f>HYPERLINK("https://ebird.org/species/bbrwar1")</f>
        <v>https://ebird.org/species/bbrwar1</v>
      </c>
      <c r="E678" s="122" t="str">
        <f>HYPERLINK("https://en.wikipedia.org/wiki/Black-browed_Reed_Warbler")</f>
        <v>https://en.wikipedia.org/wiki/Black-browed_Reed_Warbler</v>
      </c>
      <c r="F678" s="123" t="str">
        <f>HYPERLINK("https://apiv3.iucnredlist.org/api/v3/website/Acrocephalus bistrigiceps")</f>
        <v>https://apiv3.iucnredlist.org/api/v3/website/Acrocephalus bistrigiceps</v>
      </c>
      <c r="H678" s="90">
        <v>269</v>
      </c>
      <c r="J678" s="87" t="s">
        <v>1176</v>
      </c>
      <c r="K678" s="92" t="s">
        <v>1181</v>
      </c>
      <c r="M678" s="93" t="s">
        <v>1182</v>
      </c>
      <c r="N678" s="90" t="s">
        <v>49</v>
      </c>
      <c r="Q678" s="2" t="s">
        <v>3083</v>
      </c>
      <c r="R678" s="2" t="s">
        <v>6449</v>
      </c>
    </row>
    <row r="679" spans="1:18" ht="14.4" x14ac:dyDescent="0.3">
      <c r="A679" s="85">
        <v>533</v>
      </c>
      <c r="B679" s="76" t="s">
        <v>3948</v>
      </c>
      <c r="C679" s="77" t="str">
        <f>HYPERLINK("https://www.xeno-canto.org/species/Acrocephalus-sorghophilus")</f>
        <v>https://www.xeno-canto.org/species/Acrocephalus-sorghophilus</v>
      </c>
      <c r="D679" s="94" t="str">
        <f>HYPERLINK("https://ebird.org/species/strwar1")</f>
        <v>https://ebird.org/species/strwar1</v>
      </c>
      <c r="E679" s="122" t="str">
        <f>HYPERLINK("https://en.wikipedia.org/wiki/Speckled_Reed_Warbler")</f>
        <v>https://en.wikipedia.org/wiki/Speckled_Reed_Warbler</v>
      </c>
      <c r="F679" s="123" t="str">
        <f>HYPERLINK("https://apiv3.iucnredlist.org/api/v3/website/Acrocephalus sorghophilus")</f>
        <v>https://apiv3.iucnredlist.org/api/v3/website/Acrocephalus sorghophilus</v>
      </c>
      <c r="G679" s="90">
        <v>57</v>
      </c>
      <c r="H679" s="90">
        <v>269</v>
      </c>
      <c r="J679" s="87" t="s">
        <v>1176</v>
      </c>
      <c r="K679" s="92" t="s">
        <v>1183</v>
      </c>
      <c r="L679" s="86" t="s">
        <v>2097</v>
      </c>
      <c r="M679" s="93" t="s">
        <v>1184</v>
      </c>
      <c r="N679" s="90" t="s">
        <v>89</v>
      </c>
      <c r="O679" s="90" t="s">
        <v>58</v>
      </c>
      <c r="P679" s="90" t="s">
        <v>112</v>
      </c>
      <c r="Q679" s="2" t="s">
        <v>3949</v>
      </c>
    </row>
    <row r="681" spans="1:18" ht="12" x14ac:dyDescent="0.3">
      <c r="K681" s="88" t="s">
        <v>5844</v>
      </c>
      <c r="M681" s="89" t="s">
        <v>1185</v>
      </c>
    </row>
    <row r="682" spans="1:18" ht="14.4" x14ac:dyDescent="0.3">
      <c r="A682" s="85">
        <v>534</v>
      </c>
      <c r="B682" s="74" t="s">
        <v>3950</v>
      </c>
      <c r="C682" s="75" t="str">
        <f>HYPERLINK("https://www.xeno-canto.org/species/Robsonius-rabori")</f>
        <v>https://www.xeno-canto.org/species/Robsonius-rabori</v>
      </c>
      <c r="D682" s="91" t="str">
        <f>HYPERLINK("https://ebird.org/species/luzwrb1")</f>
        <v>https://ebird.org/species/luzwrb1</v>
      </c>
      <c r="E682" s="120" t="str">
        <f>HYPERLINK("https://en.wikipedia.org/wiki/Cordillera_Ground_Warbler")</f>
        <v>https://en.wikipedia.org/wiki/Cordillera_Ground_Warbler</v>
      </c>
      <c r="F682" s="121" t="str">
        <f>HYPERLINK("https://apiv3.iucnredlist.org/api/v3/website/Robsonius rabori")</f>
        <v>https://apiv3.iucnredlist.org/api/v3/website/Robsonius rabori</v>
      </c>
      <c r="G682" s="90">
        <v>51</v>
      </c>
      <c r="H682" s="90">
        <v>275</v>
      </c>
      <c r="J682" s="87" t="s">
        <v>1185</v>
      </c>
      <c r="K682" s="98" t="s">
        <v>1186</v>
      </c>
      <c r="M682" s="99" t="s">
        <v>1187</v>
      </c>
      <c r="N682" s="90" t="s">
        <v>57</v>
      </c>
      <c r="O682" s="90" t="s">
        <v>38</v>
      </c>
      <c r="P682" s="90" t="s">
        <v>38</v>
      </c>
      <c r="Q682" s="2" t="s">
        <v>3951</v>
      </c>
    </row>
    <row r="683" spans="1:18" ht="14.4" x14ac:dyDescent="0.3">
      <c r="A683" s="85">
        <v>535</v>
      </c>
      <c r="B683" s="76" t="s">
        <v>3952</v>
      </c>
      <c r="C683" s="77" t="str">
        <f>HYPERLINK("https://www.xeno-canto.org/species/Robsonius-thompsoni")</f>
        <v>https://www.xeno-canto.org/species/Robsonius-thompsoni</v>
      </c>
      <c r="D683" s="94" t="str">
        <f>HYPERLINK("https://ebird.org/species/simgrw1")</f>
        <v>https://ebird.org/species/simgrw1</v>
      </c>
      <c r="E683" s="122" t="str">
        <f>HYPERLINK("https://en.wikipedia.org/wiki/Sierra_Madre_Ground_Warbler")</f>
        <v>https://en.wikipedia.org/wiki/Sierra_Madre_Ground_Warbler</v>
      </c>
      <c r="F683" s="123" t="str">
        <f>HYPERLINK("https://apiv3.iucnredlist.org/api/v3/website/Robsonius thompsoni")</f>
        <v>https://apiv3.iucnredlist.org/api/v3/website/Robsonius thompsoni</v>
      </c>
      <c r="H683" s="90">
        <v>275</v>
      </c>
      <c r="J683" s="87" t="s">
        <v>1185</v>
      </c>
      <c r="K683" s="98" t="s">
        <v>1188</v>
      </c>
      <c r="M683" s="99" t="s">
        <v>1189</v>
      </c>
      <c r="N683" s="90" t="s">
        <v>57</v>
      </c>
      <c r="P683" s="90" t="s">
        <v>186</v>
      </c>
      <c r="Q683" s="2" t="s">
        <v>3953</v>
      </c>
      <c r="R683" s="2" t="s">
        <v>3006</v>
      </c>
    </row>
    <row r="684" spans="1:18" ht="14.4" x14ac:dyDescent="0.3">
      <c r="A684" s="85">
        <v>536</v>
      </c>
      <c r="B684" s="76" t="s">
        <v>3954</v>
      </c>
      <c r="C684" s="77" t="str">
        <f>HYPERLINK("https://www.xeno-canto.org/species/Robsonius-sorsogonensis")</f>
        <v>https://www.xeno-canto.org/species/Robsonius-sorsogonensis</v>
      </c>
      <c r="D684" s="94" t="str">
        <f>HYPERLINK("https://ebird.org/species/gybbab2")</f>
        <v>https://ebird.org/species/gybbab2</v>
      </c>
      <c r="E684" s="122" t="str">
        <f>HYPERLINK("https://en.wikipedia.org/wiki/Bicol_Ground_Warbler")</f>
        <v>https://en.wikipedia.org/wiki/Bicol_Ground_Warbler</v>
      </c>
      <c r="F684" s="123" t="str">
        <f>HYPERLINK("https://apiv3.iucnredlist.org/api/v3/website/Robsonius sorsogonensis")</f>
        <v>https://apiv3.iucnredlist.org/api/v3/website/Robsonius sorsogonensis</v>
      </c>
      <c r="G684" s="90">
        <v>51</v>
      </c>
      <c r="H684" s="90">
        <v>277</v>
      </c>
      <c r="J684" s="87" t="s">
        <v>1185</v>
      </c>
      <c r="K684" s="98" t="s">
        <v>1190</v>
      </c>
      <c r="M684" s="99" t="s">
        <v>1191</v>
      </c>
      <c r="N684" s="90" t="s">
        <v>57</v>
      </c>
      <c r="O684" s="90" t="s">
        <v>50</v>
      </c>
      <c r="P684" s="90" t="s">
        <v>38</v>
      </c>
      <c r="Q684" s="2" t="s">
        <v>3955</v>
      </c>
    </row>
    <row r="685" spans="1:18" ht="14.4" x14ac:dyDescent="0.3">
      <c r="A685" s="85">
        <v>537</v>
      </c>
      <c r="B685" s="76" t="s">
        <v>3956</v>
      </c>
      <c r="C685" s="77" t="str">
        <f>HYPERLINK("https://www.xeno-canto.org/species/Helopsaltes-fasciolatus")</f>
        <v>https://www.xeno-canto.org/species/Helopsaltes-fasciolatus</v>
      </c>
      <c r="D685" s="94" t="str">
        <f>HYPERLINK("https://ebird.org/species/grgwar1")</f>
        <v>https://ebird.org/species/grgwar1</v>
      </c>
      <c r="E685" s="122" t="str">
        <f>HYPERLINK("https://en.wikipedia.org/wiki/Gray's_Grasshopper_Warbler")</f>
        <v>https://en.wikipedia.org/wiki/Gray's_Grasshopper_Warbler</v>
      </c>
      <c r="F685" s="123" t="str">
        <f>HYPERLINK("https://apiv3.iucnredlist.org/api/v3/website/Helopsaltes fasciolatus")</f>
        <v>https://apiv3.iucnredlist.org/api/v3/website/Helopsaltes fasciolatus</v>
      </c>
      <c r="G685" s="90">
        <v>57</v>
      </c>
      <c r="H685" s="90">
        <v>271</v>
      </c>
      <c r="J685" s="87" t="s">
        <v>1185</v>
      </c>
      <c r="K685" s="92" t="s">
        <v>1192</v>
      </c>
      <c r="M685" s="93" t="s">
        <v>1193</v>
      </c>
      <c r="N685" s="90" t="s">
        <v>89</v>
      </c>
      <c r="Q685" s="2" t="s">
        <v>3957</v>
      </c>
      <c r="R685" s="2" t="s">
        <v>9</v>
      </c>
    </row>
    <row r="686" spans="1:18" ht="20.399999999999999" x14ac:dyDescent="0.3">
      <c r="A686" s="85">
        <v>538</v>
      </c>
      <c r="B686" s="76" t="s">
        <v>3958</v>
      </c>
      <c r="C686" s="77" t="str">
        <f>HYPERLINK("https://www.xeno-canto.org/species/Helopsaltes-certhiola")</f>
        <v>https://www.xeno-canto.org/species/Helopsaltes-certhiola</v>
      </c>
      <c r="D686" s="94" t="str">
        <f>HYPERLINK("https://ebird.org/species/pagwar1")</f>
        <v>https://ebird.org/species/pagwar1</v>
      </c>
      <c r="E686" s="122" t="str">
        <f>HYPERLINK("https://en.wikipedia.org/wiki/Pallas's_Grasshopper_Warbler")</f>
        <v>https://en.wikipedia.org/wiki/Pallas's_Grasshopper_Warbler</v>
      </c>
      <c r="F686" s="123" t="str">
        <f>HYPERLINK("https://apiv3.iucnredlist.org/api/v3/website/Helopsaltes certhiola")</f>
        <v>https://apiv3.iucnredlist.org/api/v3/website/Helopsaltes certhiola</v>
      </c>
      <c r="H686" s="90">
        <v>271</v>
      </c>
      <c r="J686" s="87" t="s">
        <v>1185</v>
      </c>
      <c r="K686" s="92" t="s">
        <v>1194</v>
      </c>
      <c r="M686" s="93" t="s">
        <v>1195</v>
      </c>
      <c r="N686" s="90" t="s">
        <v>49</v>
      </c>
      <c r="Q686" s="2" t="s">
        <v>3959</v>
      </c>
      <c r="R686" s="2" t="s">
        <v>8571</v>
      </c>
    </row>
    <row r="687" spans="1:18" ht="14.4" x14ac:dyDescent="0.3">
      <c r="A687" s="85">
        <v>539</v>
      </c>
      <c r="B687" s="76" t="s">
        <v>3960</v>
      </c>
      <c r="C687" s="77" t="str">
        <f>HYPERLINK("https://www.xeno-canto.org/species/Helopsaltes-ochotensis")</f>
        <v>https://www.xeno-canto.org/species/Helopsaltes-ochotensis</v>
      </c>
      <c r="D687" s="94" t="str">
        <f>HYPERLINK("https://ebird.org/species/migwar")</f>
        <v>https://ebird.org/species/migwar</v>
      </c>
      <c r="E687" s="122" t="str">
        <f>HYPERLINK("https://en.wikipedia.org/wiki/Middendorff's_Grasshopper_Warbler")</f>
        <v>https://en.wikipedia.org/wiki/Middendorff's_Grasshopper_Warbler</v>
      </c>
      <c r="F687" s="123" t="str">
        <f>HYPERLINK("https://apiv3.iucnredlist.org/api/v3/website/Helopsaltes ochotensis")</f>
        <v>https://apiv3.iucnredlist.org/api/v3/website/Helopsaltes ochotensis</v>
      </c>
      <c r="G687" s="90">
        <v>57</v>
      </c>
      <c r="H687" s="90">
        <v>273</v>
      </c>
      <c r="J687" s="87" t="s">
        <v>1185</v>
      </c>
      <c r="K687" s="95" t="s">
        <v>1196</v>
      </c>
      <c r="M687" s="93" t="s">
        <v>1197</v>
      </c>
      <c r="N687" s="90" t="s">
        <v>89</v>
      </c>
      <c r="Q687" s="2" t="s">
        <v>3388</v>
      </c>
    </row>
    <row r="688" spans="1:18" ht="20.399999999999999" x14ac:dyDescent="0.3">
      <c r="A688" s="85">
        <v>540</v>
      </c>
      <c r="B688" s="76" t="s">
        <v>3961</v>
      </c>
      <c r="C688" s="77" t="str">
        <f>HYPERLINK("https://www.xeno-canto.org/species/Locustella-lanceolata")</f>
        <v>https://www.xeno-canto.org/species/Locustella-lanceolata</v>
      </c>
      <c r="D688" s="94" t="str">
        <f>HYPERLINK("https://ebird.org/species/lanwar")</f>
        <v>https://ebird.org/species/lanwar</v>
      </c>
      <c r="E688" s="122" t="str">
        <f>HYPERLINK("https://en.wikipedia.org/wiki/Lanceolated_Warbler")</f>
        <v>https://en.wikipedia.org/wiki/Lanceolated_Warbler</v>
      </c>
      <c r="F688" s="123" t="str">
        <f>HYPERLINK("https://apiv3.iucnredlist.org/api/v3/website/Locustella lanceolata")</f>
        <v>https://apiv3.iucnredlist.org/api/v3/website/Locustella lanceolata</v>
      </c>
      <c r="G688" s="90">
        <v>57</v>
      </c>
      <c r="H688" s="90">
        <v>273</v>
      </c>
      <c r="J688" s="87" t="s">
        <v>1185</v>
      </c>
      <c r="K688" s="95" t="s">
        <v>1198</v>
      </c>
      <c r="M688" s="93" t="s">
        <v>1199</v>
      </c>
      <c r="N688" s="90" t="s">
        <v>89</v>
      </c>
      <c r="Q688" s="2" t="s">
        <v>3962</v>
      </c>
      <c r="R688" s="2" t="s">
        <v>9</v>
      </c>
    </row>
    <row r="689" spans="1:17" ht="14.4" x14ac:dyDescent="0.3">
      <c r="A689" s="85">
        <v>541</v>
      </c>
      <c r="B689" s="76" t="s">
        <v>3963</v>
      </c>
      <c r="C689" s="77" t="str">
        <f>HYPERLINK("https://www.xeno-canto.org/species/Locustella-caudata")</f>
        <v>https://www.xeno-canto.org/species/Locustella-caudata</v>
      </c>
      <c r="D689" s="94" t="str">
        <f>HYPERLINK("https://ebird.org/species/ltbwar1")</f>
        <v>https://ebird.org/species/ltbwar1</v>
      </c>
      <c r="E689" s="122" t="str">
        <f>HYPERLINK("https://en.wikipedia.org/wiki/Long-tailed_Bush_Warbler")</f>
        <v>https://en.wikipedia.org/wiki/Long-tailed_Bush_Warbler</v>
      </c>
      <c r="F689" s="123" t="str">
        <f>HYPERLINK("https://apiv3.iucnredlist.org/api/v3/website/Locustella caudata")</f>
        <v>https://apiv3.iucnredlist.org/api/v3/website/Locustella caudata</v>
      </c>
      <c r="G689" s="90">
        <v>59</v>
      </c>
      <c r="H689" s="90">
        <v>273</v>
      </c>
      <c r="J689" s="87" t="s">
        <v>1185</v>
      </c>
      <c r="K689" s="98" t="s">
        <v>1200</v>
      </c>
      <c r="L689" s="86" t="s">
        <v>2110</v>
      </c>
      <c r="M689" s="99" t="s">
        <v>1201</v>
      </c>
      <c r="N689" s="90" t="s">
        <v>57</v>
      </c>
      <c r="Q689" s="2" t="s">
        <v>3964</v>
      </c>
    </row>
    <row r="690" spans="1:17" ht="14.4" x14ac:dyDescent="0.3">
      <c r="A690" s="85">
        <v>542</v>
      </c>
      <c r="B690" s="76" t="s">
        <v>3965</v>
      </c>
      <c r="C690" s="77" t="str">
        <f>HYPERLINK("https://www.xeno-canto.org/species/Locustella-seebohmi")</f>
        <v>https://www.xeno-canto.org/species/Locustella-seebohmi</v>
      </c>
      <c r="D690" s="94" t="str">
        <f>HYPERLINK("https://ebird.org/species/benbuw1")</f>
        <v>https://ebird.org/species/benbuw1</v>
      </c>
      <c r="E690" s="122" t="str">
        <f>HYPERLINK("https://en.wikipedia.org/wiki/Benguet_Bush_Warbler")</f>
        <v>https://en.wikipedia.org/wiki/Benguet_Bush_Warbler</v>
      </c>
      <c r="F690" s="123" t="str">
        <f>HYPERLINK("https://apiv3.iucnredlist.org/api/v3/website/Locustella seebohmi")</f>
        <v>https://apiv3.iucnredlist.org/api/v3/website/Locustella seebohmi</v>
      </c>
      <c r="G690" s="90">
        <v>59</v>
      </c>
      <c r="H690" s="90">
        <v>275</v>
      </c>
      <c r="J690" s="87" t="s">
        <v>1185</v>
      </c>
      <c r="K690" s="98" t="s">
        <v>1202</v>
      </c>
      <c r="L690" s="86" t="s">
        <v>2111</v>
      </c>
      <c r="M690" s="99" t="s">
        <v>1203</v>
      </c>
      <c r="N690" s="90" t="s">
        <v>57</v>
      </c>
      <c r="Q690" s="2" t="s">
        <v>3966</v>
      </c>
    </row>
    <row r="691" spans="1:17" ht="14.4" x14ac:dyDescent="0.3">
      <c r="A691" s="85">
        <v>543</v>
      </c>
      <c r="B691" s="76" t="s">
        <v>3967</v>
      </c>
      <c r="C691" s="77" t="str">
        <f>HYPERLINK("https://www.xeno-canto.org/species/Cincloramphus-timoriensis")</f>
        <v>https://www.xeno-canto.org/species/Cincloramphus-timoriensis</v>
      </c>
      <c r="D691" s="94" t="str">
        <f>HYPERLINK("https://ebird.org/species/tawgra3")</f>
        <v>https://ebird.org/species/tawgra3</v>
      </c>
      <c r="E691" s="122" t="str">
        <f>HYPERLINK("https://en.wikipedia.org/wiki/Tawny_Grassbird")</f>
        <v>https://en.wikipedia.org/wiki/Tawny_Grassbird</v>
      </c>
      <c r="F691" s="123" t="str">
        <f>HYPERLINK("https://apiv3.iucnredlist.org/api/v3/website/Cincloramphus timoriensis")</f>
        <v>https://apiv3.iucnredlist.org/api/v3/website/Cincloramphus timoriensis</v>
      </c>
      <c r="G691" s="90">
        <v>57</v>
      </c>
      <c r="H691" s="90">
        <v>275</v>
      </c>
      <c r="J691" s="87" t="s">
        <v>1185</v>
      </c>
      <c r="K691" s="95" t="s">
        <v>1204</v>
      </c>
      <c r="M691" s="93" t="s">
        <v>1205</v>
      </c>
      <c r="N691" s="90" t="s">
        <v>37</v>
      </c>
      <c r="Q691" s="2" t="s">
        <v>4608</v>
      </c>
    </row>
    <row r="692" spans="1:17" ht="14.4" x14ac:dyDescent="0.3">
      <c r="A692" s="85">
        <v>544</v>
      </c>
      <c r="B692" s="76" t="s">
        <v>3968</v>
      </c>
      <c r="C692" s="77" t="str">
        <f>HYPERLINK("https://www.xeno-canto.org/species/Megalurus-palustris")</f>
        <v>https://www.xeno-canto.org/species/Megalurus-palustris</v>
      </c>
      <c r="D692" s="94" t="str">
        <f>HYPERLINK("https://ebird.org/species/strgra1")</f>
        <v>https://ebird.org/species/strgra1</v>
      </c>
      <c r="E692" s="122" t="str">
        <f>HYPERLINK("https://en.wikipedia.org/wiki/Striated_Grassbird")</f>
        <v>https://en.wikipedia.org/wiki/Striated_Grassbird</v>
      </c>
      <c r="F692" s="123" t="str">
        <f>HYPERLINK("https://apiv3.iucnredlist.org/api/v3/website/Megalurus palustris")</f>
        <v>https://apiv3.iucnredlist.org/api/v3/website/Megalurus palustris</v>
      </c>
      <c r="G692" s="90">
        <v>57</v>
      </c>
      <c r="H692" s="90">
        <v>275</v>
      </c>
      <c r="J692" s="87" t="s">
        <v>1185</v>
      </c>
      <c r="K692" s="95" t="s">
        <v>1206</v>
      </c>
      <c r="M692" s="93" t="s">
        <v>1207</v>
      </c>
      <c r="N692" s="90" t="s">
        <v>37</v>
      </c>
      <c r="Q692" s="2" t="s">
        <v>3233</v>
      </c>
    </row>
    <row r="694" spans="1:17" ht="12" x14ac:dyDescent="0.3">
      <c r="K694" s="88" t="s">
        <v>5845</v>
      </c>
      <c r="M694" s="89" t="s">
        <v>1208</v>
      </c>
    </row>
    <row r="695" spans="1:17" ht="30.6" x14ac:dyDescent="0.3">
      <c r="A695" s="85">
        <v>545</v>
      </c>
      <c r="B695" s="74" t="s">
        <v>3969</v>
      </c>
      <c r="C695" s="75" t="str">
        <f>HYPERLINK("https://www.xeno-canto.org/species/Cisticola-juncidis")</f>
        <v>https://www.xeno-canto.org/species/Cisticola-juncidis</v>
      </c>
      <c r="D695" s="91" t="str">
        <f>HYPERLINK("https://ebird.org/species/zitcis1")</f>
        <v>https://ebird.org/species/zitcis1</v>
      </c>
      <c r="E695" s="120" t="str">
        <f>HYPERLINK("https://en.wikipedia.org/wiki/Zitting_Cisticola")</f>
        <v>https://en.wikipedia.org/wiki/Zitting_Cisticola</v>
      </c>
      <c r="F695" s="121" t="str">
        <f>HYPERLINK("https://apiv3.iucnredlist.org/api/v3/website/Cisticola juncidis")</f>
        <v>https://apiv3.iucnredlist.org/api/v3/website/Cisticola juncidis</v>
      </c>
      <c r="G695" s="90">
        <v>59</v>
      </c>
      <c r="H695" s="90">
        <v>265</v>
      </c>
      <c r="J695" s="87" t="s">
        <v>1208</v>
      </c>
      <c r="K695" s="95" t="s">
        <v>1209</v>
      </c>
      <c r="M695" s="93" t="s">
        <v>1210</v>
      </c>
      <c r="N695" s="90" t="s">
        <v>37</v>
      </c>
      <c r="Q695" s="2" t="s">
        <v>6584</v>
      </c>
    </row>
    <row r="696" spans="1:17" ht="14.4" x14ac:dyDescent="0.3">
      <c r="A696" s="85">
        <v>546</v>
      </c>
      <c r="B696" s="76" t="s">
        <v>3970</v>
      </c>
      <c r="C696" s="77" t="str">
        <f>HYPERLINK("https://www.xeno-canto.org/species/Cisticola-exilis")</f>
        <v>https://www.xeno-canto.org/species/Cisticola-exilis</v>
      </c>
      <c r="D696" s="94" t="str">
        <f>HYPERLINK("https://ebird.org/species/gohcis1")</f>
        <v>https://ebird.org/species/gohcis1</v>
      </c>
      <c r="E696" s="122" t="str">
        <f>HYPERLINK("https://en.wikipedia.org/wiki/Golden-headed_Cisticola")</f>
        <v>https://en.wikipedia.org/wiki/Golden-headed_Cisticola</v>
      </c>
      <c r="F696" s="123" t="str">
        <f>HYPERLINK("https://apiv3.iucnredlist.org/api/v3/website/Cisticola exilis")</f>
        <v>https://apiv3.iucnredlist.org/api/v3/website/Cisticola exilis</v>
      </c>
      <c r="G696" s="90">
        <v>59</v>
      </c>
      <c r="H696" s="90">
        <v>265</v>
      </c>
      <c r="J696" s="87" t="s">
        <v>1208</v>
      </c>
      <c r="K696" s="95" t="s">
        <v>1211</v>
      </c>
      <c r="M696" s="93" t="s">
        <v>1212</v>
      </c>
      <c r="N696" s="90" t="s">
        <v>37</v>
      </c>
      <c r="Q696" s="2" t="s">
        <v>3573</v>
      </c>
    </row>
    <row r="697" spans="1:17" ht="14.4" x14ac:dyDescent="0.3">
      <c r="A697" s="85">
        <v>547</v>
      </c>
      <c r="B697" s="76" t="s">
        <v>3971</v>
      </c>
      <c r="C697" s="77" t="str">
        <f>HYPERLINK("https://www.xeno-canto.org/species/Micromacronus-leytensis")</f>
        <v>https://www.xeno-canto.org/species/Micromacronus-leytensis</v>
      </c>
      <c r="D697" s="94" t="str">
        <f>HYPERLINK("https://ebird.org/species/mitbab1")</f>
        <v>https://ebird.org/species/mitbab1</v>
      </c>
      <c r="E697" s="122" t="str">
        <f>HYPERLINK("https://en.wikipedia.org/wiki/Visayan_Miniature_Babbler")</f>
        <v>https://en.wikipedia.org/wiki/Visayan_Miniature_Babbler</v>
      </c>
      <c r="F697" s="123" t="str">
        <f>HYPERLINK("https://apiv3.iucnredlist.org/api/v3/website/Micromacronus leytensis")</f>
        <v>https://apiv3.iucnredlist.org/api/v3/website/Micromacronus leytensis</v>
      </c>
      <c r="G697" s="90">
        <v>53</v>
      </c>
      <c r="H697" s="90">
        <v>263</v>
      </c>
      <c r="J697" s="87" t="s">
        <v>1208</v>
      </c>
      <c r="K697" s="102" t="s">
        <v>1214</v>
      </c>
      <c r="M697" s="99" t="s">
        <v>1215</v>
      </c>
      <c r="N697" s="90" t="s">
        <v>57</v>
      </c>
      <c r="O697" s="90" t="s">
        <v>158</v>
      </c>
      <c r="P697" s="90" t="s">
        <v>38</v>
      </c>
      <c r="Q697" s="2" t="s">
        <v>3972</v>
      </c>
    </row>
    <row r="698" spans="1:17" ht="14.4" x14ac:dyDescent="0.3">
      <c r="A698" s="85">
        <v>548</v>
      </c>
      <c r="B698" s="76" t="s">
        <v>3973</v>
      </c>
      <c r="C698" s="77" t="str">
        <f>HYPERLINK("https://www.xeno-canto.org/species/Micromacronus-sordidus")</f>
        <v>https://www.xeno-canto.org/species/Micromacronus-sordidus</v>
      </c>
      <c r="D698" s="94" t="str">
        <f>HYPERLINK("https://ebird.org/species/minmib1")</f>
        <v>https://ebird.org/species/minmib1</v>
      </c>
      <c r="E698" s="122" t="str">
        <f>HYPERLINK("https://en.wikipedia.org/wiki/Mindanao_Miniature_Babbler")</f>
        <v>https://en.wikipedia.org/wiki/Mindanao_Miniature_Babbler</v>
      </c>
      <c r="F698" s="123" t="str">
        <f>HYPERLINK("https://apiv3.iucnredlist.org/api/v3/website/Micromacronus sordidus")</f>
        <v>https://apiv3.iucnredlist.org/api/v3/website/Micromacronus sordidus</v>
      </c>
      <c r="G698" s="90">
        <v>53</v>
      </c>
      <c r="H698" s="90">
        <v>263</v>
      </c>
      <c r="J698" s="87" t="s">
        <v>1208</v>
      </c>
      <c r="K698" s="102" t="s">
        <v>1216</v>
      </c>
      <c r="M698" s="99" t="s">
        <v>1217</v>
      </c>
      <c r="N698" s="90" t="s">
        <v>57</v>
      </c>
      <c r="O698" s="90" t="s">
        <v>50</v>
      </c>
      <c r="Q698" s="2" t="s">
        <v>3360</v>
      </c>
    </row>
    <row r="699" spans="1:17" ht="14.4" x14ac:dyDescent="0.3">
      <c r="A699" s="85">
        <v>549</v>
      </c>
      <c r="B699" s="76" t="s">
        <v>3974</v>
      </c>
      <c r="C699" s="77" t="str">
        <f>HYPERLINK("https://www.xeno-canto.org/species/Orthotomus-castaneiceps")</f>
        <v>https://www.xeno-canto.org/species/Orthotomus-castaneiceps</v>
      </c>
      <c r="D699" s="94" t="str">
        <f>HYPERLINK("https://ebird.org/species/phitai1")</f>
        <v>https://ebird.org/species/phitai1</v>
      </c>
      <c r="E699" s="122" t="str">
        <f>HYPERLINK("https://en.wikipedia.org/wiki/Philippine_Tailorbird")</f>
        <v>https://en.wikipedia.org/wiki/Philippine_Tailorbird</v>
      </c>
      <c r="F699" s="123" t="str">
        <f>HYPERLINK("https://apiv3.iucnredlist.org/api/v3/website/Orthotomus castaneiceps")</f>
        <v>https://apiv3.iucnredlist.org/api/v3/website/Orthotomus castaneiceps</v>
      </c>
      <c r="G699" s="90">
        <v>58</v>
      </c>
      <c r="H699" s="90">
        <v>267</v>
      </c>
      <c r="J699" s="87" t="s">
        <v>1208</v>
      </c>
      <c r="K699" s="98" t="s">
        <v>1218</v>
      </c>
      <c r="L699" s="86" t="s">
        <v>2120</v>
      </c>
      <c r="M699" s="99" t="s">
        <v>1219</v>
      </c>
      <c r="N699" s="90" t="s">
        <v>57</v>
      </c>
      <c r="Q699" s="2" t="s">
        <v>3975</v>
      </c>
    </row>
    <row r="700" spans="1:17" ht="14.4" x14ac:dyDescent="0.3">
      <c r="A700" s="85">
        <v>550</v>
      </c>
      <c r="B700" s="76" t="s">
        <v>3976</v>
      </c>
      <c r="C700" s="77" t="str">
        <f>HYPERLINK("https://www.xeno-canto.org/species/Orthotomus-chloronotus")</f>
        <v>https://www.xeno-canto.org/species/Orthotomus-chloronotus</v>
      </c>
      <c r="D700" s="94" t="str">
        <f>HYPERLINK("https://ebird.org/species/gnbtai1")</f>
        <v>https://ebird.org/species/gnbtai1</v>
      </c>
      <c r="E700" s="122" t="str">
        <f>HYPERLINK("https://en.wikipedia.org/wiki/Trilling_Tailorbird")</f>
        <v>https://en.wikipedia.org/wiki/Trilling_Tailorbird</v>
      </c>
      <c r="F700" s="123" t="str">
        <f>HYPERLINK("https://apiv3.iucnredlist.org/api/v3/website/Orthotomus chloronotus")</f>
        <v>https://apiv3.iucnredlist.org/api/v3/website/Orthotomus chloronotus</v>
      </c>
      <c r="G700" s="90">
        <v>58</v>
      </c>
      <c r="H700" s="90">
        <v>267</v>
      </c>
      <c r="J700" s="87" t="s">
        <v>1208</v>
      </c>
      <c r="K700" s="98" t="s">
        <v>1220</v>
      </c>
      <c r="L700" s="86" t="s">
        <v>2122</v>
      </c>
      <c r="M700" s="99" t="s">
        <v>1221</v>
      </c>
      <c r="N700" s="90" t="s">
        <v>57</v>
      </c>
      <c r="Q700" s="2" t="s">
        <v>3977</v>
      </c>
    </row>
    <row r="701" spans="1:17" ht="14.4" x14ac:dyDescent="0.3">
      <c r="A701" s="85">
        <v>551</v>
      </c>
      <c r="B701" s="76" t="s">
        <v>3978</v>
      </c>
      <c r="C701" s="77" t="str">
        <f>HYPERLINK("https://www.xeno-canto.org/species/Orthotomus-frontalis")</f>
        <v>https://www.xeno-canto.org/species/Orthotomus-frontalis</v>
      </c>
      <c r="D701" s="94" t="str">
        <f>HYPERLINK("https://ebird.org/species/ruftai1")</f>
        <v>https://ebird.org/species/ruftai1</v>
      </c>
      <c r="E701" s="122" t="str">
        <f>HYPERLINK("https://en.wikipedia.org/wiki/Rufous-fronted_Tailorbird")</f>
        <v>https://en.wikipedia.org/wiki/Rufous-fronted_Tailorbird</v>
      </c>
      <c r="F701" s="123" t="str">
        <f>HYPERLINK("https://apiv3.iucnredlist.org/api/v3/website/Orthotomus frontalis")</f>
        <v>https://apiv3.iucnredlist.org/api/v3/website/Orthotomus frontalis</v>
      </c>
      <c r="G701" s="90">
        <v>58</v>
      </c>
      <c r="H701" s="90">
        <v>265</v>
      </c>
      <c r="J701" s="87" t="s">
        <v>1208</v>
      </c>
      <c r="K701" s="98" t="s">
        <v>1222</v>
      </c>
      <c r="M701" s="99" t="s">
        <v>1223</v>
      </c>
      <c r="N701" s="90" t="s">
        <v>57</v>
      </c>
      <c r="Q701" s="2" t="s">
        <v>3979</v>
      </c>
    </row>
    <row r="702" spans="1:17" ht="14.4" x14ac:dyDescent="0.3">
      <c r="A702" s="85">
        <v>552</v>
      </c>
      <c r="B702" s="76" t="s">
        <v>3980</v>
      </c>
      <c r="C702" s="77" t="str">
        <f>HYPERLINK("https://www.xeno-canto.org/species/Orthotomus-derbianus")</f>
        <v>https://www.xeno-canto.org/species/Orthotomus-derbianus</v>
      </c>
      <c r="D702" s="94" t="str">
        <f>HYPERLINK("https://ebird.org/species/gybtai1")</f>
        <v>https://ebird.org/species/gybtai1</v>
      </c>
      <c r="E702" s="122" t="str">
        <f>HYPERLINK("https://en.wikipedia.org/wiki/Grey-backed_Tailorbird")</f>
        <v>https://en.wikipedia.org/wiki/Grey-backed_Tailorbird</v>
      </c>
      <c r="F702" s="123" t="str">
        <f>HYPERLINK("https://apiv3.iucnredlist.org/api/v3/website/Orthotomus derbianus")</f>
        <v>https://apiv3.iucnredlist.org/api/v3/website/Orthotomus derbianus</v>
      </c>
      <c r="G702" s="90">
        <v>58</v>
      </c>
      <c r="H702" s="90">
        <v>269</v>
      </c>
      <c r="J702" s="87" t="s">
        <v>1208</v>
      </c>
      <c r="K702" s="98" t="s">
        <v>1224</v>
      </c>
      <c r="M702" s="99" t="s">
        <v>1225</v>
      </c>
      <c r="N702" s="90" t="s">
        <v>57</v>
      </c>
      <c r="Q702" s="2" t="s">
        <v>3981</v>
      </c>
    </row>
    <row r="703" spans="1:17" ht="14.4" x14ac:dyDescent="0.3">
      <c r="A703" s="85">
        <v>553</v>
      </c>
      <c r="B703" s="76" t="s">
        <v>3982</v>
      </c>
      <c r="C703" s="77" t="str">
        <f>HYPERLINK("https://www.xeno-canto.org/species/Orthotomus-sericeus")</f>
        <v>https://www.xeno-canto.org/species/Orthotomus-sericeus</v>
      </c>
      <c r="D703" s="94" t="str">
        <f>HYPERLINK("https://ebird.org/species/ruttai1")</f>
        <v>https://ebird.org/species/ruttai1</v>
      </c>
      <c r="E703" s="122" t="str">
        <f>HYPERLINK("https://en.wikipedia.org/wiki/Rufous-tailed_Tailorbird")</f>
        <v>https://en.wikipedia.org/wiki/Rufous-tailed_Tailorbird</v>
      </c>
      <c r="F703" s="123" t="str">
        <f>HYPERLINK("https://apiv3.iucnredlist.org/api/v3/website/Orthotomus sericeus")</f>
        <v>https://apiv3.iucnredlist.org/api/v3/website/Orthotomus sericeus</v>
      </c>
      <c r="G703" s="90">
        <v>58</v>
      </c>
      <c r="H703" s="90">
        <v>265</v>
      </c>
      <c r="J703" s="87" t="s">
        <v>1208</v>
      </c>
      <c r="K703" s="95" t="s">
        <v>1226</v>
      </c>
      <c r="M703" s="93" t="s">
        <v>1227</v>
      </c>
      <c r="N703" s="90" t="s">
        <v>37</v>
      </c>
      <c r="Q703" s="2" t="s">
        <v>3983</v>
      </c>
    </row>
    <row r="704" spans="1:17" ht="14.4" x14ac:dyDescent="0.3">
      <c r="A704" s="85">
        <v>554</v>
      </c>
      <c r="B704" s="76" t="s">
        <v>3984</v>
      </c>
      <c r="C704" s="77" t="str">
        <f>HYPERLINK("https://www.xeno-canto.org/species/Orthotomus-ruficeps")</f>
        <v>https://www.xeno-canto.org/species/Orthotomus-ruficeps</v>
      </c>
      <c r="D704" s="94" t="str">
        <f>HYPERLINK("https://ebird.org/species/ashtai1")</f>
        <v>https://ebird.org/species/ashtai1</v>
      </c>
      <c r="E704" s="122" t="str">
        <f>HYPERLINK("https://en.wikipedia.org/wiki/Ashy_Tailorbird")</f>
        <v>https://en.wikipedia.org/wiki/Ashy_Tailorbird</v>
      </c>
      <c r="F704" s="123" t="str">
        <f>HYPERLINK("https://apiv3.iucnredlist.org/api/v3/website/Orthotomus ruficeps")</f>
        <v>https://apiv3.iucnredlist.org/api/v3/website/Orthotomus ruficeps</v>
      </c>
      <c r="G704" s="90">
        <v>58</v>
      </c>
      <c r="H704" s="90">
        <v>267</v>
      </c>
      <c r="J704" s="87" t="s">
        <v>1208</v>
      </c>
      <c r="K704" s="95" t="s">
        <v>1228</v>
      </c>
      <c r="M704" s="93" t="s">
        <v>1229</v>
      </c>
      <c r="N704" s="90" t="s">
        <v>37</v>
      </c>
      <c r="Q704" s="2" t="s">
        <v>3985</v>
      </c>
    </row>
    <row r="705" spans="1:17" ht="14.4" x14ac:dyDescent="0.3">
      <c r="A705" s="85">
        <v>555</v>
      </c>
      <c r="B705" s="76" t="s">
        <v>3986</v>
      </c>
      <c r="C705" s="77" t="str">
        <f>HYPERLINK("https://www.xeno-canto.org/species/Orthotomus-cinereiceps")</f>
        <v>https://www.xeno-canto.org/species/Orthotomus-cinereiceps</v>
      </c>
      <c r="D705" s="94" t="str">
        <f>HYPERLINK("https://ebird.org/species/whetai1")</f>
        <v>https://ebird.org/species/whetai1</v>
      </c>
      <c r="E705" s="122" t="str">
        <f>HYPERLINK("https://en.wikipedia.org/wiki/White-eared_Tailorbird")</f>
        <v>https://en.wikipedia.org/wiki/White-eared_Tailorbird</v>
      </c>
      <c r="F705" s="123" t="str">
        <f>HYPERLINK("https://apiv3.iucnredlist.org/api/v3/website/Orthotomus cinereiceps")</f>
        <v>https://apiv3.iucnredlist.org/api/v3/website/Orthotomus cinereiceps</v>
      </c>
      <c r="G705" s="90">
        <v>58</v>
      </c>
      <c r="H705" s="90">
        <v>269</v>
      </c>
      <c r="J705" s="87" t="s">
        <v>1208</v>
      </c>
      <c r="K705" s="98" t="s">
        <v>1230</v>
      </c>
      <c r="M705" s="99" t="s">
        <v>1231</v>
      </c>
      <c r="N705" s="90" t="s">
        <v>57</v>
      </c>
      <c r="Q705" s="2" t="s">
        <v>3987</v>
      </c>
    </row>
    <row r="706" spans="1:17" ht="14.4" x14ac:dyDescent="0.3">
      <c r="A706" s="85">
        <v>556</v>
      </c>
      <c r="B706" s="76" t="s">
        <v>3988</v>
      </c>
      <c r="C706" s="77" t="str">
        <f>HYPERLINK("https://www.xeno-canto.org/species/Orthotomus-nigriceps")</f>
        <v>https://www.xeno-canto.org/species/Orthotomus-nigriceps</v>
      </c>
      <c r="D706" s="94" t="str">
        <f>HYPERLINK("https://ebird.org/species/whbtai1")</f>
        <v>https://ebird.org/species/whbtai1</v>
      </c>
      <c r="E706" s="122" t="str">
        <f>HYPERLINK("https://en.wikipedia.org/wiki/Black-headed_Tailorbird")</f>
        <v>https://en.wikipedia.org/wiki/Black-headed_Tailorbird</v>
      </c>
      <c r="F706" s="123" t="str">
        <f>HYPERLINK("https://apiv3.iucnredlist.org/api/v3/website/Orthotomus nigriceps")</f>
        <v>https://apiv3.iucnredlist.org/api/v3/website/Orthotomus nigriceps</v>
      </c>
      <c r="G706" s="90">
        <v>58</v>
      </c>
      <c r="H706" s="90">
        <v>267</v>
      </c>
      <c r="J706" s="87" t="s">
        <v>1208</v>
      </c>
      <c r="K706" s="98" t="s">
        <v>1232</v>
      </c>
      <c r="M706" s="99" t="s">
        <v>1233</v>
      </c>
      <c r="N706" s="90" t="s">
        <v>57</v>
      </c>
      <c r="Q706" s="2" t="s">
        <v>3989</v>
      </c>
    </row>
    <row r="707" spans="1:17" ht="14.4" x14ac:dyDescent="0.3">
      <c r="A707" s="85">
        <v>557</v>
      </c>
      <c r="B707" s="76" t="s">
        <v>3990</v>
      </c>
      <c r="C707" s="77" t="str">
        <f>HYPERLINK("https://www.xeno-canto.org/species/Orthotomus-samarensis")</f>
        <v>https://www.xeno-canto.org/species/Orthotomus-samarensis</v>
      </c>
      <c r="D707" s="94" t="str">
        <f>HYPERLINK("https://ebird.org/species/yebtai1")</f>
        <v>https://ebird.org/species/yebtai1</v>
      </c>
      <c r="E707" s="122" t="str">
        <f>HYPERLINK("https://en.wikipedia.org/wiki/Yellow-breasted_Tailorbird")</f>
        <v>https://en.wikipedia.org/wiki/Yellow-breasted_Tailorbird</v>
      </c>
      <c r="F707" s="123" t="str">
        <f>HYPERLINK("https://apiv3.iucnredlist.org/api/v3/website/Orthotomus samarensis")</f>
        <v>https://apiv3.iucnredlist.org/api/v3/website/Orthotomus samarensis</v>
      </c>
      <c r="G707" s="90">
        <v>58</v>
      </c>
      <c r="H707" s="90">
        <v>267</v>
      </c>
      <c r="J707" s="87" t="s">
        <v>1208</v>
      </c>
      <c r="K707" s="98" t="s">
        <v>1234</v>
      </c>
      <c r="M707" s="99" t="s">
        <v>1235</v>
      </c>
      <c r="N707" s="90" t="s">
        <v>57</v>
      </c>
      <c r="O707" s="90" t="s">
        <v>50</v>
      </c>
      <c r="P707" s="90" t="s">
        <v>186</v>
      </c>
      <c r="Q707" s="2" t="s">
        <v>3668</v>
      </c>
    </row>
    <row r="709" spans="1:17" ht="12" x14ac:dyDescent="0.3">
      <c r="K709" s="88" t="s">
        <v>1249</v>
      </c>
      <c r="M709" s="89" t="s">
        <v>1250</v>
      </c>
    </row>
    <row r="710" spans="1:17" ht="14.4" x14ac:dyDescent="0.3">
      <c r="A710" s="85">
        <v>558</v>
      </c>
      <c r="B710" s="74" t="s">
        <v>3991</v>
      </c>
      <c r="C710" s="75" t="str">
        <f>HYPERLINK("https://www.xeno-canto.org/species/Dasycrotapha-speciosa")</f>
        <v>https://www.xeno-canto.org/species/Dasycrotapha-speciosa</v>
      </c>
      <c r="D710" s="91" t="str">
        <f>HYPERLINK("https://ebird.org/species/fltbab1")</f>
        <v>https://ebird.org/species/fltbab1</v>
      </c>
      <c r="E710" s="120" t="str">
        <f>HYPERLINK("https://en.wikipedia.org/wiki/Flame-templed_Babbler")</f>
        <v>https://en.wikipedia.org/wiki/Flame-templed_Babbler</v>
      </c>
      <c r="F710" s="121" t="str">
        <f>HYPERLINK("https://apiv3.iucnredlist.org/api/v3/website/Dasycrotapha speciosa")</f>
        <v>https://apiv3.iucnredlist.org/api/v3/website/Dasycrotapha speciosa</v>
      </c>
      <c r="G710" s="90">
        <v>52</v>
      </c>
      <c r="H710" s="90">
        <v>299</v>
      </c>
      <c r="J710" s="87" t="s">
        <v>1250</v>
      </c>
      <c r="K710" s="98" t="s">
        <v>1261</v>
      </c>
      <c r="M710" s="99" t="s">
        <v>1262</v>
      </c>
      <c r="N710" s="90" t="s">
        <v>57</v>
      </c>
      <c r="O710" s="90" t="s">
        <v>58</v>
      </c>
      <c r="P710" s="90" t="s">
        <v>58</v>
      </c>
      <c r="Q710" s="2" t="s">
        <v>3992</v>
      </c>
    </row>
    <row r="711" spans="1:17" ht="14.4" x14ac:dyDescent="0.3">
      <c r="A711" s="85">
        <v>559</v>
      </c>
      <c r="B711" s="76" t="s">
        <v>3993</v>
      </c>
      <c r="C711" s="77" t="str">
        <f>HYPERLINK("https://www.xeno-canto.org/species/Dasycrotapha-pygmaea")</f>
        <v>https://www.xeno-canto.org/species/Dasycrotapha-pygmaea</v>
      </c>
      <c r="D711" s="94" t="str">
        <f>HYPERLINK("https://ebird.org/species/vispyb1")</f>
        <v>https://ebird.org/species/vispyb1</v>
      </c>
      <c r="E711" s="122" t="str">
        <f>HYPERLINK("https://en.wikipedia.org/wiki/Visayan_Pygmy_Babbler")</f>
        <v>https://en.wikipedia.org/wiki/Visayan_Pygmy_Babbler</v>
      </c>
      <c r="F711" s="123" t="str">
        <f>HYPERLINK("https://apiv3.iucnredlist.org/api/v3/website/Dasycrotapha pygmaea")</f>
        <v>https://apiv3.iucnredlist.org/api/v3/website/Dasycrotapha pygmaea</v>
      </c>
      <c r="G711" s="90">
        <v>51</v>
      </c>
      <c r="H711" s="90">
        <v>299</v>
      </c>
      <c r="J711" s="87" t="s">
        <v>1250</v>
      </c>
      <c r="K711" s="98" t="s">
        <v>1265</v>
      </c>
      <c r="M711" s="99" t="s">
        <v>1266</v>
      </c>
      <c r="N711" s="90" t="s">
        <v>57</v>
      </c>
      <c r="O711" s="90" t="s">
        <v>50</v>
      </c>
      <c r="P711" s="90" t="s">
        <v>186</v>
      </c>
      <c r="Q711" s="2" t="s">
        <v>3994</v>
      </c>
    </row>
    <row r="712" spans="1:17" ht="14.4" x14ac:dyDescent="0.3">
      <c r="A712" s="85">
        <v>560</v>
      </c>
      <c r="B712" s="76" t="s">
        <v>3995</v>
      </c>
      <c r="C712" s="77" t="str">
        <f>HYPERLINK("https://www.xeno-canto.org/species/Dasycrotapha-plateni")</f>
        <v>https://www.xeno-canto.org/species/Dasycrotapha-plateni</v>
      </c>
      <c r="D712" s="94" t="str">
        <f>HYPERLINK("https://ebird.org/species/pygbab1")</f>
        <v>https://ebird.org/species/pygbab1</v>
      </c>
      <c r="E712" s="122" t="str">
        <f>HYPERLINK("https://en.wikipedia.org/wiki/Mindanao_Pygmy_Babbler")</f>
        <v>https://en.wikipedia.org/wiki/Mindanao_Pygmy_Babbler</v>
      </c>
      <c r="F712" s="123" t="str">
        <f>HYPERLINK("https://apiv3.iucnredlist.org/api/v3/website/Dasycrotapha plateni")</f>
        <v>https://apiv3.iucnredlist.org/api/v3/website/Dasycrotapha plateni</v>
      </c>
      <c r="G712" s="90">
        <v>51</v>
      </c>
      <c r="H712" s="90">
        <v>299</v>
      </c>
      <c r="J712" s="87" t="s">
        <v>1250</v>
      </c>
      <c r="K712" s="98" t="s">
        <v>1263</v>
      </c>
      <c r="M712" s="99" t="s">
        <v>1264</v>
      </c>
      <c r="N712" s="90" t="s">
        <v>57</v>
      </c>
      <c r="O712" s="90" t="s">
        <v>50</v>
      </c>
      <c r="P712" s="90" t="s">
        <v>186</v>
      </c>
      <c r="Q712" s="2" t="s">
        <v>3676</v>
      </c>
    </row>
    <row r="713" spans="1:17" ht="14.4" x14ac:dyDescent="0.3">
      <c r="A713" s="85">
        <v>561</v>
      </c>
      <c r="B713" s="76" t="s">
        <v>3996</v>
      </c>
      <c r="C713" s="77" t="str">
        <f>HYPERLINK("https://www.xeno-canto.org/species/Sterrhoptilus-capitalis")</f>
        <v>https://www.xeno-canto.org/species/Sterrhoptilus-capitalis</v>
      </c>
      <c r="D713" s="94" t="str">
        <f>HYPERLINK("https://ebird.org/species/rucbab3")</f>
        <v>https://ebird.org/species/rucbab3</v>
      </c>
      <c r="E713" s="122" t="str">
        <f>HYPERLINK("https://en.wikipedia.org/wiki/Rusty-crowned_Babbler")</f>
        <v>https://en.wikipedia.org/wiki/Rusty-crowned_Babbler</v>
      </c>
      <c r="F713" s="123" t="str">
        <f>HYPERLINK("https://apiv3.iucnredlist.org/api/v3/website/Sterrhoptilus capitalis")</f>
        <v>https://apiv3.iucnredlist.org/api/v3/website/Sterrhoptilus capitalis</v>
      </c>
      <c r="G713" s="90">
        <v>52</v>
      </c>
      <c r="H713" s="90">
        <v>297</v>
      </c>
      <c r="J713" s="87" t="s">
        <v>1250</v>
      </c>
      <c r="K713" s="98" t="s">
        <v>1271</v>
      </c>
      <c r="M713" s="99" t="s">
        <v>1272</v>
      </c>
      <c r="N713" s="90" t="s">
        <v>57</v>
      </c>
      <c r="Q713" s="2" t="s">
        <v>3612</v>
      </c>
    </row>
    <row r="714" spans="1:17" ht="14.4" x14ac:dyDescent="0.3">
      <c r="A714" s="85">
        <v>562</v>
      </c>
      <c r="B714" s="76" t="s">
        <v>3997</v>
      </c>
      <c r="C714" s="77" t="str">
        <f>HYPERLINK("https://www.xeno-canto.org/species/Sterrhoptilus-dennistouni")</f>
        <v>https://www.xeno-canto.org/species/Sterrhoptilus-dennistouni</v>
      </c>
      <c r="D714" s="94" t="str">
        <f>HYPERLINK("https://ebird.org/species/gocbab1")</f>
        <v>https://ebird.org/species/gocbab1</v>
      </c>
      <c r="E714" s="122" t="str">
        <f>HYPERLINK("https://en.wikipedia.org/wiki/Golden-crowned_Babbler")</f>
        <v>https://en.wikipedia.org/wiki/Golden-crowned_Babbler</v>
      </c>
      <c r="F714" s="123" t="str">
        <f>HYPERLINK("https://apiv3.iucnredlist.org/api/v3/website/Sterrhoptilus dennistouni")</f>
        <v>https://apiv3.iucnredlist.org/api/v3/website/Sterrhoptilus dennistouni</v>
      </c>
      <c r="G714" s="90">
        <v>52</v>
      </c>
      <c r="H714" s="90">
        <v>297</v>
      </c>
      <c r="J714" s="87" t="s">
        <v>1250</v>
      </c>
      <c r="K714" s="98" t="s">
        <v>1267</v>
      </c>
      <c r="M714" s="99" t="s">
        <v>1268</v>
      </c>
      <c r="N714" s="90" t="s">
        <v>57</v>
      </c>
      <c r="O714" s="90" t="s">
        <v>50</v>
      </c>
      <c r="P714" s="90" t="s">
        <v>186</v>
      </c>
      <c r="Q714" s="2" t="s">
        <v>3262</v>
      </c>
    </row>
    <row r="715" spans="1:17" ht="14.4" x14ac:dyDescent="0.3">
      <c r="A715" s="85">
        <v>563</v>
      </c>
      <c r="B715" s="76" t="s">
        <v>5170</v>
      </c>
      <c r="C715" s="77" t="str">
        <f>HYPERLINK("https://www.xeno-canto.org/species/Sterrhoptilus-affinis")</f>
        <v>https://www.xeno-canto.org/species/Sterrhoptilus-affinis</v>
      </c>
      <c r="D715" s="94" t="str">
        <f>HYPERLINK("https://ebird.org/species/bkcbab3")</f>
        <v>https://ebird.org/species/bkcbab3</v>
      </c>
      <c r="E715" s="122" t="str">
        <f>HYPERLINK("https://en.wikipedia.org/wiki/Calabarzon_Babbler")</f>
        <v>https://en.wikipedia.org/wiki/Calabarzon_Babbler</v>
      </c>
      <c r="F715" s="123" t="str">
        <f>HYPERLINK("https://apiv3.iucnredlist.org/api/v3/website/Sterrhoptilus affinis")</f>
        <v>https://apiv3.iucnredlist.org/api/v3/website/Sterrhoptilus affinis</v>
      </c>
      <c r="H715" s="90">
        <v>297</v>
      </c>
      <c r="J715" s="87" t="s">
        <v>1250</v>
      </c>
      <c r="K715" s="98" t="s">
        <v>5171</v>
      </c>
      <c r="L715" s="86" t="s">
        <v>1269</v>
      </c>
      <c r="M715" s="99" t="s">
        <v>5172</v>
      </c>
      <c r="N715" s="90" t="s">
        <v>57</v>
      </c>
      <c r="Q715" s="2" t="s">
        <v>3999</v>
      </c>
    </row>
    <row r="716" spans="1:17" ht="14.4" x14ac:dyDescent="0.3">
      <c r="A716" s="85">
        <v>564</v>
      </c>
      <c r="B716" s="76" t="s">
        <v>3998</v>
      </c>
      <c r="C716" s="77" t="str">
        <f>HYPERLINK("https://www.xeno-canto.org/species/Sterrhoptilus-nigrocapitatus")</f>
        <v>https://www.xeno-canto.org/species/Sterrhoptilus-nigrocapitatus</v>
      </c>
      <c r="D716" s="94" t="str">
        <f>HYPERLINK("https://ebird.org/species/bkcbab10")</f>
        <v>https://ebird.org/species/bkcbab10</v>
      </c>
      <c r="E716" s="122" t="str">
        <f>HYPERLINK("https://en.wikipedia.org/wiki/Visayan_Babbler")</f>
        <v>https://en.wikipedia.org/wiki/Visayan_Babbler</v>
      </c>
      <c r="F716" s="123" t="str">
        <f>HYPERLINK("https://apiv3.iucnredlist.org/api/v3/website/Sterrhoptilus nigrocapitatus")</f>
        <v>https://apiv3.iucnredlist.org/api/v3/website/Sterrhoptilus nigrocapitatus</v>
      </c>
      <c r="G716" s="90">
        <v>52</v>
      </c>
      <c r="H716" s="90">
        <v>297</v>
      </c>
      <c r="J716" s="87" t="s">
        <v>1250</v>
      </c>
      <c r="K716" s="98" t="s">
        <v>5173</v>
      </c>
      <c r="L716" s="86" t="s">
        <v>1269</v>
      </c>
      <c r="M716" s="99" t="s">
        <v>1270</v>
      </c>
      <c r="N716" s="90" t="s">
        <v>57</v>
      </c>
      <c r="Q716" s="2" t="s">
        <v>3999</v>
      </c>
    </row>
    <row r="717" spans="1:17" ht="14.4" x14ac:dyDescent="0.3">
      <c r="A717" s="85">
        <v>565</v>
      </c>
      <c r="B717" s="76" t="s">
        <v>4000</v>
      </c>
      <c r="C717" s="77" t="str">
        <f>HYPERLINK("https://www.xeno-canto.org/species/Zosterornis-hypogrammicus")</f>
        <v>https://www.xeno-canto.org/species/Zosterornis-hypogrammicus</v>
      </c>
      <c r="D717" s="94" t="str">
        <f>HYPERLINK("https://ebird.org/species/pasbab1")</f>
        <v>https://ebird.org/species/pasbab1</v>
      </c>
      <c r="E717" s="122" t="str">
        <f>HYPERLINK("https://en.wikipedia.org/wiki/Palawan_Striped_Babbler")</f>
        <v>https://en.wikipedia.org/wiki/Palawan_Striped_Babbler</v>
      </c>
      <c r="F717" s="123" t="str">
        <f>HYPERLINK("https://apiv3.iucnredlist.org/api/v3/website/Zosterornis hypogrammicus")</f>
        <v>https://apiv3.iucnredlist.org/api/v3/website/Zosterornis hypogrammicus</v>
      </c>
      <c r="G717" s="90">
        <v>52</v>
      </c>
      <c r="H717" s="90">
        <v>295</v>
      </c>
      <c r="J717" s="87" t="s">
        <v>1250</v>
      </c>
      <c r="K717" s="98" t="s">
        <v>1259</v>
      </c>
      <c r="M717" s="99" t="s">
        <v>1260</v>
      </c>
      <c r="N717" s="90" t="s">
        <v>57</v>
      </c>
      <c r="O717" s="90" t="s">
        <v>50</v>
      </c>
      <c r="P717" s="90" t="s">
        <v>186</v>
      </c>
      <c r="Q717" s="2" t="s">
        <v>4001</v>
      </c>
    </row>
    <row r="718" spans="1:17" ht="14.4" x14ac:dyDescent="0.3">
      <c r="A718" s="85">
        <v>566</v>
      </c>
      <c r="B718" s="76" t="s">
        <v>4002</v>
      </c>
      <c r="C718" s="77" t="str">
        <f>HYPERLINK("https://www.xeno-canto.org/species/Zosterornis-striatus")</f>
        <v>https://www.xeno-canto.org/species/Zosterornis-striatus</v>
      </c>
      <c r="D718" s="94" t="str">
        <f>HYPERLINK("https://ebird.org/species/lusbab1")</f>
        <v>https://ebird.org/species/lusbab1</v>
      </c>
      <c r="E718" s="122" t="str">
        <f>HYPERLINK("https://en.wikipedia.org/wiki/Luzon_Striped_Babbler")</f>
        <v>https://en.wikipedia.org/wiki/Luzon_Striped_Babbler</v>
      </c>
      <c r="F718" s="123" t="str">
        <f>HYPERLINK("https://apiv3.iucnredlist.org/api/v3/website/Zosterornis striatus")</f>
        <v>https://apiv3.iucnredlist.org/api/v3/website/Zosterornis striatus</v>
      </c>
      <c r="G718" s="90">
        <v>52</v>
      </c>
      <c r="H718" s="90">
        <v>295</v>
      </c>
      <c r="J718" s="87" t="s">
        <v>1250</v>
      </c>
      <c r="K718" s="98" t="s">
        <v>1253</v>
      </c>
      <c r="M718" s="99" t="s">
        <v>1254</v>
      </c>
      <c r="N718" s="90" t="s">
        <v>57</v>
      </c>
      <c r="O718" s="90" t="s">
        <v>50</v>
      </c>
      <c r="P718" s="90" t="s">
        <v>38</v>
      </c>
      <c r="Q718" s="2" t="s">
        <v>4003</v>
      </c>
    </row>
    <row r="719" spans="1:17" ht="14.4" x14ac:dyDescent="0.3">
      <c r="A719" s="85">
        <v>567</v>
      </c>
      <c r="B719" s="76" t="s">
        <v>4004</v>
      </c>
      <c r="C719" s="77" t="str">
        <f>HYPERLINK("https://www.xeno-canto.org/species/Zosterornis-whiteheadi")</f>
        <v>https://www.xeno-canto.org/species/Zosterornis-whiteheadi</v>
      </c>
      <c r="D719" s="94" t="str">
        <f>HYPERLINK("https://ebird.org/species/chfbab1")</f>
        <v>https://ebird.org/species/chfbab1</v>
      </c>
      <c r="E719" s="122" t="str">
        <f>HYPERLINK("https://en.wikipedia.org/wiki/Chestnut-faced_Babbler")</f>
        <v>https://en.wikipedia.org/wiki/Chestnut-faced_Babbler</v>
      </c>
      <c r="F719" s="123" t="str">
        <f>HYPERLINK("https://apiv3.iucnredlist.org/api/v3/website/Zosterornis whiteheadi")</f>
        <v>https://apiv3.iucnredlist.org/api/v3/website/Zosterornis whiteheadi</v>
      </c>
      <c r="G719" s="90">
        <v>52</v>
      </c>
      <c r="H719" s="90">
        <v>297</v>
      </c>
      <c r="J719" s="87" t="s">
        <v>1250</v>
      </c>
      <c r="K719" s="98" t="s">
        <v>1251</v>
      </c>
      <c r="M719" s="99" t="s">
        <v>1252</v>
      </c>
      <c r="N719" s="90" t="s">
        <v>57</v>
      </c>
      <c r="Q719" s="2" t="s">
        <v>3757</v>
      </c>
    </row>
    <row r="720" spans="1:17" ht="14.4" x14ac:dyDescent="0.3">
      <c r="A720" s="85">
        <v>568</v>
      </c>
      <c r="B720" s="76" t="s">
        <v>4005</v>
      </c>
      <c r="C720" s="77" t="str">
        <f>HYPERLINK("https://www.xeno-canto.org/species/Zosterornis-latistriatus")</f>
        <v>https://www.xeno-canto.org/species/Zosterornis-latistriatus</v>
      </c>
      <c r="D720" s="94" t="str">
        <f>HYPERLINK("https://ebird.org/species/pasbab2")</f>
        <v>https://ebird.org/species/pasbab2</v>
      </c>
      <c r="E720" s="122" t="str">
        <f>HYPERLINK("https://en.wikipedia.org/wiki/Panay_Striped_Babbler")</f>
        <v>https://en.wikipedia.org/wiki/Panay_Striped_Babbler</v>
      </c>
      <c r="F720" s="123" t="str">
        <f>HYPERLINK("https://apiv3.iucnredlist.org/api/v3/website/Zosterornis latistriatus")</f>
        <v>https://apiv3.iucnredlist.org/api/v3/website/Zosterornis latistriatus</v>
      </c>
      <c r="G720" s="90">
        <v>52</v>
      </c>
      <c r="H720" s="90">
        <v>295</v>
      </c>
      <c r="J720" s="87" t="s">
        <v>1250</v>
      </c>
      <c r="K720" s="98" t="s">
        <v>1255</v>
      </c>
      <c r="M720" s="99" t="s">
        <v>1256</v>
      </c>
      <c r="N720" s="90" t="s">
        <v>57</v>
      </c>
      <c r="O720" s="90" t="s">
        <v>50</v>
      </c>
      <c r="P720" s="90" t="s">
        <v>38</v>
      </c>
      <c r="Q720" s="2" t="s">
        <v>4006</v>
      </c>
    </row>
    <row r="721" spans="1:18" ht="14.4" x14ac:dyDescent="0.3">
      <c r="A721" s="85">
        <v>569</v>
      </c>
      <c r="B721" s="76" t="s">
        <v>4007</v>
      </c>
      <c r="C721" s="77" t="str">
        <f>HYPERLINK("https://www.xeno-canto.org/species/Zosterornis-nigrorum")</f>
        <v>https://www.xeno-canto.org/species/Zosterornis-nigrorum</v>
      </c>
      <c r="D721" s="94" t="str">
        <f>HYPERLINK("https://ebird.org/species/nesbab1")</f>
        <v>https://ebird.org/species/nesbab1</v>
      </c>
      <c r="E721" s="122" t="str">
        <f>HYPERLINK("https://en.wikipedia.org/wiki/Negros_Striped_Babbler")</f>
        <v>https://en.wikipedia.org/wiki/Negros_Striped_Babbler</v>
      </c>
      <c r="F721" s="123" t="str">
        <f>HYPERLINK("https://apiv3.iucnredlist.org/api/v3/website/Zosterornis nigrorum")</f>
        <v>https://apiv3.iucnredlist.org/api/v3/website/Zosterornis nigrorum</v>
      </c>
      <c r="G721" s="90">
        <v>52</v>
      </c>
      <c r="H721" s="90">
        <v>295</v>
      </c>
      <c r="J721" s="87" t="s">
        <v>1250</v>
      </c>
      <c r="K721" s="102" t="s">
        <v>1257</v>
      </c>
      <c r="M721" s="99" t="s">
        <v>1258</v>
      </c>
      <c r="N721" s="90" t="s">
        <v>57</v>
      </c>
      <c r="O721" s="90" t="s">
        <v>58</v>
      </c>
      <c r="P721" s="90" t="s">
        <v>58</v>
      </c>
      <c r="Q721" s="2" t="s">
        <v>4008</v>
      </c>
    </row>
    <row r="722" spans="1:18" ht="14.4" x14ac:dyDescent="0.3">
      <c r="A722" s="85">
        <v>570</v>
      </c>
      <c r="B722" s="76" t="s">
        <v>4009</v>
      </c>
      <c r="C722" s="77" t="str">
        <f>HYPERLINK("https://www.xeno-canto.org/species/Heleia-goodfellowi")</f>
        <v>https://www.xeno-canto.org/species/Heleia-goodfellowi</v>
      </c>
      <c r="D722" s="94" t="str">
        <f>HYPERLINK("https://ebird.org/species/minwhe1")</f>
        <v>https://ebird.org/species/minwhe1</v>
      </c>
      <c r="E722" s="122" t="str">
        <f>HYPERLINK("https://en.wikipedia.org/wiki/Mindanao_White-eye")</f>
        <v>https://en.wikipedia.org/wiki/Mindanao_White-eye</v>
      </c>
      <c r="F722" s="123" t="str">
        <f>HYPERLINK("https://apiv3.iucnredlist.org/api/v3/website/Heleia goodfellowi")</f>
        <v>https://apiv3.iucnredlist.org/api/v3/website/Heleia goodfellowi</v>
      </c>
      <c r="G722" s="90">
        <v>70</v>
      </c>
      <c r="H722" s="90">
        <v>297</v>
      </c>
      <c r="J722" s="87" t="s">
        <v>1250</v>
      </c>
      <c r="K722" s="98" t="s">
        <v>1273</v>
      </c>
      <c r="M722" s="99" t="s">
        <v>2149</v>
      </c>
      <c r="N722" s="90" t="s">
        <v>57</v>
      </c>
      <c r="Q722" s="2" t="s">
        <v>3788</v>
      </c>
    </row>
    <row r="723" spans="1:18" ht="20.399999999999999" x14ac:dyDescent="0.3">
      <c r="A723" s="85">
        <v>571</v>
      </c>
      <c r="B723" s="76" t="s">
        <v>4010</v>
      </c>
      <c r="C723" s="77" t="str">
        <f>HYPERLINK("https://www.xeno-canto.org/species/Zosterops-nigrorum")</f>
        <v>https://www.xeno-canto.org/species/Zosterops-nigrorum</v>
      </c>
      <c r="D723" s="94" t="str">
        <f>HYPERLINK("https://ebird.org/species/yelwhe1")</f>
        <v>https://ebird.org/species/yelwhe1</v>
      </c>
      <c r="E723" s="122" t="str">
        <f>HYPERLINK("https://en.wikipedia.org/wiki/Yellowish_White-eye")</f>
        <v>https://en.wikipedia.org/wiki/Yellowish_White-eye</v>
      </c>
      <c r="F723" s="123" t="str">
        <f>HYPERLINK("https://apiv3.iucnredlist.org/api/v3/website/Zosterops nigrorum")</f>
        <v>https://apiv3.iucnredlist.org/api/v3/website/Zosterops nigrorum</v>
      </c>
      <c r="G723" s="90">
        <v>70</v>
      </c>
      <c r="H723" s="90">
        <v>299</v>
      </c>
      <c r="J723" s="87" t="s">
        <v>1250</v>
      </c>
      <c r="K723" s="98" t="s">
        <v>1281</v>
      </c>
      <c r="M723" s="99" t="s">
        <v>1282</v>
      </c>
      <c r="N723" s="90" t="s">
        <v>57</v>
      </c>
      <c r="Q723" s="2" t="s">
        <v>4011</v>
      </c>
    </row>
    <row r="724" spans="1:18" ht="20.399999999999999" x14ac:dyDescent="0.3">
      <c r="A724" s="85">
        <v>572</v>
      </c>
      <c r="B724" s="76" t="s">
        <v>4012</v>
      </c>
      <c r="C724" s="77" t="str">
        <f>HYPERLINK("https://www.xeno-canto.org/species/Zosterops-japonicus")</f>
        <v>https://www.xeno-canto.org/species/Zosterops-japonicus</v>
      </c>
      <c r="D724" s="94" t="str">
        <f>HYPERLINK("https://ebird.org/species/warwhe1")</f>
        <v>https://ebird.org/species/warwhe1</v>
      </c>
      <c r="E724" s="122" t="str">
        <f>HYPERLINK("https://en.wikipedia.org/wiki/Warbling_White-eye")</f>
        <v>https://en.wikipedia.org/wiki/Warbling_White-eye</v>
      </c>
      <c r="F724" s="123" t="str">
        <f>HYPERLINK("https://apiv3.iucnredlist.org/api/v3/website/Zosterops japonicus")</f>
        <v>https://apiv3.iucnredlist.org/api/v3/website/Zosterops japonicus</v>
      </c>
      <c r="G724" s="90">
        <v>70</v>
      </c>
      <c r="H724" s="90">
        <v>301</v>
      </c>
      <c r="J724" s="87" t="s">
        <v>1250</v>
      </c>
      <c r="K724" s="95" t="s">
        <v>1274</v>
      </c>
      <c r="L724" s="86" t="s">
        <v>2151</v>
      </c>
      <c r="M724" s="93" t="s">
        <v>1275</v>
      </c>
      <c r="N724" s="90" t="s">
        <v>37</v>
      </c>
      <c r="Q724" s="2" t="s">
        <v>4013</v>
      </c>
    </row>
    <row r="725" spans="1:18" ht="20.399999999999999" x14ac:dyDescent="0.3">
      <c r="A725" s="85">
        <v>573</v>
      </c>
      <c r="B725" s="76" t="s">
        <v>4014</v>
      </c>
      <c r="C725" s="77" t="str">
        <f>HYPERLINK("https://www.xeno-canto.org/species/Zosterops-meyeni")</f>
        <v>https://www.xeno-canto.org/species/Zosterops-meyeni</v>
      </c>
      <c r="D725" s="94" t="str">
        <f>HYPERLINK("https://ebird.org/species/loweye2")</f>
        <v>https://ebird.org/species/loweye2</v>
      </c>
      <c r="E725" s="122" t="str">
        <f>HYPERLINK("https://en.wikipedia.org/wiki/Lowland_White-eye")</f>
        <v>https://en.wikipedia.org/wiki/Lowland_White-eye</v>
      </c>
      <c r="F725" s="123" t="str">
        <f>HYPERLINK("https://apiv3.iucnredlist.org/api/v3/website/Zosterops meyeni")</f>
        <v>https://apiv3.iucnredlist.org/api/v3/website/Zosterops meyeni</v>
      </c>
      <c r="G725" s="90">
        <v>70</v>
      </c>
      <c r="H725" s="90">
        <v>301</v>
      </c>
      <c r="J725" s="87" t="s">
        <v>1250</v>
      </c>
      <c r="K725" s="95" t="s">
        <v>1276</v>
      </c>
      <c r="M725" s="93" t="s">
        <v>1277</v>
      </c>
      <c r="N725" s="90" t="s">
        <v>253</v>
      </c>
      <c r="Q725" s="2" t="s">
        <v>4015</v>
      </c>
      <c r="R725" s="2" t="s">
        <v>254</v>
      </c>
    </row>
    <row r="726" spans="1:18" ht="20.399999999999999" x14ac:dyDescent="0.3">
      <c r="A726" s="85">
        <v>574</v>
      </c>
      <c r="B726" s="76" t="s">
        <v>4016</v>
      </c>
      <c r="C726" s="77" t="str">
        <f>HYPERLINK("https://www.xeno-canto.org/species/Zosterops-everetti")</f>
        <v>https://www.xeno-canto.org/species/Zosterops-everetti</v>
      </c>
      <c r="D726" s="94" t="str">
        <f>HYPERLINK("https://ebird.org/species/evweye1")</f>
        <v>https://ebird.org/species/evweye1</v>
      </c>
      <c r="E726" s="122" t="str">
        <f>HYPERLINK("https://en.wikipedia.org/wiki/Everett's_White-eye")</f>
        <v>https://en.wikipedia.org/wiki/Everett's_White-eye</v>
      </c>
      <c r="F726" s="123" t="str">
        <f>HYPERLINK("https://apiv3.iucnredlist.org/api/v3/website/Zosterops everetti")</f>
        <v>https://apiv3.iucnredlist.org/api/v3/website/Zosterops everetti</v>
      </c>
      <c r="G726" s="90">
        <v>70</v>
      </c>
      <c r="H726" s="90">
        <v>301</v>
      </c>
      <c r="J726" s="87" t="s">
        <v>1250</v>
      </c>
      <c r="K726" s="95" t="s">
        <v>1278</v>
      </c>
      <c r="M726" s="93" t="s">
        <v>1279</v>
      </c>
      <c r="N726" s="90" t="s">
        <v>253</v>
      </c>
      <c r="Q726" s="2" t="s">
        <v>4017</v>
      </c>
      <c r="R726" s="2" t="s">
        <v>1280</v>
      </c>
    </row>
    <row r="728" spans="1:18" ht="12" x14ac:dyDescent="0.3">
      <c r="K728" s="88" t="s">
        <v>5846</v>
      </c>
      <c r="M728" s="89" t="s">
        <v>1213</v>
      </c>
    </row>
    <row r="729" spans="1:18" ht="14.4" x14ac:dyDescent="0.3">
      <c r="A729" s="85">
        <v>575</v>
      </c>
      <c r="B729" s="74" t="s">
        <v>4018</v>
      </c>
      <c r="C729" s="75" t="str">
        <f>HYPERLINK("https://www.xeno-canto.org/species/Mixornis-gularis")</f>
        <v>https://www.xeno-canto.org/species/Mixornis-gularis</v>
      </c>
      <c r="D729" s="91" t="str">
        <f>HYPERLINK("https://ebird.org/species/sttbab1")</f>
        <v>https://ebird.org/species/sttbab1</v>
      </c>
      <c r="E729" s="120" t="str">
        <f>HYPERLINK("https://en.wikipedia.org/wiki/Pin-striped_Tit-Babbler")</f>
        <v>https://en.wikipedia.org/wiki/Pin-striped_Tit-Babbler</v>
      </c>
      <c r="F729" s="121" t="str">
        <f>HYPERLINK("https://apiv3.iucnredlist.org/api/v3/website/Mixornis gularis")</f>
        <v>https://apiv3.iucnredlist.org/api/v3/website/Mixornis gularis</v>
      </c>
      <c r="G729" s="90">
        <v>53</v>
      </c>
      <c r="H729" s="90">
        <v>303</v>
      </c>
      <c r="J729" s="87" t="s">
        <v>1213</v>
      </c>
      <c r="K729" s="95" t="s">
        <v>1236</v>
      </c>
      <c r="M729" s="93" t="s">
        <v>2126</v>
      </c>
      <c r="N729" s="90" t="s">
        <v>37</v>
      </c>
      <c r="Q729" s="2" t="s">
        <v>4019</v>
      </c>
    </row>
    <row r="730" spans="1:18" ht="14.4" x14ac:dyDescent="0.3">
      <c r="A730" s="85">
        <v>576</v>
      </c>
      <c r="B730" s="76" t="s">
        <v>4020</v>
      </c>
      <c r="C730" s="77" t="str">
        <f>HYPERLINK("https://www.xeno-canto.org/species/Mixornis-bornensis")</f>
        <v>https://www.xeno-canto.org/species/Mixornis-bornensis</v>
      </c>
      <c r="D730" s="94" t="str">
        <f>HYPERLINK("https://ebird.org/species/bostib1")</f>
        <v>https://ebird.org/species/bostib1</v>
      </c>
      <c r="E730" s="122" t="str">
        <f>HYPERLINK("https://en.wikipedia.org/wiki/Bold-striped_Tit-Babbler")</f>
        <v>https://en.wikipedia.org/wiki/Bold-striped_Tit-Babbler</v>
      </c>
      <c r="F730" s="123" t="str">
        <f>HYPERLINK("https://apiv3.iucnredlist.org/api/v3/website/Mixornis bornensis")</f>
        <v>https://apiv3.iucnredlist.org/api/v3/website/Mixornis bornensis</v>
      </c>
      <c r="G730" s="90">
        <v>53</v>
      </c>
      <c r="H730" s="90">
        <v>303</v>
      </c>
      <c r="J730" s="87" t="s">
        <v>1213</v>
      </c>
      <c r="K730" s="95" t="s">
        <v>1237</v>
      </c>
      <c r="M730" s="93" t="s">
        <v>2128</v>
      </c>
      <c r="N730" s="90" t="s">
        <v>37</v>
      </c>
      <c r="Q730" s="2" t="s">
        <v>4021</v>
      </c>
    </row>
    <row r="731" spans="1:18" ht="30.6" x14ac:dyDescent="0.3">
      <c r="A731" s="85">
        <v>577</v>
      </c>
      <c r="B731" s="76" t="s">
        <v>4022</v>
      </c>
      <c r="C731" s="77" t="str">
        <f>HYPERLINK("https://www.xeno-canto.org/species/Macronus-striaticeps")</f>
        <v>https://www.xeno-canto.org/species/Macronus-striaticeps</v>
      </c>
      <c r="D731" s="94" t="str">
        <f>HYPERLINK("https://ebird.org/species/brtbab1")</f>
        <v>https://ebird.org/species/brtbab1</v>
      </c>
      <c r="E731" s="122" t="str">
        <f>HYPERLINK("https://en.wikipedia.org/wiki/Brown_Tit-Babbler")</f>
        <v>https://en.wikipedia.org/wiki/Brown_Tit-Babbler</v>
      </c>
      <c r="F731" s="123" t="str">
        <f>HYPERLINK("https://apiv3.iucnredlist.org/api/v3/website/Macronus striaticeps")</f>
        <v>https://apiv3.iucnredlist.org/api/v3/website/Macronus striaticeps</v>
      </c>
      <c r="G731" s="90">
        <v>53</v>
      </c>
      <c r="H731" s="90">
        <v>303</v>
      </c>
      <c r="J731" s="87" t="s">
        <v>1213</v>
      </c>
      <c r="K731" s="98" t="s">
        <v>1238</v>
      </c>
      <c r="M731" s="99" t="s">
        <v>1239</v>
      </c>
      <c r="N731" s="90" t="s">
        <v>57</v>
      </c>
      <c r="Q731" s="2" t="s">
        <v>6585</v>
      </c>
    </row>
    <row r="733" spans="1:18" ht="12" x14ac:dyDescent="0.3">
      <c r="K733" s="88" t="s">
        <v>1240</v>
      </c>
      <c r="M733" s="89" t="s">
        <v>1241</v>
      </c>
    </row>
    <row r="734" spans="1:18" ht="14.4" x14ac:dyDescent="0.3">
      <c r="A734" s="85">
        <v>578</v>
      </c>
      <c r="B734" s="74" t="s">
        <v>4023</v>
      </c>
      <c r="C734" s="75" t="str">
        <f>HYPERLINK("https://www.xeno-canto.org/species/Malacopteron-palawanense")</f>
        <v>https://www.xeno-canto.org/species/Malacopteron-palawanense</v>
      </c>
      <c r="D734" s="91" t="str">
        <f>HYPERLINK("https://ebird.org/species/palbab1")</f>
        <v>https://ebird.org/species/palbab1</v>
      </c>
      <c r="E734" s="120" t="str">
        <f>HYPERLINK("https://en.wikipedia.org/wiki/Melodious_Babbler")</f>
        <v>https://en.wikipedia.org/wiki/Melodious_Babbler</v>
      </c>
      <c r="F734" s="121" t="str">
        <f>HYPERLINK("https://apiv3.iucnredlist.org/api/v3/website/Malacopteron palawanense")</f>
        <v>https://apiv3.iucnredlist.org/api/v3/website/Malacopteron palawanense</v>
      </c>
      <c r="G734" s="90">
        <v>51</v>
      </c>
      <c r="H734" s="90">
        <v>303</v>
      </c>
      <c r="J734" s="87" t="s">
        <v>1241</v>
      </c>
      <c r="K734" s="98" t="s">
        <v>1247</v>
      </c>
      <c r="M734" s="99" t="s">
        <v>1248</v>
      </c>
      <c r="N734" s="90" t="s">
        <v>57</v>
      </c>
      <c r="O734" s="90" t="s">
        <v>50</v>
      </c>
      <c r="P734" s="90" t="s">
        <v>186</v>
      </c>
      <c r="Q734" s="2" t="s">
        <v>4024</v>
      </c>
    </row>
    <row r="735" spans="1:18" ht="14.4" x14ac:dyDescent="0.3">
      <c r="A735" s="85">
        <v>579</v>
      </c>
      <c r="B735" s="76" t="s">
        <v>4025</v>
      </c>
      <c r="C735" s="77" t="str">
        <f>HYPERLINK("https://www.xeno-canto.org/species/Pellorneum-cinereiceps")</f>
        <v>https://www.xeno-canto.org/species/Pellorneum-cinereiceps</v>
      </c>
      <c r="D735" s="94" t="str">
        <f>HYPERLINK("https://ebird.org/species/ashbab1")</f>
        <v>https://ebird.org/species/ashbab1</v>
      </c>
      <c r="E735" s="122" t="str">
        <f>HYPERLINK("https://en.wikipedia.org/wiki/Ashy-headed_Babbler")</f>
        <v>https://en.wikipedia.org/wiki/Ashy-headed_Babbler</v>
      </c>
      <c r="F735" s="123" t="str">
        <f>HYPERLINK("https://apiv3.iucnredlist.org/api/v3/website/Pellorneum cinereiceps")</f>
        <v>https://apiv3.iucnredlist.org/api/v3/website/Pellorneum cinereiceps</v>
      </c>
      <c r="G735" s="90">
        <v>51</v>
      </c>
      <c r="H735" s="90">
        <v>305</v>
      </c>
      <c r="J735" s="87" t="s">
        <v>1241</v>
      </c>
      <c r="K735" s="98" t="s">
        <v>1246</v>
      </c>
      <c r="M735" s="99" t="s">
        <v>2133</v>
      </c>
      <c r="N735" s="90" t="s">
        <v>57</v>
      </c>
      <c r="Q735" s="2" t="s">
        <v>4026</v>
      </c>
    </row>
    <row r="736" spans="1:18" ht="14.4" x14ac:dyDescent="0.3">
      <c r="A736" s="85">
        <v>580</v>
      </c>
      <c r="B736" s="76" t="s">
        <v>4027</v>
      </c>
      <c r="C736" s="77" t="str">
        <f>HYPERLINK("https://www.xeno-canto.org/species/Ptilocichla-mindanensis")</f>
        <v>https://www.xeno-canto.org/species/Ptilocichla-mindanensis</v>
      </c>
      <c r="D736" s="94" t="str">
        <f>HYPERLINK("https://ebird.org/species/stwbab2")</f>
        <v>https://ebird.org/species/stwbab2</v>
      </c>
      <c r="E736" s="122" t="str">
        <f>HYPERLINK("https://en.wikipedia.org/wiki/Striated_Wren-Babbler")</f>
        <v>https://en.wikipedia.org/wiki/Striated_Wren-Babbler</v>
      </c>
      <c r="F736" s="123" t="str">
        <f>HYPERLINK("https://apiv3.iucnredlist.org/api/v3/website/Ptilocichla mindanensis")</f>
        <v>https://apiv3.iucnredlist.org/api/v3/website/Ptilocichla mindanensis</v>
      </c>
      <c r="G736" s="90">
        <v>51</v>
      </c>
      <c r="H736" s="90">
        <v>305</v>
      </c>
      <c r="J736" s="87" t="s">
        <v>1241</v>
      </c>
      <c r="K736" s="98" t="s">
        <v>1242</v>
      </c>
      <c r="M736" s="99" t="s">
        <v>1243</v>
      </c>
      <c r="N736" s="90" t="s">
        <v>57</v>
      </c>
      <c r="Q736" s="2" t="s">
        <v>4028</v>
      </c>
    </row>
    <row r="737" spans="1:18" ht="14.4" x14ac:dyDescent="0.3">
      <c r="A737" s="85">
        <v>581</v>
      </c>
      <c r="B737" s="76" t="s">
        <v>4029</v>
      </c>
      <c r="C737" s="77" t="str">
        <f>HYPERLINK("https://www.xeno-canto.org/species/Ptilocichla-falcata")</f>
        <v>https://www.xeno-canto.org/species/Ptilocichla-falcata</v>
      </c>
      <c r="D737" s="94" t="str">
        <f>HYPERLINK("https://ebird.org/species/fawbab1")</f>
        <v>https://ebird.org/species/fawbab1</v>
      </c>
      <c r="E737" s="122" t="str">
        <f>HYPERLINK("https://en.wikipedia.org/wiki/Falcated_Wren-Babbler")</f>
        <v>https://en.wikipedia.org/wiki/Falcated_Wren-Babbler</v>
      </c>
      <c r="F737" s="123" t="str">
        <f>HYPERLINK("https://apiv3.iucnredlist.org/api/v3/website/Ptilocichla falcata")</f>
        <v>https://apiv3.iucnredlist.org/api/v3/website/Ptilocichla falcata</v>
      </c>
      <c r="G737" s="90">
        <v>51</v>
      </c>
      <c r="H737" s="90">
        <v>305</v>
      </c>
      <c r="J737" s="87" t="s">
        <v>1241</v>
      </c>
      <c r="K737" s="98" t="s">
        <v>1244</v>
      </c>
      <c r="M737" s="99" t="s">
        <v>1245</v>
      </c>
      <c r="N737" s="90" t="s">
        <v>57</v>
      </c>
      <c r="O737" s="90" t="s">
        <v>38</v>
      </c>
      <c r="P737" s="90" t="s">
        <v>38</v>
      </c>
      <c r="Q737" s="2" t="s">
        <v>4030</v>
      </c>
    </row>
    <row r="739" spans="1:18" ht="12" x14ac:dyDescent="0.3">
      <c r="K739" s="88" t="s">
        <v>1283</v>
      </c>
      <c r="M739" s="89" t="s">
        <v>1284</v>
      </c>
    </row>
    <row r="740" spans="1:18" ht="14.4" x14ac:dyDescent="0.3">
      <c r="A740" s="85">
        <v>582</v>
      </c>
      <c r="B740" s="74" t="s">
        <v>5174</v>
      </c>
      <c r="C740" s="75" t="str">
        <f>HYPERLINK("https://www.xeno-canto.org/species/Irena-tweeddalii")</f>
        <v>https://www.xeno-canto.org/species/Irena-tweeddalii</v>
      </c>
      <c r="D740" s="91" t="str">
        <f>HYPERLINK("https://ebird.org/species/asifab2")</f>
        <v>https://ebird.org/species/asifab2</v>
      </c>
      <c r="E740" s="120" t="str">
        <f>HYPERLINK("https://en.wikipedia.org/wiki/Palawan_Fairy-bluebird")</f>
        <v>https://en.wikipedia.org/wiki/Palawan_Fairy-bluebird</v>
      </c>
      <c r="F740" s="121" t="str">
        <f>HYPERLINK("https://apiv3.iucnredlist.org/api/v3/website/Irena tweeddalii")</f>
        <v>https://apiv3.iucnredlist.org/api/v3/website/Irena tweeddalii</v>
      </c>
      <c r="G740" s="90">
        <v>49</v>
      </c>
      <c r="H740" s="90">
        <v>339</v>
      </c>
      <c r="J740" s="87" t="s">
        <v>1284</v>
      </c>
      <c r="K740" s="98" t="s">
        <v>2152</v>
      </c>
      <c r="M740" s="99" t="s">
        <v>2153</v>
      </c>
      <c r="N740" s="90" t="s">
        <v>57</v>
      </c>
      <c r="O740" s="90" t="s">
        <v>50</v>
      </c>
      <c r="Q740" s="2" t="s">
        <v>4031</v>
      </c>
    </row>
    <row r="741" spans="1:18" ht="14.4" x14ac:dyDescent="0.3">
      <c r="A741" s="85">
        <v>583</v>
      </c>
      <c r="B741" s="76" t="s">
        <v>4032</v>
      </c>
      <c r="C741" s="77" t="str">
        <f>HYPERLINK("https://www.xeno-canto.org/species/Irena-cyanogastra")</f>
        <v>https://www.xeno-canto.org/species/Irena-cyanogastra</v>
      </c>
      <c r="D741" s="94" t="str">
        <f>HYPERLINK("https://ebird.org/species/phifab1")</f>
        <v>https://ebird.org/species/phifab1</v>
      </c>
      <c r="E741" s="122" t="str">
        <f>HYPERLINK("https://en.wikipedia.org/wiki/Philippine_Fairy-bluebird")</f>
        <v>https://en.wikipedia.org/wiki/Philippine_Fairy-bluebird</v>
      </c>
      <c r="F741" s="123" t="str">
        <f>HYPERLINK("https://apiv3.iucnredlist.org/api/v3/website/Irena cyanogastra")</f>
        <v>https://apiv3.iucnredlist.org/api/v3/website/Irena cyanogastra</v>
      </c>
      <c r="G741" s="90">
        <v>49</v>
      </c>
      <c r="H741" s="90">
        <v>339</v>
      </c>
      <c r="J741" s="87" t="s">
        <v>1284</v>
      </c>
      <c r="K741" s="98" t="s">
        <v>1285</v>
      </c>
      <c r="M741" s="99" t="s">
        <v>1286</v>
      </c>
      <c r="N741" s="90" t="s">
        <v>57</v>
      </c>
      <c r="O741" s="90" t="s">
        <v>50</v>
      </c>
      <c r="Q741" s="2" t="s">
        <v>4033</v>
      </c>
    </row>
    <row r="743" spans="1:18" ht="12" x14ac:dyDescent="0.3">
      <c r="K743" s="88" t="s">
        <v>1287</v>
      </c>
      <c r="M743" s="89" t="s">
        <v>1288</v>
      </c>
    </row>
    <row r="744" spans="1:18" ht="14.4" x14ac:dyDescent="0.3">
      <c r="A744" s="85">
        <v>584</v>
      </c>
      <c r="B744" s="74" t="s">
        <v>4034</v>
      </c>
      <c r="C744" s="75" t="str">
        <f>HYPERLINK("https://www.xeno-canto.org/species/Sitta-frontalis")</f>
        <v>https://www.xeno-canto.org/species/Sitta-frontalis</v>
      </c>
      <c r="D744" s="91" t="str">
        <f>HYPERLINK("https://ebird.org/species/vefnut1")</f>
        <v>https://ebird.org/species/vefnut1</v>
      </c>
      <c r="E744" s="120" t="str">
        <f>HYPERLINK("https://en.wikipedia.org/wiki/Velvet-fronted_Nuthatch")</f>
        <v>https://en.wikipedia.org/wiki/Velvet-fronted_Nuthatch</v>
      </c>
      <c r="F744" s="121" t="str">
        <f>HYPERLINK("https://apiv3.iucnredlist.org/api/v3/website/Sitta frontalis")</f>
        <v>https://apiv3.iucnredlist.org/api/v3/website/Sitta frontalis</v>
      </c>
      <c r="G744" s="90">
        <v>50</v>
      </c>
      <c r="H744" s="90">
        <v>305</v>
      </c>
      <c r="J744" s="87" t="s">
        <v>1288</v>
      </c>
      <c r="K744" s="95" t="s">
        <v>1289</v>
      </c>
      <c r="M744" s="93" t="s">
        <v>1290</v>
      </c>
      <c r="N744" s="90" t="s">
        <v>37</v>
      </c>
      <c r="Q744" s="2" t="s">
        <v>4035</v>
      </c>
    </row>
    <row r="745" spans="1:18" ht="14.4" x14ac:dyDescent="0.3">
      <c r="A745" s="85">
        <v>585</v>
      </c>
      <c r="B745" s="76" t="s">
        <v>4036</v>
      </c>
      <c r="C745" s="77" t="str">
        <f>HYPERLINK("https://www.xeno-canto.org/species/Sitta-oenochlamys")</f>
        <v>https://www.xeno-canto.org/species/Sitta-oenochlamys</v>
      </c>
      <c r="D745" s="94" t="str">
        <f>HYPERLINK("https://ebird.org/species/subnut1")</f>
        <v>https://ebird.org/species/subnut1</v>
      </c>
      <c r="E745" s="122" t="str">
        <f>HYPERLINK("https://en.wikipedia.org/wiki/Sulphur-billed_Nuthatch")</f>
        <v>https://en.wikipedia.org/wiki/Sulphur-billed_Nuthatch</v>
      </c>
      <c r="F745" s="123" t="str">
        <f>HYPERLINK("https://apiv3.iucnredlist.org/api/v3/website/Sitta oenochlamys")</f>
        <v>https://apiv3.iucnredlist.org/api/v3/website/Sitta oenochlamys</v>
      </c>
      <c r="G745" s="90">
        <v>50</v>
      </c>
      <c r="H745" s="90">
        <v>307</v>
      </c>
      <c r="J745" s="87" t="s">
        <v>1288</v>
      </c>
      <c r="K745" s="98" t="s">
        <v>1291</v>
      </c>
      <c r="M745" s="99" t="s">
        <v>1292</v>
      </c>
      <c r="N745" s="90" t="s">
        <v>57</v>
      </c>
      <c r="Q745" s="2" t="s">
        <v>4037</v>
      </c>
    </row>
    <row r="747" spans="1:18" ht="12" x14ac:dyDescent="0.3">
      <c r="K747" s="88" t="s">
        <v>5847</v>
      </c>
      <c r="M747" s="89" t="s">
        <v>1293</v>
      </c>
    </row>
    <row r="748" spans="1:18" ht="14.4" x14ac:dyDescent="0.3">
      <c r="A748" s="85">
        <v>586</v>
      </c>
      <c r="B748" s="74" t="s">
        <v>4038</v>
      </c>
      <c r="C748" s="75" t="str">
        <f>HYPERLINK("https://www.xeno-canto.org/species/Aplonis-panayensis")</f>
        <v>https://www.xeno-canto.org/species/Aplonis-panayensis</v>
      </c>
      <c r="D748" s="91" t="str">
        <f>HYPERLINK("https://ebird.org/species/asgsta1")</f>
        <v>https://ebird.org/species/asgsta1</v>
      </c>
      <c r="E748" s="120" t="str">
        <f>HYPERLINK("https://en.wikipedia.org/wiki/Asian_Glossy_Starling")</f>
        <v>https://en.wikipedia.org/wiki/Asian_Glossy_Starling</v>
      </c>
      <c r="F748" s="121" t="str">
        <f>HYPERLINK("https://apiv3.iucnredlist.org/api/v3/website/Aplonis panayensis")</f>
        <v>https://apiv3.iucnredlist.org/api/v3/website/Aplonis panayensis</v>
      </c>
      <c r="G748" s="90">
        <v>65</v>
      </c>
      <c r="H748" s="90">
        <v>313</v>
      </c>
      <c r="J748" s="87" t="s">
        <v>1293</v>
      </c>
      <c r="K748" s="95" t="s">
        <v>1294</v>
      </c>
      <c r="M748" s="93" t="s">
        <v>1295</v>
      </c>
      <c r="N748" s="90" t="s">
        <v>37</v>
      </c>
      <c r="Q748" s="2" t="s">
        <v>3314</v>
      </c>
    </row>
    <row r="749" spans="1:18" ht="14.4" x14ac:dyDescent="0.3">
      <c r="A749" s="85">
        <v>587</v>
      </c>
      <c r="B749" s="76" t="s">
        <v>4039</v>
      </c>
      <c r="C749" s="77" t="str">
        <f>HYPERLINK("https://www.xeno-canto.org/species/Aplonis-minor")</f>
        <v>https://www.xeno-canto.org/species/Aplonis-minor</v>
      </c>
      <c r="D749" s="94" t="str">
        <f>HYPERLINK("https://ebird.org/species/shtsta1")</f>
        <v>https://ebird.org/species/shtsta1</v>
      </c>
      <c r="E749" s="122" t="str">
        <f>HYPERLINK("https://en.wikipedia.org/wiki/Short-tailed_Starling")</f>
        <v>https://en.wikipedia.org/wiki/Short-tailed_Starling</v>
      </c>
      <c r="F749" s="123" t="str">
        <f>HYPERLINK("https://apiv3.iucnredlist.org/api/v3/website/Aplonis minor")</f>
        <v>https://apiv3.iucnredlist.org/api/v3/website/Aplonis minor</v>
      </c>
      <c r="G749" s="90">
        <v>65</v>
      </c>
      <c r="H749" s="90">
        <v>313</v>
      </c>
      <c r="J749" s="87" t="s">
        <v>1293</v>
      </c>
      <c r="K749" s="95" t="s">
        <v>1296</v>
      </c>
      <c r="M749" s="93" t="s">
        <v>1297</v>
      </c>
      <c r="N749" s="90" t="s">
        <v>37</v>
      </c>
      <c r="Q749" s="2" t="s">
        <v>3788</v>
      </c>
    </row>
    <row r="750" spans="1:18" ht="14.4" x14ac:dyDescent="0.3">
      <c r="A750" s="85">
        <v>588</v>
      </c>
      <c r="B750" s="76" t="s">
        <v>5175</v>
      </c>
      <c r="C750" s="77" t="str">
        <f>HYPERLINK("https://www.xeno-canto.org/species/Goodfellowia-miranda")</f>
        <v>https://www.xeno-canto.org/species/Goodfellowia-miranda</v>
      </c>
      <c r="D750" s="94" t="str">
        <f>HYPERLINK("https://ebird.org/species/apomyn2")</f>
        <v>https://ebird.org/species/apomyn2</v>
      </c>
      <c r="E750" s="122" t="str">
        <f>HYPERLINK("https://en.wikipedia.org/wiki/Apo_Myna")</f>
        <v>https://en.wikipedia.org/wiki/Apo_Myna</v>
      </c>
      <c r="F750" s="123" t="str">
        <f>HYPERLINK("https://apiv3.iucnredlist.org/api/v3/website/Goodfellowia miranda")</f>
        <v>https://apiv3.iucnredlist.org/api/v3/website/Goodfellowia miranda</v>
      </c>
      <c r="G750" s="90">
        <v>66</v>
      </c>
      <c r="H750" s="90">
        <v>311</v>
      </c>
      <c r="J750" s="87" t="s">
        <v>1293</v>
      </c>
      <c r="K750" s="98" t="s">
        <v>1298</v>
      </c>
      <c r="M750" s="99" t="s">
        <v>2156</v>
      </c>
      <c r="N750" s="90" t="s">
        <v>57</v>
      </c>
      <c r="O750" s="90" t="s">
        <v>50</v>
      </c>
      <c r="P750" s="90" t="s">
        <v>38</v>
      </c>
      <c r="Q750" s="2" t="s">
        <v>3788</v>
      </c>
    </row>
    <row r="751" spans="1:18" ht="14.4" x14ac:dyDescent="0.3">
      <c r="A751" s="85">
        <v>589</v>
      </c>
      <c r="B751" s="76" t="s">
        <v>4040</v>
      </c>
      <c r="C751" s="77" t="str">
        <f>HYPERLINK("https://www.xeno-canto.org/species/Sarcops-calvus")</f>
        <v>https://www.xeno-canto.org/species/Sarcops-calvus</v>
      </c>
      <c r="D751" s="94" t="str">
        <f>HYPERLINK("https://ebird.org/species/coleto1")</f>
        <v>https://ebird.org/species/coleto1</v>
      </c>
      <c r="E751" s="122" t="str">
        <f>HYPERLINK("https://en.wikipedia.org/wiki/Coleto")</f>
        <v>https://en.wikipedia.org/wiki/Coleto</v>
      </c>
      <c r="F751" s="123" t="str">
        <f>HYPERLINK("https://apiv3.iucnredlist.org/api/v3/website/Sarcops calvus")</f>
        <v>https://apiv3.iucnredlist.org/api/v3/website/Sarcops calvus</v>
      </c>
      <c r="G751" s="90">
        <v>66</v>
      </c>
      <c r="H751" s="90">
        <v>313</v>
      </c>
      <c r="J751" s="87" t="s">
        <v>1293</v>
      </c>
      <c r="K751" s="95" t="s">
        <v>1299</v>
      </c>
      <c r="M751" s="93" t="s">
        <v>1300</v>
      </c>
      <c r="N751" s="90" t="s">
        <v>253</v>
      </c>
      <c r="Q751" s="2" t="s">
        <v>3142</v>
      </c>
      <c r="R751" s="2" t="s">
        <v>1301</v>
      </c>
    </row>
    <row r="752" spans="1:18" ht="14.4" x14ac:dyDescent="0.3">
      <c r="A752" s="85">
        <v>590</v>
      </c>
      <c r="B752" s="76" t="s">
        <v>4041</v>
      </c>
      <c r="C752" s="77" t="str">
        <f>HYPERLINK("https://www.xeno-canto.org/species/Gracula-religiosa")</f>
        <v>https://www.xeno-canto.org/species/Gracula-religiosa</v>
      </c>
      <c r="D752" s="94" t="str">
        <f>HYPERLINK("https://ebird.org/species/hilmyn")</f>
        <v>https://ebird.org/species/hilmyn</v>
      </c>
      <c r="E752" s="122" t="str">
        <f>HYPERLINK("https://en.wikipedia.org/wiki/Common_Hill_Myna")</f>
        <v>https://en.wikipedia.org/wiki/Common_Hill_Myna</v>
      </c>
      <c r="F752" s="123" t="str">
        <f>HYPERLINK("https://apiv3.iucnredlist.org/api/v3/website/Gracula religiosa")</f>
        <v>https://apiv3.iucnredlist.org/api/v3/website/Gracula religiosa</v>
      </c>
      <c r="G752" s="90">
        <v>66</v>
      </c>
      <c r="H752" s="90">
        <v>313</v>
      </c>
      <c r="J752" s="87" t="s">
        <v>1293</v>
      </c>
      <c r="K752" s="95" t="s">
        <v>1302</v>
      </c>
      <c r="M752" s="93" t="s">
        <v>1303</v>
      </c>
      <c r="N752" s="90" t="s">
        <v>37</v>
      </c>
      <c r="P752" s="90" t="s">
        <v>38</v>
      </c>
      <c r="Q752" s="2" t="s">
        <v>4042</v>
      </c>
    </row>
    <row r="753" spans="1:18" ht="20.399999999999999" x14ac:dyDescent="0.3">
      <c r="A753" s="85">
        <v>591</v>
      </c>
      <c r="B753" s="76" t="s">
        <v>4043</v>
      </c>
      <c r="C753" s="77" t="str">
        <f>HYPERLINK("https://www.xeno-canto.org/species/Acridotheres-cristatellus")</f>
        <v>https://www.xeno-canto.org/species/Acridotheres-cristatellus</v>
      </c>
      <c r="D753" s="94" t="str">
        <f>HYPERLINK("https://ebird.org/species/cremyn")</f>
        <v>https://ebird.org/species/cremyn</v>
      </c>
      <c r="E753" s="122" t="str">
        <f>HYPERLINK("https://en.wikipedia.org/wiki/Crested_Myna")</f>
        <v>https://en.wikipedia.org/wiki/Crested_Myna</v>
      </c>
      <c r="F753" s="123" t="str">
        <f>HYPERLINK("https://apiv3.iucnredlist.org/api/v3/website/Acridotheres cristatellus")</f>
        <v>https://apiv3.iucnredlist.org/api/v3/website/Acridotheres cristatellus</v>
      </c>
      <c r="G753" s="90">
        <v>66</v>
      </c>
      <c r="H753" s="90">
        <v>309</v>
      </c>
      <c r="J753" s="87" t="s">
        <v>1293</v>
      </c>
      <c r="K753" s="100" t="s">
        <v>1304</v>
      </c>
      <c r="M753" s="101" t="s">
        <v>1305</v>
      </c>
      <c r="N753" s="90" t="s">
        <v>42</v>
      </c>
      <c r="Q753" s="2" t="s">
        <v>4044</v>
      </c>
      <c r="R753" s="2" t="s">
        <v>1306</v>
      </c>
    </row>
    <row r="754" spans="1:18" ht="20.399999999999999" x14ac:dyDescent="0.3">
      <c r="A754" s="85">
        <v>592</v>
      </c>
      <c r="B754" s="76" t="s">
        <v>4045</v>
      </c>
      <c r="C754" s="77" t="str">
        <f>HYPERLINK("https://www.xeno-canto.org/species/Acridotheres-tristis")</f>
        <v>https://www.xeno-canto.org/species/Acridotheres-tristis</v>
      </c>
      <c r="D754" s="94" t="str">
        <f>HYPERLINK("https://ebird.org/species/commyn")</f>
        <v>https://ebird.org/species/commyn</v>
      </c>
      <c r="E754" s="122" t="str">
        <f>HYPERLINK("https://en.wikipedia.org/wiki/Common_Myna")</f>
        <v>https://en.wikipedia.org/wiki/Common_Myna</v>
      </c>
      <c r="F754" s="123" t="str">
        <f>HYPERLINK("https://apiv3.iucnredlist.org/api/v3/website/Acridotheres tristis")</f>
        <v>https://apiv3.iucnredlist.org/api/v3/website/Acridotheres tristis</v>
      </c>
      <c r="H754" s="90">
        <v>309</v>
      </c>
      <c r="J754" s="87" t="s">
        <v>1293</v>
      </c>
      <c r="K754" s="92" t="s">
        <v>1307</v>
      </c>
      <c r="M754" s="93" t="s">
        <v>1308</v>
      </c>
      <c r="N754" s="90" t="s">
        <v>49</v>
      </c>
      <c r="Q754" s="2" t="s">
        <v>4046</v>
      </c>
      <c r="R754" s="2" t="s">
        <v>8572</v>
      </c>
    </row>
    <row r="755" spans="1:18" ht="20.399999999999999" x14ac:dyDescent="0.3">
      <c r="A755" s="85">
        <v>593</v>
      </c>
      <c r="B755" s="76" t="s">
        <v>4047</v>
      </c>
      <c r="C755" s="77" t="str">
        <f>HYPERLINK("https://www.xeno-canto.org/species/Spodiopsar-sericeus")</f>
        <v>https://www.xeno-canto.org/species/Spodiopsar-sericeus</v>
      </c>
      <c r="D755" s="94" t="str">
        <f>HYPERLINK("https://ebird.org/species/rebsta1")</f>
        <v>https://ebird.org/species/rebsta1</v>
      </c>
      <c r="E755" s="122" t="str">
        <f>HYPERLINK("https://en.wikipedia.org/wiki/Red-billed_Starling")</f>
        <v>https://en.wikipedia.org/wiki/Red-billed_Starling</v>
      </c>
      <c r="F755" s="123" t="str">
        <f>HYPERLINK("https://apiv3.iucnredlist.org/api/v3/website/Spodiopsar sericeus")</f>
        <v>https://apiv3.iucnredlist.org/api/v3/website/Spodiopsar sericeus</v>
      </c>
      <c r="G755" s="90">
        <v>66</v>
      </c>
      <c r="H755" s="90">
        <v>309</v>
      </c>
      <c r="J755" s="87" t="s">
        <v>1293</v>
      </c>
      <c r="K755" s="95" t="s">
        <v>1309</v>
      </c>
      <c r="M755" s="93" t="s">
        <v>1310</v>
      </c>
      <c r="N755" s="90" t="s">
        <v>89</v>
      </c>
      <c r="Q755" s="2" t="s">
        <v>4048</v>
      </c>
      <c r="R755" s="2" t="s">
        <v>6450</v>
      </c>
    </row>
    <row r="756" spans="1:18" ht="20.399999999999999" x14ac:dyDescent="0.3">
      <c r="A756" s="85">
        <v>594</v>
      </c>
      <c r="B756" s="76" t="s">
        <v>4049</v>
      </c>
      <c r="C756" s="77" t="str">
        <f>HYPERLINK("https://www.xeno-canto.org/species/Spodiopsar-cineraceus")</f>
        <v>https://www.xeno-canto.org/species/Spodiopsar-cineraceus</v>
      </c>
      <c r="D756" s="94" t="str">
        <f>HYPERLINK("https://ebird.org/species/whcsta1")</f>
        <v>https://ebird.org/species/whcsta1</v>
      </c>
      <c r="E756" s="122" t="str">
        <f>HYPERLINK("https://en.wikipedia.org/wiki/White-cheeked_Starling")</f>
        <v>https://en.wikipedia.org/wiki/White-cheeked_Starling</v>
      </c>
      <c r="F756" s="123" t="str">
        <f>HYPERLINK("https://apiv3.iucnredlist.org/api/v3/website/Spodiopsar cineraceus")</f>
        <v>https://apiv3.iucnredlist.org/api/v3/website/Spodiopsar cineraceus</v>
      </c>
      <c r="G756" s="90">
        <v>66</v>
      </c>
      <c r="H756" s="90">
        <v>309</v>
      </c>
      <c r="J756" s="87" t="s">
        <v>1293</v>
      </c>
      <c r="K756" s="92" t="s">
        <v>1311</v>
      </c>
      <c r="M756" s="93" t="s">
        <v>1312</v>
      </c>
      <c r="N756" s="90" t="s">
        <v>49</v>
      </c>
      <c r="Q756" s="2" t="s">
        <v>3728</v>
      </c>
      <c r="R756" s="2" t="s">
        <v>6586</v>
      </c>
    </row>
    <row r="757" spans="1:18" ht="20.399999999999999" x14ac:dyDescent="0.3">
      <c r="A757" s="85">
        <v>595</v>
      </c>
      <c r="B757" s="76" t="s">
        <v>4050</v>
      </c>
      <c r="C757" s="77" t="str">
        <f>HYPERLINK("https://www.xeno-canto.org/species/Agropsar-sturninus")</f>
        <v>https://www.xeno-canto.org/species/Agropsar-sturninus</v>
      </c>
      <c r="D757" s="94" t="str">
        <f>HYPERLINK("https://ebird.org/species/dausta1")</f>
        <v>https://ebird.org/species/dausta1</v>
      </c>
      <c r="E757" s="122" t="str">
        <f>HYPERLINK("https://en.wikipedia.org/wiki/Daurian_Starling")</f>
        <v>https://en.wikipedia.org/wiki/Daurian_Starling</v>
      </c>
      <c r="F757" s="123" t="str">
        <f>HYPERLINK("https://apiv3.iucnredlist.org/api/v3/website/Agropsar sturninus")</f>
        <v>https://apiv3.iucnredlist.org/api/v3/website/Agropsar sturninus</v>
      </c>
      <c r="H757" s="90">
        <v>307</v>
      </c>
      <c r="J757" s="87" t="s">
        <v>1293</v>
      </c>
      <c r="K757" s="92" t="s">
        <v>1313</v>
      </c>
      <c r="L757" s="86" t="s">
        <v>2163</v>
      </c>
      <c r="M757" s="93" t="s">
        <v>1314</v>
      </c>
      <c r="N757" s="90" t="s">
        <v>49</v>
      </c>
      <c r="Q757" s="2" t="s">
        <v>4051</v>
      </c>
      <c r="R757" s="2" t="s">
        <v>6451</v>
      </c>
    </row>
    <row r="758" spans="1:18" ht="14.4" x14ac:dyDescent="0.3">
      <c r="A758" s="85">
        <v>596</v>
      </c>
      <c r="B758" s="76" t="s">
        <v>4052</v>
      </c>
      <c r="C758" s="77" t="str">
        <f>HYPERLINK("https://www.xeno-canto.org/species/Agropsar-philippensis")</f>
        <v>https://www.xeno-canto.org/species/Agropsar-philippensis</v>
      </c>
      <c r="D758" s="94" t="str">
        <f>HYPERLINK("https://ebird.org/species/chcsta1")</f>
        <v>https://ebird.org/species/chcsta1</v>
      </c>
      <c r="E758" s="122" t="str">
        <f>HYPERLINK("https://en.wikipedia.org/wiki/Chestnut-cheeked_Starling")</f>
        <v>https://en.wikipedia.org/wiki/Chestnut-cheeked_Starling</v>
      </c>
      <c r="F758" s="123" t="str">
        <f>HYPERLINK("https://apiv3.iucnredlist.org/api/v3/website/Agropsar philippensis")</f>
        <v>https://apiv3.iucnredlist.org/api/v3/website/Agropsar philippensis</v>
      </c>
      <c r="G758" s="90">
        <v>66</v>
      </c>
      <c r="H758" s="90">
        <v>309</v>
      </c>
      <c r="J758" s="87" t="s">
        <v>1293</v>
      </c>
      <c r="K758" s="95" t="s">
        <v>1315</v>
      </c>
      <c r="M758" s="93" t="s">
        <v>1316</v>
      </c>
      <c r="N758" s="90" t="s">
        <v>89</v>
      </c>
      <c r="Q758" s="2" t="s">
        <v>4053</v>
      </c>
    </row>
    <row r="759" spans="1:18" ht="14.4" x14ac:dyDescent="0.3">
      <c r="A759" s="85">
        <v>597</v>
      </c>
      <c r="B759" s="76" t="s">
        <v>4054</v>
      </c>
      <c r="C759" s="77" t="str">
        <f>HYPERLINK("https://www.xeno-canto.org/species/Sturnia-sinensis")</f>
        <v>https://www.xeno-canto.org/species/Sturnia-sinensis</v>
      </c>
      <c r="D759" s="94" t="str">
        <f>HYPERLINK("https://ebird.org/species/whssta2")</f>
        <v>https://ebird.org/species/whssta2</v>
      </c>
      <c r="E759" s="122" t="str">
        <f>HYPERLINK("https://en.wikipedia.org/wiki/White-shouldered_Starling")</f>
        <v>https://en.wikipedia.org/wiki/White-shouldered_Starling</v>
      </c>
      <c r="F759" s="123" t="str">
        <f>HYPERLINK("https://apiv3.iucnredlist.org/api/v3/website/Sturnia sinensis")</f>
        <v>https://apiv3.iucnredlist.org/api/v3/website/Sturnia sinensis</v>
      </c>
      <c r="G759" s="90">
        <v>66</v>
      </c>
      <c r="H759" s="90">
        <v>309</v>
      </c>
      <c r="J759" s="87" t="s">
        <v>1293</v>
      </c>
      <c r="K759" s="95" t="s">
        <v>1317</v>
      </c>
      <c r="M759" s="93" t="s">
        <v>1318</v>
      </c>
      <c r="N759" s="90" t="s">
        <v>89</v>
      </c>
      <c r="Q759" s="2" t="s">
        <v>4055</v>
      </c>
    </row>
    <row r="760" spans="1:18" ht="20.399999999999999" x14ac:dyDescent="0.3">
      <c r="A760" s="85">
        <v>598</v>
      </c>
      <c r="B760" s="76" t="s">
        <v>4056</v>
      </c>
      <c r="C760" s="77" t="str">
        <f>HYPERLINK("https://www.xeno-canto.org/species/Pastor-roseus")</f>
        <v>https://www.xeno-canto.org/species/Pastor-roseus</v>
      </c>
      <c r="D760" s="94" t="str">
        <f>HYPERLINK("https://ebird.org/species/rossta2")</f>
        <v>https://ebird.org/species/rossta2</v>
      </c>
      <c r="E760" s="122" t="str">
        <f>HYPERLINK("https://en.wikipedia.org/wiki/Rosy_Starling")</f>
        <v>https://en.wikipedia.org/wiki/Rosy_Starling</v>
      </c>
      <c r="F760" s="123" t="str">
        <f>HYPERLINK("https://apiv3.iucnredlist.org/api/v3/website/Pastor roseus")</f>
        <v>https://apiv3.iucnredlist.org/api/v3/website/Pastor roseus</v>
      </c>
      <c r="H760" s="90">
        <v>307</v>
      </c>
      <c r="J760" s="87" t="s">
        <v>1293</v>
      </c>
      <c r="K760" s="92" t="s">
        <v>1320</v>
      </c>
      <c r="M760" s="93" t="s">
        <v>1321</v>
      </c>
      <c r="N760" s="90" t="s">
        <v>49</v>
      </c>
      <c r="Q760" s="2" t="s">
        <v>4057</v>
      </c>
      <c r="R760" s="2" t="s">
        <v>6452</v>
      </c>
    </row>
    <row r="761" spans="1:18" ht="20.399999999999999" x14ac:dyDescent="0.3">
      <c r="A761" s="85">
        <v>599</v>
      </c>
      <c r="B761" s="76" t="s">
        <v>4058</v>
      </c>
      <c r="C761" s="77" t="str">
        <f>HYPERLINK("https://www.xeno-canto.org/species/Sturnus-vulgaris")</f>
        <v>https://www.xeno-canto.org/species/Sturnus-vulgaris</v>
      </c>
      <c r="D761" s="94" t="str">
        <f>HYPERLINK("https://ebird.org/species/eursta")</f>
        <v>https://ebird.org/species/eursta</v>
      </c>
      <c r="E761" s="122" t="str">
        <f>HYPERLINK("https://en.wikipedia.org/wiki/Common_Starling")</f>
        <v>https://en.wikipedia.org/wiki/Common_Starling</v>
      </c>
      <c r="F761" s="123" t="str">
        <f>HYPERLINK("https://apiv3.iucnredlist.org/api/v3/website/Sturnus vulgaris")</f>
        <v>https://apiv3.iucnredlist.org/api/v3/website/Sturnus vulgaris</v>
      </c>
      <c r="H761" s="90">
        <v>307</v>
      </c>
      <c r="J761" s="87" t="s">
        <v>1293</v>
      </c>
      <c r="K761" s="92" t="s">
        <v>1322</v>
      </c>
      <c r="M761" s="93" t="s">
        <v>1323</v>
      </c>
      <c r="N761" s="90" t="s">
        <v>49</v>
      </c>
      <c r="Q761" s="2" t="s">
        <v>4059</v>
      </c>
      <c r="R761" s="2" t="s">
        <v>6587</v>
      </c>
    </row>
    <row r="762" spans="1:18" ht="20.399999999999999" x14ac:dyDescent="0.3">
      <c r="A762" s="85">
        <v>600</v>
      </c>
      <c r="B762" s="76" t="s">
        <v>4060</v>
      </c>
      <c r="C762" s="77" t="str">
        <f>HYPERLINK("https://www.xeno-canto.org/species/Rhabdornis-mystacalis")</f>
        <v>https://www.xeno-canto.org/species/Rhabdornis-mystacalis</v>
      </c>
      <c r="D762" s="94" t="str">
        <f>HYPERLINK("https://ebird.org/species/stsrha2")</f>
        <v>https://ebird.org/species/stsrha2</v>
      </c>
      <c r="E762" s="122" t="str">
        <f>HYPERLINK("https://en.wikipedia.org/wiki/Stripe-headed_Rhabdornis")</f>
        <v>https://en.wikipedia.org/wiki/Stripe-headed_Rhabdornis</v>
      </c>
      <c r="F762" s="123" t="str">
        <f>HYPERLINK("https://apiv3.iucnredlist.org/api/v3/website/Rhabdornis mystacalis")</f>
        <v>https://apiv3.iucnredlist.org/api/v3/website/Rhabdornis mystacalis</v>
      </c>
      <c r="G762" s="90">
        <v>50</v>
      </c>
      <c r="H762" s="90">
        <v>311</v>
      </c>
      <c r="J762" s="87" t="s">
        <v>1293</v>
      </c>
      <c r="K762" s="98" t="s">
        <v>1324</v>
      </c>
      <c r="M762" s="99" t="s">
        <v>1325</v>
      </c>
      <c r="N762" s="90" t="s">
        <v>57</v>
      </c>
      <c r="Q762" s="2" t="s">
        <v>4061</v>
      </c>
    </row>
    <row r="763" spans="1:18" ht="14.4" x14ac:dyDescent="0.3">
      <c r="A763" s="85">
        <v>601</v>
      </c>
      <c r="B763" s="76" t="s">
        <v>4062</v>
      </c>
      <c r="C763" s="77" t="str">
        <f>HYPERLINK("https://www.xeno-canto.org/species/Rhabdornis-inornatus")</f>
        <v>https://www.xeno-canto.org/species/Rhabdornis-inornatus</v>
      </c>
      <c r="D763" s="94" t="str">
        <f>HYPERLINK("https://ebird.org/species/stbrha1")</f>
        <v>https://ebird.org/species/stbrha1</v>
      </c>
      <c r="E763" s="122" t="str">
        <f>HYPERLINK("https://en.wikipedia.org/wiki/Stripe-breasted_Rhabdornis")</f>
        <v>https://en.wikipedia.org/wiki/Stripe-breasted_Rhabdornis</v>
      </c>
      <c r="F763" s="123" t="str">
        <f>HYPERLINK("https://apiv3.iucnredlist.org/api/v3/website/Rhabdornis inornatus")</f>
        <v>https://apiv3.iucnredlist.org/api/v3/website/Rhabdornis inornatus</v>
      </c>
      <c r="G763" s="90">
        <v>50</v>
      </c>
      <c r="H763" s="90">
        <v>311</v>
      </c>
      <c r="J763" s="87" t="s">
        <v>1293</v>
      </c>
      <c r="K763" s="98" t="s">
        <v>1326</v>
      </c>
      <c r="M763" s="99" t="s">
        <v>1327</v>
      </c>
      <c r="N763" s="90" t="s">
        <v>57</v>
      </c>
      <c r="Q763" s="2" t="s">
        <v>5176</v>
      </c>
    </row>
    <row r="764" spans="1:18" ht="14.4" x14ac:dyDescent="0.3">
      <c r="A764" s="85">
        <v>602</v>
      </c>
      <c r="B764" s="76" t="s">
        <v>5177</v>
      </c>
      <c r="C764" s="77" t="str">
        <f>HYPERLINK("https://www.xeno-canto.org/species/Rhabdornis-rabori")</f>
        <v>https://www.xeno-canto.org/species/Rhabdornis-rabori</v>
      </c>
      <c r="D764" s="94" t="str">
        <f>HYPERLINK("https://ebird.org/species/visrha1")</f>
        <v>https://ebird.org/species/visrha1</v>
      </c>
      <c r="E764" s="122" t="str">
        <f>HYPERLINK("https://en.wikipedia.org/wiki/Visayan_Rhabdornis")</f>
        <v>https://en.wikipedia.org/wiki/Visayan_Rhabdornis</v>
      </c>
      <c r="F764" s="123" t="str">
        <f>HYPERLINK("https://apiv3.iucnredlist.org/api/v3/website/Rhabdornis rabori")</f>
        <v>https://apiv3.iucnredlist.org/api/v3/website/Rhabdornis rabori</v>
      </c>
      <c r="H764" s="90">
        <v>311</v>
      </c>
      <c r="J764" s="87" t="s">
        <v>1293</v>
      </c>
      <c r="K764" s="98" t="s">
        <v>2800</v>
      </c>
      <c r="M764" s="99" t="s">
        <v>2801</v>
      </c>
      <c r="N764" s="90" t="s">
        <v>57</v>
      </c>
      <c r="Q764" s="2" t="s">
        <v>4063</v>
      </c>
    </row>
    <row r="765" spans="1:18" ht="14.4" x14ac:dyDescent="0.3">
      <c r="A765" s="85">
        <v>603</v>
      </c>
      <c r="B765" s="76" t="s">
        <v>4064</v>
      </c>
      <c r="C765" s="77" t="str">
        <f>HYPERLINK("https://www.xeno-canto.org/species/Rhabdornis-grandis")</f>
        <v>https://www.xeno-canto.org/species/Rhabdornis-grandis</v>
      </c>
      <c r="D765" s="94" t="str">
        <f>HYPERLINK("https://ebird.org/species/lobrha1")</f>
        <v>https://ebird.org/species/lobrha1</v>
      </c>
      <c r="E765" s="122" t="str">
        <f>HYPERLINK("https://en.wikipedia.org/wiki/Grand_Rhabdornis")</f>
        <v>https://en.wikipedia.org/wiki/Grand_Rhabdornis</v>
      </c>
      <c r="F765" s="123" t="str">
        <f>HYPERLINK("https://apiv3.iucnredlist.org/api/v3/website/Rhabdornis grandis")</f>
        <v>https://apiv3.iucnredlist.org/api/v3/website/Rhabdornis grandis</v>
      </c>
      <c r="G765" s="90">
        <v>50</v>
      </c>
      <c r="H765" s="90">
        <v>311</v>
      </c>
      <c r="J765" s="87" t="s">
        <v>1293</v>
      </c>
      <c r="K765" s="98" t="s">
        <v>1328</v>
      </c>
      <c r="M765" s="99" t="s">
        <v>1329</v>
      </c>
      <c r="N765" s="90" t="s">
        <v>57</v>
      </c>
      <c r="Q765" s="2" t="s">
        <v>4065</v>
      </c>
      <c r="R765" s="2" t="s">
        <v>9</v>
      </c>
    </row>
    <row r="767" spans="1:18" ht="12" x14ac:dyDescent="0.3">
      <c r="K767" s="88" t="s">
        <v>1330</v>
      </c>
      <c r="M767" s="89" t="s">
        <v>1331</v>
      </c>
    </row>
    <row r="768" spans="1:18" ht="20.399999999999999" x14ac:dyDescent="0.3">
      <c r="A768" s="85">
        <v>604</v>
      </c>
      <c r="B768" s="74" t="s">
        <v>4070</v>
      </c>
      <c r="C768" s="75" t="str">
        <f>HYPERLINK("https://www.xeno-canto.org/species/Zoothera-andromedae")</f>
        <v>https://www.xeno-canto.org/species/Zoothera-andromedae</v>
      </c>
      <c r="D768" s="91" t="str">
        <f>HYPERLINK("https://ebird.org/species/sunthr1")</f>
        <v>https://ebird.org/species/sunthr1</v>
      </c>
      <c r="E768" s="120" t="str">
        <f>HYPERLINK("https://en.wikipedia.org/wiki/Sunda_Thrush")</f>
        <v>https://en.wikipedia.org/wiki/Sunda_Thrush</v>
      </c>
      <c r="F768" s="121" t="str">
        <f>HYPERLINK("https://apiv3.iucnredlist.org/api/v3/website/Zoothera andromedae")</f>
        <v>https://apiv3.iucnredlist.org/api/v3/website/Zoothera andromedae</v>
      </c>
      <c r="G768" s="90">
        <v>55</v>
      </c>
      <c r="H768" s="90">
        <v>313</v>
      </c>
      <c r="J768" s="87" t="s">
        <v>1331</v>
      </c>
      <c r="K768" s="95" t="s">
        <v>1338</v>
      </c>
      <c r="M768" s="93" t="s">
        <v>1339</v>
      </c>
      <c r="N768" s="90" t="s">
        <v>37</v>
      </c>
      <c r="Q768" s="2" t="s">
        <v>4071</v>
      </c>
    </row>
    <row r="769" spans="1:18" ht="20.399999999999999" x14ac:dyDescent="0.3">
      <c r="A769" s="85">
        <v>605</v>
      </c>
      <c r="B769" s="76" t="s">
        <v>4072</v>
      </c>
      <c r="C769" s="77" t="str">
        <f>HYPERLINK("https://www.xeno-canto.org/species/Zoothera-aurea")</f>
        <v>https://www.xeno-canto.org/species/Zoothera-aurea</v>
      </c>
      <c r="D769" s="94" t="str">
        <f>HYPERLINK("https://ebird.org/species/scathr2")</f>
        <v>https://ebird.org/species/scathr2</v>
      </c>
      <c r="E769" s="122" t="str">
        <f>HYPERLINK("https://en.wikipedia.org/wiki/White's_Thrush")</f>
        <v>https://en.wikipedia.org/wiki/White's_Thrush</v>
      </c>
      <c r="F769" s="123" t="str">
        <f>HYPERLINK("https://apiv3.iucnredlist.org/api/v3/website/Zoothera aurea")</f>
        <v>https://apiv3.iucnredlist.org/api/v3/website/Zoothera aurea</v>
      </c>
      <c r="G769" s="90">
        <v>55</v>
      </c>
      <c r="H769" s="90">
        <v>313</v>
      </c>
      <c r="J769" s="87" t="s">
        <v>1331</v>
      </c>
      <c r="K769" s="95" t="s">
        <v>1340</v>
      </c>
      <c r="M769" s="93" t="s">
        <v>1341</v>
      </c>
      <c r="N769" s="90" t="s">
        <v>89</v>
      </c>
      <c r="Q769" s="2" t="s">
        <v>4073</v>
      </c>
    </row>
    <row r="770" spans="1:18" ht="20.399999999999999" x14ac:dyDescent="0.3">
      <c r="A770" s="85">
        <v>606</v>
      </c>
      <c r="B770" s="76" t="s">
        <v>4069</v>
      </c>
      <c r="C770" s="77" t="str">
        <f>HYPERLINK("https://www.xeno-canto.org/species/Geokichla-sibirica")</f>
        <v>https://www.xeno-canto.org/species/Geokichla-sibirica</v>
      </c>
      <c r="D770" s="94" t="str">
        <f>HYPERLINK("https://ebird.org/species/sibthr1")</f>
        <v>https://ebird.org/species/sibthr1</v>
      </c>
      <c r="E770" s="122" t="str">
        <f>HYPERLINK("https://en.wikipedia.org/wiki/Siberian_Thrush")</f>
        <v>https://en.wikipedia.org/wiki/Siberian_Thrush</v>
      </c>
      <c r="F770" s="123" t="str">
        <f>HYPERLINK("https://apiv3.iucnredlist.org/api/v3/website/Geokichla sibirica")</f>
        <v>https://apiv3.iucnredlist.org/api/v3/website/Geokichla sibirica</v>
      </c>
      <c r="H770" s="90">
        <v>315</v>
      </c>
      <c r="J770" s="87" t="s">
        <v>1331</v>
      </c>
      <c r="K770" s="92" t="s">
        <v>1336</v>
      </c>
      <c r="M770" s="93" t="s">
        <v>1337</v>
      </c>
      <c r="N770" s="90" t="s">
        <v>49</v>
      </c>
      <c r="Q770" s="2" t="s">
        <v>3086</v>
      </c>
      <c r="R770" s="2" t="s">
        <v>6453</v>
      </c>
    </row>
    <row r="771" spans="1:18" ht="14.4" x14ac:dyDescent="0.3">
      <c r="A771" s="85">
        <v>607</v>
      </c>
      <c r="B771" s="76" t="s">
        <v>4066</v>
      </c>
      <c r="C771" s="77" t="str">
        <f>HYPERLINK("https://www.xeno-canto.org/species/Geokichla-interpres")</f>
        <v>https://www.xeno-canto.org/species/Geokichla-interpres</v>
      </c>
      <c r="D771" s="94" t="str">
        <f>HYPERLINK("https://ebird.org/species/chcthr1")</f>
        <v>https://ebird.org/species/chcthr1</v>
      </c>
      <c r="E771" s="122" t="str">
        <f>HYPERLINK("https://en.wikipedia.org/wiki/Chestnut-capped_Thrush")</f>
        <v>https://en.wikipedia.org/wiki/Chestnut-capped_Thrush</v>
      </c>
      <c r="F771" s="123" t="str">
        <f>HYPERLINK("https://apiv3.iucnredlist.org/api/v3/website/Geokichla interpres")</f>
        <v>https://apiv3.iucnredlist.org/api/v3/website/Geokichla interpres</v>
      </c>
      <c r="G771" s="90">
        <v>55</v>
      </c>
      <c r="H771" s="90">
        <v>315</v>
      </c>
      <c r="J771" s="87" t="s">
        <v>1331</v>
      </c>
      <c r="K771" s="95" t="s">
        <v>1332</v>
      </c>
      <c r="M771" s="93" t="s">
        <v>1333</v>
      </c>
      <c r="N771" s="90" t="s">
        <v>37</v>
      </c>
      <c r="O771" s="90" t="s">
        <v>50</v>
      </c>
      <c r="Q771" s="2" t="s">
        <v>3706</v>
      </c>
    </row>
    <row r="772" spans="1:18" ht="14.4" x14ac:dyDescent="0.3">
      <c r="A772" s="85">
        <v>608</v>
      </c>
      <c r="B772" s="76" t="s">
        <v>4067</v>
      </c>
      <c r="C772" s="77" t="str">
        <f>HYPERLINK("https://www.xeno-canto.org/species/Geokichla-cinerea")</f>
        <v>https://www.xeno-canto.org/species/Geokichla-cinerea</v>
      </c>
      <c r="D772" s="94" t="str">
        <f>HYPERLINK("https://ebird.org/species/ashthr1")</f>
        <v>https://ebird.org/species/ashthr1</v>
      </c>
      <c r="E772" s="122" t="str">
        <f>HYPERLINK("https://en.wikipedia.org/wiki/Ashy_Thrush")</f>
        <v>https://en.wikipedia.org/wiki/Ashy_Thrush</v>
      </c>
      <c r="F772" s="123" t="str">
        <f>HYPERLINK("https://apiv3.iucnredlist.org/api/v3/website/Geokichla cinerea")</f>
        <v>https://apiv3.iucnredlist.org/api/v3/website/Geokichla cinerea</v>
      </c>
      <c r="G772" s="90">
        <v>55</v>
      </c>
      <c r="H772" s="90">
        <v>315</v>
      </c>
      <c r="J772" s="87" t="s">
        <v>1331</v>
      </c>
      <c r="K772" s="98" t="s">
        <v>1334</v>
      </c>
      <c r="M772" s="99" t="s">
        <v>1335</v>
      </c>
      <c r="N772" s="90" t="s">
        <v>57</v>
      </c>
      <c r="O772" s="90" t="s">
        <v>38</v>
      </c>
      <c r="P772" s="90" t="s">
        <v>38</v>
      </c>
      <c r="Q772" s="2" t="s">
        <v>4068</v>
      </c>
    </row>
    <row r="773" spans="1:18" ht="20.399999999999999" x14ac:dyDescent="0.3">
      <c r="A773" s="85">
        <v>609</v>
      </c>
      <c r="B773" s="76" t="s">
        <v>4075</v>
      </c>
      <c r="C773" s="77" t="str">
        <f>HYPERLINK("https://www.xeno-canto.org/species/Turdus-mandarinus")</f>
        <v>https://www.xeno-canto.org/species/Turdus-mandarinus</v>
      </c>
      <c r="D773" s="94" t="str">
        <f>HYPERLINK("https://ebird.org/species/chibla1")</f>
        <v>https://ebird.org/species/chibla1</v>
      </c>
      <c r="E773" s="122" t="str">
        <f>HYPERLINK("https://en.wikipedia.org/wiki/Chinese_Blackbird")</f>
        <v>https://en.wikipedia.org/wiki/Chinese_Blackbird</v>
      </c>
      <c r="F773" s="123" t="str">
        <f>HYPERLINK("https://apiv3.iucnredlist.org/api/v3/website/Turdus mandarinus")</f>
        <v>https://apiv3.iucnredlist.org/api/v3/website/Turdus mandarinus</v>
      </c>
      <c r="H773" s="90">
        <v>315</v>
      </c>
      <c r="J773" s="87" t="s">
        <v>1331</v>
      </c>
      <c r="K773" s="92" t="s">
        <v>1344</v>
      </c>
      <c r="M773" s="93" t="s">
        <v>1345</v>
      </c>
      <c r="N773" s="90" t="s">
        <v>49</v>
      </c>
      <c r="Q773" s="2" t="s">
        <v>4076</v>
      </c>
      <c r="R773" s="2" t="s">
        <v>6588</v>
      </c>
    </row>
    <row r="774" spans="1:18" ht="20.399999999999999" x14ac:dyDescent="0.3">
      <c r="A774" s="85">
        <v>610</v>
      </c>
      <c r="B774" s="76" t="s">
        <v>6589</v>
      </c>
      <c r="C774" s="77" t="str">
        <f>HYPERLINK("https://www.xeno-canto.org/species/Turdus-cardis")</f>
        <v>https://www.xeno-canto.org/species/Turdus-cardis</v>
      </c>
      <c r="D774" s="94" t="str">
        <f>HYPERLINK("https://ebird.org/species/japthr1")</f>
        <v>https://ebird.org/species/japthr1</v>
      </c>
      <c r="E774" s="122" t="str">
        <f>HYPERLINK("https://en.wikipedia.org/wiki/Japanese_Thrush")</f>
        <v>https://en.wikipedia.org/wiki/Japanese_Thrush</v>
      </c>
      <c r="F774" s="123" t="str">
        <f>HYPERLINK("https://apiv3.iucnredlist.org/api/v3/website/Turdus cardis")</f>
        <v>https://apiv3.iucnredlist.org/api/v3/website/Turdus cardis</v>
      </c>
      <c r="J774" s="87" t="s">
        <v>1331</v>
      </c>
      <c r="K774" s="96" t="s">
        <v>6590</v>
      </c>
      <c r="M774" s="97" t="s">
        <v>6591</v>
      </c>
      <c r="N774" s="90" t="s">
        <v>49</v>
      </c>
      <c r="R774" s="2" t="s">
        <v>8573</v>
      </c>
    </row>
    <row r="775" spans="1:18" ht="20.399999999999999" x14ac:dyDescent="0.3">
      <c r="A775" s="85">
        <v>611</v>
      </c>
      <c r="B775" s="76" t="s">
        <v>4074</v>
      </c>
      <c r="C775" s="77" t="str">
        <f>HYPERLINK("https://www.xeno-canto.org/species/Turdus-hortulorum")</f>
        <v>https://www.xeno-canto.org/species/Turdus-hortulorum</v>
      </c>
      <c r="D775" s="94" t="str">
        <f>HYPERLINK("https://ebird.org/species/gybthr1")</f>
        <v>https://ebird.org/species/gybthr1</v>
      </c>
      <c r="E775" s="122" t="str">
        <f>HYPERLINK("https://en.wikipedia.org/wiki/Grey-backed_Thrush")</f>
        <v>https://en.wikipedia.org/wiki/Grey-backed_Thrush</v>
      </c>
      <c r="F775" s="123" t="str">
        <f>HYPERLINK("https://apiv3.iucnredlist.org/api/v3/website/Turdus hortulorum")</f>
        <v>https://apiv3.iucnredlist.org/api/v3/website/Turdus hortulorum</v>
      </c>
      <c r="H775" s="90">
        <v>315</v>
      </c>
      <c r="J775" s="87" t="s">
        <v>1331</v>
      </c>
      <c r="K775" s="92" t="s">
        <v>1342</v>
      </c>
      <c r="M775" s="93" t="s">
        <v>1343</v>
      </c>
      <c r="N775" s="90" t="s">
        <v>49</v>
      </c>
      <c r="Q775" s="2" t="s">
        <v>3078</v>
      </c>
      <c r="R775" s="2" t="s">
        <v>6454</v>
      </c>
    </row>
    <row r="776" spans="1:18" ht="14.4" x14ac:dyDescent="0.3">
      <c r="A776" s="85">
        <v>612</v>
      </c>
      <c r="B776" s="76" t="s">
        <v>4079</v>
      </c>
      <c r="C776" s="77" t="str">
        <f>HYPERLINK("https://www.xeno-canto.org/species/Turdus-obscurus")</f>
        <v>https://www.xeno-canto.org/species/Turdus-obscurus</v>
      </c>
      <c r="D776" s="94" t="str">
        <f>HYPERLINK("https://ebird.org/species/eyethr")</f>
        <v>https://ebird.org/species/eyethr</v>
      </c>
      <c r="E776" s="122" t="str">
        <f>HYPERLINK("https://en.wikipedia.org/wiki/Eyebrowed_Thrush")</f>
        <v>https://en.wikipedia.org/wiki/Eyebrowed_Thrush</v>
      </c>
      <c r="F776" s="123" t="str">
        <f>HYPERLINK("https://apiv3.iucnredlist.org/api/v3/website/Turdus obscurus")</f>
        <v>https://apiv3.iucnredlist.org/api/v3/website/Turdus obscurus</v>
      </c>
      <c r="G776" s="90">
        <v>55</v>
      </c>
      <c r="H776" s="90">
        <v>315</v>
      </c>
      <c r="J776" s="87" t="s">
        <v>1331</v>
      </c>
      <c r="K776" s="95" t="s">
        <v>1348</v>
      </c>
      <c r="M776" s="93" t="s">
        <v>1349</v>
      </c>
      <c r="N776" s="90" t="s">
        <v>89</v>
      </c>
      <c r="Q776" s="2" t="s">
        <v>4080</v>
      </c>
    </row>
    <row r="777" spans="1:18" ht="20.399999999999999" x14ac:dyDescent="0.3">
      <c r="A777" s="85">
        <v>613</v>
      </c>
      <c r="B777" s="76" t="s">
        <v>4081</v>
      </c>
      <c r="C777" s="77" t="str">
        <f>HYPERLINK("https://www.xeno-canto.org/species/Turdus-pallidus")</f>
        <v>https://www.xeno-canto.org/species/Turdus-pallidus</v>
      </c>
      <c r="D777" s="94" t="str">
        <f>HYPERLINK("https://ebird.org/species/palthr1")</f>
        <v>https://ebird.org/species/palthr1</v>
      </c>
      <c r="E777" s="122" t="str">
        <f>HYPERLINK("https://en.wikipedia.org/wiki/Pale_Thrush")</f>
        <v>https://en.wikipedia.org/wiki/Pale_Thrush</v>
      </c>
      <c r="F777" s="123" t="str">
        <f>HYPERLINK("https://apiv3.iucnredlist.org/api/v3/website/Turdus pallidus")</f>
        <v>https://apiv3.iucnredlist.org/api/v3/website/Turdus pallidus</v>
      </c>
      <c r="G777" s="90">
        <v>55</v>
      </c>
      <c r="H777" s="90">
        <v>317</v>
      </c>
      <c r="J777" s="87" t="s">
        <v>1331</v>
      </c>
      <c r="K777" s="95" t="s">
        <v>1350</v>
      </c>
      <c r="M777" s="93" t="s">
        <v>1351</v>
      </c>
      <c r="N777" s="90" t="s">
        <v>89</v>
      </c>
      <c r="Q777" s="2" t="s">
        <v>4082</v>
      </c>
      <c r="R777" s="2" t="s">
        <v>6592</v>
      </c>
    </row>
    <row r="778" spans="1:18" ht="14.4" x14ac:dyDescent="0.3">
      <c r="A778" s="85">
        <v>614</v>
      </c>
      <c r="B778" s="76" t="s">
        <v>4083</v>
      </c>
      <c r="C778" s="77" t="str">
        <f>HYPERLINK("https://www.xeno-canto.org/species/Turdus-chrysolaus")</f>
        <v>https://www.xeno-canto.org/species/Turdus-chrysolaus</v>
      </c>
      <c r="D778" s="94" t="str">
        <f>HYPERLINK("https://ebird.org/species/brhthr1")</f>
        <v>https://ebird.org/species/brhthr1</v>
      </c>
      <c r="E778" s="122" t="str">
        <f>HYPERLINK("https://en.wikipedia.org/wiki/Brown-headed_Thrush")</f>
        <v>https://en.wikipedia.org/wiki/Brown-headed_Thrush</v>
      </c>
      <c r="F778" s="123" t="str">
        <f>HYPERLINK("https://apiv3.iucnredlist.org/api/v3/website/Turdus chrysolaus")</f>
        <v>https://apiv3.iucnredlist.org/api/v3/website/Turdus chrysolaus</v>
      </c>
      <c r="G778" s="90">
        <v>55</v>
      </c>
      <c r="H778" s="90">
        <v>317</v>
      </c>
      <c r="J778" s="87" t="s">
        <v>1331</v>
      </c>
      <c r="K778" s="95" t="s">
        <v>1352</v>
      </c>
      <c r="M778" s="93" t="s">
        <v>1353</v>
      </c>
      <c r="N778" s="90" t="s">
        <v>89</v>
      </c>
      <c r="Q778" s="2" t="s">
        <v>3221</v>
      </c>
    </row>
    <row r="779" spans="1:18" ht="20.399999999999999" x14ac:dyDescent="0.3">
      <c r="A779" s="85">
        <v>615</v>
      </c>
      <c r="B779" s="76" t="s">
        <v>4077</v>
      </c>
      <c r="C779" s="77" t="str">
        <f>HYPERLINK("https://www.xeno-canto.org/species/Turdus-poliocephalus")</f>
        <v>https://www.xeno-canto.org/species/Turdus-poliocephalus</v>
      </c>
      <c r="D779" s="94" t="str">
        <f>HYPERLINK("https://ebird.org/species/islthr1")</f>
        <v>https://ebird.org/species/islthr1</v>
      </c>
      <c r="E779" s="122" t="str">
        <f>HYPERLINK("https://en.wikipedia.org/wiki/Island_Thrush")</f>
        <v>https://en.wikipedia.org/wiki/Island_Thrush</v>
      </c>
      <c r="F779" s="123" t="str">
        <f>HYPERLINK("https://apiv3.iucnredlist.org/api/v3/website/Turdus poliocephalus")</f>
        <v>https://apiv3.iucnredlist.org/api/v3/website/Turdus poliocephalus</v>
      </c>
      <c r="G779" s="90">
        <v>55</v>
      </c>
      <c r="H779" s="90">
        <v>317</v>
      </c>
      <c r="J779" s="87" t="s">
        <v>1331</v>
      </c>
      <c r="K779" s="95" t="s">
        <v>1346</v>
      </c>
      <c r="M779" s="93" t="s">
        <v>1347</v>
      </c>
      <c r="N779" s="90" t="s">
        <v>37</v>
      </c>
      <c r="Q779" s="2" t="s">
        <v>4078</v>
      </c>
    </row>
    <row r="780" spans="1:18" ht="20.399999999999999" x14ac:dyDescent="0.3">
      <c r="A780" s="85">
        <v>616</v>
      </c>
      <c r="B780" s="76" t="s">
        <v>6593</v>
      </c>
      <c r="C780" s="77" t="str">
        <f>HYPERLINK("https://www.xeno-canto.org/species/Turdus-ruficollis")</f>
        <v>https://www.xeno-canto.org/species/Turdus-ruficollis</v>
      </c>
      <c r="D780" s="94" t="str">
        <f>HYPERLINK("https://ebird.org/species/retthr1")</f>
        <v>https://ebird.org/species/retthr1</v>
      </c>
      <c r="E780" s="122" t="str">
        <f>HYPERLINK("https://en.wikipedia.org/wiki/Red-throated_Thrush")</f>
        <v>https://en.wikipedia.org/wiki/Red-throated_Thrush</v>
      </c>
      <c r="F780" s="123" t="str">
        <f>HYPERLINK("https://apiv3.iucnredlist.org/api/v3/website/Turdus ruficollis")</f>
        <v>https://apiv3.iucnredlist.org/api/v3/website/Turdus ruficollis</v>
      </c>
      <c r="J780" s="87" t="s">
        <v>1331</v>
      </c>
      <c r="K780" s="96" t="s">
        <v>6594</v>
      </c>
      <c r="M780" s="97" t="s">
        <v>6595</v>
      </c>
      <c r="N780" s="90" t="s">
        <v>49</v>
      </c>
      <c r="R780" s="2" t="s">
        <v>6596</v>
      </c>
    </row>
    <row r="781" spans="1:18" ht="20.399999999999999" x14ac:dyDescent="0.3">
      <c r="A781" s="85">
        <v>617</v>
      </c>
      <c r="B781" s="76" t="s">
        <v>4085</v>
      </c>
      <c r="C781" s="77" t="str">
        <f>HYPERLINK("https://www.xeno-canto.org/species/Turdus-eunomus")</f>
        <v>https://www.xeno-canto.org/species/Turdus-eunomus</v>
      </c>
      <c r="D781" s="94" t="str">
        <f>HYPERLINK("https://ebird.org/species/dusthr2")</f>
        <v>https://ebird.org/species/dusthr2</v>
      </c>
      <c r="E781" s="122" t="str">
        <f>HYPERLINK("https://en.wikipedia.org/wiki/Dusky_Thrush")</f>
        <v>https://en.wikipedia.org/wiki/Dusky_Thrush</v>
      </c>
      <c r="F781" s="123" t="str">
        <f>HYPERLINK("https://apiv3.iucnredlist.org/api/v3/website/Turdus eunomus")</f>
        <v>https://apiv3.iucnredlist.org/api/v3/website/Turdus eunomus</v>
      </c>
      <c r="H781" s="90">
        <v>317</v>
      </c>
      <c r="J781" s="87" t="s">
        <v>1331</v>
      </c>
      <c r="K781" s="92" t="s">
        <v>1356</v>
      </c>
      <c r="M781" s="93" t="s">
        <v>1357</v>
      </c>
      <c r="N781" s="90" t="s">
        <v>49</v>
      </c>
      <c r="Q781" s="2" t="s">
        <v>3799</v>
      </c>
      <c r="R781" s="2" t="s">
        <v>6597</v>
      </c>
    </row>
    <row r="782" spans="1:18" ht="20.399999999999999" x14ac:dyDescent="0.3">
      <c r="A782" s="85">
        <v>618</v>
      </c>
      <c r="B782" s="76" t="s">
        <v>4084</v>
      </c>
      <c r="C782" s="77" t="str">
        <f>HYPERLINK("https://www.xeno-canto.org/species/Turdus-naumanni")</f>
        <v>https://www.xeno-canto.org/species/Turdus-naumanni</v>
      </c>
      <c r="D782" s="94" t="str">
        <f>HYPERLINK("https://ebird.org/species/dusthr1")</f>
        <v>https://ebird.org/species/dusthr1</v>
      </c>
      <c r="E782" s="122" t="str">
        <f>HYPERLINK("https://en.wikipedia.org/wiki/Naumann's_Thrush")</f>
        <v>https://en.wikipedia.org/wiki/Naumann's_Thrush</v>
      </c>
      <c r="F782" s="123" t="str">
        <f>HYPERLINK("https://apiv3.iucnredlist.org/api/v3/website/Turdus naumanni")</f>
        <v>https://apiv3.iucnredlist.org/api/v3/website/Turdus naumanni</v>
      </c>
      <c r="H782" s="90">
        <v>317</v>
      </c>
      <c r="J782" s="87" t="s">
        <v>1331</v>
      </c>
      <c r="K782" s="92" t="s">
        <v>1354</v>
      </c>
      <c r="M782" s="93" t="s">
        <v>1355</v>
      </c>
      <c r="N782" s="90" t="s">
        <v>49</v>
      </c>
      <c r="Q782" s="2" t="s">
        <v>3078</v>
      </c>
      <c r="R782" s="2" t="s">
        <v>6598</v>
      </c>
    </row>
    <row r="784" spans="1:18" ht="12" x14ac:dyDescent="0.3">
      <c r="K784" s="88" t="s">
        <v>5848</v>
      </c>
      <c r="M784" s="89" t="s">
        <v>1358</v>
      </c>
    </row>
    <row r="785" spans="1:18" ht="20.399999999999999" x14ac:dyDescent="0.3">
      <c r="A785" s="85">
        <v>619</v>
      </c>
      <c r="B785" s="74" t="s">
        <v>4086</v>
      </c>
      <c r="C785" s="75" t="str">
        <f>HYPERLINK("https://www.xeno-canto.org/species/Copsychus-mindanensis")</f>
        <v>https://www.xeno-canto.org/species/Copsychus-mindanensis</v>
      </c>
      <c r="D785" s="91" t="str">
        <f>HYPERLINK("https://ebird.org/species/phimar1")</f>
        <v>https://ebird.org/species/phimar1</v>
      </c>
      <c r="E785" s="120" t="str">
        <f>HYPERLINK("https://en.wikipedia.org/wiki/Philippine_Magpie-Robin")</f>
        <v>https://en.wikipedia.org/wiki/Philippine_Magpie-Robin</v>
      </c>
      <c r="F785" s="121" t="str">
        <f>HYPERLINK("https://apiv3.iucnredlist.org/api/v3/website/Copsychus mindanensis")</f>
        <v>https://apiv3.iucnredlist.org/api/v3/website/Copsychus mindanensis</v>
      </c>
      <c r="G785" s="90">
        <v>54</v>
      </c>
      <c r="H785" s="90">
        <v>319</v>
      </c>
      <c r="J785" s="87" t="s">
        <v>1358</v>
      </c>
      <c r="K785" s="98" t="s">
        <v>1359</v>
      </c>
      <c r="M785" s="99" t="s">
        <v>1360</v>
      </c>
      <c r="N785" s="90" t="s">
        <v>57</v>
      </c>
      <c r="Q785" s="2" t="s">
        <v>4087</v>
      </c>
    </row>
    <row r="786" spans="1:18" ht="14.4" x14ac:dyDescent="0.3">
      <c r="A786" s="85">
        <v>620</v>
      </c>
      <c r="B786" s="76" t="s">
        <v>4088</v>
      </c>
      <c r="C786" s="77" t="str">
        <f>HYPERLINK("https://www.xeno-canto.org/species/Copsychus-luzoniensis")</f>
        <v>https://www.xeno-canto.org/species/Copsychus-luzoniensis</v>
      </c>
      <c r="D786" s="94" t="str">
        <f>HYPERLINK("https://ebird.org/species/whbsha1")</f>
        <v>https://ebird.org/species/whbsha1</v>
      </c>
      <c r="E786" s="122" t="str">
        <f>HYPERLINK("https://en.wikipedia.org/wiki/White-browed_Shama")</f>
        <v>https://en.wikipedia.org/wiki/White-browed_Shama</v>
      </c>
      <c r="F786" s="123" t="str">
        <f>HYPERLINK("https://apiv3.iucnredlist.org/api/v3/website/Copsychus luzoniensis")</f>
        <v>https://apiv3.iucnredlist.org/api/v3/website/Copsychus luzoniensis</v>
      </c>
      <c r="G786" s="90">
        <v>54</v>
      </c>
      <c r="H786" s="90">
        <v>319</v>
      </c>
      <c r="J786" s="87" t="s">
        <v>1358</v>
      </c>
      <c r="K786" s="98" t="s">
        <v>1361</v>
      </c>
      <c r="M786" s="99" t="s">
        <v>1362</v>
      </c>
      <c r="N786" s="90" t="s">
        <v>57</v>
      </c>
      <c r="P786" s="90" t="s">
        <v>38</v>
      </c>
      <c r="Q786" s="2" t="s">
        <v>3195</v>
      </c>
    </row>
    <row r="787" spans="1:18" ht="14.4" x14ac:dyDescent="0.3">
      <c r="A787" s="85">
        <v>621</v>
      </c>
      <c r="B787" s="76" t="s">
        <v>5178</v>
      </c>
      <c r="C787" s="77" t="str">
        <f>HYPERLINK("https://www.xeno-canto.org/species/Copsychus-superciliaris")</f>
        <v>https://www.xeno-canto.org/species/Copsychus-superciliaris</v>
      </c>
      <c r="D787" s="94" t="str">
        <f>HYPERLINK("https://ebird.org/species/vissha1")</f>
        <v>https://ebird.org/species/vissha1</v>
      </c>
      <c r="E787" s="122" t="str">
        <f>HYPERLINK("https://en.wikipedia.org/wiki/Visayan_Shama")</f>
        <v>https://en.wikipedia.org/wiki/Visayan_Shama</v>
      </c>
      <c r="F787" s="123" t="str">
        <f>HYPERLINK("https://apiv3.iucnredlist.org/api/v3/website/Copsychus superciliaris")</f>
        <v>https://apiv3.iucnredlist.org/api/v3/website/Copsychus superciliaris</v>
      </c>
      <c r="H787" s="90">
        <v>319</v>
      </c>
      <c r="J787" s="87" t="s">
        <v>1358</v>
      </c>
      <c r="K787" s="98" t="s">
        <v>2812</v>
      </c>
      <c r="M787" s="99" t="s">
        <v>5179</v>
      </c>
      <c r="N787" s="90" t="s">
        <v>57</v>
      </c>
      <c r="Q787" s="2" t="s">
        <v>4089</v>
      </c>
    </row>
    <row r="788" spans="1:18" ht="14.4" x14ac:dyDescent="0.3">
      <c r="A788" s="85">
        <v>622</v>
      </c>
      <c r="B788" s="76" t="s">
        <v>4090</v>
      </c>
      <c r="C788" s="77" t="str">
        <f>HYPERLINK("https://www.xeno-canto.org/species/Copsychus-niger")</f>
        <v>https://www.xeno-canto.org/species/Copsychus-niger</v>
      </c>
      <c r="D788" s="94" t="str">
        <f>HYPERLINK("https://ebird.org/species/whvsha1")</f>
        <v>https://ebird.org/species/whvsha1</v>
      </c>
      <c r="E788" s="122" t="str">
        <f>HYPERLINK("https://en.wikipedia.org/wiki/White-vented_Shama")</f>
        <v>https://en.wikipedia.org/wiki/White-vented_Shama</v>
      </c>
      <c r="F788" s="123" t="str">
        <f>HYPERLINK("https://apiv3.iucnredlist.org/api/v3/website/Copsychus niger")</f>
        <v>https://apiv3.iucnredlist.org/api/v3/website/Copsychus niger</v>
      </c>
      <c r="G788" s="90">
        <v>54</v>
      </c>
      <c r="H788" s="90">
        <v>319</v>
      </c>
      <c r="J788" s="87" t="s">
        <v>1358</v>
      </c>
      <c r="K788" s="98" t="s">
        <v>1363</v>
      </c>
      <c r="M788" s="99" t="s">
        <v>1364</v>
      </c>
      <c r="N788" s="90" t="s">
        <v>57</v>
      </c>
      <c r="Q788" s="2" t="s">
        <v>4091</v>
      </c>
    </row>
    <row r="789" spans="1:18" ht="14.4" x14ac:dyDescent="0.3">
      <c r="A789" s="85">
        <v>623</v>
      </c>
      <c r="B789" s="76" t="s">
        <v>4092</v>
      </c>
      <c r="C789" s="77" t="str">
        <f>HYPERLINK("https://www.xeno-canto.org/species/Copsychus-cebuensis")</f>
        <v>https://www.xeno-canto.org/species/Copsychus-cebuensis</v>
      </c>
      <c r="D789" s="94" t="str">
        <f>HYPERLINK("https://ebird.org/species/blasha1")</f>
        <v>https://ebird.org/species/blasha1</v>
      </c>
      <c r="E789" s="122" t="str">
        <f>HYPERLINK("https://en.wikipedia.org/wiki/Black_Shama")</f>
        <v>https://en.wikipedia.org/wiki/Black_Shama</v>
      </c>
      <c r="F789" s="123" t="str">
        <f>HYPERLINK("https://apiv3.iucnredlist.org/api/v3/website/Copsychus cebuensis")</f>
        <v>https://apiv3.iucnredlist.org/api/v3/website/Copsychus cebuensis</v>
      </c>
      <c r="G789" s="90">
        <v>54</v>
      </c>
      <c r="H789" s="90">
        <v>319</v>
      </c>
      <c r="J789" s="87" t="s">
        <v>1358</v>
      </c>
      <c r="K789" s="98" t="s">
        <v>1365</v>
      </c>
      <c r="M789" s="99" t="s">
        <v>1366</v>
      </c>
      <c r="N789" s="90" t="s">
        <v>57</v>
      </c>
      <c r="O789" s="90" t="s">
        <v>58</v>
      </c>
      <c r="P789" s="90" t="s">
        <v>58</v>
      </c>
      <c r="Q789" s="2" t="s">
        <v>4093</v>
      </c>
    </row>
    <row r="790" spans="1:18" ht="14.4" x14ac:dyDescent="0.3">
      <c r="A790" s="85">
        <v>624</v>
      </c>
      <c r="B790" s="76" t="s">
        <v>4094</v>
      </c>
      <c r="C790" s="77" t="str">
        <f>HYPERLINK("https://www.xeno-canto.org/species/Muscicapa-griseisticta")</f>
        <v>https://www.xeno-canto.org/species/Muscicapa-griseisticta</v>
      </c>
      <c r="D790" s="94" t="str">
        <f>HYPERLINK("https://ebird.org/species/gysfly1")</f>
        <v>https://ebird.org/species/gysfly1</v>
      </c>
      <c r="E790" s="122" t="str">
        <f>HYPERLINK("https://en.wikipedia.org/wiki/Grey-streaked_Flycatcher")</f>
        <v>https://en.wikipedia.org/wiki/Grey-streaked_Flycatcher</v>
      </c>
      <c r="F790" s="123" t="str">
        <f>HYPERLINK("https://apiv3.iucnredlist.org/api/v3/website/Muscicapa griseisticta")</f>
        <v>https://apiv3.iucnredlist.org/api/v3/website/Muscicapa griseisticta</v>
      </c>
      <c r="G790" s="90">
        <v>60</v>
      </c>
      <c r="H790" s="90">
        <v>321</v>
      </c>
      <c r="J790" s="87" t="s">
        <v>1358</v>
      </c>
      <c r="K790" s="95" t="s">
        <v>1367</v>
      </c>
      <c r="M790" s="93" t="s">
        <v>1368</v>
      </c>
      <c r="N790" s="90" t="s">
        <v>89</v>
      </c>
      <c r="Q790" s="2" t="s">
        <v>3388</v>
      </c>
    </row>
    <row r="791" spans="1:18" ht="20.399999999999999" x14ac:dyDescent="0.3">
      <c r="A791" s="85">
        <v>625</v>
      </c>
      <c r="B791" s="76" t="s">
        <v>4095</v>
      </c>
      <c r="C791" s="77" t="str">
        <f>HYPERLINK("https://www.xeno-canto.org/species/Muscicapa-sibirica")</f>
        <v>https://www.xeno-canto.org/species/Muscicapa-sibirica</v>
      </c>
      <c r="D791" s="94" t="str">
        <f>HYPERLINK("https://ebird.org/species/dasfly")</f>
        <v>https://ebird.org/species/dasfly</v>
      </c>
      <c r="E791" s="122" t="str">
        <f>HYPERLINK("https://en.wikipedia.org/wiki/Dark-sided_Flycatcher")</f>
        <v>https://en.wikipedia.org/wiki/Dark-sided_Flycatcher</v>
      </c>
      <c r="F791" s="123" t="str">
        <f>HYPERLINK("https://apiv3.iucnredlist.org/api/v3/website/Muscicapa sibirica")</f>
        <v>https://apiv3.iucnredlist.org/api/v3/website/Muscicapa sibirica</v>
      </c>
      <c r="G791" s="90">
        <v>60</v>
      </c>
      <c r="H791" s="90">
        <v>321</v>
      </c>
      <c r="J791" s="87" t="s">
        <v>1358</v>
      </c>
      <c r="K791" s="95" t="s">
        <v>1369</v>
      </c>
      <c r="M791" s="93" t="s">
        <v>1370</v>
      </c>
      <c r="N791" s="90" t="s">
        <v>89</v>
      </c>
      <c r="Q791" s="2" t="s">
        <v>3519</v>
      </c>
      <c r="R791" s="2" t="s">
        <v>6456</v>
      </c>
    </row>
    <row r="792" spans="1:18" ht="14.4" x14ac:dyDescent="0.3">
      <c r="A792" s="85">
        <v>626</v>
      </c>
      <c r="B792" s="76" t="s">
        <v>4100</v>
      </c>
      <c r="C792" s="77" t="str">
        <f>HYPERLINK("https://www.xeno-canto.org/species/Muscicapa-ferruginea")</f>
        <v>https://www.xeno-canto.org/species/Muscicapa-ferruginea</v>
      </c>
      <c r="D792" s="94" t="str">
        <f>HYPERLINK("https://ebird.org/species/ferfly1")</f>
        <v>https://ebird.org/species/ferfly1</v>
      </c>
      <c r="E792" s="122" t="str">
        <f>HYPERLINK("https://en.wikipedia.org/wiki/Ferruginous_Flycatcher")</f>
        <v>https://en.wikipedia.org/wiki/Ferruginous_Flycatcher</v>
      </c>
      <c r="F792" s="123" t="str">
        <f>HYPERLINK("https://apiv3.iucnredlist.org/api/v3/website/Muscicapa ferruginea")</f>
        <v>https://apiv3.iucnredlist.org/api/v3/website/Muscicapa ferruginea</v>
      </c>
      <c r="G792" s="90">
        <v>60</v>
      </c>
      <c r="H792" s="90">
        <v>321</v>
      </c>
      <c r="J792" s="87" t="s">
        <v>1358</v>
      </c>
      <c r="K792" s="95" t="s">
        <v>1375</v>
      </c>
      <c r="M792" s="93" t="s">
        <v>1376</v>
      </c>
      <c r="N792" s="90" t="s">
        <v>89</v>
      </c>
      <c r="Q792" s="2" t="s">
        <v>4101</v>
      </c>
    </row>
    <row r="793" spans="1:18" ht="14.4" x14ac:dyDescent="0.3">
      <c r="A793" s="85">
        <v>627</v>
      </c>
      <c r="B793" s="76" t="s">
        <v>4098</v>
      </c>
      <c r="C793" s="77" t="str">
        <f>HYPERLINK("https://www.xeno-canto.org/species/Muscicapa-randi")</f>
        <v>https://www.xeno-canto.org/species/Muscicapa-randi</v>
      </c>
      <c r="D793" s="94" t="str">
        <f>HYPERLINK("https://ebird.org/species/asbfly1")</f>
        <v>https://ebird.org/species/asbfly1</v>
      </c>
      <c r="E793" s="122" t="str">
        <f>HYPERLINK("https://en.wikipedia.org/wiki/Ashy-breasted_Flycatcher")</f>
        <v>https://en.wikipedia.org/wiki/Ashy-breasted_Flycatcher</v>
      </c>
      <c r="F793" s="123" t="str">
        <f>HYPERLINK("https://apiv3.iucnredlist.org/api/v3/website/Muscicapa randi")</f>
        <v>https://apiv3.iucnredlist.org/api/v3/website/Muscicapa randi</v>
      </c>
      <c r="G793" s="90">
        <v>60</v>
      </c>
      <c r="H793" s="90">
        <v>323</v>
      </c>
      <c r="J793" s="87" t="s">
        <v>1358</v>
      </c>
      <c r="K793" s="98" t="s">
        <v>1373</v>
      </c>
      <c r="M793" s="99" t="s">
        <v>1374</v>
      </c>
      <c r="N793" s="90" t="s">
        <v>57</v>
      </c>
      <c r="O793" s="90" t="s">
        <v>38</v>
      </c>
      <c r="P793" s="90" t="s">
        <v>58</v>
      </c>
      <c r="Q793" s="2" t="s">
        <v>4099</v>
      </c>
    </row>
    <row r="794" spans="1:18" ht="14.4" x14ac:dyDescent="0.3">
      <c r="A794" s="85">
        <v>628</v>
      </c>
      <c r="B794" s="76" t="s">
        <v>4096</v>
      </c>
      <c r="C794" s="77" t="str">
        <f>HYPERLINK("https://www.xeno-canto.org/species/Muscicapa-dauurica")</f>
        <v>https://www.xeno-canto.org/species/Muscicapa-dauurica</v>
      </c>
      <c r="D794" s="94" t="str">
        <f>HYPERLINK("https://ebird.org/species/asbfly")</f>
        <v>https://ebird.org/species/asbfly</v>
      </c>
      <c r="E794" s="122" t="str">
        <f>HYPERLINK("https://en.wikipedia.org/wiki/Asian_Brown_Flycatcher")</f>
        <v>https://en.wikipedia.org/wiki/Asian_Brown_Flycatcher</v>
      </c>
      <c r="F794" s="123" t="str">
        <f>HYPERLINK("https://apiv3.iucnredlist.org/api/v3/website/Muscicapa dauurica")</f>
        <v>https://apiv3.iucnredlist.org/api/v3/website/Muscicapa dauurica</v>
      </c>
      <c r="G794" s="90">
        <v>60</v>
      </c>
      <c r="H794" s="90">
        <v>321</v>
      </c>
      <c r="J794" s="87" t="s">
        <v>1358</v>
      </c>
      <c r="K794" s="95" t="s">
        <v>1371</v>
      </c>
      <c r="M794" s="93" t="s">
        <v>1372</v>
      </c>
      <c r="N794" s="90" t="s">
        <v>89</v>
      </c>
      <c r="Q794" s="2" t="s">
        <v>4097</v>
      </c>
    </row>
    <row r="795" spans="1:18" ht="20.399999999999999" x14ac:dyDescent="0.3">
      <c r="A795" s="85">
        <v>629</v>
      </c>
      <c r="B795" s="76" t="s">
        <v>5180</v>
      </c>
      <c r="C795" s="77" t="str">
        <f>HYPERLINK("https://www.xeno-canto.org/species/Muscicapa-striata")</f>
        <v>https://www.xeno-canto.org/species/Muscicapa-striata</v>
      </c>
      <c r="D795" s="94" t="str">
        <f>HYPERLINK("https://ebird.org/species/spofly1")</f>
        <v>https://ebird.org/species/spofly1</v>
      </c>
      <c r="E795" s="122" t="str">
        <f>HYPERLINK("https://en.wikipedia.org/wiki/Spotted_Flycatcher")</f>
        <v>https://en.wikipedia.org/wiki/Spotted_Flycatcher</v>
      </c>
      <c r="F795" s="123" t="str">
        <f>HYPERLINK("https://apiv3.iucnredlist.org/api/v3/website/Muscicapa striata")</f>
        <v>https://apiv3.iucnredlist.org/api/v3/website/Muscicapa striata</v>
      </c>
      <c r="J795" s="87" t="s">
        <v>1358</v>
      </c>
      <c r="K795" s="92" t="s">
        <v>5181</v>
      </c>
      <c r="M795" s="93" t="s">
        <v>5182</v>
      </c>
      <c r="N795" s="90" t="s">
        <v>49</v>
      </c>
      <c r="R795" s="2" t="s">
        <v>6455</v>
      </c>
    </row>
    <row r="796" spans="1:18" ht="14.4" x14ac:dyDescent="0.3">
      <c r="A796" s="85">
        <v>630</v>
      </c>
      <c r="B796" s="76" t="s">
        <v>4107</v>
      </c>
      <c r="C796" s="77" t="str">
        <f>HYPERLINK("https://www.xeno-canto.org/species/Cyanoptila-cyanomelana")</f>
        <v>https://www.xeno-canto.org/species/Cyanoptila-cyanomelana</v>
      </c>
      <c r="D796" s="94" t="str">
        <f>HYPERLINK("https://ebird.org/species/bawfly2")</f>
        <v>https://ebird.org/species/bawfly2</v>
      </c>
      <c r="E796" s="122" t="str">
        <f>HYPERLINK("https://en.wikipedia.org/wiki/Blue-and-white_Flycatcher")</f>
        <v>https://en.wikipedia.org/wiki/Blue-and-white_Flycatcher</v>
      </c>
      <c r="F796" s="123" t="str">
        <f>HYPERLINK("https://apiv3.iucnredlist.org/api/v3/website/Cyanoptila cyanomelana")</f>
        <v>https://apiv3.iucnredlist.org/api/v3/website/Cyanoptila cyanomelana</v>
      </c>
      <c r="G796" s="90">
        <v>62</v>
      </c>
      <c r="H796" s="90">
        <v>323</v>
      </c>
      <c r="J796" s="87" t="s">
        <v>1358</v>
      </c>
      <c r="K796" s="95" t="s">
        <v>1384</v>
      </c>
      <c r="M796" s="93" t="s">
        <v>1385</v>
      </c>
      <c r="N796" s="90" t="s">
        <v>89</v>
      </c>
      <c r="Q796" s="2" t="s">
        <v>4080</v>
      </c>
    </row>
    <row r="797" spans="1:18" ht="20.399999999999999" x14ac:dyDescent="0.3">
      <c r="A797" s="85">
        <v>631</v>
      </c>
      <c r="B797" s="76" t="s">
        <v>4108</v>
      </c>
      <c r="C797" s="77" t="str">
        <f>HYPERLINK("https://www.xeno-canto.org/species/Eumyias-thalassinus")</f>
        <v>https://www.xeno-canto.org/species/Eumyias-thalassinus</v>
      </c>
      <c r="D797" s="94" t="str">
        <f>HYPERLINK("https://ebird.org/species/verfly4")</f>
        <v>https://ebird.org/species/verfly4</v>
      </c>
      <c r="E797" s="122" t="str">
        <f>HYPERLINK("https://en.wikipedia.org/wiki/Verditer_Flycatcher")</f>
        <v>https://en.wikipedia.org/wiki/Verditer_Flycatcher</v>
      </c>
      <c r="F797" s="123" t="str">
        <f>HYPERLINK("https://apiv3.iucnredlist.org/api/v3/website/Eumyias thalassinus")</f>
        <v>https://apiv3.iucnredlist.org/api/v3/website/Eumyias thalassinus</v>
      </c>
      <c r="H797" s="90">
        <v>323</v>
      </c>
      <c r="J797" s="87" t="s">
        <v>1358</v>
      </c>
      <c r="K797" s="92" t="s">
        <v>3007</v>
      </c>
      <c r="M797" s="93" t="s">
        <v>3008</v>
      </c>
      <c r="N797" s="90" t="s">
        <v>49</v>
      </c>
      <c r="Q797" s="2" t="s">
        <v>3078</v>
      </c>
      <c r="R797" s="2" t="s">
        <v>6457</v>
      </c>
    </row>
    <row r="798" spans="1:18" ht="14.4" x14ac:dyDescent="0.3">
      <c r="A798" s="85">
        <v>632</v>
      </c>
      <c r="B798" s="76" t="s">
        <v>4109</v>
      </c>
      <c r="C798" s="77" t="str">
        <f>HYPERLINK("https://www.xeno-canto.org/species/Eumyias-panayensis")</f>
        <v>https://www.xeno-canto.org/species/Eumyias-panayensis</v>
      </c>
      <c r="D798" s="94" t="str">
        <f>HYPERLINK("https://ebird.org/species/islfly1")</f>
        <v>https://ebird.org/species/islfly1</v>
      </c>
      <c r="E798" s="122" t="str">
        <f>HYPERLINK("https://en.wikipedia.org/wiki/Turquoise_Flycatcher")</f>
        <v>https://en.wikipedia.org/wiki/Turquoise_Flycatcher</v>
      </c>
      <c r="F798" s="123" t="str">
        <f>HYPERLINK("https://apiv3.iucnredlist.org/api/v3/website/Eumyias panayensis")</f>
        <v>https://apiv3.iucnredlist.org/api/v3/website/Eumyias panayensis</v>
      </c>
      <c r="G798" s="90">
        <v>61</v>
      </c>
      <c r="H798" s="90">
        <v>323</v>
      </c>
      <c r="J798" s="87" t="s">
        <v>1358</v>
      </c>
      <c r="K798" s="95" t="s">
        <v>1386</v>
      </c>
      <c r="M798" s="93" t="s">
        <v>1387</v>
      </c>
      <c r="N798" s="90" t="s">
        <v>37</v>
      </c>
      <c r="Q798" s="2" t="s">
        <v>4110</v>
      </c>
    </row>
    <row r="799" spans="1:18" ht="14.4" x14ac:dyDescent="0.3">
      <c r="A799" s="85">
        <v>633</v>
      </c>
      <c r="B799" s="76" t="s">
        <v>4103</v>
      </c>
      <c r="C799" s="77" t="str">
        <f>HYPERLINK("https://www.xeno-canto.org/species/Cyornis-lemprieri")</f>
        <v>https://www.xeno-canto.org/species/Cyornis-lemprieri</v>
      </c>
      <c r="D799" s="94" t="str">
        <f>HYPERLINK("https://ebird.org/species/pabfly1")</f>
        <v>https://ebird.org/species/pabfly1</v>
      </c>
      <c r="E799" s="122" t="str">
        <f>HYPERLINK("https://en.wikipedia.org/wiki/Palawan_Blue_Flycatcher")</f>
        <v>https://en.wikipedia.org/wiki/Palawan_Blue_Flycatcher</v>
      </c>
      <c r="F799" s="123" t="str">
        <f>HYPERLINK("https://apiv3.iucnredlist.org/api/v3/website/Cyornis lemprieri")</f>
        <v>https://apiv3.iucnredlist.org/api/v3/website/Cyornis lemprieri</v>
      </c>
      <c r="G799" s="90">
        <v>62</v>
      </c>
      <c r="H799" s="90">
        <v>325</v>
      </c>
      <c r="J799" s="87" t="s">
        <v>1358</v>
      </c>
      <c r="K799" s="98" t="s">
        <v>1379</v>
      </c>
      <c r="M799" s="99" t="s">
        <v>1380</v>
      </c>
      <c r="N799" s="90" t="s">
        <v>57</v>
      </c>
      <c r="O799" s="90" t="s">
        <v>50</v>
      </c>
      <c r="Q799" s="2" t="s">
        <v>4104</v>
      </c>
      <c r="R799" s="2" t="s">
        <v>9</v>
      </c>
    </row>
    <row r="800" spans="1:18" ht="14.4" x14ac:dyDescent="0.3">
      <c r="A800" s="85">
        <v>634</v>
      </c>
      <c r="B800" s="76" t="s">
        <v>4102</v>
      </c>
      <c r="C800" s="77" t="str">
        <f>HYPERLINK("https://www.xeno-canto.org/species/Cyornis-herioti")</f>
        <v>https://www.xeno-canto.org/species/Cyornis-herioti</v>
      </c>
      <c r="D800" s="94" t="str">
        <f>HYPERLINK("https://ebird.org/species/bubfly1")</f>
        <v>https://ebird.org/species/bubfly1</v>
      </c>
      <c r="E800" s="122" t="str">
        <f>HYPERLINK("https://en.wikipedia.org/wiki/Blue-breasted_Blue_Flycatcher")</f>
        <v>https://en.wikipedia.org/wiki/Blue-breasted_Blue_Flycatcher</v>
      </c>
      <c r="F800" s="123" t="str">
        <f>HYPERLINK("https://apiv3.iucnredlist.org/api/v3/website/Cyornis herioti")</f>
        <v>https://apiv3.iucnredlist.org/api/v3/website/Cyornis herioti</v>
      </c>
      <c r="G800" s="90">
        <v>62</v>
      </c>
      <c r="H800" s="90">
        <v>325</v>
      </c>
      <c r="J800" s="87" t="s">
        <v>1358</v>
      </c>
      <c r="K800" s="98" t="s">
        <v>1377</v>
      </c>
      <c r="M800" s="99" t="s">
        <v>1378</v>
      </c>
      <c r="N800" s="90" t="s">
        <v>57</v>
      </c>
      <c r="O800" s="90" t="s">
        <v>50</v>
      </c>
      <c r="Q800" s="2" t="s">
        <v>4697</v>
      </c>
    </row>
    <row r="801" spans="1:18" ht="14.4" x14ac:dyDescent="0.3">
      <c r="A801" s="85">
        <v>635</v>
      </c>
      <c r="B801" s="76" t="s">
        <v>5849</v>
      </c>
      <c r="C801" s="77" t="str">
        <f>HYPERLINK("https://www.xeno-canto.org/species/Cyornis-camarinensis")</f>
        <v>https://www.xeno-canto.org/species/Cyornis-camarinensis</v>
      </c>
      <c r="D801" s="94" t="str">
        <f>HYPERLINK("https://ebird.org/species/bubfly2")</f>
        <v>https://ebird.org/species/bubfly2</v>
      </c>
      <c r="E801" s="122" t="str">
        <f>HYPERLINK("https://en.wikipedia.org/wiki/Rufous-breasted_Blue_Flycatcher")</f>
        <v>https://en.wikipedia.org/wiki/Rufous-breasted_Blue_Flycatcher</v>
      </c>
      <c r="F801" s="123" t="str">
        <f>HYPERLINK("https://apiv3.iucnredlist.org/api/v3/website/Cyornis camarinensis")</f>
        <v>https://apiv3.iucnredlist.org/api/v3/website/Cyornis camarinensis</v>
      </c>
      <c r="H801" s="90">
        <v>325</v>
      </c>
      <c r="J801" s="87" t="s">
        <v>1358</v>
      </c>
      <c r="K801" s="98" t="s">
        <v>5850</v>
      </c>
      <c r="M801" s="99" t="s">
        <v>2814</v>
      </c>
      <c r="N801" s="90" t="s">
        <v>57</v>
      </c>
      <c r="O801" s="90" t="s">
        <v>50</v>
      </c>
      <c r="Q801" s="2" t="s">
        <v>4698</v>
      </c>
    </row>
    <row r="802" spans="1:18" ht="14.4" x14ac:dyDescent="0.3">
      <c r="A802" s="85">
        <v>636</v>
      </c>
      <c r="B802" s="76" t="s">
        <v>4106</v>
      </c>
      <c r="C802" s="77" t="str">
        <f>HYPERLINK("https://www.xeno-canto.org/species/Cyornis-ruficauda")</f>
        <v>https://www.xeno-canto.org/species/Cyornis-ruficauda</v>
      </c>
      <c r="D802" s="94" t="str">
        <f>HYPERLINK("https://ebird.org/species/chtjuf1")</f>
        <v>https://ebird.org/species/chtjuf1</v>
      </c>
      <c r="E802" s="122" t="str">
        <f>HYPERLINK("https://en.wikipedia.org/wiki/Philippine_Jungle_Flycatcher")</f>
        <v>https://en.wikipedia.org/wiki/Philippine_Jungle_Flycatcher</v>
      </c>
      <c r="F802" s="123" t="str">
        <f>HYPERLINK("https://apiv3.iucnredlist.org/api/v3/website/Cyornis ruficauda")</f>
        <v>https://apiv3.iucnredlist.org/api/v3/website/Cyornis ruficauda</v>
      </c>
      <c r="G802" s="90">
        <v>60</v>
      </c>
      <c r="H802" s="90">
        <v>325</v>
      </c>
      <c r="J802" s="87" t="s">
        <v>1358</v>
      </c>
      <c r="K802" s="98" t="s">
        <v>5186</v>
      </c>
      <c r="L802" s="86" t="s">
        <v>5187</v>
      </c>
      <c r="M802" s="99" t="s">
        <v>1383</v>
      </c>
      <c r="N802" s="90" t="s">
        <v>57</v>
      </c>
      <c r="Q802" s="2" t="s">
        <v>4701</v>
      </c>
    </row>
    <row r="803" spans="1:18" ht="14.4" x14ac:dyDescent="0.3">
      <c r="A803" s="85">
        <v>637</v>
      </c>
      <c r="B803" s="76" t="s">
        <v>5183</v>
      </c>
      <c r="C803" s="77" t="str">
        <f>HYPERLINK("https://www.xeno-canto.org/species/Cyornis-ocularis")</f>
        <v>https://www.xeno-canto.org/species/Cyornis-ocularis</v>
      </c>
      <c r="D803" s="94" t="str">
        <f>HYPERLINK("https://ebird.org/species/chtjuf3")</f>
        <v>https://ebird.org/species/chtjuf3</v>
      </c>
      <c r="E803" s="122" t="str">
        <f>HYPERLINK("https://en.wikipedia.org/wiki/Sulu_Jungle_Flycatcher")</f>
        <v>https://en.wikipedia.org/wiki/Sulu_Jungle_Flycatcher</v>
      </c>
      <c r="F803" s="123" t="str">
        <f>HYPERLINK("https://apiv3.iucnredlist.org/api/v3/website/Cyornis ocularis")</f>
        <v>https://apiv3.iucnredlist.org/api/v3/website/Cyornis ocularis</v>
      </c>
      <c r="H803" s="90">
        <v>325</v>
      </c>
      <c r="J803" s="87" t="s">
        <v>1358</v>
      </c>
      <c r="K803" s="98" t="s">
        <v>5184</v>
      </c>
      <c r="M803" s="99" t="s">
        <v>5185</v>
      </c>
      <c r="N803" s="90" t="s">
        <v>57</v>
      </c>
      <c r="Q803" s="2" t="s">
        <v>4702</v>
      </c>
    </row>
    <row r="804" spans="1:18" ht="14.4" x14ac:dyDescent="0.3">
      <c r="A804" s="85">
        <v>638</v>
      </c>
      <c r="B804" s="76" t="s">
        <v>4105</v>
      </c>
      <c r="C804" s="77" t="str">
        <f>HYPERLINK("https://www.xeno-canto.org/species/Cyornis-rufigastra")</f>
        <v>https://www.xeno-canto.org/species/Cyornis-rufigastra</v>
      </c>
      <c r="D804" s="94" t="str">
        <f>HYPERLINK("https://ebird.org/species/mabfly2")</f>
        <v>https://ebird.org/species/mabfly2</v>
      </c>
      <c r="E804" s="122" t="str">
        <f>HYPERLINK("https://en.wikipedia.org/wiki/Mangrove_Blue_Flycatcher")</f>
        <v>https://en.wikipedia.org/wiki/Mangrove_Blue_Flycatcher</v>
      </c>
      <c r="F804" s="123" t="str">
        <f>HYPERLINK("https://apiv3.iucnredlist.org/api/v3/website/Cyornis rufigastra")</f>
        <v>https://apiv3.iucnredlist.org/api/v3/website/Cyornis rufigastra</v>
      </c>
      <c r="G804" s="90">
        <v>62</v>
      </c>
      <c r="H804" s="90">
        <v>327</v>
      </c>
      <c r="J804" s="87" t="s">
        <v>1358</v>
      </c>
      <c r="K804" s="95" t="s">
        <v>1381</v>
      </c>
      <c r="M804" s="93" t="s">
        <v>1382</v>
      </c>
      <c r="N804" s="90" t="s">
        <v>37</v>
      </c>
      <c r="Q804" s="2" t="s">
        <v>3233</v>
      </c>
    </row>
    <row r="805" spans="1:18" ht="30.6" x14ac:dyDescent="0.3">
      <c r="A805" s="85">
        <v>639</v>
      </c>
      <c r="B805" s="76" t="s">
        <v>4121</v>
      </c>
      <c r="C805" s="77" t="str">
        <f>HYPERLINK("https://www.xeno-canto.org/species/Luscinia-svecica")</f>
        <v>https://www.xeno-canto.org/species/Luscinia-svecica</v>
      </c>
      <c r="D805" s="94" t="str">
        <f>HYPERLINK("https://ebird.org/species/blueth")</f>
        <v>https://ebird.org/species/blueth</v>
      </c>
      <c r="E805" s="122" t="str">
        <f>HYPERLINK("https://en.wikipedia.org/wiki/Bluethroat")</f>
        <v>https://en.wikipedia.org/wiki/Bluethroat</v>
      </c>
      <c r="F805" s="123" t="str">
        <f>HYPERLINK("https://apiv3.iucnredlist.org/api/v3/website/Luscinia svecica")</f>
        <v>https://apiv3.iucnredlist.org/api/v3/website/Luscinia svecica</v>
      </c>
      <c r="H805" s="90">
        <v>329</v>
      </c>
      <c r="J805" s="87" t="s">
        <v>1358</v>
      </c>
      <c r="K805" s="92" t="s">
        <v>1399</v>
      </c>
      <c r="M805" s="93" t="s">
        <v>1400</v>
      </c>
      <c r="N805" s="90" t="s">
        <v>49</v>
      </c>
      <c r="Q805" s="2" t="s">
        <v>3439</v>
      </c>
      <c r="R805" s="2" t="s">
        <v>6599</v>
      </c>
    </row>
    <row r="806" spans="1:18" ht="14.4" x14ac:dyDescent="0.3">
      <c r="A806" s="85">
        <v>640</v>
      </c>
      <c r="B806" s="76" t="s">
        <v>4122</v>
      </c>
      <c r="C806" s="77" t="str">
        <f>HYPERLINK("https://www.xeno-canto.org/species/Calliope-calliope")</f>
        <v>https://www.xeno-canto.org/species/Calliope-calliope</v>
      </c>
      <c r="D806" s="94" t="str">
        <f>HYPERLINK("https://ebird.org/species/sibrub")</f>
        <v>https://ebird.org/species/sibrub</v>
      </c>
      <c r="E806" s="122" t="str">
        <f>HYPERLINK("https://en.wikipedia.org/wiki/Siberian_Rubythroat")</f>
        <v>https://en.wikipedia.org/wiki/Siberian_Rubythroat</v>
      </c>
      <c r="F806" s="123" t="str">
        <f>HYPERLINK("https://apiv3.iucnredlist.org/api/v3/website/Calliope calliope")</f>
        <v>https://apiv3.iucnredlist.org/api/v3/website/Calliope calliope</v>
      </c>
      <c r="G806" s="90">
        <v>53</v>
      </c>
      <c r="H806" s="90">
        <v>331</v>
      </c>
      <c r="J806" s="87" t="s">
        <v>1358</v>
      </c>
      <c r="K806" s="95" t="s">
        <v>1401</v>
      </c>
      <c r="M806" s="93" t="s">
        <v>1402</v>
      </c>
      <c r="N806" s="90" t="s">
        <v>89</v>
      </c>
      <c r="Q806" s="2" t="s">
        <v>4123</v>
      </c>
      <c r="R806" s="2" t="s">
        <v>9</v>
      </c>
    </row>
    <row r="807" spans="1:18" ht="14.4" x14ac:dyDescent="0.3">
      <c r="A807" s="85">
        <v>641</v>
      </c>
      <c r="B807" s="76" t="s">
        <v>4113</v>
      </c>
      <c r="C807" s="77" t="str">
        <f>HYPERLINK("https://www.xeno-canto.org/species/Vauriella-albigularis")</f>
        <v>https://www.xeno-canto.org/species/Vauriella-albigularis</v>
      </c>
      <c r="D807" s="94" t="str">
        <f>HYPERLINK("https://ebird.org/species/negjuf1")</f>
        <v>https://ebird.org/species/negjuf1</v>
      </c>
      <c r="E807" s="122" t="str">
        <f>HYPERLINK("https://en.wikipedia.org/wiki/White-throated_Jungle_Flycatcher")</f>
        <v>https://en.wikipedia.org/wiki/White-throated_Jungle_Flycatcher</v>
      </c>
      <c r="F807" s="123" t="str">
        <f>HYPERLINK("https://apiv3.iucnredlist.org/api/v3/website/Vauriella albigularis")</f>
        <v>https://apiv3.iucnredlist.org/api/v3/website/Vauriella albigularis</v>
      </c>
      <c r="G807" s="90">
        <v>60</v>
      </c>
      <c r="H807" s="90">
        <v>327</v>
      </c>
      <c r="J807" s="87" t="s">
        <v>1358</v>
      </c>
      <c r="K807" s="102" t="s">
        <v>1391</v>
      </c>
      <c r="M807" s="99" t="s">
        <v>1392</v>
      </c>
      <c r="N807" s="90" t="s">
        <v>57</v>
      </c>
      <c r="O807" s="90" t="s">
        <v>58</v>
      </c>
      <c r="P807" s="90" t="s">
        <v>58</v>
      </c>
      <c r="Q807" s="2" t="s">
        <v>4114</v>
      </c>
    </row>
    <row r="808" spans="1:18" ht="14.4" x14ac:dyDescent="0.3">
      <c r="A808" s="85">
        <v>642</v>
      </c>
      <c r="B808" s="76" t="s">
        <v>4115</v>
      </c>
      <c r="C808" s="77" t="str">
        <f>HYPERLINK("https://www.xeno-canto.org/species/Vauriella-insignis")</f>
        <v>https://www.xeno-canto.org/species/Vauriella-insignis</v>
      </c>
      <c r="D808" s="94" t="str">
        <f>HYPERLINK("https://ebird.org/species/rufjuf1")</f>
        <v>https://ebird.org/species/rufjuf1</v>
      </c>
      <c r="E808" s="122" t="str">
        <f>HYPERLINK("https://en.wikipedia.org/wiki/White-browed_Jungle_Flycatcher")</f>
        <v>https://en.wikipedia.org/wiki/White-browed_Jungle_Flycatcher</v>
      </c>
      <c r="F808" s="123" t="str">
        <f>HYPERLINK("https://apiv3.iucnredlist.org/api/v3/website/Vauriella insignis")</f>
        <v>https://apiv3.iucnredlist.org/api/v3/website/Vauriella insignis</v>
      </c>
      <c r="G808" s="90">
        <v>60</v>
      </c>
      <c r="H808" s="90">
        <v>327</v>
      </c>
      <c r="J808" s="87" t="s">
        <v>1358</v>
      </c>
      <c r="K808" s="98" t="s">
        <v>1393</v>
      </c>
      <c r="M808" s="99" t="s">
        <v>1394</v>
      </c>
      <c r="N808" s="90" t="s">
        <v>57</v>
      </c>
      <c r="O808" s="90" t="s">
        <v>38</v>
      </c>
      <c r="P808" s="90" t="s">
        <v>38</v>
      </c>
      <c r="Q808" s="2" t="s">
        <v>4116</v>
      </c>
    </row>
    <row r="809" spans="1:18" ht="14.4" x14ac:dyDescent="0.3">
      <c r="A809" s="85">
        <v>643</v>
      </c>
      <c r="B809" s="76" t="s">
        <v>4117</v>
      </c>
      <c r="C809" s="77" t="str">
        <f>HYPERLINK("https://www.xeno-canto.org/species/Vauriella-goodfellowi")</f>
        <v>https://www.xeno-canto.org/species/Vauriella-goodfellowi</v>
      </c>
      <c r="D809" s="94" t="str">
        <f>HYPERLINK("https://ebird.org/species/minjuf1")</f>
        <v>https://ebird.org/species/minjuf1</v>
      </c>
      <c r="E809" s="122" t="str">
        <f>HYPERLINK("https://en.wikipedia.org/wiki/Slaty-backed_Jungle_Flycatcher")</f>
        <v>https://en.wikipedia.org/wiki/Slaty-backed_Jungle_Flycatcher</v>
      </c>
      <c r="F809" s="123" t="str">
        <f>HYPERLINK("https://apiv3.iucnredlist.org/api/v3/website/Vauriella goodfellowi")</f>
        <v>https://apiv3.iucnredlist.org/api/v3/website/Vauriella goodfellowi</v>
      </c>
      <c r="G809" s="90">
        <v>60</v>
      </c>
      <c r="H809" s="90">
        <v>327</v>
      </c>
      <c r="J809" s="87" t="s">
        <v>1358</v>
      </c>
      <c r="K809" s="98" t="s">
        <v>1395</v>
      </c>
      <c r="M809" s="99" t="s">
        <v>1396</v>
      </c>
      <c r="N809" s="90" t="s">
        <v>57</v>
      </c>
      <c r="O809" s="90" t="s">
        <v>50</v>
      </c>
      <c r="P809" s="90" t="s">
        <v>38</v>
      </c>
      <c r="Q809" s="2" t="s">
        <v>4118</v>
      </c>
    </row>
    <row r="810" spans="1:18" ht="14.4" x14ac:dyDescent="0.3">
      <c r="A810" s="85">
        <v>644</v>
      </c>
      <c r="B810" s="76" t="s">
        <v>4111</v>
      </c>
      <c r="C810" s="77" t="str">
        <f>HYPERLINK("https://www.xeno-canto.org/species/Leonardina-woodi")</f>
        <v>https://www.xeno-canto.org/species/Leonardina-woodi</v>
      </c>
      <c r="D810" s="94" t="str">
        <f>HYPERLINK("https://ebird.org/species/bagbab2")</f>
        <v>https://ebird.org/species/bagbab2</v>
      </c>
      <c r="E810" s="122" t="str">
        <f>HYPERLINK("https://en.wikipedia.org/wiki/Bagobo_Babbler")</f>
        <v>https://en.wikipedia.org/wiki/Bagobo_Babbler</v>
      </c>
      <c r="F810" s="123" t="str">
        <f>HYPERLINK("https://apiv3.iucnredlist.org/api/v3/website/Leonardina woodi")</f>
        <v>https://apiv3.iucnredlist.org/api/v3/website/Leonardina woodi</v>
      </c>
      <c r="G810" s="90">
        <v>51</v>
      </c>
      <c r="H810" s="90">
        <v>305</v>
      </c>
      <c r="J810" s="87" t="s">
        <v>1358</v>
      </c>
      <c r="K810" s="98" t="s">
        <v>1388</v>
      </c>
      <c r="M810" s="99" t="s">
        <v>1389</v>
      </c>
      <c r="N810" s="90" t="s">
        <v>57</v>
      </c>
      <c r="Q810" s="2" t="s">
        <v>4112</v>
      </c>
      <c r="R810" s="2" t="s">
        <v>9</v>
      </c>
    </row>
    <row r="811" spans="1:18" ht="20.399999999999999" x14ac:dyDescent="0.3">
      <c r="A811" s="85">
        <v>645</v>
      </c>
      <c r="B811" s="76" t="s">
        <v>5851</v>
      </c>
      <c r="C811" s="77" t="str">
        <f>HYPERLINK("https://www.xeno-canto.org/species/Brachypteryx-poliogyna")</f>
        <v>https://www.xeno-canto.org/species/Brachypteryx-poliogyna</v>
      </c>
      <c r="D811" s="94" t="str">
        <f>HYPERLINK("https://ebird.org/species/whbsho7")</f>
        <v>https://ebird.org/species/whbsho7</v>
      </c>
      <c r="E811" s="122" t="str">
        <f>HYPERLINK("https://en.wikipedia.org/wiki/Philippine_Shortwing")</f>
        <v>https://en.wikipedia.org/wiki/Philippine_Shortwing</v>
      </c>
      <c r="F811" s="123" t="str">
        <f>HYPERLINK("https://apiv3.iucnredlist.org/api/v3/website/Brachypteryx poliogyna")</f>
        <v>https://apiv3.iucnredlist.org/api/v3/website/Brachypteryx poliogyna</v>
      </c>
      <c r="G811" s="90">
        <v>53</v>
      </c>
      <c r="H811" s="90">
        <v>329</v>
      </c>
      <c r="J811" s="87" t="s">
        <v>1358</v>
      </c>
      <c r="K811" s="98" t="s">
        <v>2202</v>
      </c>
      <c r="M811" s="99" t="s">
        <v>5852</v>
      </c>
      <c r="N811" s="90" t="s">
        <v>57</v>
      </c>
      <c r="Q811" s="2" t="s">
        <v>4704</v>
      </c>
    </row>
    <row r="812" spans="1:18" ht="20.399999999999999" x14ac:dyDescent="0.3">
      <c r="A812" s="85">
        <v>646</v>
      </c>
      <c r="B812" s="76" t="s">
        <v>4119</v>
      </c>
      <c r="C812" s="77" t="str">
        <f>HYPERLINK("https://www.xeno-canto.org/species/Larvivora-cyane")</f>
        <v>https://www.xeno-canto.org/species/Larvivora-cyane</v>
      </c>
      <c r="D812" s="94" t="str">
        <f>HYPERLINK("https://ebird.org/species/sibrob")</f>
        <v>https://ebird.org/species/sibrob</v>
      </c>
      <c r="E812" s="122" t="str">
        <f>HYPERLINK("https://en.wikipedia.org/wiki/Siberian_Blue_Robin")</f>
        <v>https://en.wikipedia.org/wiki/Siberian_Blue_Robin</v>
      </c>
      <c r="F812" s="123" t="str">
        <f>HYPERLINK("https://apiv3.iucnredlist.org/api/v3/website/Larvivora cyane")</f>
        <v>https://apiv3.iucnredlist.org/api/v3/website/Larvivora cyane</v>
      </c>
      <c r="G812" s="90">
        <v>53</v>
      </c>
      <c r="H812" s="90">
        <v>329</v>
      </c>
      <c r="J812" s="87" t="s">
        <v>1358</v>
      </c>
      <c r="K812" s="92" t="s">
        <v>1397</v>
      </c>
      <c r="M812" s="93" t="s">
        <v>1398</v>
      </c>
      <c r="N812" s="90" t="s">
        <v>49</v>
      </c>
      <c r="Q812" s="2" t="s">
        <v>4120</v>
      </c>
      <c r="R812" s="2" t="s">
        <v>6458</v>
      </c>
    </row>
    <row r="813" spans="1:18" ht="20.399999999999999" x14ac:dyDescent="0.3">
      <c r="A813" s="85">
        <v>647</v>
      </c>
      <c r="B813" s="76" t="s">
        <v>4126</v>
      </c>
      <c r="C813" s="77" t="str">
        <f>HYPERLINK("https://www.xeno-canto.org/species/Ficedula-zanthopygia")</f>
        <v>https://www.xeno-canto.org/species/Ficedula-zanthopygia</v>
      </c>
      <c r="D813" s="94" t="str">
        <f>HYPERLINK("https://ebird.org/species/korfly1")</f>
        <v>https://ebird.org/species/korfly1</v>
      </c>
      <c r="E813" s="122" t="str">
        <f>HYPERLINK("https://en.wikipedia.org/wiki/Yellow-rumped_Flycatcher")</f>
        <v>https://en.wikipedia.org/wiki/Yellow-rumped_Flycatcher</v>
      </c>
      <c r="F813" s="123" t="str">
        <f>HYPERLINK("https://apiv3.iucnredlist.org/api/v3/website/Ficedula zanthopygia")</f>
        <v>https://apiv3.iucnredlist.org/api/v3/website/Ficedula zanthopygia</v>
      </c>
      <c r="H813" s="90">
        <v>331</v>
      </c>
      <c r="J813" s="87" t="s">
        <v>1358</v>
      </c>
      <c r="K813" s="92" t="s">
        <v>1405</v>
      </c>
      <c r="M813" s="93" t="s">
        <v>1406</v>
      </c>
      <c r="N813" s="90" t="s">
        <v>49</v>
      </c>
      <c r="Q813" s="2" t="s">
        <v>3164</v>
      </c>
      <c r="R813" s="2" t="s">
        <v>6459</v>
      </c>
    </row>
    <row r="814" spans="1:18" ht="14.4" x14ac:dyDescent="0.3">
      <c r="A814" s="85">
        <v>648</v>
      </c>
      <c r="B814" s="76" t="s">
        <v>4127</v>
      </c>
      <c r="C814" s="77" t="str">
        <f>HYPERLINK("https://www.xeno-canto.org/species/Ficedula-narcissina")</f>
        <v>https://www.xeno-canto.org/species/Ficedula-narcissina</v>
      </c>
      <c r="D814" s="94" t="str">
        <f>HYPERLINK("https://ebird.org/species/narfly2")</f>
        <v>https://ebird.org/species/narfly2</v>
      </c>
      <c r="E814" s="122" t="str">
        <f>HYPERLINK("https://en.wikipedia.org/wiki/Narcissus_Flycatcher")</f>
        <v>https://en.wikipedia.org/wiki/Narcissus_Flycatcher</v>
      </c>
      <c r="F814" s="123" t="str">
        <f>HYPERLINK("https://apiv3.iucnredlist.org/api/v3/website/Ficedula narcissina")</f>
        <v>https://apiv3.iucnredlist.org/api/v3/website/Ficedula narcissina</v>
      </c>
      <c r="G814" s="90">
        <v>61</v>
      </c>
      <c r="H814" s="90">
        <v>331</v>
      </c>
      <c r="J814" s="87" t="s">
        <v>1358</v>
      </c>
      <c r="K814" s="95" t="s">
        <v>1407</v>
      </c>
      <c r="M814" s="93" t="s">
        <v>1408</v>
      </c>
      <c r="N814" s="90" t="s">
        <v>89</v>
      </c>
      <c r="Q814" s="2" t="s">
        <v>4080</v>
      </c>
    </row>
    <row r="815" spans="1:18" ht="14.4" x14ac:dyDescent="0.3">
      <c r="A815" s="85">
        <v>649</v>
      </c>
      <c r="B815" s="76" t="s">
        <v>4128</v>
      </c>
      <c r="C815" s="77" t="str">
        <f>HYPERLINK("https://www.xeno-canto.org/species/Ficedula-mugimaki")</f>
        <v>https://www.xeno-canto.org/species/Ficedula-mugimaki</v>
      </c>
      <c r="D815" s="94" t="str">
        <f>HYPERLINK("https://ebird.org/species/mugfly")</f>
        <v>https://ebird.org/species/mugfly</v>
      </c>
      <c r="E815" s="122" t="str">
        <f>HYPERLINK("https://en.wikipedia.org/wiki/Mugimaki_Flycatcher")</f>
        <v>https://en.wikipedia.org/wiki/Mugimaki_Flycatcher</v>
      </c>
      <c r="F815" s="123" t="str">
        <f>HYPERLINK("https://apiv3.iucnredlist.org/api/v3/website/Ficedula mugimaki")</f>
        <v>https://apiv3.iucnredlist.org/api/v3/website/Ficedula mugimaki</v>
      </c>
      <c r="G815" s="90">
        <v>61</v>
      </c>
      <c r="H815" s="90">
        <v>331</v>
      </c>
      <c r="J815" s="87" t="s">
        <v>1358</v>
      </c>
      <c r="K815" s="95" t="s">
        <v>1409</v>
      </c>
      <c r="M815" s="93" t="s">
        <v>1410</v>
      </c>
      <c r="N815" s="90" t="s">
        <v>89</v>
      </c>
      <c r="Q815" s="2" t="s">
        <v>3217</v>
      </c>
    </row>
    <row r="816" spans="1:18" ht="20.399999999999999" x14ac:dyDescent="0.3">
      <c r="A816" s="85">
        <v>650</v>
      </c>
      <c r="B816" s="76" t="s">
        <v>4129</v>
      </c>
      <c r="C816" s="77" t="str">
        <f>HYPERLINK("https://www.xeno-canto.org/species/Ficedula-westermanni")</f>
        <v>https://www.xeno-canto.org/species/Ficedula-westermanni</v>
      </c>
      <c r="D816" s="94" t="str">
        <f>HYPERLINK("https://ebird.org/species/lipfly1")</f>
        <v>https://ebird.org/species/lipfly1</v>
      </c>
      <c r="E816" s="122" t="str">
        <f>HYPERLINK("https://en.wikipedia.org/wiki/Little_Pied_Flycatcher")</f>
        <v>https://en.wikipedia.org/wiki/Little_Pied_Flycatcher</v>
      </c>
      <c r="F816" s="123" t="str">
        <f>HYPERLINK("https://apiv3.iucnredlist.org/api/v3/website/Ficedula westermanni")</f>
        <v>https://apiv3.iucnredlist.org/api/v3/website/Ficedula westermanni</v>
      </c>
      <c r="G816" s="90">
        <v>61</v>
      </c>
      <c r="H816" s="90">
        <v>333</v>
      </c>
      <c r="J816" s="87" t="s">
        <v>1358</v>
      </c>
      <c r="K816" s="95" t="s">
        <v>1423</v>
      </c>
      <c r="M816" s="93" t="s">
        <v>1424</v>
      </c>
      <c r="N816" s="90" t="s">
        <v>37</v>
      </c>
      <c r="Q816" s="2" t="s">
        <v>4130</v>
      </c>
    </row>
    <row r="817" spans="1:18" ht="20.399999999999999" x14ac:dyDescent="0.3">
      <c r="A817" s="85">
        <v>651</v>
      </c>
      <c r="B817" s="76" t="s">
        <v>6600</v>
      </c>
      <c r="C817" s="77" t="str">
        <f>HYPERLINK("https://www.xeno-canto.org/species/Ficedula-parva")</f>
        <v>https://www.xeno-canto.org/species/Ficedula-parva</v>
      </c>
      <c r="D817" s="94" t="str">
        <f>HYPERLINK("https://ebird.org/species/rebfly")</f>
        <v>https://ebird.org/species/rebfly</v>
      </c>
      <c r="E817" s="122" t="str">
        <f>HYPERLINK("https://en.wikipedia.org/wiki/Red-breasted_Flycatcher")</f>
        <v>https://en.wikipedia.org/wiki/Red-breasted_Flycatcher</v>
      </c>
      <c r="F817" s="123" t="str">
        <f>HYPERLINK("https://apiv3.iucnredlist.org/api/v3/website/Ficedula parva")</f>
        <v>https://apiv3.iucnredlist.org/api/v3/website/Ficedula parva</v>
      </c>
      <c r="J817" s="87" t="s">
        <v>1358</v>
      </c>
      <c r="K817" s="96" t="s">
        <v>2215</v>
      </c>
      <c r="M817" s="97" t="s">
        <v>6601</v>
      </c>
      <c r="N817" s="90" t="s">
        <v>49</v>
      </c>
      <c r="R817" s="2" t="s">
        <v>6602</v>
      </c>
    </row>
    <row r="818" spans="1:18" ht="20.399999999999999" x14ac:dyDescent="0.3">
      <c r="A818" s="85">
        <v>652</v>
      </c>
      <c r="B818" s="76" t="s">
        <v>4131</v>
      </c>
      <c r="C818" s="77" t="str">
        <f>HYPERLINK("https://www.xeno-canto.org/species/Ficedula-albicilla")</f>
        <v>https://www.xeno-canto.org/species/Ficedula-albicilla</v>
      </c>
      <c r="D818" s="94" t="str">
        <f>HYPERLINK("https://ebird.org/species/taifly1")</f>
        <v>https://ebird.org/species/taifly1</v>
      </c>
      <c r="E818" s="122" t="str">
        <f>HYPERLINK("https://en.wikipedia.org/wiki/Taiga_Flycatcher")</f>
        <v>https://en.wikipedia.org/wiki/Taiga_Flycatcher</v>
      </c>
      <c r="F818" s="123" t="str">
        <f>HYPERLINK("https://apiv3.iucnredlist.org/api/v3/website/Ficedula albicilla")</f>
        <v>https://apiv3.iucnredlist.org/api/v3/website/Ficedula albicilla</v>
      </c>
      <c r="G818" s="90">
        <v>61</v>
      </c>
      <c r="H818" s="90">
        <v>333</v>
      </c>
      <c r="J818" s="87" t="s">
        <v>1358</v>
      </c>
      <c r="K818" s="92" t="s">
        <v>1411</v>
      </c>
      <c r="L818" s="86" t="s">
        <v>2216</v>
      </c>
      <c r="M818" s="93" t="s">
        <v>1412</v>
      </c>
      <c r="N818" s="90" t="s">
        <v>49</v>
      </c>
      <c r="Q818" s="2" t="s">
        <v>3164</v>
      </c>
      <c r="R818" s="2" t="s">
        <v>6460</v>
      </c>
    </row>
    <row r="819" spans="1:18" ht="14.4" x14ac:dyDescent="0.3">
      <c r="A819" s="85">
        <v>653</v>
      </c>
      <c r="B819" s="76" t="s">
        <v>4132</v>
      </c>
      <c r="C819" s="77" t="str">
        <f>HYPERLINK("https://www.xeno-canto.org/species/Ficedula-disposita")</f>
        <v>https://www.xeno-canto.org/species/Ficedula-disposita</v>
      </c>
      <c r="D819" s="94" t="str">
        <f>HYPERLINK("https://ebird.org/species/furfly1")</f>
        <v>https://ebird.org/species/furfly1</v>
      </c>
      <c r="E819" s="122" t="str">
        <f>HYPERLINK("https://en.wikipedia.org/wiki/Furtive_Flycatcher")</f>
        <v>https://en.wikipedia.org/wiki/Furtive_Flycatcher</v>
      </c>
      <c r="F819" s="123" t="str">
        <f>HYPERLINK("https://apiv3.iucnredlist.org/api/v3/website/Ficedula disposita")</f>
        <v>https://apiv3.iucnredlist.org/api/v3/website/Ficedula disposita</v>
      </c>
      <c r="G819" s="90">
        <v>61</v>
      </c>
      <c r="H819" s="90">
        <v>335</v>
      </c>
      <c r="J819" s="87" t="s">
        <v>1358</v>
      </c>
      <c r="K819" s="98" t="s">
        <v>1421</v>
      </c>
      <c r="M819" s="99" t="s">
        <v>1422</v>
      </c>
      <c r="N819" s="90" t="s">
        <v>57</v>
      </c>
      <c r="O819" s="90" t="s">
        <v>50</v>
      </c>
      <c r="Q819" s="2" t="s">
        <v>4003</v>
      </c>
      <c r="R819" s="2" t="s">
        <v>9</v>
      </c>
    </row>
    <row r="820" spans="1:18" ht="14.4" x14ac:dyDescent="0.3">
      <c r="A820" s="85">
        <v>654</v>
      </c>
      <c r="B820" s="76" t="s">
        <v>4133</v>
      </c>
      <c r="C820" s="77" t="str">
        <f>HYPERLINK("https://www.xeno-canto.org/species/Ficedula-platenae")</f>
        <v>https://www.xeno-canto.org/species/Ficedula-platenae</v>
      </c>
      <c r="D820" s="94" t="str">
        <f>HYPERLINK("https://ebird.org/species/palfly1")</f>
        <v>https://ebird.org/species/palfly1</v>
      </c>
      <c r="E820" s="122" t="str">
        <f>HYPERLINK("https://en.wikipedia.org/wiki/Palawan_Flycatcher")</f>
        <v>https://en.wikipedia.org/wiki/Palawan_Flycatcher</v>
      </c>
      <c r="F820" s="123" t="str">
        <f>HYPERLINK("https://apiv3.iucnredlist.org/api/v3/website/Ficedula platenae")</f>
        <v>https://apiv3.iucnredlist.org/api/v3/website/Ficedula platenae</v>
      </c>
      <c r="G820" s="90">
        <v>61</v>
      </c>
      <c r="H820" s="90">
        <v>335</v>
      </c>
      <c r="J820" s="87" t="s">
        <v>1358</v>
      </c>
      <c r="K820" s="98" t="s">
        <v>1415</v>
      </c>
      <c r="M820" s="99" t="s">
        <v>1416</v>
      </c>
      <c r="N820" s="90" t="s">
        <v>57</v>
      </c>
      <c r="O820" s="90" t="s">
        <v>38</v>
      </c>
      <c r="P820" s="90" t="s">
        <v>38</v>
      </c>
      <c r="Q820" s="2" t="s">
        <v>4134</v>
      </c>
    </row>
    <row r="821" spans="1:18" ht="14.4" x14ac:dyDescent="0.3">
      <c r="A821" s="85">
        <v>655</v>
      </c>
      <c r="B821" s="76" t="s">
        <v>4135</v>
      </c>
      <c r="C821" s="77" t="str">
        <f>HYPERLINK("https://www.xeno-canto.org/species/Ficedula-basilanica")</f>
        <v>https://www.xeno-canto.org/species/Ficedula-basilanica</v>
      </c>
      <c r="D821" s="94" t="str">
        <f>HYPERLINK("https://ebird.org/species/lisfly1")</f>
        <v>https://ebird.org/species/lisfly1</v>
      </c>
      <c r="E821" s="122" t="str">
        <f>HYPERLINK("https://en.wikipedia.org/wiki/Little_Slaty_Flycatcher")</f>
        <v>https://en.wikipedia.org/wiki/Little_Slaty_Flycatcher</v>
      </c>
      <c r="F821" s="123" t="str">
        <f>HYPERLINK("https://apiv3.iucnredlist.org/api/v3/website/Ficedula basilanica")</f>
        <v>https://apiv3.iucnredlist.org/api/v3/website/Ficedula basilanica</v>
      </c>
      <c r="G821" s="90">
        <v>61</v>
      </c>
      <c r="H821" s="90">
        <v>333</v>
      </c>
      <c r="J821" s="87" t="s">
        <v>1358</v>
      </c>
      <c r="K821" s="98" t="s">
        <v>1413</v>
      </c>
      <c r="M821" s="99" t="s">
        <v>1414</v>
      </c>
      <c r="N821" s="90" t="s">
        <v>57</v>
      </c>
      <c r="O821" s="90" t="s">
        <v>38</v>
      </c>
      <c r="P821" s="90" t="s">
        <v>38</v>
      </c>
      <c r="Q821" s="2" t="s">
        <v>4136</v>
      </c>
    </row>
    <row r="822" spans="1:18" ht="20.399999999999999" x14ac:dyDescent="0.3">
      <c r="A822" s="85">
        <v>656</v>
      </c>
      <c r="B822" s="76" t="s">
        <v>4138</v>
      </c>
      <c r="C822" s="77" t="str">
        <f>HYPERLINK("https://www.xeno-canto.org/species/Ficedula-luzoniensis")</f>
        <v>https://www.xeno-canto.org/species/Ficedula-luzoniensis</v>
      </c>
      <c r="D822" s="94" t="str">
        <f>HYPERLINK("https://ebird.org/species/bunfly1")</f>
        <v>https://ebird.org/species/bunfly1</v>
      </c>
      <c r="E822" s="122" t="str">
        <f>HYPERLINK("https://en.wikipedia.org/wiki/Bundok_Flycatcher")</f>
        <v>https://en.wikipedia.org/wiki/Bundok_Flycatcher</v>
      </c>
      <c r="F822" s="123" t="str">
        <f>HYPERLINK("https://apiv3.iucnredlist.org/api/v3/website/Ficedula luzoniensis")</f>
        <v>https://apiv3.iucnredlist.org/api/v3/website/Ficedula luzoniensis</v>
      </c>
      <c r="G822" s="90">
        <v>61</v>
      </c>
      <c r="H822" s="90">
        <v>333</v>
      </c>
      <c r="J822" s="87" t="s">
        <v>1358</v>
      </c>
      <c r="K822" s="98" t="s">
        <v>1419</v>
      </c>
      <c r="L822" s="86" t="s">
        <v>2220</v>
      </c>
      <c r="M822" s="99" t="s">
        <v>1420</v>
      </c>
      <c r="N822" s="90" t="s">
        <v>57</v>
      </c>
      <c r="Q822" s="2" t="s">
        <v>4139</v>
      </c>
    </row>
    <row r="823" spans="1:18" ht="14.4" x14ac:dyDescent="0.3">
      <c r="A823" s="85">
        <v>657</v>
      </c>
      <c r="B823" s="76" t="s">
        <v>4137</v>
      </c>
      <c r="C823" s="77" t="str">
        <f>HYPERLINK("https://www.xeno-canto.org/species/Ficedula-crypta")</f>
        <v>https://www.xeno-canto.org/species/Ficedula-crypta</v>
      </c>
      <c r="D823" s="94" t="str">
        <f>HYPERLINK("https://ebird.org/species/rutfly7")</f>
        <v>https://ebird.org/species/rutfly7</v>
      </c>
      <c r="E823" s="122" t="str">
        <f>HYPERLINK("https://en.wikipedia.org/wiki/Cryptic_Flycatcher")</f>
        <v>https://en.wikipedia.org/wiki/Cryptic_Flycatcher</v>
      </c>
      <c r="F823" s="123" t="str">
        <f>HYPERLINK("https://apiv3.iucnredlist.org/api/v3/website/Ficedula crypta")</f>
        <v>https://apiv3.iucnredlist.org/api/v3/website/Ficedula crypta</v>
      </c>
      <c r="G823" s="90">
        <v>61</v>
      </c>
      <c r="H823" s="90">
        <v>335</v>
      </c>
      <c r="J823" s="87" t="s">
        <v>1358</v>
      </c>
      <c r="K823" s="98" t="s">
        <v>1417</v>
      </c>
      <c r="M823" s="99" t="s">
        <v>1418</v>
      </c>
      <c r="N823" s="90" t="s">
        <v>57</v>
      </c>
      <c r="Q823" s="2" t="s">
        <v>4112</v>
      </c>
    </row>
    <row r="824" spans="1:18" ht="30.6" x14ac:dyDescent="0.3">
      <c r="A824" s="85">
        <v>658</v>
      </c>
      <c r="B824" s="76" t="s">
        <v>4124</v>
      </c>
      <c r="C824" s="77" t="str">
        <f>HYPERLINK("https://www.xeno-canto.org/species/Tarsiger-cyanurus")</f>
        <v>https://www.xeno-canto.org/species/Tarsiger-cyanurus</v>
      </c>
      <c r="D824" s="94" t="str">
        <f>HYPERLINK("https://ebird.org/species/refblu")</f>
        <v>https://ebird.org/species/refblu</v>
      </c>
      <c r="E824" s="122" t="str">
        <f>HYPERLINK("https://en.wikipedia.org/wiki/Red-flanked_Bluetail")</f>
        <v>https://en.wikipedia.org/wiki/Red-flanked_Bluetail</v>
      </c>
      <c r="F824" s="123" t="str">
        <f>HYPERLINK("https://apiv3.iucnredlist.org/api/v3/website/Tarsiger cyanurus")</f>
        <v>https://apiv3.iucnredlist.org/api/v3/website/Tarsiger cyanurus</v>
      </c>
      <c r="H824" s="90">
        <v>331</v>
      </c>
      <c r="J824" s="87" t="s">
        <v>1358</v>
      </c>
      <c r="K824" s="92" t="s">
        <v>1403</v>
      </c>
      <c r="L824" s="86" t="s">
        <v>2211</v>
      </c>
      <c r="M824" s="93" t="s">
        <v>1404</v>
      </c>
      <c r="N824" s="90" t="s">
        <v>49</v>
      </c>
      <c r="Q824" s="2" t="s">
        <v>4125</v>
      </c>
      <c r="R824" s="2" t="s">
        <v>6603</v>
      </c>
    </row>
    <row r="825" spans="1:18" ht="14.4" x14ac:dyDescent="0.3">
      <c r="A825" s="85">
        <v>659</v>
      </c>
      <c r="B825" s="76" t="s">
        <v>4141</v>
      </c>
      <c r="C825" s="77" t="str">
        <f>HYPERLINK("https://www.xeno-canto.org/species/Phoenicurus-bicolor")</f>
        <v>https://www.xeno-canto.org/species/Phoenicurus-bicolor</v>
      </c>
      <c r="D825" s="94" t="str">
        <f>HYPERLINK("https://ebird.org/species/luzred1")</f>
        <v>https://ebird.org/species/luzred1</v>
      </c>
      <c r="E825" s="122" t="str">
        <f>HYPERLINK("https://en.wikipedia.org/wiki/Luzon_Water_Redstart")</f>
        <v>https://en.wikipedia.org/wiki/Luzon_Water_Redstart</v>
      </c>
      <c r="F825" s="123" t="str">
        <f>HYPERLINK("https://apiv3.iucnredlist.org/api/v3/website/Phoenicurus bicolor")</f>
        <v>https://apiv3.iucnredlist.org/api/v3/website/Phoenicurus bicolor</v>
      </c>
      <c r="G825" s="90">
        <v>54</v>
      </c>
      <c r="H825" s="90">
        <v>335</v>
      </c>
      <c r="J825" s="87" t="s">
        <v>1358</v>
      </c>
      <c r="K825" s="98" t="s">
        <v>1427</v>
      </c>
      <c r="M825" s="99" t="s">
        <v>1428</v>
      </c>
      <c r="N825" s="90" t="s">
        <v>57</v>
      </c>
      <c r="O825" s="90" t="s">
        <v>38</v>
      </c>
      <c r="P825" s="90" t="s">
        <v>38</v>
      </c>
      <c r="Q825" s="2" t="s">
        <v>4142</v>
      </c>
    </row>
    <row r="826" spans="1:18" ht="20.399999999999999" x14ac:dyDescent="0.3">
      <c r="A826" s="85">
        <v>660</v>
      </c>
      <c r="B826" s="76" t="s">
        <v>4140</v>
      </c>
      <c r="C826" s="77" t="str">
        <f>HYPERLINK("https://www.xeno-canto.org/species/Phoenicurus-auroreus")</f>
        <v>https://www.xeno-canto.org/species/Phoenicurus-auroreus</v>
      </c>
      <c r="D826" s="94" t="str">
        <f>HYPERLINK("https://ebird.org/species/daured1")</f>
        <v>https://ebird.org/species/daured1</v>
      </c>
      <c r="E826" s="122" t="str">
        <f>HYPERLINK("https://en.wikipedia.org/wiki/Daurian_Redstart")</f>
        <v>https://en.wikipedia.org/wiki/Daurian_Redstart</v>
      </c>
      <c r="F826" s="123" t="str">
        <f>HYPERLINK("https://apiv3.iucnredlist.org/api/v3/website/Phoenicurus auroreus")</f>
        <v>https://apiv3.iucnredlist.org/api/v3/website/Phoenicurus auroreus</v>
      </c>
      <c r="G826" s="90">
        <v>54</v>
      </c>
      <c r="H826" s="90">
        <v>335</v>
      </c>
      <c r="J826" s="87" t="s">
        <v>1358</v>
      </c>
      <c r="K826" s="95" t="s">
        <v>1425</v>
      </c>
      <c r="M826" s="93" t="s">
        <v>1426</v>
      </c>
      <c r="N826" s="90" t="s">
        <v>89</v>
      </c>
      <c r="Q826" s="2" t="s">
        <v>3959</v>
      </c>
      <c r="R826" s="2" t="s">
        <v>6461</v>
      </c>
    </row>
    <row r="827" spans="1:18" ht="20.399999999999999" x14ac:dyDescent="0.3">
      <c r="A827" s="85">
        <v>661</v>
      </c>
      <c r="B827" s="76" t="s">
        <v>4143</v>
      </c>
      <c r="C827" s="77" t="str">
        <f>HYPERLINK("https://www.xeno-canto.org/species/Monticola-solitarius")</f>
        <v>https://www.xeno-canto.org/species/Monticola-solitarius</v>
      </c>
      <c r="D827" s="94" t="str">
        <f>HYPERLINK("https://ebird.org/species/burthr")</f>
        <v>https://ebird.org/species/burthr</v>
      </c>
      <c r="E827" s="122" t="str">
        <f>HYPERLINK("https://en.wikipedia.org/wiki/Blue_Rock_Thrush")</f>
        <v>https://en.wikipedia.org/wiki/Blue_Rock_Thrush</v>
      </c>
      <c r="F827" s="123" t="str">
        <f>HYPERLINK("https://apiv3.iucnredlist.org/api/v3/website/Monticola solitarius")</f>
        <v>https://apiv3.iucnredlist.org/api/v3/website/Monticola solitarius</v>
      </c>
      <c r="G827" s="90">
        <v>54</v>
      </c>
      <c r="H827" s="90">
        <v>337</v>
      </c>
      <c r="J827" s="87" t="s">
        <v>1358</v>
      </c>
      <c r="K827" s="95" t="s">
        <v>1429</v>
      </c>
      <c r="M827" s="93" t="s">
        <v>1430</v>
      </c>
      <c r="N827" s="90" t="s">
        <v>346</v>
      </c>
      <c r="Q827" s="2" t="s">
        <v>4144</v>
      </c>
    </row>
    <row r="828" spans="1:18" ht="20.399999999999999" x14ac:dyDescent="0.3">
      <c r="A828" s="85">
        <v>662</v>
      </c>
      <c r="B828" s="76" t="s">
        <v>4147</v>
      </c>
      <c r="C828" s="77" t="str">
        <f>HYPERLINK("https://www.xeno-canto.org/species/Saxicola-caprata")</f>
        <v>https://www.xeno-canto.org/species/Saxicola-caprata</v>
      </c>
      <c r="D828" s="94" t="str">
        <f>HYPERLINK("https://ebird.org/species/piebus1")</f>
        <v>https://ebird.org/species/piebus1</v>
      </c>
      <c r="E828" s="122" t="str">
        <f>HYPERLINK("https://en.wikipedia.org/wiki/Pied_Bush_Chat")</f>
        <v>https://en.wikipedia.org/wiki/Pied_Bush_Chat</v>
      </c>
      <c r="F828" s="123" t="str">
        <f>HYPERLINK("https://apiv3.iucnredlist.org/api/v3/website/Saxicola caprata")</f>
        <v>https://apiv3.iucnredlist.org/api/v3/website/Saxicola caprata</v>
      </c>
      <c r="G828" s="90">
        <v>54</v>
      </c>
      <c r="H828" s="90">
        <v>337</v>
      </c>
      <c r="J828" s="87" t="s">
        <v>1358</v>
      </c>
      <c r="K828" s="95" t="s">
        <v>1432</v>
      </c>
      <c r="M828" s="93" t="s">
        <v>1433</v>
      </c>
      <c r="N828" s="90" t="s">
        <v>37</v>
      </c>
      <c r="Q828" s="2" t="s">
        <v>4148</v>
      </c>
    </row>
    <row r="829" spans="1:18" ht="30.6" x14ac:dyDescent="0.3">
      <c r="A829" s="85">
        <v>663</v>
      </c>
      <c r="B829" s="76" t="s">
        <v>4145</v>
      </c>
      <c r="C829" s="77" t="str">
        <f>HYPERLINK("https://www.xeno-canto.org/species/Saxicola-stejnegeri")</f>
        <v>https://www.xeno-canto.org/species/Saxicola-stejnegeri</v>
      </c>
      <c r="D829" s="94" t="str">
        <f>HYPERLINK("https://ebird.org/species/stonec7")</f>
        <v>https://ebird.org/species/stonec7</v>
      </c>
      <c r="E829" s="122" t="str">
        <f>HYPERLINK("https://en.wikipedia.org/wiki/Amur_Stonechat")</f>
        <v>https://en.wikipedia.org/wiki/Amur_Stonechat</v>
      </c>
      <c r="F829" s="123" t="str">
        <f>HYPERLINK("https://apiv3.iucnredlist.org/api/v3/website/Saxicola stejnegeri")</f>
        <v>https://apiv3.iucnredlist.org/api/v3/website/Saxicola stejnegeri</v>
      </c>
      <c r="H829" s="90">
        <v>337</v>
      </c>
      <c r="J829" s="87" t="s">
        <v>1358</v>
      </c>
      <c r="K829" s="92" t="s">
        <v>5188</v>
      </c>
      <c r="L829" s="86" t="s">
        <v>4146</v>
      </c>
      <c r="M829" s="93" t="s">
        <v>1431</v>
      </c>
      <c r="N829" s="90" t="s">
        <v>49</v>
      </c>
      <c r="Q829" s="2" t="s">
        <v>3799</v>
      </c>
      <c r="R829" s="2" t="s">
        <v>6604</v>
      </c>
    </row>
    <row r="830" spans="1:18" ht="20.399999999999999" x14ac:dyDescent="0.3">
      <c r="A830" s="85">
        <v>664</v>
      </c>
      <c r="B830" s="76" t="s">
        <v>4149</v>
      </c>
      <c r="C830" s="77" t="str">
        <f>HYPERLINK("https://www.xeno-canto.org/species/Oenanthe-oenanthe")</f>
        <v>https://www.xeno-canto.org/species/Oenanthe-oenanthe</v>
      </c>
      <c r="D830" s="94" t="str">
        <f>HYPERLINK("https://ebird.org/species/norwhe")</f>
        <v>https://ebird.org/species/norwhe</v>
      </c>
      <c r="E830" s="122" t="str">
        <f>HYPERLINK("https://en.wikipedia.org/wiki/Northern_Wheatear")</f>
        <v>https://en.wikipedia.org/wiki/Northern_Wheatear</v>
      </c>
      <c r="F830" s="123" t="str">
        <f>HYPERLINK("https://apiv3.iucnredlist.org/api/v3/website/Oenanthe oenanthe")</f>
        <v>https://apiv3.iucnredlist.org/api/v3/website/Oenanthe oenanthe</v>
      </c>
      <c r="G830" s="90">
        <v>54</v>
      </c>
      <c r="H830" s="90">
        <v>337</v>
      </c>
      <c r="J830" s="87" t="s">
        <v>1358</v>
      </c>
      <c r="K830" s="92" t="s">
        <v>1434</v>
      </c>
      <c r="M830" s="93" t="s">
        <v>1435</v>
      </c>
      <c r="N830" s="90" t="s">
        <v>49</v>
      </c>
      <c r="Q830" s="2" t="s">
        <v>4125</v>
      </c>
      <c r="R830" s="2" t="s">
        <v>6462</v>
      </c>
    </row>
    <row r="832" spans="1:18" ht="12" x14ac:dyDescent="0.3">
      <c r="K832" s="88" t="s">
        <v>1436</v>
      </c>
      <c r="M832" s="89" t="s">
        <v>1437</v>
      </c>
    </row>
    <row r="833" spans="1:18" ht="14.4" x14ac:dyDescent="0.3">
      <c r="A833" s="85">
        <v>665</v>
      </c>
      <c r="B833" s="74" t="s">
        <v>4150</v>
      </c>
      <c r="C833" s="75" t="str">
        <f>HYPERLINK("https://www.xeno-canto.org/species/Chloropsis-flavipennis")</f>
        <v>https://www.xeno-canto.org/species/Chloropsis-flavipennis</v>
      </c>
      <c r="D833" s="91" t="str">
        <f>HYPERLINK("https://ebird.org/species/philea1")</f>
        <v>https://ebird.org/species/philea1</v>
      </c>
      <c r="E833" s="120" t="str">
        <f>HYPERLINK("https://en.wikipedia.org/wiki/Philippine_Leafbird")</f>
        <v>https://en.wikipedia.org/wiki/Philippine_Leafbird</v>
      </c>
      <c r="F833" s="121" t="str">
        <f>HYPERLINK("https://apiv3.iucnredlist.org/api/v3/website/Chloropsis flavipennis")</f>
        <v>https://apiv3.iucnredlist.org/api/v3/website/Chloropsis flavipennis</v>
      </c>
      <c r="G833" s="90">
        <v>46</v>
      </c>
      <c r="H833" s="90">
        <v>339</v>
      </c>
      <c r="J833" s="87" t="s">
        <v>1437</v>
      </c>
      <c r="K833" s="98" t="s">
        <v>1438</v>
      </c>
      <c r="M833" s="99" t="s">
        <v>1439</v>
      </c>
      <c r="N833" s="90" t="s">
        <v>57</v>
      </c>
      <c r="O833" s="90" t="s">
        <v>38</v>
      </c>
      <c r="P833" s="90" t="s">
        <v>112</v>
      </c>
      <c r="Q833" s="2" t="s">
        <v>4151</v>
      </c>
    </row>
    <row r="834" spans="1:18" ht="14.4" x14ac:dyDescent="0.3">
      <c r="A834" s="85">
        <v>666</v>
      </c>
      <c r="B834" s="76" t="s">
        <v>4152</v>
      </c>
      <c r="C834" s="77" t="str">
        <f>HYPERLINK("https://www.xeno-canto.org/species/Chloropsis-palawanensis")</f>
        <v>https://www.xeno-canto.org/species/Chloropsis-palawanensis</v>
      </c>
      <c r="D834" s="94" t="str">
        <f>HYPERLINK("https://ebird.org/species/yetlea1")</f>
        <v>https://ebird.org/species/yetlea1</v>
      </c>
      <c r="E834" s="122" t="str">
        <f>HYPERLINK("https://en.wikipedia.org/wiki/Yellow-throated_Leafbird")</f>
        <v>https://en.wikipedia.org/wiki/Yellow-throated_Leafbird</v>
      </c>
      <c r="F834" s="123" t="str">
        <f>HYPERLINK("https://apiv3.iucnredlist.org/api/v3/website/Chloropsis palawanensis")</f>
        <v>https://apiv3.iucnredlist.org/api/v3/website/Chloropsis palawanensis</v>
      </c>
      <c r="G834" s="90">
        <v>46</v>
      </c>
      <c r="H834" s="90">
        <v>339</v>
      </c>
      <c r="J834" s="87" t="s">
        <v>1437</v>
      </c>
      <c r="K834" s="98" t="s">
        <v>1440</v>
      </c>
      <c r="M834" s="99" t="s">
        <v>1441</v>
      </c>
      <c r="N834" s="90" t="s">
        <v>57</v>
      </c>
      <c r="Q834" s="2" t="s">
        <v>4153</v>
      </c>
    </row>
    <row r="836" spans="1:18" ht="12" x14ac:dyDescent="0.3">
      <c r="K836" s="88" t="s">
        <v>1442</v>
      </c>
      <c r="M836" s="89" t="s">
        <v>1443</v>
      </c>
    </row>
    <row r="837" spans="1:18" ht="14.4" x14ac:dyDescent="0.3">
      <c r="A837" s="85">
        <v>667</v>
      </c>
      <c r="B837" s="74" t="s">
        <v>4154</v>
      </c>
      <c r="C837" s="75" t="str">
        <f>HYPERLINK("https://www.xeno-canto.org/species/Prionochilus-olivaceus")</f>
        <v>https://www.xeno-canto.org/species/Prionochilus-olivaceus</v>
      </c>
      <c r="D837" s="91" t="str">
        <f>HYPERLINK("https://ebird.org/species/olbflo1")</f>
        <v>https://ebird.org/species/olbflo1</v>
      </c>
      <c r="E837" s="120" t="str">
        <f>HYPERLINK("https://en.wikipedia.org/wiki/Olive-backed_Flowerpecker")</f>
        <v>https://en.wikipedia.org/wiki/Olive-backed_Flowerpecker</v>
      </c>
      <c r="F837" s="121" t="str">
        <f>HYPERLINK("https://apiv3.iucnredlist.org/api/v3/website/Prionochilus olivaceus")</f>
        <v>https://apiv3.iucnredlist.org/api/v3/website/Prionochilus olivaceus</v>
      </c>
      <c r="G837" s="90">
        <v>68</v>
      </c>
      <c r="H837" s="90">
        <v>341</v>
      </c>
      <c r="J837" s="87" t="s">
        <v>1443</v>
      </c>
      <c r="K837" s="98" t="s">
        <v>1444</v>
      </c>
      <c r="M837" s="99" t="s">
        <v>1445</v>
      </c>
      <c r="N837" s="90" t="s">
        <v>57</v>
      </c>
      <c r="Q837" s="2" t="s">
        <v>4155</v>
      </c>
    </row>
    <row r="838" spans="1:18" ht="14.4" x14ac:dyDescent="0.3">
      <c r="A838" s="85">
        <v>668</v>
      </c>
      <c r="B838" s="76" t="s">
        <v>4156</v>
      </c>
      <c r="C838" s="77" t="str">
        <f>HYPERLINK("https://www.xeno-canto.org/species/Prionochilus-plateni")</f>
        <v>https://www.xeno-canto.org/species/Prionochilus-plateni</v>
      </c>
      <c r="D838" s="94" t="str">
        <f>HYPERLINK("https://ebird.org/species/palflo1")</f>
        <v>https://ebird.org/species/palflo1</v>
      </c>
      <c r="E838" s="122" t="str">
        <f>HYPERLINK("https://en.wikipedia.org/wiki/Palawan_Flowerpecker")</f>
        <v>https://en.wikipedia.org/wiki/Palawan_Flowerpecker</v>
      </c>
      <c r="F838" s="123" t="str">
        <f>HYPERLINK("https://apiv3.iucnredlist.org/api/v3/website/Prionochilus plateni")</f>
        <v>https://apiv3.iucnredlist.org/api/v3/website/Prionochilus plateni</v>
      </c>
      <c r="G838" s="90">
        <v>68</v>
      </c>
      <c r="H838" s="90">
        <v>341</v>
      </c>
      <c r="J838" s="87" t="s">
        <v>1443</v>
      </c>
      <c r="K838" s="98" t="s">
        <v>1446</v>
      </c>
      <c r="M838" s="99" t="s">
        <v>1447</v>
      </c>
      <c r="N838" s="90" t="s">
        <v>57</v>
      </c>
      <c r="Q838" s="2" t="s">
        <v>4157</v>
      </c>
    </row>
    <row r="839" spans="1:18" ht="20.399999999999999" x14ac:dyDescent="0.3">
      <c r="A839" s="85">
        <v>669</v>
      </c>
      <c r="B839" s="76" t="s">
        <v>4158</v>
      </c>
      <c r="C839" s="77" t="str">
        <f>HYPERLINK("https://www.xeno-canto.org/species/Dicaeum-aeruginosum")</f>
        <v>https://www.xeno-canto.org/species/Dicaeum-aeruginosum</v>
      </c>
      <c r="D839" s="94" t="str">
        <f>HYPERLINK("https://ebird.org/species/thbflo3")</f>
        <v>https://ebird.org/species/thbflo3</v>
      </c>
      <c r="E839" s="122" t="str">
        <f>HYPERLINK("https://en.wikipedia.org/wiki/Striped_Flowerpecker")</f>
        <v>https://en.wikipedia.org/wiki/Striped_Flowerpecker</v>
      </c>
      <c r="F839" s="123" t="str">
        <f>HYPERLINK("https://apiv3.iucnredlist.org/api/v3/website/Dicaeum aeruginosum")</f>
        <v>https://apiv3.iucnredlist.org/api/v3/website/Dicaeum aeruginosum</v>
      </c>
      <c r="G839" s="90">
        <v>68</v>
      </c>
      <c r="H839" s="90">
        <v>341</v>
      </c>
      <c r="J839" s="87" t="s">
        <v>1443</v>
      </c>
      <c r="K839" s="98" t="s">
        <v>1448</v>
      </c>
      <c r="M839" s="99" t="s">
        <v>1449</v>
      </c>
      <c r="N839" s="90" t="s">
        <v>57</v>
      </c>
      <c r="Q839" s="2" t="s">
        <v>4159</v>
      </c>
      <c r="R839" s="2" t="s">
        <v>9</v>
      </c>
    </row>
    <row r="840" spans="1:18" ht="14.4" x14ac:dyDescent="0.3">
      <c r="A840" s="85">
        <v>670</v>
      </c>
      <c r="B840" s="76" t="s">
        <v>4160</v>
      </c>
      <c r="C840" s="77" t="str">
        <f>HYPERLINK("https://www.xeno-canto.org/species/Dicaeum-proprium")</f>
        <v>https://www.xeno-canto.org/species/Dicaeum-proprium</v>
      </c>
      <c r="D840" s="94" t="str">
        <f>HYPERLINK("https://ebird.org/species/whiflo1")</f>
        <v>https://ebird.org/species/whiflo1</v>
      </c>
      <c r="E840" s="122" t="str">
        <f>HYPERLINK("https://en.wikipedia.org/wiki/Whiskered_Flowerpecker")</f>
        <v>https://en.wikipedia.org/wiki/Whiskered_Flowerpecker</v>
      </c>
      <c r="F840" s="123" t="str">
        <f>HYPERLINK("https://apiv3.iucnredlist.org/api/v3/website/Dicaeum proprium")</f>
        <v>https://apiv3.iucnredlist.org/api/v3/website/Dicaeum proprium</v>
      </c>
      <c r="G840" s="90">
        <v>69</v>
      </c>
      <c r="H840" s="90">
        <v>343</v>
      </c>
      <c r="J840" s="87" t="s">
        <v>1443</v>
      </c>
      <c r="K840" s="98" t="s">
        <v>1450</v>
      </c>
      <c r="M840" s="99" t="s">
        <v>1451</v>
      </c>
      <c r="N840" s="90" t="s">
        <v>57</v>
      </c>
      <c r="P840" s="90" t="s">
        <v>38</v>
      </c>
      <c r="Q840" s="2" t="s">
        <v>4161</v>
      </c>
    </row>
    <row r="841" spans="1:18" ht="14.4" x14ac:dyDescent="0.3">
      <c r="A841" s="85">
        <v>671</v>
      </c>
      <c r="B841" s="76" t="s">
        <v>4162</v>
      </c>
      <c r="C841" s="77" t="str">
        <f>HYPERLINK("https://www.xeno-canto.org/species/Dicaeum-nigrilore")</f>
        <v>https://www.xeno-canto.org/species/Dicaeum-nigrilore</v>
      </c>
      <c r="D841" s="94" t="str">
        <f>HYPERLINK("https://ebird.org/species/olcflo1")</f>
        <v>https://ebird.org/species/olcflo1</v>
      </c>
      <c r="E841" s="122" t="str">
        <f>HYPERLINK("https://en.wikipedia.org/wiki/Olive-capped_Flowerpecker")</f>
        <v>https://en.wikipedia.org/wiki/Olive-capped_Flowerpecker</v>
      </c>
      <c r="F841" s="123" t="str">
        <f>HYPERLINK("https://apiv3.iucnredlist.org/api/v3/website/Dicaeum nigrilore")</f>
        <v>https://apiv3.iucnredlist.org/api/v3/website/Dicaeum nigrilore</v>
      </c>
      <c r="G841" s="90">
        <v>68</v>
      </c>
      <c r="H841" s="90">
        <v>349</v>
      </c>
      <c r="J841" s="87" t="s">
        <v>1443</v>
      </c>
      <c r="K841" s="98" t="s">
        <v>1452</v>
      </c>
      <c r="M841" s="99" t="s">
        <v>1453</v>
      </c>
      <c r="N841" s="90" t="s">
        <v>57</v>
      </c>
      <c r="Q841" s="2" t="s">
        <v>3788</v>
      </c>
    </row>
    <row r="842" spans="1:18" ht="14.4" x14ac:dyDescent="0.3">
      <c r="A842" s="85">
        <v>672</v>
      </c>
      <c r="B842" s="76" t="s">
        <v>4163</v>
      </c>
      <c r="C842" s="77" t="str">
        <f>HYPERLINK("https://www.xeno-canto.org/species/Dicaeum-anthonyi")</f>
        <v>https://www.xeno-canto.org/species/Dicaeum-anthonyi</v>
      </c>
      <c r="D842" s="94" t="str">
        <f>HYPERLINK("https://ebird.org/species/flcflo2")</f>
        <v>https://ebird.org/species/flcflo2</v>
      </c>
      <c r="E842" s="122" t="str">
        <f>HYPERLINK("https://en.wikipedia.org/wiki/Yellow-crowned_Flowerpecker")</f>
        <v>https://en.wikipedia.org/wiki/Yellow-crowned_Flowerpecker</v>
      </c>
      <c r="F842" s="123" t="str">
        <f>HYPERLINK("https://apiv3.iucnredlist.org/api/v3/website/Dicaeum anthonyi")</f>
        <v>https://apiv3.iucnredlist.org/api/v3/website/Dicaeum anthonyi</v>
      </c>
      <c r="G842" s="90">
        <v>68</v>
      </c>
      <c r="H842" s="90">
        <v>343</v>
      </c>
      <c r="J842" s="87" t="s">
        <v>1443</v>
      </c>
      <c r="K842" s="98" t="s">
        <v>2226</v>
      </c>
      <c r="M842" s="99" t="s">
        <v>1455</v>
      </c>
      <c r="N842" s="90" t="s">
        <v>57</v>
      </c>
      <c r="O842" s="90" t="s">
        <v>50</v>
      </c>
      <c r="P842" s="90" t="s">
        <v>186</v>
      </c>
      <c r="Q842" s="2" t="s">
        <v>4709</v>
      </c>
    </row>
    <row r="843" spans="1:18" ht="14.4" x14ac:dyDescent="0.3">
      <c r="A843" s="85">
        <v>673</v>
      </c>
      <c r="B843" s="76" t="s">
        <v>5189</v>
      </c>
      <c r="C843" s="77" t="str">
        <f>HYPERLINK("https://www.xeno-canto.org/species/Dicaeum-kampalili")</f>
        <v>https://www.xeno-canto.org/species/Dicaeum-kampalili</v>
      </c>
      <c r="D843" s="94" t="str">
        <f>HYPERLINK("https://ebird.org/species/flcflo3")</f>
        <v>https://ebird.org/species/flcflo3</v>
      </c>
      <c r="E843" s="122" t="str">
        <f>HYPERLINK("https://en.wikipedia.org/wiki/Flame-crowned_Flowerpecker")</f>
        <v>https://en.wikipedia.org/wiki/Flame-crowned_Flowerpecker</v>
      </c>
      <c r="F843" s="123" t="str">
        <f>HYPERLINK("https://apiv3.iucnredlist.org/api/v3/website/Dicaeum kampalili")</f>
        <v>https://apiv3.iucnredlist.org/api/v3/website/Dicaeum kampalili</v>
      </c>
      <c r="H843" s="90">
        <v>343</v>
      </c>
      <c r="J843" s="87" t="s">
        <v>1443</v>
      </c>
      <c r="K843" s="98" t="s">
        <v>1454</v>
      </c>
      <c r="M843" s="99" t="s">
        <v>2849</v>
      </c>
      <c r="N843" s="90" t="s">
        <v>57</v>
      </c>
      <c r="O843" s="90" t="s">
        <v>50</v>
      </c>
      <c r="Q843" s="2" t="s">
        <v>4248</v>
      </c>
    </row>
    <row r="844" spans="1:18" ht="20.399999999999999" x14ac:dyDescent="0.3">
      <c r="A844" s="85">
        <v>674</v>
      </c>
      <c r="B844" s="76" t="s">
        <v>4164</v>
      </c>
      <c r="C844" s="77" t="str">
        <f>HYPERLINK("https://www.xeno-canto.org/species/Dicaeum-bicolor")</f>
        <v>https://www.xeno-canto.org/species/Dicaeum-bicolor</v>
      </c>
      <c r="D844" s="94" t="str">
        <f>HYPERLINK("https://ebird.org/species/bicflo1")</f>
        <v>https://ebird.org/species/bicflo1</v>
      </c>
      <c r="E844" s="122" t="str">
        <f>HYPERLINK("https://en.wikipedia.org/wiki/Bicolored_Flowerpecker")</f>
        <v>https://en.wikipedia.org/wiki/Bicolored_Flowerpecker</v>
      </c>
      <c r="F844" s="123" t="str">
        <f>HYPERLINK("https://apiv3.iucnredlist.org/api/v3/website/Dicaeum bicolor")</f>
        <v>https://apiv3.iucnredlist.org/api/v3/website/Dicaeum bicolor</v>
      </c>
      <c r="G844" s="90">
        <v>69</v>
      </c>
      <c r="H844" s="90">
        <v>343</v>
      </c>
      <c r="J844" s="87" t="s">
        <v>1443</v>
      </c>
      <c r="K844" s="98" t="s">
        <v>1456</v>
      </c>
      <c r="L844" s="86" t="s">
        <v>2227</v>
      </c>
      <c r="M844" s="99" t="s">
        <v>1457</v>
      </c>
      <c r="N844" s="90" t="s">
        <v>57</v>
      </c>
      <c r="Q844" s="2" t="s">
        <v>4165</v>
      </c>
    </row>
    <row r="845" spans="1:18" ht="20.399999999999999" x14ac:dyDescent="0.3">
      <c r="A845" s="85">
        <v>675</v>
      </c>
      <c r="B845" s="76" t="s">
        <v>4166</v>
      </c>
      <c r="C845" s="77" t="str">
        <f>HYPERLINK("https://www.xeno-canto.org/species/Dicaeum-australe")</f>
        <v>https://www.xeno-canto.org/species/Dicaeum-australe</v>
      </c>
      <c r="D845" s="94" t="str">
        <f>HYPERLINK("https://ebird.org/species/resflo1")</f>
        <v>https://ebird.org/species/resflo1</v>
      </c>
      <c r="E845" s="122" t="str">
        <f>HYPERLINK("https://en.wikipedia.org/wiki/Red-keeled_Flowerpecker")</f>
        <v>https://en.wikipedia.org/wiki/Red-keeled_Flowerpecker</v>
      </c>
      <c r="F845" s="123" t="str">
        <f>HYPERLINK("https://apiv3.iucnredlist.org/api/v3/website/Dicaeum australe")</f>
        <v>https://apiv3.iucnredlist.org/api/v3/website/Dicaeum australe</v>
      </c>
      <c r="G845" s="90">
        <v>69</v>
      </c>
      <c r="H845" s="90">
        <v>347</v>
      </c>
      <c r="J845" s="87" t="s">
        <v>1443</v>
      </c>
      <c r="K845" s="98" t="s">
        <v>1458</v>
      </c>
      <c r="M845" s="99" t="s">
        <v>1459</v>
      </c>
      <c r="N845" s="90" t="s">
        <v>57</v>
      </c>
      <c r="Q845" s="2" t="s">
        <v>4167</v>
      </c>
    </row>
    <row r="846" spans="1:18" ht="14.4" x14ac:dyDescent="0.3">
      <c r="A846" s="85">
        <v>676</v>
      </c>
      <c r="B846" s="76" t="s">
        <v>4168</v>
      </c>
      <c r="C846" s="77" t="str">
        <f>HYPERLINK("https://www.xeno-canto.org/species/Dicaeum-haematostictum")</f>
        <v>https://www.xeno-canto.org/species/Dicaeum-haematostictum</v>
      </c>
      <c r="D846" s="94" t="str">
        <f>HYPERLINK("https://ebird.org/species/rekflo1")</f>
        <v>https://ebird.org/species/rekflo1</v>
      </c>
      <c r="E846" s="122" t="str">
        <f>HYPERLINK("https://en.wikipedia.org/wiki/Black-belted_Flowerpecker")</f>
        <v>https://en.wikipedia.org/wiki/Black-belted_Flowerpecker</v>
      </c>
      <c r="F846" s="123" t="str">
        <f>HYPERLINK("https://apiv3.iucnredlist.org/api/v3/website/Dicaeum haematostictum")</f>
        <v>https://apiv3.iucnredlist.org/api/v3/website/Dicaeum haematostictum</v>
      </c>
      <c r="G846" s="90">
        <v>69</v>
      </c>
      <c r="H846" s="90">
        <v>347</v>
      </c>
      <c r="J846" s="87" t="s">
        <v>1443</v>
      </c>
      <c r="K846" s="98" t="s">
        <v>1460</v>
      </c>
      <c r="M846" s="99" t="s">
        <v>1461</v>
      </c>
      <c r="N846" s="90" t="s">
        <v>57</v>
      </c>
      <c r="O846" s="90" t="s">
        <v>38</v>
      </c>
      <c r="P846" s="90" t="s">
        <v>38</v>
      </c>
      <c r="Q846" s="2" t="s">
        <v>4169</v>
      </c>
    </row>
    <row r="847" spans="1:18" ht="14.4" x14ac:dyDescent="0.3">
      <c r="A847" s="85">
        <v>677</v>
      </c>
      <c r="B847" s="76" t="s">
        <v>4170</v>
      </c>
      <c r="C847" s="77" t="str">
        <f>HYPERLINK("https://www.xeno-canto.org/species/Dicaeum-retrocinctum")</f>
        <v>https://www.xeno-canto.org/species/Dicaeum-retrocinctum</v>
      </c>
      <c r="D847" s="94" t="str">
        <f>HYPERLINK("https://ebird.org/species/sccflo1")</f>
        <v>https://ebird.org/species/sccflo1</v>
      </c>
      <c r="E847" s="122" t="str">
        <f>HYPERLINK("https://en.wikipedia.org/wiki/Scarlet-collared_Flowerpecker")</f>
        <v>https://en.wikipedia.org/wiki/Scarlet-collared_Flowerpecker</v>
      </c>
      <c r="F847" s="123" t="str">
        <f>HYPERLINK("https://apiv3.iucnredlist.org/api/v3/website/Dicaeum retrocinctum")</f>
        <v>https://apiv3.iucnredlist.org/api/v3/website/Dicaeum retrocinctum</v>
      </c>
      <c r="G847" s="90">
        <v>69</v>
      </c>
      <c r="H847" s="90">
        <v>347</v>
      </c>
      <c r="J847" s="87" t="s">
        <v>1443</v>
      </c>
      <c r="K847" s="98" t="s">
        <v>1462</v>
      </c>
      <c r="M847" s="99" t="s">
        <v>1463</v>
      </c>
      <c r="N847" s="90" t="s">
        <v>57</v>
      </c>
      <c r="O847" s="90" t="s">
        <v>38</v>
      </c>
      <c r="P847" s="90" t="s">
        <v>38</v>
      </c>
      <c r="Q847" s="2" t="s">
        <v>4171</v>
      </c>
    </row>
    <row r="848" spans="1:18" ht="14.4" x14ac:dyDescent="0.3">
      <c r="A848" s="85">
        <v>678</v>
      </c>
      <c r="B848" s="76" t="s">
        <v>4172</v>
      </c>
      <c r="C848" s="77" t="str">
        <f>HYPERLINK("https://www.xeno-canto.org/species/Dicaeum-quadricolor")</f>
        <v>https://www.xeno-canto.org/species/Dicaeum-quadricolor</v>
      </c>
      <c r="D848" s="94" t="str">
        <f>HYPERLINK("https://ebird.org/species/cebflo1")</f>
        <v>https://ebird.org/species/cebflo1</v>
      </c>
      <c r="E848" s="122" t="str">
        <f>HYPERLINK("https://en.wikipedia.org/wiki/Cebu_Flowerpecker")</f>
        <v>https://en.wikipedia.org/wiki/Cebu_Flowerpecker</v>
      </c>
      <c r="F848" s="123" t="str">
        <f>HYPERLINK("https://apiv3.iucnredlist.org/api/v3/website/Dicaeum quadricolor")</f>
        <v>https://apiv3.iucnredlist.org/api/v3/website/Dicaeum quadricolor</v>
      </c>
      <c r="G848" s="90">
        <v>69</v>
      </c>
      <c r="H848" s="90">
        <v>347</v>
      </c>
      <c r="J848" s="87" t="s">
        <v>1443</v>
      </c>
      <c r="K848" s="102" t="s">
        <v>1464</v>
      </c>
      <c r="M848" s="99" t="s">
        <v>1465</v>
      </c>
      <c r="N848" s="90" t="s">
        <v>57</v>
      </c>
      <c r="O848" s="90" t="s">
        <v>112</v>
      </c>
      <c r="P848" s="90" t="s">
        <v>112</v>
      </c>
      <c r="Q848" s="2" t="s">
        <v>4173</v>
      </c>
    </row>
    <row r="849" spans="1:17" ht="71.400000000000006" x14ac:dyDescent="0.3">
      <c r="A849" s="85">
        <v>679</v>
      </c>
      <c r="B849" s="76" t="s">
        <v>4174</v>
      </c>
      <c r="C849" s="77" t="str">
        <f>HYPERLINK("https://www.xeno-canto.org/species/Dicaeum-trigonostigma")</f>
        <v>https://www.xeno-canto.org/species/Dicaeum-trigonostigma</v>
      </c>
      <c r="D849" s="94" t="str">
        <f>HYPERLINK("https://ebird.org/species/orbflo1")</f>
        <v>https://ebird.org/species/orbflo1</v>
      </c>
      <c r="E849" s="122" t="str">
        <f>HYPERLINK("https://en.wikipedia.org/wiki/Orange-bellied_Flowerpecker")</f>
        <v>https://en.wikipedia.org/wiki/Orange-bellied_Flowerpecker</v>
      </c>
      <c r="F849" s="123" t="str">
        <f>HYPERLINK("https://apiv3.iucnredlist.org/api/v3/website/Dicaeum trigonostigma")</f>
        <v>https://apiv3.iucnredlist.org/api/v3/website/Dicaeum trigonostigma</v>
      </c>
      <c r="G849" s="90">
        <v>69</v>
      </c>
      <c r="H849" s="90">
        <v>345</v>
      </c>
      <c r="J849" s="87" t="s">
        <v>1443</v>
      </c>
      <c r="K849" s="95" t="s">
        <v>1466</v>
      </c>
      <c r="M849" s="93" t="s">
        <v>1467</v>
      </c>
      <c r="N849" s="90" t="s">
        <v>37</v>
      </c>
      <c r="Q849" s="2" t="s">
        <v>6605</v>
      </c>
    </row>
    <row r="850" spans="1:17" ht="30.6" x14ac:dyDescent="0.3">
      <c r="A850" s="85">
        <v>680</v>
      </c>
      <c r="B850" s="76" t="s">
        <v>4175</v>
      </c>
      <c r="C850" s="77" t="str">
        <f>HYPERLINK("https://www.xeno-canto.org/species/Dicaeum-hypoleucum")</f>
        <v>https://www.xeno-canto.org/species/Dicaeum-hypoleucum</v>
      </c>
      <c r="D850" s="94" t="str">
        <f>HYPERLINK("https://ebird.org/species/whbflo1")</f>
        <v>https://ebird.org/species/whbflo1</v>
      </c>
      <c r="E850" s="122" t="str">
        <f>HYPERLINK("https://en.wikipedia.org/wiki/Buzzing_Flowerpecker")</f>
        <v>https://en.wikipedia.org/wiki/Buzzing_Flowerpecker</v>
      </c>
      <c r="F850" s="123" t="str">
        <f>HYPERLINK("https://apiv3.iucnredlist.org/api/v3/website/Dicaeum hypoleucum")</f>
        <v>https://apiv3.iucnredlist.org/api/v3/website/Dicaeum hypoleucum</v>
      </c>
      <c r="G850" s="90">
        <v>69</v>
      </c>
      <c r="H850" s="90">
        <v>349</v>
      </c>
      <c r="J850" s="87" t="s">
        <v>1443</v>
      </c>
      <c r="K850" s="98" t="s">
        <v>1469</v>
      </c>
      <c r="M850" s="99" t="s">
        <v>1470</v>
      </c>
      <c r="N850" s="90" t="s">
        <v>57</v>
      </c>
      <c r="Q850" s="2" t="s">
        <v>6606</v>
      </c>
    </row>
    <row r="851" spans="1:17" ht="20.399999999999999" x14ac:dyDescent="0.3">
      <c r="A851" s="85">
        <v>681</v>
      </c>
      <c r="B851" s="76" t="s">
        <v>4176</v>
      </c>
      <c r="C851" s="77" t="str">
        <f>HYPERLINK("https://www.xeno-canto.org/species/Dicaeum-pygmaeum")</f>
        <v>https://www.xeno-canto.org/species/Dicaeum-pygmaeum</v>
      </c>
      <c r="D851" s="94" t="str">
        <f>HYPERLINK("https://ebird.org/species/pygflo1")</f>
        <v>https://ebird.org/species/pygflo1</v>
      </c>
      <c r="E851" s="122" t="str">
        <f>HYPERLINK("https://en.wikipedia.org/wiki/Pygmy_Flowerpecker")</f>
        <v>https://en.wikipedia.org/wiki/Pygmy_Flowerpecker</v>
      </c>
      <c r="F851" s="123" t="str">
        <f>HYPERLINK("https://apiv3.iucnredlist.org/api/v3/website/Dicaeum pygmaeum")</f>
        <v>https://apiv3.iucnredlist.org/api/v3/website/Dicaeum pygmaeum</v>
      </c>
      <c r="G851" s="90">
        <v>69</v>
      </c>
      <c r="H851" s="90">
        <v>351</v>
      </c>
      <c r="J851" s="87" t="s">
        <v>1443</v>
      </c>
      <c r="K851" s="98" t="s">
        <v>1471</v>
      </c>
      <c r="M851" s="99" t="s">
        <v>1472</v>
      </c>
      <c r="N851" s="90" t="s">
        <v>57</v>
      </c>
      <c r="Q851" s="2" t="s">
        <v>4177</v>
      </c>
    </row>
    <row r="852" spans="1:17" ht="14.4" x14ac:dyDescent="0.3">
      <c r="A852" s="85">
        <v>682</v>
      </c>
      <c r="B852" s="76" t="s">
        <v>6607</v>
      </c>
      <c r="C852" s="77" t="str">
        <f>HYPERLINK("https://www.xeno-canto.org/species/Dicaeum-luzoniense")</f>
        <v>https://www.xeno-canto.org/species/Dicaeum-luzoniense</v>
      </c>
      <c r="D852" s="94" t="str">
        <f>HYPERLINK("https://ebird.org/species/fibflo4")</f>
        <v>https://ebird.org/species/fibflo4</v>
      </c>
      <c r="E852" s="122" t="str">
        <f>HYPERLINK("https://en.wikipedia.org/wiki/Fire-throated_Flowerpecker")</f>
        <v>https://en.wikipedia.org/wiki/Fire-throated_Flowerpecker</v>
      </c>
      <c r="F852" s="123" t="str">
        <f>HYPERLINK("https://apiv3.iucnredlist.org/api/v3/website/Dicaeum luzoniense")</f>
        <v>https://apiv3.iucnredlist.org/api/v3/website/Dicaeum luzoniense</v>
      </c>
      <c r="G852" s="90">
        <v>69</v>
      </c>
      <c r="H852" s="90">
        <v>351</v>
      </c>
      <c r="J852" s="87" t="s">
        <v>1443</v>
      </c>
      <c r="K852" s="104" t="s">
        <v>2233</v>
      </c>
      <c r="M852" s="105" t="s">
        <v>2234</v>
      </c>
      <c r="N852" s="90" t="s">
        <v>57</v>
      </c>
      <c r="Q852" s="2" t="s">
        <v>4178</v>
      </c>
    </row>
    <row r="854" spans="1:17" ht="12" x14ac:dyDescent="0.3">
      <c r="K854" s="88" t="s">
        <v>1474</v>
      </c>
      <c r="M854" s="89" t="s">
        <v>1475</v>
      </c>
    </row>
    <row r="855" spans="1:17" ht="20.399999999999999" x14ac:dyDescent="0.3">
      <c r="A855" s="85">
        <v>683</v>
      </c>
      <c r="B855" s="74" t="s">
        <v>4179</v>
      </c>
      <c r="C855" s="75" t="str">
        <f>HYPERLINK("https://www.xeno-canto.org/species/Anthreptes-malacensis")</f>
        <v>https://www.xeno-canto.org/species/Anthreptes-malacensis</v>
      </c>
      <c r="D855" s="91" t="str">
        <f>HYPERLINK("https://ebird.org/species/pltsun2")</f>
        <v>https://ebird.org/species/pltsun2</v>
      </c>
      <c r="E855" s="120" t="str">
        <f>HYPERLINK("https://en.wikipedia.org/wiki/Brown-throated_Sunbird")</f>
        <v>https://en.wikipedia.org/wiki/Brown-throated_Sunbird</v>
      </c>
      <c r="F855" s="121" t="str">
        <f>HYPERLINK("https://apiv3.iucnredlist.org/api/v3/website/Anthreptes malacensis")</f>
        <v>https://apiv3.iucnredlist.org/api/v3/website/Anthreptes malacensis</v>
      </c>
      <c r="G855" s="90">
        <v>67</v>
      </c>
      <c r="H855" s="90">
        <v>353</v>
      </c>
      <c r="J855" s="87" t="s">
        <v>1475</v>
      </c>
      <c r="K855" s="95" t="s">
        <v>1476</v>
      </c>
      <c r="M855" s="93" t="s">
        <v>1477</v>
      </c>
      <c r="N855" s="90" t="s">
        <v>37</v>
      </c>
      <c r="Q855" s="2" t="s">
        <v>4180</v>
      </c>
    </row>
    <row r="856" spans="1:17" ht="20.399999999999999" x14ac:dyDescent="0.3">
      <c r="A856" s="85">
        <v>684</v>
      </c>
      <c r="B856" s="76" t="s">
        <v>4181</v>
      </c>
      <c r="C856" s="77" t="str">
        <f>HYPERLINK("https://www.xeno-canto.org/species/Anthreptes-griseigularis")</f>
        <v>https://www.xeno-canto.org/species/Anthreptes-griseigularis</v>
      </c>
      <c r="D856" s="94" t="str">
        <f>HYPERLINK("https://ebird.org/species/pltsun3")</f>
        <v>https://ebird.org/species/pltsun3</v>
      </c>
      <c r="E856" s="122" t="str">
        <f>HYPERLINK("https://en.wikipedia.org/wiki/Grey-throated_Sunbird")</f>
        <v>https://en.wikipedia.org/wiki/Grey-throated_Sunbird</v>
      </c>
      <c r="F856" s="123" t="str">
        <f>HYPERLINK("https://apiv3.iucnredlist.org/api/v3/website/Anthreptes griseigularis")</f>
        <v>https://apiv3.iucnredlist.org/api/v3/website/Anthreptes griseigularis</v>
      </c>
      <c r="G856" s="90">
        <v>67</v>
      </c>
      <c r="H856" s="90">
        <v>355</v>
      </c>
      <c r="J856" s="87" t="s">
        <v>1475</v>
      </c>
      <c r="K856" s="98" t="s">
        <v>1478</v>
      </c>
      <c r="M856" s="99" t="s">
        <v>1479</v>
      </c>
      <c r="N856" s="90" t="s">
        <v>57</v>
      </c>
      <c r="P856" s="90" t="s">
        <v>186</v>
      </c>
      <c r="Q856" s="2" t="s">
        <v>4182</v>
      </c>
    </row>
    <row r="857" spans="1:17" ht="20.399999999999999" x14ac:dyDescent="0.3">
      <c r="A857" s="85">
        <v>685</v>
      </c>
      <c r="B857" s="76" t="s">
        <v>4183</v>
      </c>
      <c r="C857" s="77" t="str">
        <f>HYPERLINK("https://www.xeno-canto.org/species/Leptocoma-sperata")</f>
        <v>https://www.xeno-canto.org/species/Leptocoma-sperata</v>
      </c>
      <c r="D857" s="94" t="str">
        <f>HYPERLINK("https://ebird.org/species/putsun3")</f>
        <v>https://ebird.org/species/putsun3</v>
      </c>
      <c r="E857" s="122" t="str">
        <f>HYPERLINK("https://en.wikipedia.org/wiki/Purple-throated_Sunbird")</f>
        <v>https://en.wikipedia.org/wiki/Purple-throated_Sunbird</v>
      </c>
      <c r="F857" s="123" t="str">
        <f>HYPERLINK("https://apiv3.iucnredlist.org/api/v3/website/Leptocoma sperata")</f>
        <v>https://apiv3.iucnredlist.org/api/v3/website/Leptocoma sperata</v>
      </c>
      <c r="G857" s="90">
        <v>67</v>
      </c>
      <c r="H857" s="90">
        <v>355</v>
      </c>
      <c r="J857" s="87" t="s">
        <v>1475</v>
      </c>
      <c r="K857" s="98" t="s">
        <v>1480</v>
      </c>
      <c r="L857" s="86" t="s">
        <v>5129</v>
      </c>
      <c r="M857" s="99" t="s">
        <v>1481</v>
      </c>
      <c r="N857" s="90" t="s">
        <v>57</v>
      </c>
      <c r="Q857" s="2" t="s">
        <v>4184</v>
      </c>
    </row>
    <row r="858" spans="1:17" ht="14.4" x14ac:dyDescent="0.3">
      <c r="A858" s="85">
        <v>686</v>
      </c>
      <c r="B858" s="76" t="s">
        <v>4185</v>
      </c>
      <c r="C858" s="77" t="str">
        <f>HYPERLINK("https://www.xeno-canto.org/species/Leptocoma-calcostetha")</f>
        <v>https://www.xeno-canto.org/species/Leptocoma-calcostetha</v>
      </c>
      <c r="D858" s="94" t="str">
        <f>HYPERLINK("https://ebird.org/species/cotsun2")</f>
        <v>https://ebird.org/species/cotsun2</v>
      </c>
      <c r="E858" s="122" t="str">
        <f>HYPERLINK("https://en.wikipedia.org/wiki/Copper-throated_Sunbird")</f>
        <v>https://en.wikipedia.org/wiki/Copper-throated_Sunbird</v>
      </c>
      <c r="F858" s="123" t="str">
        <f>HYPERLINK("https://apiv3.iucnredlist.org/api/v3/website/Leptocoma calcostetha")</f>
        <v>https://apiv3.iucnredlist.org/api/v3/website/Leptocoma calcostetha</v>
      </c>
      <c r="G858" s="90">
        <v>67</v>
      </c>
      <c r="H858" s="90">
        <v>355</v>
      </c>
      <c r="J858" s="87" t="s">
        <v>1475</v>
      </c>
      <c r="K858" s="95" t="s">
        <v>1482</v>
      </c>
      <c r="M858" s="93" t="s">
        <v>1483</v>
      </c>
      <c r="N858" s="90" t="s">
        <v>37</v>
      </c>
      <c r="Q858" s="2" t="s">
        <v>4186</v>
      </c>
    </row>
    <row r="859" spans="1:17" ht="14.4" x14ac:dyDescent="0.3">
      <c r="A859" s="85">
        <v>687</v>
      </c>
      <c r="B859" s="76" t="s">
        <v>4187</v>
      </c>
      <c r="C859" s="77" t="str">
        <f>HYPERLINK("https://www.xeno-canto.org/species/Cinnyris-jugularis")</f>
        <v>https://www.xeno-canto.org/species/Cinnyris-jugularis</v>
      </c>
      <c r="D859" s="94" t="str">
        <f>HYPERLINK("https://ebird.org/species/olbsun31")</f>
        <v>https://ebird.org/species/olbsun31</v>
      </c>
      <c r="E859" s="122" t="str">
        <f>HYPERLINK("https://en.wikipedia.org/wiki/Garden_Sunbird")</f>
        <v>https://en.wikipedia.org/wiki/Garden_Sunbird</v>
      </c>
      <c r="F859" s="123" t="str">
        <f>HYPERLINK("https://apiv3.iucnredlist.org/api/v3/website/Cinnyris jugularis")</f>
        <v>https://apiv3.iucnredlist.org/api/v3/website/Cinnyris jugularis</v>
      </c>
      <c r="G859" s="90">
        <v>67</v>
      </c>
      <c r="H859" s="90">
        <v>357</v>
      </c>
      <c r="J859" s="87" t="s">
        <v>1475</v>
      </c>
      <c r="K859" s="98" t="s">
        <v>4728</v>
      </c>
      <c r="M859" s="99" t="s">
        <v>1485</v>
      </c>
      <c r="N859" s="90" t="s">
        <v>57</v>
      </c>
      <c r="Q859" s="2" t="s">
        <v>3233</v>
      </c>
    </row>
    <row r="860" spans="1:17" ht="14.4" x14ac:dyDescent="0.3">
      <c r="A860" s="85">
        <v>688</v>
      </c>
      <c r="B860" s="76" t="s">
        <v>6608</v>
      </c>
      <c r="C860" s="77" t="str">
        <f>HYPERLINK("https://www.xeno-canto.org/species/Cinnyris-aurora")</f>
        <v>https://www.xeno-canto.org/species/Cinnyris-aurora</v>
      </c>
      <c r="D860" s="94" t="str">
        <f>HYPERLINK("https://ebird.org/species/olbsun6")</f>
        <v>https://ebird.org/species/olbsun6</v>
      </c>
      <c r="E860" s="122" t="str">
        <f>HYPERLINK("https://en.wikipedia.org/wiki/Palawan_Sunbird")</f>
        <v>https://en.wikipedia.org/wiki/Palawan_Sunbird</v>
      </c>
      <c r="F860" s="123" t="str">
        <f>HYPERLINK("https://apiv3.iucnredlist.org/api/v3/website/Cinnyris aurora")</f>
        <v>https://apiv3.iucnredlist.org/api/v3/website/Cinnyris aurora</v>
      </c>
      <c r="H860" s="90">
        <v>357</v>
      </c>
      <c r="J860" s="87" t="s">
        <v>1475</v>
      </c>
      <c r="K860" s="98" t="s">
        <v>6609</v>
      </c>
      <c r="L860" s="86" t="s">
        <v>4728</v>
      </c>
      <c r="M860" s="99" t="s">
        <v>6610</v>
      </c>
      <c r="N860" s="90" t="s">
        <v>57</v>
      </c>
      <c r="Q860" s="2" t="s">
        <v>3233</v>
      </c>
    </row>
    <row r="861" spans="1:17" ht="14.4" x14ac:dyDescent="0.3">
      <c r="A861" s="85">
        <v>689</v>
      </c>
      <c r="B861" s="76" t="s">
        <v>4188</v>
      </c>
      <c r="C861" s="77" t="str">
        <f>HYPERLINK("https://www.xeno-canto.org/species/Aethopyga-primigenia")</f>
        <v>https://www.xeno-canto.org/species/Aethopyga-primigenia</v>
      </c>
      <c r="D861" s="94" t="str">
        <f>HYPERLINK("https://ebird.org/species/gyhsun2")</f>
        <v>https://ebird.org/species/gyhsun2</v>
      </c>
      <c r="E861" s="122" t="str">
        <f>HYPERLINK("https://en.wikipedia.org/wiki/Grey-hooded_Sunbird")</f>
        <v>https://en.wikipedia.org/wiki/Grey-hooded_Sunbird</v>
      </c>
      <c r="F861" s="123" t="str">
        <f>HYPERLINK("https://apiv3.iucnredlist.org/api/v3/website/Aethopyga primigenia")</f>
        <v>https://apiv3.iucnredlist.org/api/v3/website/Aethopyga primigenia</v>
      </c>
      <c r="G861" s="90">
        <v>67</v>
      </c>
      <c r="H861" s="90">
        <v>361</v>
      </c>
      <c r="J861" s="87" t="s">
        <v>1475</v>
      </c>
      <c r="K861" s="98" t="s">
        <v>1486</v>
      </c>
      <c r="M861" s="99" t="s">
        <v>1487</v>
      </c>
      <c r="N861" s="90" t="s">
        <v>57</v>
      </c>
      <c r="O861" s="90" t="s">
        <v>50</v>
      </c>
      <c r="P861" s="90" t="s">
        <v>186</v>
      </c>
      <c r="Q861" s="2" t="s">
        <v>3788</v>
      </c>
    </row>
    <row r="862" spans="1:17" ht="20.399999999999999" x14ac:dyDescent="0.3">
      <c r="A862" s="85">
        <v>690</v>
      </c>
      <c r="B862" s="76" t="s">
        <v>4189</v>
      </c>
      <c r="C862" s="77" t="str">
        <f>HYPERLINK("https://www.xeno-canto.org/species/Aethopyga-boltoni")</f>
        <v>https://www.xeno-canto.org/species/Aethopyga-boltoni</v>
      </c>
      <c r="D862" s="94" t="str">
        <f>HYPERLINK("https://ebird.org/species/moasun1")</f>
        <v>https://ebird.org/species/moasun1</v>
      </c>
      <c r="E862" s="122" t="str">
        <f>HYPERLINK("https://en.wikipedia.org/wiki/Apo_Sunbird")</f>
        <v>https://en.wikipedia.org/wiki/Apo_Sunbird</v>
      </c>
      <c r="F862" s="123" t="str">
        <f>HYPERLINK("https://apiv3.iucnredlist.org/api/v3/website/Aethopyga boltoni")</f>
        <v>https://apiv3.iucnredlist.org/api/v3/website/Aethopyga boltoni</v>
      </c>
      <c r="G862" s="90">
        <v>67</v>
      </c>
      <c r="H862" s="90">
        <v>361</v>
      </c>
      <c r="J862" s="87" t="s">
        <v>1475</v>
      </c>
      <c r="K862" s="98" t="s">
        <v>1488</v>
      </c>
      <c r="M862" s="99" t="s">
        <v>1489</v>
      </c>
      <c r="N862" s="90" t="s">
        <v>57</v>
      </c>
      <c r="O862" s="90" t="s">
        <v>50</v>
      </c>
      <c r="P862" s="90" t="s">
        <v>186</v>
      </c>
      <c r="Q862" s="2" t="s">
        <v>6611</v>
      </c>
    </row>
    <row r="863" spans="1:17" ht="14.4" x14ac:dyDescent="0.3">
      <c r="A863" s="85">
        <v>691</v>
      </c>
      <c r="B863" s="76" t="s">
        <v>4190</v>
      </c>
      <c r="C863" s="77" t="str">
        <f>HYPERLINK("https://www.xeno-canto.org/species/Aethopyga-linaraborae")</f>
        <v>https://www.xeno-canto.org/species/Aethopyga-linaraborae</v>
      </c>
      <c r="D863" s="94" t="str">
        <f>HYPERLINK("https://ebird.org/species/linsun1")</f>
        <v>https://ebird.org/species/linsun1</v>
      </c>
      <c r="E863" s="122" t="str">
        <f>HYPERLINK("https://en.wikipedia.org/wiki/Lina's_Sunbird")</f>
        <v>https://en.wikipedia.org/wiki/Lina's_Sunbird</v>
      </c>
      <c r="F863" s="123" t="str">
        <f>HYPERLINK("https://apiv3.iucnredlist.org/api/v3/website/Aethopyga linaraborae")</f>
        <v>https://apiv3.iucnredlist.org/api/v3/website/Aethopyga linaraborae</v>
      </c>
      <c r="G863" s="90">
        <v>67</v>
      </c>
      <c r="H863" s="90">
        <v>361</v>
      </c>
      <c r="J863" s="87" t="s">
        <v>1475</v>
      </c>
      <c r="K863" s="98" t="s">
        <v>1490</v>
      </c>
      <c r="M863" s="99" t="s">
        <v>1491</v>
      </c>
      <c r="N863" s="90" t="s">
        <v>57</v>
      </c>
      <c r="O863" s="90" t="s">
        <v>50</v>
      </c>
      <c r="P863" s="90" t="s">
        <v>38</v>
      </c>
      <c r="Q863" s="2" t="s">
        <v>4191</v>
      </c>
    </row>
    <row r="864" spans="1:17" ht="14.4" x14ac:dyDescent="0.3">
      <c r="A864" s="85">
        <v>692</v>
      </c>
      <c r="B864" s="76" t="s">
        <v>4192</v>
      </c>
      <c r="C864" s="77" t="str">
        <f>HYPERLINK("https://www.xeno-canto.org/species/Aethopyga-flagrans")</f>
        <v>https://www.xeno-canto.org/species/Aethopyga-flagrans</v>
      </c>
      <c r="D864" s="94" t="str">
        <f>HYPERLINK("https://ebird.org/species/flasun1")</f>
        <v>https://ebird.org/species/flasun1</v>
      </c>
      <c r="E864" s="122" t="str">
        <f>HYPERLINK("https://en.wikipedia.org/wiki/Flaming_Sunbird")</f>
        <v>https://en.wikipedia.org/wiki/Flaming_Sunbird</v>
      </c>
      <c r="F864" s="123" t="str">
        <f>HYPERLINK("https://apiv3.iucnredlist.org/api/v3/website/Aethopyga flagrans")</f>
        <v>https://apiv3.iucnredlist.org/api/v3/website/Aethopyga flagrans</v>
      </c>
      <c r="G864" s="90">
        <v>67</v>
      </c>
      <c r="H864" s="90">
        <v>359</v>
      </c>
      <c r="J864" s="87" t="s">
        <v>1475</v>
      </c>
      <c r="K864" s="98" t="s">
        <v>1492</v>
      </c>
      <c r="M864" s="99" t="s">
        <v>1493</v>
      </c>
      <c r="N864" s="90" t="s">
        <v>57</v>
      </c>
      <c r="Q864" s="2" t="s">
        <v>4193</v>
      </c>
    </row>
    <row r="865" spans="1:18" ht="14.4" x14ac:dyDescent="0.3">
      <c r="A865" s="85">
        <v>693</v>
      </c>
      <c r="B865" s="76" t="s">
        <v>4194</v>
      </c>
      <c r="C865" s="77" t="str">
        <f>HYPERLINK("https://www.xeno-canto.org/species/Aethopyga-guimarasensis")</f>
        <v>https://www.xeno-canto.org/species/Aethopyga-guimarasensis</v>
      </c>
      <c r="D865" s="94" t="str">
        <f>HYPERLINK("https://ebird.org/species/mansun1")</f>
        <v>https://ebird.org/species/mansun1</v>
      </c>
      <c r="E865" s="122" t="str">
        <f>HYPERLINK("https://en.wikipedia.org/wiki/Maroon-naped_Sunbird")</f>
        <v>https://en.wikipedia.org/wiki/Maroon-naped_Sunbird</v>
      </c>
      <c r="F865" s="123" t="str">
        <f>HYPERLINK("https://apiv3.iucnredlist.org/api/v3/website/Aethopyga guimarasensis")</f>
        <v>https://apiv3.iucnredlist.org/api/v3/website/Aethopyga guimarasensis</v>
      </c>
      <c r="G865" s="90">
        <v>67</v>
      </c>
      <c r="H865" s="90">
        <v>359</v>
      </c>
      <c r="J865" s="87" t="s">
        <v>1475</v>
      </c>
      <c r="K865" s="98" t="s">
        <v>1494</v>
      </c>
      <c r="M865" s="99" t="s">
        <v>1495</v>
      </c>
      <c r="N865" s="90" t="s">
        <v>57</v>
      </c>
      <c r="P865" s="90" t="s">
        <v>186</v>
      </c>
      <c r="Q865" s="2" t="s">
        <v>3843</v>
      </c>
    </row>
    <row r="866" spans="1:18" ht="40.799999999999997" x14ac:dyDescent="0.3">
      <c r="A866" s="85">
        <v>694</v>
      </c>
      <c r="B866" s="76" t="s">
        <v>4195</v>
      </c>
      <c r="C866" s="77" t="str">
        <f>HYPERLINK("https://www.xeno-canto.org/species/Aethopyga-pulcherrima")</f>
        <v>https://www.xeno-canto.org/species/Aethopyga-pulcherrima</v>
      </c>
      <c r="D866" s="94" t="str">
        <f>HYPERLINK("https://ebird.org/species/mewsun3")</f>
        <v>https://ebird.org/species/mewsun3</v>
      </c>
      <c r="E866" s="122" t="str">
        <f>HYPERLINK("https://en.wikipedia.org/wiki/Metallic-winged_Sunbird")</f>
        <v>https://en.wikipedia.org/wiki/Metallic-winged_Sunbird</v>
      </c>
      <c r="F866" s="123" t="str">
        <f>HYPERLINK("https://apiv3.iucnredlist.org/api/v3/website/Aethopyga pulcherrima")</f>
        <v>https://apiv3.iucnredlist.org/api/v3/website/Aethopyga pulcherrima</v>
      </c>
      <c r="G866" s="90">
        <v>67</v>
      </c>
      <c r="H866" s="90">
        <v>359</v>
      </c>
      <c r="J866" s="87" t="s">
        <v>1475</v>
      </c>
      <c r="K866" s="104" t="s">
        <v>1496</v>
      </c>
      <c r="M866" s="105" t="s">
        <v>1497</v>
      </c>
      <c r="N866" s="90" t="s">
        <v>57</v>
      </c>
      <c r="Q866" s="2" t="s">
        <v>6612</v>
      </c>
    </row>
    <row r="867" spans="1:18" ht="14.4" x14ac:dyDescent="0.3">
      <c r="A867" s="85">
        <v>695</v>
      </c>
      <c r="B867" s="76" t="s">
        <v>4199</v>
      </c>
      <c r="C867" s="77" t="str">
        <f>HYPERLINK("https://www.xeno-canto.org/species/Aethopyga-shelleyi")</f>
        <v>https://www.xeno-canto.org/species/Aethopyga-shelleyi</v>
      </c>
      <c r="D867" s="94" t="str">
        <f>HYPERLINK("https://ebird.org/species/lovsun1")</f>
        <v>https://ebird.org/species/lovsun1</v>
      </c>
      <c r="E867" s="122" t="str">
        <f>HYPERLINK("https://en.wikipedia.org/wiki/Lovely_Sunbird")</f>
        <v>https://en.wikipedia.org/wiki/Lovely_Sunbird</v>
      </c>
      <c r="F867" s="123" t="str">
        <f>HYPERLINK("https://apiv3.iucnredlist.org/api/v3/website/Aethopyga shelleyi")</f>
        <v>https://apiv3.iucnredlist.org/api/v3/website/Aethopyga shelleyi</v>
      </c>
      <c r="G867" s="90">
        <v>68</v>
      </c>
      <c r="H867" s="90">
        <v>357</v>
      </c>
      <c r="J867" s="87" t="s">
        <v>1475</v>
      </c>
      <c r="K867" s="98" t="s">
        <v>1500</v>
      </c>
      <c r="M867" s="99" t="s">
        <v>1501</v>
      </c>
      <c r="N867" s="90" t="s">
        <v>57</v>
      </c>
      <c r="Q867" s="2" t="s">
        <v>4200</v>
      </c>
    </row>
    <row r="868" spans="1:18" ht="14.4" x14ac:dyDescent="0.3">
      <c r="A868" s="85">
        <v>696</v>
      </c>
      <c r="B868" s="76" t="s">
        <v>4201</v>
      </c>
      <c r="C868" s="77" t="str">
        <f>HYPERLINK("https://www.xeno-canto.org/species/Aethopyga-bella")</f>
        <v>https://www.xeno-canto.org/species/Aethopyga-bella</v>
      </c>
      <c r="D868" s="94" t="str">
        <f>HYPERLINK("https://ebird.org/species/hansun1")</f>
        <v>https://ebird.org/species/hansun1</v>
      </c>
      <c r="E868" s="122" t="str">
        <f>HYPERLINK("https://en.wikipedia.org/wiki/Handsome_Sunbird")</f>
        <v>https://en.wikipedia.org/wiki/Handsome_Sunbird</v>
      </c>
      <c r="F868" s="123" t="str">
        <f>HYPERLINK("https://apiv3.iucnredlist.org/api/v3/website/Aethopyga bella")</f>
        <v>https://apiv3.iucnredlist.org/api/v3/website/Aethopyga bella</v>
      </c>
      <c r="G868" s="90">
        <v>68</v>
      </c>
      <c r="H868" s="90">
        <v>361</v>
      </c>
      <c r="J868" s="87" t="s">
        <v>1475</v>
      </c>
      <c r="K868" s="98" t="s">
        <v>1502</v>
      </c>
      <c r="M868" s="99" t="s">
        <v>1503</v>
      </c>
      <c r="N868" s="90" t="s">
        <v>57</v>
      </c>
      <c r="Q868" s="2" t="s">
        <v>4202</v>
      </c>
    </row>
    <row r="869" spans="1:18" ht="20.399999999999999" x14ac:dyDescent="0.3">
      <c r="A869" s="85">
        <v>697</v>
      </c>
      <c r="B869" s="76" t="s">
        <v>4203</v>
      </c>
      <c r="C869" s="77" t="str">
        <f>HYPERLINK("https://www.xeno-canto.org/species/Aethopyga-magnifica")</f>
        <v>https://www.xeno-canto.org/species/Aethopyga-magnifica</v>
      </c>
      <c r="D869" s="94" t="str">
        <f>HYPERLINK("https://ebird.org/species/magsun1")</f>
        <v>https://ebird.org/species/magsun1</v>
      </c>
      <c r="E869" s="122" t="str">
        <f>HYPERLINK("https://en.wikipedia.org/wiki/Magnificent_Sunbird")</f>
        <v>https://en.wikipedia.org/wiki/Magnificent_Sunbird</v>
      </c>
      <c r="F869" s="123" t="str">
        <f>HYPERLINK("https://apiv3.iucnredlist.org/api/v3/website/Aethopyga magnifica")</f>
        <v>https://apiv3.iucnredlist.org/api/v3/website/Aethopyga magnifica</v>
      </c>
      <c r="G869" s="90">
        <v>68</v>
      </c>
      <c r="H869" s="90">
        <v>357</v>
      </c>
      <c r="J869" s="87" t="s">
        <v>1475</v>
      </c>
      <c r="K869" s="98" t="s">
        <v>1504</v>
      </c>
      <c r="M869" s="99" t="s">
        <v>1505</v>
      </c>
      <c r="N869" s="90" t="s">
        <v>57</v>
      </c>
      <c r="Q869" s="2" t="s">
        <v>4204</v>
      </c>
    </row>
    <row r="870" spans="1:18" ht="14.4" x14ac:dyDescent="0.3">
      <c r="A870" s="85">
        <v>698</v>
      </c>
      <c r="B870" s="76" t="s">
        <v>4205</v>
      </c>
      <c r="C870" s="77" t="str">
        <f>HYPERLINK("https://www.xeno-canto.org/species/Arachnothera-flammifera")</f>
        <v>https://www.xeno-canto.org/species/Arachnothera-flammifera</v>
      </c>
      <c r="D870" s="94" t="str">
        <f>HYPERLINK("https://ebird.org/species/ortspi1")</f>
        <v>https://ebird.org/species/ortspi1</v>
      </c>
      <c r="E870" s="122" t="str">
        <f>HYPERLINK("https://en.wikipedia.org/wiki/Orange-tufted_Spiderhunter")</f>
        <v>https://en.wikipedia.org/wiki/Orange-tufted_Spiderhunter</v>
      </c>
      <c r="F870" s="123" t="str">
        <f>HYPERLINK("https://apiv3.iucnredlist.org/api/v3/website/Arachnothera flammifera")</f>
        <v>https://apiv3.iucnredlist.org/api/v3/website/Arachnothera flammifera</v>
      </c>
      <c r="G870" s="90">
        <v>68</v>
      </c>
      <c r="H870" s="90">
        <v>353</v>
      </c>
      <c r="J870" s="87" t="s">
        <v>1475</v>
      </c>
      <c r="K870" s="98" t="s">
        <v>1506</v>
      </c>
      <c r="M870" s="99" t="s">
        <v>1507</v>
      </c>
      <c r="N870" s="90" t="s">
        <v>57</v>
      </c>
      <c r="Q870" s="2" t="s">
        <v>3641</v>
      </c>
    </row>
    <row r="871" spans="1:18" ht="14.4" x14ac:dyDescent="0.3">
      <c r="A871" s="85">
        <v>699</v>
      </c>
      <c r="B871" s="76" t="s">
        <v>4206</v>
      </c>
      <c r="C871" s="77" t="str">
        <f>HYPERLINK("https://www.xeno-canto.org/species/Arachnothera-dilutior")</f>
        <v>https://www.xeno-canto.org/species/Arachnothera-dilutior</v>
      </c>
      <c r="D871" s="94" t="str">
        <f>HYPERLINK("https://ebird.org/species/palspi2")</f>
        <v>https://ebird.org/species/palspi2</v>
      </c>
      <c r="E871" s="122" t="str">
        <f>HYPERLINK("https://en.wikipedia.org/wiki/Pale_Spiderhunter")</f>
        <v>https://en.wikipedia.org/wiki/Pale_Spiderhunter</v>
      </c>
      <c r="F871" s="123" t="str">
        <f>HYPERLINK("https://apiv3.iucnredlist.org/api/v3/website/Arachnothera dilutior")</f>
        <v>https://apiv3.iucnredlist.org/api/v3/website/Arachnothera dilutior</v>
      </c>
      <c r="G871" s="90">
        <v>68</v>
      </c>
      <c r="H871" s="90">
        <v>353</v>
      </c>
      <c r="J871" s="87" t="s">
        <v>1475</v>
      </c>
      <c r="K871" s="98" t="s">
        <v>1508</v>
      </c>
      <c r="L871" s="86" t="s">
        <v>2249</v>
      </c>
      <c r="M871" s="99" t="s">
        <v>1509</v>
      </c>
      <c r="N871" s="90" t="s">
        <v>57</v>
      </c>
      <c r="Q871" s="2" t="s">
        <v>3134</v>
      </c>
    </row>
    <row r="872" spans="1:18" ht="14.4" x14ac:dyDescent="0.3">
      <c r="A872" s="85">
        <v>700</v>
      </c>
      <c r="B872" s="76" t="s">
        <v>4207</v>
      </c>
      <c r="C872" s="77" t="str">
        <f>HYPERLINK("https://www.xeno-canto.org/species/Arachnothera-clarae")</f>
        <v>https://www.xeno-canto.org/species/Arachnothera-clarae</v>
      </c>
      <c r="D872" s="94" t="str">
        <f>HYPERLINK("https://ebird.org/species/nafspi1")</f>
        <v>https://ebird.org/species/nafspi1</v>
      </c>
      <c r="E872" s="122" t="str">
        <f>HYPERLINK("https://en.wikipedia.org/wiki/Naked-faced_Spiderhunter")</f>
        <v>https://en.wikipedia.org/wiki/Naked-faced_Spiderhunter</v>
      </c>
      <c r="F872" s="123" t="str">
        <f>HYPERLINK("https://apiv3.iucnredlist.org/api/v3/website/Arachnothera clarae")</f>
        <v>https://apiv3.iucnredlist.org/api/v3/website/Arachnothera clarae</v>
      </c>
      <c r="G872" s="90">
        <v>68</v>
      </c>
      <c r="H872" s="90">
        <v>353</v>
      </c>
      <c r="J872" s="87" t="s">
        <v>1475</v>
      </c>
      <c r="K872" s="98" t="s">
        <v>1510</v>
      </c>
      <c r="M872" s="99" t="s">
        <v>1511</v>
      </c>
      <c r="N872" s="90" t="s">
        <v>57</v>
      </c>
      <c r="Q872" s="2" t="s">
        <v>4208</v>
      </c>
    </row>
    <row r="874" spans="1:18" ht="24" x14ac:dyDescent="0.3">
      <c r="K874" s="88" t="s">
        <v>5853</v>
      </c>
      <c r="M874" s="89" t="s">
        <v>1512</v>
      </c>
    </row>
    <row r="875" spans="1:18" ht="14.4" x14ac:dyDescent="0.3">
      <c r="A875" s="85">
        <v>701</v>
      </c>
      <c r="B875" s="74" t="s">
        <v>4209</v>
      </c>
      <c r="C875" s="75" t="str">
        <f>HYPERLINK("https://www.xeno-canto.org/species/Hypocryptadius-cinnamomeus")</f>
        <v>https://www.xeno-canto.org/species/Hypocryptadius-cinnamomeus</v>
      </c>
      <c r="D875" s="91" t="str">
        <f>HYPERLINK("https://ebird.org/species/cinwhe1")</f>
        <v>https://ebird.org/species/cinwhe1</v>
      </c>
      <c r="E875" s="120" t="str">
        <f>HYPERLINK("https://en.wikipedia.org/wiki/Cinnamon_Ibon")</f>
        <v>https://en.wikipedia.org/wiki/Cinnamon_Ibon</v>
      </c>
      <c r="F875" s="121" t="str">
        <f>HYPERLINK("https://apiv3.iucnredlist.org/api/v3/website/Hypocryptadius cinnamomeus")</f>
        <v>https://apiv3.iucnredlist.org/api/v3/website/Hypocryptadius cinnamomeus</v>
      </c>
      <c r="G875" s="90">
        <v>70</v>
      </c>
      <c r="H875" s="90">
        <v>365</v>
      </c>
      <c r="J875" s="87" t="s">
        <v>1512</v>
      </c>
      <c r="K875" s="98" t="s">
        <v>1513</v>
      </c>
      <c r="M875" s="99" t="s">
        <v>1514</v>
      </c>
      <c r="N875" s="90" t="s">
        <v>57</v>
      </c>
      <c r="Q875" s="2" t="s">
        <v>3788</v>
      </c>
    </row>
    <row r="876" spans="1:18" ht="20.399999999999999" x14ac:dyDescent="0.3">
      <c r="A876" s="85">
        <v>702</v>
      </c>
      <c r="B876" s="76" t="s">
        <v>4210</v>
      </c>
      <c r="C876" s="77" t="str">
        <f>HYPERLINK("https://www.xeno-canto.org/species/Passer-montanus")</f>
        <v>https://www.xeno-canto.org/species/Passer-montanus</v>
      </c>
      <c r="D876" s="94" t="str">
        <f>HYPERLINK("https://ebird.org/species/eutspa")</f>
        <v>https://ebird.org/species/eutspa</v>
      </c>
      <c r="E876" s="122" t="str">
        <f>HYPERLINK("https://en.wikipedia.org/wiki/Eurasian_Tree_Sparrow")</f>
        <v>https://en.wikipedia.org/wiki/Eurasian_Tree_Sparrow</v>
      </c>
      <c r="F876" s="123" t="str">
        <f>HYPERLINK("https://apiv3.iucnredlist.org/api/v3/website/Passer montanus")</f>
        <v>https://apiv3.iucnredlist.org/api/v3/website/Passer montanus</v>
      </c>
      <c r="G876" s="90">
        <v>70</v>
      </c>
      <c r="H876" s="90">
        <v>365</v>
      </c>
      <c r="J876" s="87" t="s">
        <v>1512</v>
      </c>
      <c r="K876" s="100" t="s">
        <v>1515</v>
      </c>
      <c r="M876" s="101" t="s">
        <v>1516</v>
      </c>
      <c r="N876" s="90" t="s">
        <v>42</v>
      </c>
      <c r="Q876" s="2" t="s">
        <v>4211</v>
      </c>
    </row>
    <row r="877" spans="1:18" ht="20.399999999999999" x14ac:dyDescent="0.3">
      <c r="A877" s="85">
        <v>703</v>
      </c>
      <c r="B877" s="76" t="s">
        <v>6613</v>
      </c>
      <c r="C877" s="77" t="str">
        <f>HYPERLINK("https://www.xeno-canto.org/species/Passer-domesticus")</f>
        <v>https://www.xeno-canto.org/species/Passer-domesticus</v>
      </c>
      <c r="D877" s="94" t="str">
        <f>HYPERLINK("https://ebird.org/species/houspa")</f>
        <v>https://ebird.org/species/houspa</v>
      </c>
      <c r="E877" s="122" t="str">
        <f>HYPERLINK("https://en.wikipedia.org/wiki/House_Sparrow")</f>
        <v>https://en.wikipedia.org/wiki/House_Sparrow</v>
      </c>
      <c r="F877" s="123" t="str">
        <f>HYPERLINK("https://apiv3.iucnredlist.org/api/v3/website/Passer domesticus")</f>
        <v>https://apiv3.iucnredlist.org/api/v3/website/Passer domesticus</v>
      </c>
      <c r="J877" s="87" t="s">
        <v>1512</v>
      </c>
      <c r="K877" s="96" t="s">
        <v>6614</v>
      </c>
      <c r="M877" s="97" t="s">
        <v>6615</v>
      </c>
      <c r="N877" s="90" t="s">
        <v>49</v>
      </c>
      <c r="R877" s="2" t="s">
        <v>6616</v>
      </c>
    </row>
    <row r="879" spans="1:18" ht="12" x14ac:dyDescent="0.3">
      <c r="K879" s="88" t="s">
        <v>5854</v>
      </c>
      <c r="M879" s="89" t="s">
        <v>1517</v>
      </c>
    </row>
    <row r="880" spans="1:18" ht="20.399999999999999" x14ac:dyDescent="0.3">
      <c r="A880" s="85">
        <v>704</v>
      </c>
      <c r="B880" s="74" t="s">
        <v>5190</v>
      </c>
      <c r="C880" s="75" t="str">
        <f>HYPERLINK("https://www.xeno-canto.org/species/Padda-oryzivora")</f>
        <v>https://www.xeno-canto.org/species/Padda-oryzivora</v>
      </c>
      <c r="D880" s="91" t="str">
        <f>HYPERLINK("https://ebird.org/species/javspa")</f>
        <v>https://ebird.org/species/javspa</v>
      </c>
      <c r="E880" s="120" t="str">
        <f>HYPERLINK("https://en.wikipedia.org/wiki/Java_Sparrow")</f>
        <v>https://en.wikipedia.org/wiki/Java_Sparrow</v>
      </c>
      <c r="F880" s="121" t="str">
        <f>HYPERLINK("https://apiv3.iucnredlist.org/api/v3/website/Padda oryzivora")</f>
        <v>https://apiv3.iucnredlist.org/api/v3/website/Padda oryzivora</v>
      </c>
      <c r="G880" s="90">
        <v>71</v>
      </c>
      <c r="H880" s="90">
        <v>363</v>
      </c>
      <c r="J880" s="87" t="s">
        <v>1517</v>
      </c>
      <c r="K880" s="100" t="s">
        <v>1534</v>
      </c>
      <c r="M880" s="101" t="s">
        <v>5191</v>
      </c>
      <c r="N880" s="90" t="s">
        <v>42</v>
      </c>
      <c r="O880" s="90" t="s">
        <v>58</v>
      </c>
      <c r="Q880" s="2" t="s">
        <v>4212</v>
      </c>
      <c r="R880" s="2" t="s">
        <v>1536</v>
      </c>
    </row>
    <row r="881" spans="1:18" ht="14.4" x14ac:dyDescent="0.3">
      <c r="A881" s="85">
        <v>705</v>
      </c>
      <c r="B881" s="76" t="s">
        <v>4213</v>
      </c>
      <c r="C881" s="77" t="str">
        <f>HYPERLINK("https://www.xeno-canto.org/species/Lonchura-punctulata")</f>
        <v>https://www.xeno-canto.org/species/Lonchura-punctulata</v>
      </c>
      <c r="D881" s="94" t="str">
        <f>HYPERLINK("https://ebird.org/species/nutman")</f>
        <v>https://ebird.org/species/nutman</v>
      </c>
      <c r="E881" s="122" t="str">
        <f>HYPERLINK("https://en.wikipedia.org/wiki/Scaly-breasted_Munia")</f>
        <v>https://en.wikipedia.org/wiki/Scaly-breasted_Munia</v>
      </c>
      <c r="F881" s="123" t="str">
        <f>HYPERLINK("https://apiv3.iucnredlist.org/api/v3/website/Lonchura punctulata")</f>
        <v>https://apiv3.iucnredlist.org/api/v3/website/Lonchura punctulata</v>
      </c>
      <c r="G881" s="90">
        <v>71</v>
      </c>
      <c r="H881" s="90">
        <v>363</v>
      </c>
      <c r="J881" s="87" t="s">
        <v>1517</v>
      </c>
      <c r="K881" s="95" t="s">
        <v>1528</v>
      </c>
      <c r="M881" s="93" t="s">
        <v>1529</v>
      </c>
      <c r="N881" s="90" t="s">
        <v>37</v>
      </c>
      <c r="Q881" s="2" t="s">
        <v>3233</v>
      </c>
    </row>
    <row r="882" spans="1:18" ht="14.4" x14ac:dyDescent="0.3">
      <c r="A882" s="85">
        <v>706</v>
      </c>
      <c r="B882" s="76" t="s">
        <v>4214</v>
      </c>
      <c r="C882" s="77" t="str">
        <f>HYPERLINK("https://www.xeno-canto.org/species/Lonchura-fuscans")</f>
        <v>https://www.xeno-canto.org/species/Lonchura-fuscans</v>
      </c>
      <c r="D882" s="94" t="str">
        <f>HYPERLINK("https://ebird.org/species/dusmun1")</f>
        <v>https://ebird.org/species/dusmun1</v>
      </c>
      <c r="E882" s="122" t="str">
        <f>HYPERLINK("https://en.wikipedia.org/wiki/Dusky_Munia")</f>
        <v>https://en.wikipedia.org/wiki/Dusky_Munia</v>
      </c>
      <c r="F882" s="123" t="str">
        <f>HYPERLINK("https://apiv3.iucnredlist.org/api/v3/website/Lonchura fuscans")</f>
        <v>https://apiv3.iucnredlist.org/api/v3/website/Lonchura fuscans</v>
      </c>
      <c r="G882" s="90">
        <v>71</v>
      </c>
      <c r="H882" s="90">
        <v>363</v>
      </c>
      <c r="J882" s="87" t="s">
        <v>1517</v>
      </c>
      <c r="K882" s="95" t="s">
        <v>1526</v>
      </c>
      <c r="M882" s="93" t="s">
        <v>1527</v>
      </c>
      <c r="N882" s="90" t="s">
        <v>37</v>
      </c>
      <c r="Q882" s="2" t="s">
        <v>4021</v>
      </c>
    </row>
    <row r="883" spans="1:18" ht="14.4" x14ac:dyDescent="0.3">
      <c r="A883" s="85">
        <v>707</v>
      </c>
      <c r="B883" s="76" t="s">
        <v>4215</v>
      </c>
      <c r="C883" s="77" t="str">
        <f>HYPERLINK("https://www.xeno-canto.org/species/Lonchura-leucogastra")</f>
        <v>https://www.xeno-canto.org/species/Lonchura-leucogastra</v>
      </c>
      <c r="D883" s="94" t="str">
        <f>HYPERLINK("https://ebird.org/species/whbmun1")</f>
        <v>https://ebird.org/species/whbmun1</v>
      </c>
      <c r="E883" s="122" t="str">
        <f>HYPERLINK("https://en.wikipedia.org/wiki/White-bellied_Munia")</f>
        <v>https://en.wikipedia.org/wiki/White-bellied_Munia</v>
      </c>
      <c r="F883" s="123" t="str">
        <f>HYPERLINK("https://apiv3.iucnredlist.org/api/v3/website/Lonchura leucogastra")</f>
        <v>https://apiv3.iucnredlist.org/api/v3/website/Lonchura leucogastra</v>
      </c>
      <c r="G883" s="90">
        <v>71</v>
      </c>
      <c r="H883" s="90">
        <v>363</v>
      </c>
      <c r="J883" s="87" t="s">
        <v>1517</v>
      </c>
      <c r="K883" s="95" t="s">
        <v>1530</v>
      </c>
      <c r="M883" s="93" t="s">
        <v>1531</v>
      </c>
      <c r="N883" s="90" t="s">
        <v>37</v>
      </c>
      <c r="Q883" s="2" t="s">
        <v>3233</v>
      </c>
    </row>
    <row r="884" spans="1:18" ht="14.4" x14ac:dyDescent="0.3">
      <c r="A884" s="85">
        <v>708</v>
      </c>
      <c r="B884" s="76" t="s">
        <v>4216</v>
      </c>
      <c r="C884" s="77" t="str">
        <f>HYPERLINK("https://www.xeno-canto.org/species/Lonchura-atricapilla")</f>
        <v>https://www.xeno-canto.org/species/Lonchura-atricapilla</v>
      </c>
      <c r="D884" s="94" t="str">
        <f>HYPERLINK("https://ebird.org/species/chemun")</f>
        <v>https://ebird.org/species/chemun</v>
      </c>
      <c r="E884" s="122" t="str">
        <f>HYPERLINK("https://en.wikipedia.org/wiki/Chestnut_Munia")</f>
        <v>https://en.wikipedia.org/wiki/Chestnut_Munia</v>
      </c>
      <c r="F884" s="123" t="str">
        <f>HYPERLINK("https://apiv3.iucnredlist.org/api/v3/website/Lonchura atricapilla")</f>
        <v>https://apiv3.iucnredlist.org/api/v3/website/Lonchura atricapilla</v>
      </c>
      <c r="G884" s="90">
        <v>71</v>
      </c>
      <c r="H884" s="90">
        <v>363</v>
      </c>
      <c r="J884" s="87" t="s">
        <v>1517</v>
      </c>
      <c r="K884" s="95" t="s">
        <v>1532</v>
      </c>
      <c r="M884" s="93" t="s">
        <v>1533</v>
      </c>
      <c r="N884" s="90" t="s">
        <v>37</v>
      </c>
      <c r="Q884" s="2" t="s">
        <v>3233</v>
      </c>
    </row>
    <row r="885" spans="1:18" ht="20.399999999999999" x14ac:dyDescent="0.3">
      <c r="A885" s="85">
        <v>709</v>
      </c>
      <c r="B885" s="76" t="s">
        <v>4217</v>
      </c>
      <c r="C885" s="77" t="str">
        <f>HYPERLINK("https://www.xeno-canto.org/species/Erythrura-prasina")</f>
        <v>https://www.xeno-canto.org/species/Erythrura-prasina</v>
      </c>
      <c r="D885" s="94" t="str">
        <f>HYPERLINK("https://ebird.org/species/pitpar1")</f>
        <v>https://ebird.org/species/pitpar1</v>
      </c>
      <c r="E885" s="122" t="str">
        <f>HYPERLINK("https://en.wikipedia.org/wiki/Pin-tailed_Parrotfinch")</f>
        <v>https://en.wikipedia.org/wiki/Pin-tailed_Parrotfinch</v>
      </c>
      <c r="F885" s="123" t="str">
        <f>HYPERLINK("https://apiv3.iucnredlist.org/api/v3/website/Erythrura prasina")</f>
        <v>https://apiv3.iucnredlist.org/api/v3/website/Erythrura prasina</v>
      </c>
      <c r="H885" s="90">
        <v>365</v>
      </c>
      <c r="J885" s="87" t="s">
        <v>1517</v>
      </c>
      <c r="K885" s="92" t="s">
        <v>1520</v>
      </c>
      <c r="M885" s="93" t="s">
        <v>1521</v>
      </c>
      <c r="N885" s="90" t="s">
        <v>49</v>
      </c>
      <c r="Q885" s="2" t="s">
        <v>4218</v>
      </c>
      <c r="R885" s="2" t="s">
        <v>6617</v>
      </c>
    </row>
    <row r="886" spans="1:18" ht="14.4" x14ac:dyDescent="0.3">
      <c r="A886" s="85">
        <v>710</v>
      </c>
      <c r="B886" s="76" t="s">
        <v>4219</v>
      </c>
      <c r="C886" s="77" t="str">
        <f>HYPERLINK("https://www.xeno-canto.org/species/Erythrura-viridifacies")</f>
        <v>https://www.xeno-canto.org/species/Erythrura-viridifacies</v>
      </c>
      <c r="D886" s="94" t="str">
        <f>HYPERLINK("https://ebird.org/species/grfpar1")</f>
        <v>https://ebird.org/species/grfpar1</v>
      </c>
      <c r="E886" s="122" t="str">
        <f>HYPERLINK("https://en.wikipedia.org/wiki/Green-faced_Parrotfinch")</f>
        <v>https://en.wikipedia.org/wiki/Green-faced_Parrotfinch</v>
      </c>
      <c r="F886" s="123" t="str">
        <f>HYPERLINK("https://apiv3.iucnredlist.org/api/v3/website/Erythrura viridifacies")</f>
        <v>https://apiv3.iucnredlist.org/api/v3/website/Erythrura viridifacies</v>
      </c>
      <c r="G886" s="90">
        <v>71</v>
      </c>
      <c r="H886" s="90">
        <v>365</v>
      </c>
      <c r="J886" s="87" t="s">
        <v>1517</v>
      </c>
      <c r="K886" s="98" t="s">
        <v>1522</v>
      </c>
      <c r="M886" s="99" t="s">
        <v>1523</v>
      </c>
      <c r="N886" s="90" t="s">
        <v>57</v>
      </c>
      <c r="O886" s="90" t="s">
        <v>38</v>
      </c>
      <c r="P886" s="90" t="s">
        <v>38</v>
      </c>
      <c r="Q886" s="2" t="s">
        <v>4220</v>
      </c>
    </row>
    <row r="887" spans="1:18" ht="14.4" x14ac:dyDescent="0.3">
      <c r="A887" s="85">
        <v>711</v>
      </c>
      <c r="B887" s="76" t="s">
        <v>4221</v>
      </c>
      <c r="C887" s="77" t="str">
        <f>HYPERLINK("https://www.xeno-canto.org/species/Erythrura-hyperythra")</f>
        <v>https://www.xeno-canto.org/species/Erythrura-hyperythra</v>
      </c>
      <c r="D887" s="94" t="str">
        <f>HYPERLINK("https://ebird.org/species/tabpar1")</f>
        <v>https://ebird.org/species/tabpar1</v>
      </c>
      <c r="E887" s="122" t="str">
        <f>HYPERLINK("https://en.wikipedia.org/wiki/Tawny-breasted_Parrotfinch")</f>
        <v>https://en.wikipedia.org/wiki/Tawny-breasted_Parrotfinch</v>
      </c>
      <c r="F887" s="123" t="str">
        <f>HYPERLINK("https://apiv3.iucnredlist.org/api/v3/website/Erythrura hyperythra")</f>
        <v>https://apiv3.iucnredlist.org/api/v3/website/Erythrura hyperythra</v>
      </c>
      <c r="G887" s="90">
        <v>71</v>
      </c>
      <c r="H887" s="90">
        <v>365</v>
      </c>
      <c r="J887" s="87" t="s">
        <v>1517</v>
      </c>
      <c r="K887" s="95" t="s">
        <v>1518</v>
      </c>
      <c r="M887" s="93" t="s">
        <v>1519</v>
      </c>
      <c r="N887" s="90" t="s">
        <v>37</v>
      </c>
      <c r="Q887" s="2" t="s">
        <v>4222</v>
      </c>
    </row>
    <row r="888" spans="1:18" ht="14.4" x14ac:dyDescent="0.3">
      <c r="A888" s="85">
        <v>712</v>
      </c>
      <c r="B888" s="76" t="s">
        <v>4223</v>
      </c>
      <c r="C888" s="77" t="str">
        <f>HYPERLINK("https://www.xeno-canto.org/species/Erythrura-coloria")</f>
        <v>https://www.xeno-canto.org/species/Erythrura-coloria</v>
      </c>
      <c r="D888" s="94" t="str">
        <f>HYPERLINK("https://ebird.org/species/reepar2")</f>
        <v>https://ebird.org/species/reepar2</v>
      </c>
      <c r="E888" s="122" t="str">
        <f>HYPERLINK("https://en.wikipedia.org/wiki/Red-eared_Parrotfinch")</f>
        <v>https://en.wikipedia.org/wiki/Red-eared_Parrotfinch</v>
      </c>
      <c r="F888" s="123" t="str">
        <f>HYPERLINK("https://apiv3.iucnredlist.org/api/v3/website/Erythrura coloria")</f>
        <v>https://apiv3.iucnredlist.org/api/v3/website/Erythrura coloria</v>
      </c>
      <c r="G888" s="90">
        <v>71</v>
      </c>
      <c r="H888" s="90">
        <v>365</v>
      </c>
      <c r="J888" s="87" t="s">
        <v>1517</v>
      </c>
      <c r="K888" s="98" t="s">
        <v>1524</v>
      </c>
      <c r="M888" s="99" t="s">
        <v>1525</v>
      </c>
      <c r="N888" s="90" t="s">
        <v>57</v>
      </c>
      <c r="O888" s="90" t="s">
        <v>50</v>
      </c>
      <c r="P888" s="90" t="s">
        <v>186</v>
      </c>
      <c r="Q888" s="2" t="s">
        <v>3788</v>
      </c>
    </row>
    <row r="890" spans="1:18" ht="12" x14ac:dyDescent="0.3">
      <c r="K890" s="88" t="s">
        <v>5855</v>
      </c>
      <c r="M890" s="89" t="s">
        <v>1537</v>
      </c>
    </row>
    <row r="891" spans="1:18" ht="14.4" x14ac:dyDescent="0.3">
      <c r="A891" s="85">
        <v>713</v>
      </c>
      <c r="B891" s="74" t="s">
        <v>4224</v>
      </c>
      <c r="C891" s="75" t="str">
        <f>HYPERLINK("https://www.xeno-canto.org/species/Dendronanthus-indicus")</f>
        <v>https://www.xeno-canto.org/species/Dendronanthus-indicus</v>
      </c>
      <c r="D891" s="91" t="str">
        <f>HYPERLINK("https://ebird.org/species/forwag1")</f>
        <v>https://ebird.org/species/forwag1</v>
      </c>
      <c r="E891" s="120" t="str">
        <f>HYPERLINK("https://en.wikipedia.org/wiki/Forest_Wagtail")</f>
        <v>https://en.wikipedia.org/wiki/Forest_Wagtail</v>
      </c>
      <c r="F891" s="121" t="str">
        <f>HYPERLINK("https://apiv3.iucnredlist.org/api/v3/website/Dendronanthus indicus")</f>
        <v>https://apiv3.iucnredlist.org/api/v3/website/Dendronanthus indicus</v>
      </c>
      <c r="G891" s="90">
        <v>64</v>
      </c>
      <c r="H891" s="90">
        <v>367</v>
      </c>
      <c r="J891" s="87" t="s">
        <v>1537</v>
      </c>
      <c r="K891" s="95" t="s">
        <v>1538</v>
      </c>
      <c r="M891" s="93" t="s">
        <v>1539</v>
      </c>
      <c r="N891" s="90" t="s">
        <v>89</v>
      </c>
      <c r="Q891" s="2" t="s">
        <v>3217</v>
      </c>
    </row>
    <row r="892" spans="1:18" ht="14.4" x14ac:dyDescent="0.3">
      <c r="A892" s="85">
        <v>714</v>
      </c>
      <c r="B892" s="76" t="s">
        <v>4225</v>
      </c>
      <c r="C892" s="77" t="str">
        <f>HYPERLINK("https://www.xeno-canto.org/species/Motacilla-tschutschensis")</f>
        <v>https://www.xeno-canto.org/species/Motacilla-tschutschensis</v>
      </c>
      <c r="D892" s="94" t="str">
        <f>HYPERLINK("https://ebird.org/species/eaywag")</f>
        <v>https://ebird.org/species/eaywag</v>
      </c>
      <c r="E892" s="122" t="str">
        <f>HYPERLINK("https://en.wikipedia.org/wiki/Eastern_Yellow_Wagtail")</f>
        <v>https://en.wikipedia.org/wiki/Eastern_Yellow_Wagtail</v>
      </c>
      <c r="F892" s="123" t="str">
        <f>HYPERLINK("https://apiv3.iucnredlist.org/api/v3/website/Motacilla tschutschensis")</f>
        <v>https://apiv3.iucnredlist.org/api/v3/website/Motacilla tschutschensis</v>
      </c>
      <c r="G892" s="90">
        <v>64</v>
      </c>
      <c r="H892" s="90">
        <v>371</v>
      </c>
      <c r="J892" s="87" t="s">
        <v>1537</v>
      </c>
      <c r="K892" s="95" t="s">
        <v>1540</v>
      </c>
      <c r="M892" s="93" t="s">
        <v>1541</v>
      </c>
      <c r="N892" s="90" t="s">
        <v>89</v>
      </c>
      <c r="Q892" s="2" t="s">
        <v>3221</v>
      </c>
    </row>
    <row r="893" spans="1:18" ht="20.399999999999999" x14ac:dyDescent="0.3">
      <c r="A893" s="85">
        <v>715</v>
      </c>
      <c r="B893" s="76" t="s">
        <v>4226</v>
      </c>
      <c r="C893" s="77" t="str">
        <f>HYPERLINK("https://www.xeno-canto.org/species/Motacilla-citreola")</f>
        <v>https://www.xeno-canto.org/species/Motacilla-citreola</v>
      </c>
      <c r="D893" s="94" t="str">
        <f>HYPERLINK("https://ebird.org/species/citwag")</f>
        <v>https://ebird.org/species/citwag</v>
      </c>
      <c r="E893" s="122" t="str">
        <f>HYPERLINK("https://en.wikipedia.org/wiki/Citrine_Wagtail")</f>
        <v>https://en.wikipedia.org/wiki/Citrine_Wagtail</v>
      </c>
      <c r="F893" s="123" t="str">
        <f>HYPERLINK("https://apiv3.iucnredlist.org/api/v3/website/Motacilla citreola")</f>
        <v>https://apiv3.iucnredlist.org/api/v3/website/Motacilla citreola</v>
      </c>
      <c r="H893" s="90">
        <v>369</v>
      </c>
      <c r="J893" s="87" t="s">
        <v>1537</v>
      </c>
      <c r="K893" s="92" t="s">
        <v>1542</v>
      </c>
      <c r="M893" s="93" t="s">
        <v>1543</v>
      </c>
      <c r="N893" s="90" t="s">
        <v>49</v>
      </c>
      <c r="Q893" s="2" t="s">
        <v>3083</v>
      </c>
      <c r="R893" s="2" t="s">
        <v>6618</v>
      </c>
    </row>
    <row r="894" spans="1:18" ht="14.4" x14ac:dyDescent="0.3">
      <c r="A894" s="85">
        <v>716</v>
      </c>
      <c r="B894" s="76" t="s">
        <v>4227</v>
      </c>
      <c r="C894" s="77" t="str">
        <f>HYPERLINK("https://www.xeno-canto.org/species/Motacilla-cinerea")</f>
        <v>https://www.xeno-canto.org/species/Motacilla-cinerea</v>
      </c>
      <c r="D894" s="94" t="str">
        <f>HYPERLINK("https://ebird.org/species/grywag")</f>
        <v>https://ebird.org/species/grywag</v>
      </c>
      <c r="E894" s="122" t="str">
        <f>HYPERLINK("https://en.wikipedia.org/wiki/Grey_Wagtail")</f>
        <v>https://en.wikipedia.org/wiki/Grey_Wagtail</v>
      </c>
      <c r="F894" s="123" t="str">
        <f>HYPERLINK("https://apiv3.iucnredlist.org/api/v3/website/Motacilla cinerea")</f>
        <v>https://apiv3.iucnredlist.org/api/v3/website/Motacilla cinerea</v>
      </c>
      <c r="G894" s="90">
        <v>64</v>
      </c>
      <c r="H894" s="90">
        <v>369</v>
      </c>
      <c r="J894" s="87" t="s">
        <v>1537</v>
      </c>
      <c r="K894" s="95" t="s">
        <v>1544</v>
      </c>
      <c r="M894" s="93" t="s">
        <v>1545</v>
      </c>
      <c r="N894" s="90" t="s">
        <v>89</v>
      </c>
      <c r="Q894" s="2" t="s">
        <v>3388</v>
      </c>
    </row>
    <row r="895" spans="1:18" ht="61.2" x14ac:dyDescent="0.3">
      <c r="A895" s="85">
        <v>717</v>
      </c>
      <c r="B895" s="76" t="s">
        <v>4228</v>
      </c>
      <c r="C895" s="77" t="str">
        <f>HYPERLINK("https://www.xeno-canto.org/species/Motacilla-alba")</f>
        <v>https://www.xeno-canto.org/species/Motacilla-alba</v>
      </c>
      <c r="D895" s="94" t="str">
        <f>HYPERLINK("https://ebird.org/species/whiwag")</f>
        <v>https://ebird.org/species/whiwag</v>
      </c>
      <c r="E895" s="122" t="str">
        <f>HYPERLINK("https://en.wikipedia.org/wiki/White_Wagtail")</f>
        <v>https://en.wikipedia.org/wiki/White_Wagtail</v>
      </c>
      <c r="F895" s="123" t="str">
        <f>HYPERLINK("https://apiv3.iucnredlist.org/api/v3/website/Motacilla alba")</f>
        <v>https://apiv3.iucnredlist.org/api/v3/website/Motacilla alba</v>
      </c>
      <c r="G895" s="90">
        <v>64</v>
      </c>
      <c r="H895" s="90">
        <v>373</v>
      </c>
      <c r="J895" s="87" t="s">
        <v>1537</v>
      </c>
      <c r="K895" s="95" t="s">
        <v>1546</v>
      </c>
      <c r="M895" s="93" t="s">
        <v>1547</v>
      </c>
      <c r="N895" s="90" t="s">
        <v>89</v>
      </c>
      <c r="Q895" s="2" t="s">
        <v>8574</v>
      </c>
    </row>
    <row r="896" spans="1:18" ht="20.399999999999999" x14ac:dyDescent="0.3">
      <c r="A896" s="85">
        <v>718</v>
      </c>
      <c r="B896" s="76" t="s">
        <v>4229</v>
      </c>
      <c r="C896" s="77" t="str">
        <f>HYPERLINK("https://www.xeno-canto.org/species/Anthus-richardi")</f>
        <v>https://www.xeno-canto.org/species/Anthus-richardi</v>
      </c>
      <c r="D896" s="94" t="str">
        <f>HYPERLINK("https://ebird.org/species/ricpip1")</f>
        <v>https://ebird.org/species/ricpip1</v>
      </c>
      <c r="E896" s="122" t="str">
        <f>HYPERLINK("https://en.wikipedia.org/wiki/Richard's_Pipit")</f>
        <v>https://en.wikipedia.org/wiki/Richard's_Pipit</v>
      </c>
      <c r="F896" s="123" t="str">
        <f>HYPERLINK("https://apiv3.iucnredlist.org/api/v3/website/Anthus richardi")</f>
        <v>https://apiv3.iucnredlist.org/api/v3/website/Anthus richardi</v>
      </c>
      <c r="H896" s="90">
        <v>369</v>
      </c>
      <c r="J896" s="87" t="s">
        <v>1537</v>
      </c>
      <c r="K896" s="92" t="s">
        <v>1548</v>
      </c>
      <c r="M896" s="93" t="s">
        <v>1549</v>
      </c>
      <c r="N896" s="90" t="s">
        <v>49</v>
      </c>
      <c r="Q896" s="2" t="s">
        <v>3959</v>
      </c>
      <c r="R896" s="2" t="s">
        <v>8575</v>
      </c>
    </row>
    <row r="897" spans="1:18" ht="14.4" x14ac:dyDescent="0.3">
      <c r="A897" s="85">
        <v>719</v>
      </c>
      <c r="B897" s="76" t="s">
        <v>4230</v>
      </c>
      <c r="C897" s="77" t="str">
        <f>HYPERLINK("https://www.xeno-canto.org/species/Anthus-rufulus")</f>
        <v>https://www.xeno-canto.org/species/Anthus-rufulus</v>
      </c>
      <c r="D897" s="94" t="str">
        <f>HYPERLINK("https://ebird.org/species/oripip1")</f>
        <v>https://ebird.org/species/oripip1</v>
      </c>
      <c r="E897" s="122" t="str">
        <f>HYPERLINK("https://en.wikipedia.org/wiki/Paddyfield_Pipit")</f>
        <v>https://en.wikipedia.org/wiki/Paddyfield_Pipit</v>
      </c>
      <c r="F897" s="123" t="str">
        <f>HYPERLINK("https://apiv3.iucnredlist.org/api/v3/website/Anthus rufulus")</f>
        <v>https://apiv3.iucnredlist.org/api/v3/website/Anthus rufulus</v>
      </c>
      <c r="G897" s="90">
        <v>64</v>
      </c>
      <c r="H897" s="90">
        <v>369</v>
      </c>
      <c r="J897" s="87" t="s">
        <v>1537</v>
      </c>
      <c r="K897" s="95" t="s">
        <v>1550</v>
      </c>
      <c r="M897" s="93" t="s">
        <v>1551</v>
      </c>
      <c r="N897" s="90" t="s">
        <v>37</v>
      </c>
      <c r="Q897" s="2" t="s">
        <v>4231</v>
      </c>
    </row>
    <row r="898" spans="1:18" ht="14.4" x14ac:dyDescent="0.3">
      <c r="A898" s="85">
        <v>720</v>
      </c>
      <c r="B898" s="76" t="s">
        <v>4232</v>
      </c>
      <c r="C898" s="77" t="str">
        <f>HYPERLINK("https://www.xeno-canto.org/species/Anthus-hodgsoni")</f>
        <v>https://www.xeno-canto.org/species/Anthus-hodgsoni</v>
      </c>
      <c r="D898" s="94" t="str">
        <f>HYPERLINK("https://ebird.org/species/olbpip")</f>
        <v>https://ebird.org/species/olbpip</v>
      </c>
      <c r="E898" s="122" t="str">
        <f>HYPERLINK("https://en.wikipedia.org/wiki/Olive-backed_Pipit")</f>
        <v>https://en.wikipedia.org/wiki/Olive-backed_Pipit</v>
      </c>
      <c r="F898" s="123" t="str">
        <f>HYPERLINK("https://apiv3.iucnredlist.org/api/v3/website/Anthus hodgsoni")</f>
        <v>https://apiv3.iucnredlist.org/api/v3/website/Anthus hodgsoni</v>
      </c>
      <c r="G898" s="90">
        <v>64</v>
      </c>
      <c r="H898" s="90">
        <v>367</v>
      </c>
      <c r="J898" s="87" t="s">
        <v>1537</v>
      </c>
      <c r="K898" s="95" t="s">
        <v>1552</v>
      </c>
      <c r="M898" s="93" t="s">
        <v>1553</v>
      </c>
      <c r="N898" s="90" t="s">
        <v>89</v>
      </c>
      <c r="Q898" s="2" t="s">
        <v>4233</v>
      </c>
    </row>
    <row r="899" spans="1:18" ht="20.399999999999999" x14ac:dyDescent="0.3">
      <c r="A899" s="85">
        <v>721</v>
      </c>
      <c r="B899" s="76" t="s">
        <v>4234</v>
      </c>
      <c r="C899" s="77" t="str">
        <f>HYPERLINK("https://www.xeno-canto.org/species/Anthus-gustavi")</f>
        <v>https://www.xeno-canto.org/species/Anthus-gustavi</v>
      </c>
      <c r="D899" s="94" t="str">
        <f>HYPERLINK("https://ebird.org/species/pecpip")</f>
        <v>https://ebird.org/species/pecpip</v>
      </c>
      <c r="E899" s="122" t="str">
        <f>HYPERLINK("https://en.wikipedia.org/wiki/Pechora_Pipit")</f>
        <v>https://en.wikipedia.org/wiki/Pechora_Pipit</v>
      </c>
      <c r="F899" s="123" t="str">
        <f>HYPERLINK("https://apiv3.iucnredlist.org/api/v3/website/Anthus gustavi")</f>
        <v>https://apiv3.iucnredlist.org/api/v3/website/Anthus gustavi</v>
      </c>
      <c r="G899" s="90">
        <v>64</v>
      </c>
      <c r="H899" s="90">
        <v>367</v>
      </c>
      <c r="J899" s="87" t="s">
        <v>1537</v>
      </c>
      <c r="K899" s="95" t="s">
        <v>1554</v>
      </c>
      <c r="M899" s="93" t="s">
        <v>1555</v>
      </c>
      <c r="N899" s="90" t="s">
        <v>89</v>
      </c>
      <c r="Q899" s="2" t="s">
        <v>4235</v>
      </c>
    </row>
    <row r="900" spans="1:18" ht="20.399999999999999" x14ac:dyDescent="0.3">
      <c r="A900" s="85">
        <v>722</v>
      </c>
      <c r="B900" s="76" t="s">
        <v>4236</v>
      </c>
      <c r="C900" s="77" t="str">
        <f>HYPERLINK("https://www.xeno-canto.org/species/Anthus-cervinus")</f>
        <v>https://www.xeno-canto.org/species/Anthus-cervinus</v>
      </c>
      <c r="D900" s="94" t="str">
        <f>HYPERLINK("https://ebird.org/species/retpip")</f>
        <v>https://ebird.org/species/retpip</v>
      </c>
      <c r="E900" s="122" t="str">
        <f>HYPERLINK("https://en.wikipedia.org/wiki/Red-throated_Pipit")</f>
        <v>https://en.wikipedia.org/wiki/Red-throated_Pipit</v>
      </c>
      <c r="F900" s="123" t="str">
        <f>HYPERLINK("https://apiv3.iucnredlist.org/api/v3/website/Anthus cervinus")</f>
        <v>https://apiv3.iucnredlist.org/api/v3/website/Anthus cervinus</v>
      </c>
      <c r="G900" s="90">
        <v>64</v>
      </c>
      <c r="H900" s="90">
        <v>367</v>
      </c>
      <c r="J900" s="87" t="s">
        <v>1537</v>
      </c>
      <c r="K900" s="95" t="s">
        <v>1556</v>
      </c>
      <c r="M900" s="93" t="s">
        <v>1557</v>
      </c>
      <c r="N900" s="90" t="s">
        <v>89</v>
      </c>
      <c r="Q900" s="2" t="s">
        <v>4237</v>
      </c>
    </row>
    <row r="901" spans="1:18" ht="20.399999999999999" x14ac:dyDescent="0.3">
      <c r="A901" s="85">
        <v>723</v>
      </c>
      <c r="B901" s="76" t="s">
        <v>4238</v>
      </c>
      <c r="C901" s="77" t="str">
        <f>HYPERLINK("https://www.xeno-canto.org/species/Anthus-rubescens")</f>
        <v>https://www.xeno-canto.org/species/Anthus-rubescens</v>
      </c>
      <c r="D901" s="94" t="str">
        <f>HYPERLINK("https://ebird.org/species/amepip")</f>
        <v>https://ebird.org/species/amepip</v>
      </c>
      <c r="E901" s="122" t="str">
        <f>HYPERLINK("https://en.wikipedia.org/wiki/Buff-bellied_Pipit")</f>
        <v>https://en.wikipedia.org/wiki/Buff-bellied_Pipit</v>
      </c>
      <c r="F901" s="123" t="str">
        <f>HYPERLINK("https://apiv3.iucnredlist.org/api/v3/website/Anthus rubescens")</f>
        <v>https://apiv3.iucnredlist.org/api/v3/website/Anthus rubescens</v>
      </c>
      <c r="H901" s="90">
        <v>369</v>
      </c>
      <c r="J901" s="87" t="s">
        <v>1537</v>
      </c>
      <c r="K901" s="92" t="s">
        <v>1558</v>
      </c>
      <c r="M901" s="93" t="s">
        <v>1559</v>
      </c>
      <c r="N901" s="90" t="s">
        <v>49</v>
      </c>
      <c r="Q901" s="2" t="s">
        <v>3078</v>
      </c>
      <c r="R901" s="2" t="s">
        <v>6463</v>
      </c>
    </row>
    <row r="903" spans="1:18" ht="12" x14ac:dyDescent="0.3">
      <c r="K903" s="88" t="s">
        <v>5856</v>
      </c>
      <c r="M903" s="89" t="s">
        <v>1560</v>
      </c>
    </row>
    <row r="904" spans="1:18" ht="20.399999999999999" x14ac:dyDescent="0.3">
      <c r="A904" s="85">
        <v>724</v>
      </c>
      <c r="B904" s="74" t="s">
        <v>4239</v>
      </c>
      <c r="C904" s="75" t="str">
        <f>HYPERLINK("https://www.xeno-canto.org/species/Fringilla-montifringilla")</f>
        <v>https://www.xeno-canto.org/species/Fringilla-montifringilla</v>
      </c>
      <c r="D904" s="91" t="str">
        <f>HYPERLINK("https://ebird.org/species/brambl")</f>
        <v>https://ebird.org/species/brambl</v>
      </c>
      <c r="E904" s="120" t="str">
        <f>HYPERLINK("https://en.wikipedia.org/wiki/Brambling")</f>
        <v>https://en.wikipedia.org/wiki/Brambling</v>
      </c>
      <c r="F904" s="121" t="str">
        <f>HYPERLINK("https://apiv3.iucnredlist.org/api/v3/website/Fringilla montifringilla")</f>
        <v>https://apiv3.iucnredlist.org/api/v3/website/Fringilla montifringilla</v>
      </c>
      <c r="G904" s="90">
        <v>72</v>
      </c>
      <c r="H904" s="90">
        <v>373</v>
      </c>
      <c r="J904" s="87" t="s">
        <v>1560</v>
      </c>
      <c r="K904" s="92" t="s">
        <v>1561</v>
      </c>
      <c r="M904" s="93" t="s">
        <v>1562</v>
      </c>
      <c r="N904" s="90" t="s">
        <v>49</v>
      </c>
      <c r="Q904" s="2" t="s">
        <v>4240</v>
      </c>
      <c r="R904" s="2" t="s">
        <v>6619</v>
      </c>
    </row>
    <row r="905" spans="1:18" ht="20.399999999999999" x14ac:dyDescent="0.3">
      <c r="A905" s="85">
        <v>725</v>
      </c>
      <c r="B905" s="76" t="s">
        <v>4241</v>
      </c>
      <c r="C905" s="77" t="str">
        <f>HYPERLINK("https://www.xeno-canto.org/species/Coccothraustes-coccothraustes")</f>
        <v>https://www.xeno-canto.org/species/Coccothraustes-coccothraustes</v>
      </c>
      <c r="D905" s="94" t="str">
        <f>HYPERLINK("https://ebird.org/species/hawfin")</f>
        <v>https://ebird.org/species/hawfin</v>
      </c>
      <c r="E905" s="122" t="str">
        <f>HYPERLINK("https://en.wikipedia.org/wiki/Hawfinch")</f>
        <v>https://en.wikipedia.org/wiki/Hawfinch</v>
      </c>
      <c r="F905" s="123" t="str">
        <f>HYPERLINK("https://apiv3.iucnredlist.org/api/v3/website/Coccothraustes coccothraustes")</f>
        <v>https://apiv3.iucnredlist.org/api/v3/website/Coccothraustes coccothraustes</v>
      </c>
      <c r="H905" s="90">
        <v>373</v>
      </c>
      <c r="J905" s="87" t="s">
        <v>1560</v>
      </c>
      <c r="K905" s="92" t="s">
        <v>1563</v>
      </c>
      <c r="M905" s="93" t="s">
        <v>1564</v>
      </c>
      <c r="N905" s="90" t="s">
        <v>49</v>
      </c>
      <c r="Q905" s="2" t="s">
        <v>3078</v>
      </c>
      <c r="R905" s="2" t="s">
        <v>8576</v>
      </c>
    </row>
    <row r="906" spans="1:18" ht="20.399999999999999" x14ac:dyDescent="0.3">
      <c r="A906" s="85">
        <v>726</v>
      </c>
      <c r="B906" s="76" t="s">
        <v>4242</v>
      </c>
      <c r="C906" s="77" t="str">
        <f>HYPERLINK("https://www.xeno-canto.org/species/Eophona-migratoria")</f>
        <v>https://www.xeno-canto.org/species/Eophona-migratoria</v>
      </c>
      <c r="D906" s="94" t="str">
        <f>HYPERLINK("https://ebird.org/species/yebgro1")</f>
        <v>https://ebird.org/species/yebgro1</v>
      </c>
      <c r="E906" s="122" t="str">
        <f>HYPERLINK("https://en.wikipedia.org/wiki/Chinese_Grosbeak")</f>
        <v>https://en.wikipedia.org/wiki/Chinese_Grosbeak</v>
      </c>
      <c r="F906" s="123" t="str">
        <f>HYPERLINK("https://apiv3.iucnredlist.org/api/v3/website/Eophona migratoria")</f>
        <v>https://apiv3.iucnredlist.org/api/v3/website/Eophona migratoria</v>
      </c>
      <c r="H906" s="90">
        <v>373</v>
      </c>
      <c r="J906" s="87" t="s">
        <v>1560</v>
      </c>
      <c r="K906" s="92" t="s">
        <v>1565</v>
      </c>
      <c r="M906" s="93" t="s">
        <v>1566</v>
      </c>
      <c r="N906" s="90" t="s">
        <v>49</v>
      </c>
      <c r="Q906" s="2" t="s">
        <v>3078</v>
      </c>
      <c r="R906" s="2" t="s">
        <v>6464</v>
      </c>
    </row>
    <row r="907" spans="1:18" ht="20.399999999999999" x14ac:dyDescent="0.3">
      <c r="A907" s="85">
        <v>727</v>
      </c>
      <c r="B907" s="76" t="s">
        <v>4243</v>
      </c>
      <c r="C907" s="77" t="str">
        <f>HYPERLINK("https://www.xeno-canto.org/species/Eophona-personata")</f>
        <v>https://www.xeno-canto.org/species/Eophona-personata</v>
      </c>
      <c r="D907" s="94" t="str">
        <f>HYPERLINK("https://ebird.org/species/japgro1")</f>
        <v>https://ebird.org/species/japgro1</v>
      </c>
      <c r="E907" s="122" t="str">
        <f>HYPERLINK("https://en.wikipedia.org/wiki/Japanese_Grosbeak")</f>
        <v>https://en.wikipedia.org/wiki/Japanese_Grosbeak</v>
      </c>
      <c r="F907" s="123" t="str">
        <f>HYPERLINK("https://apiv3.iucnredlist.org/api/v3/website/Eophona personata")</f>
        <v>https://apiv3.iucnredlist.org/api/v3/website/Eophona personata</v>
      </c>
      <c r="H907" s="90">
        <v>373</v>
      </c>
      <c r="J907" s="87" t="s">
        <v>1560</v>
      </c>
      <c r="K907" s="92" t="s">
        <v>1567</v>
      </c>
      <c r="M907" s="93" t="s">
        <v>1568</v>
      </c>
      <c r="N907" s="90" t="s">
        <v>49</v>
      </c>
      <c r="Q907" s="2" t="s">
        <v>3078</v>
      </c>
      <c r="R907" s="2" t="s">
        <v>8577</v>
      </c>
    </row>
    <row r="908" spans="1:18" ht="14.4" x14ac:dyDescent="0.3">
      <c r="A908" s="85">
        <v>728</v>
      </c>
      <c r="B908" s="76" t="s">
        <v>4244</v>
      </c>
      <c r="C908" s="77" t="str">
        <f>HYPERLINK("https://www.xeno-canto.org/species/Pyrrhula-leucogenis")</f>
        <v>https://www.xeno-canto.org/species/Pyrrhula-leucogenis</v>
      </c>
      <c r="D908" s="94" t="str">
        <f>HYPERLINK("https://ebird.org/species/whcbul1")</f>
        <v>https://ebird.org/species/whcbul1</v>
      </c>
      <c r="E908" s="122" t="str">
        <f>HYPERLINK("https://en.wikipedia.org/wiki/White-cheeked_Bullfinch")</f>
        <v>https://en.wikipedia.org/wiki/White-cheeked_Bullfinch</v>
      </c>
      <c r="F908" s="123" t="str">
        <f>HYPERLINK("https://apiv3.iucnredlist.org/api/v3/website/Pyrrhula leucogenis")</f>
        <v>https://apiv3.iucnredlist.org/api/v3/website/Pyrrhula leucogenis</v>
      </c>
      <c r="G908" s="90">
        <v>72</v>
      </c>
      <c r="H908" s="90">
        <v>375</v>
      </c>
      <c r="J908" s="87" t="s">
        <v>1560</v>
      </c>
      <c r="K908" s="98" t="s">
        <v>1569</v>
      </c>
      <c r="M908" s="99" t="s">
        <v>1570</v>
      </c>
      <c r="N908" s="90" t="s">
        <v>57</v>
      </c>
      <c r="Q908" s="2" t="s">
        <v>4245</v>
      </c>
    </row>
    <row r="909" spans="1:18" ht="20.399999999999999" x14ac:dyDescent="0.3">
      <c r="A909" s="85">
        <v>729</v>
      </c>
      <c r="B909" s="76" t="s">
        <v>4246</v>
      </c>
      <c r="C909" s="77" t="str">
        <f>HYPERLINK("https://www.xeno-canto.org/species/Carpodacus-erythrinus")</f>
        <v>https://www.xeno-canto.org/species/Carpodacus-erythrinus</v>
      </c>
      <c r="D909" s="94" t="str">
        <f>HYPERLINK("https://ebird.org/species/comros")</f>
        <v>https://ebird.org/species/comros</v>
      </c>
      <c r="E909" s="122" t="str">
        <f>HYPERLINK("https://en.wikipedia.org/wiki/Common_Rosefinch")</f>
        <v>https://en.wikipedia.org/wiki/Common_Rosefinch</v>
      </c>
      <c r="F909" s="123" t="str">
        <f>HYPERLINK("https://apiv3.iucnredlist.org/api/v3/website/Carpodacus erythrinus")</f>
        <v>https://apiv3.iucnredlist.org/api/v3/website/Carpodacus erythrinus</v>
      </c>
      <c r="H909" s="90">
        <v>373</v>
      </c>
      <c r="J909" s="87" t="s">
        <v>1560</v>
      </c>
      <c r="K909" s="92" t="s">
        <v>1571</v>
      </c>
      <c r="M909" s="93" t="s">
        <v>1572</v>
      </c>
      <c r="N909" s="90" t="s">
        <v>49</v>
      </c>
      <c r="Q909" s="2" t="s">
        <v>3728</v>
      </c>
      <c r="R909" s="2" t="s">
        <v>6465</v>
      </c>
    </row>
    <row r="910" spans="1:18" ht="14.4" x14ac:dyDescent="0.3">
      <c r="A910" s="85">
        <v>730</v>
      </c>
      <c r="B910" s="76" t="s">
        <v>4247</v>
      </c>
      <c r="C910" s="77" t="str">
        <f>HYPERLINK("https://www.xeno-canto.org/species/Loxia-curvirostra")</f>
        <v>https://www.xeno-canto.org/species/Loxia-curvirostra</v>
      </c>
      <c r="D910" s="94" t="str">
        <f>HYPERLINK("https://ebird.org/species/redcro")</f>
        <v>https://ebird.org/species/redcro</v>
      </c>
      <c r="E910" s="122" t="str">
        <f>HYPERLINK("https://en.wikipedia.org/wiki/Red_Crossbill")</f>
        <v>https://en.wikipedia.org/wiki/Red_Crossbill</v>
      </c>
      <c r="F910" s="123" t="str">
        <f>HYPERLINK("https://apiv3.iucnredlist.org/api/v3/website/Loxia curvirostra")</f>
        <v>https://apiv3.iucnredlist.org/api/v3/website/Loxia curvirostra</v>
      </c>
      <c r="G910" s="90">
        <v>72</v>
      </c>
      <c r="H910" s="90">
        <v>375</v>
      </c>
      <c r="J910" s="87" t="s">
        <v>1560</v>
      </c>
      <c r="K910" s="95" t="s">
        <v>1573</v>
      </c>
      <c r="M910" s="93" t="s">
        <v>1574</v>
      </c>
      <c r="N910" s="90" t="s">
        <v>37</v>
      </c>
      <c r="Q910" s="2" t="s">
        <v>3262</v>
      </c>
    </row>
    <row r="911" spans="1:18" ht="14.4" x14ac:dyDescent="0.3">
      <c r="A911" s="85">
        <v>731</v>
      </c>
      <c r="B911" s="76" t="s">
        <v>5192</v>
      </c>
      <c r="C911" s="77" t="str">
        <f>HYPERLINK("https://www.xeno-canto.org/species/Chrysocorythus-mindanensis")</f>
        <v>https://www.xeno-canto.org/species/Chrysocorythus-mindanensis</v>
      </c>
      <c r="D911" s="94" t="str">
        <f>HYPERLINK("https://ebird.org/species/mouser3")</f>
        <v>https://ebird.org/species/mouser3</v>
      </c>
      <c r="E911" s="122" t="str">
        <f>HYPERLINK("https://en.wikipedia.org/wiki/Mindanao_Serin")</f>
        <v>https://en.wikipedia.org/wiki/Mindanao_Serin</v>
      </c>
      <c r="F911" s="123" t="str">
        <f>HYPERLINK("https://apiv3.iucnredlist.org/api/v3/website/Chrysocorythus mindanensis")</f>
        <v>https://apiv3.iucnredlist.org/api/v3/website/Chrysocorythus mindanensis</v>
      </c>
      <c r="G911" s="90">
        <v>72</v>
      </c>
      <c r="H911" s="90">
        <v>375</v>
      </c>
      <c r="J911" s="87" t="s">
        <v>1560</v>
      </c>
      <c r="K911" s="102" t="s">
        <v>2264</v>
      </c>
      <c r="M911" s="99" t="s">
        <v>2265</v>
      </c>
      <c r="N911" s="90" t="s">
        <v>57</v>
      </c>
      <c r="O911" s="90" t="s">
        <v>50</v>
      </c>
      <c r="Q911" s="2" t="s">
        <v>4248</v>
      </c>
    </row>
    <row r="912" spans="1:18" ht="20.399999999999999" x14ac:dyDescent="0.3">
      <c r="A912" s="85">
        <v>732</v>
      </c>
      <c r="B912" s="76" t="s">
        <v>4249</v>
      </c>
      <c r="C912" s="77" t="str">
        <f>HYPERLINK("https://www.xeno-canto.org/species/Spinus-spinus")</f>
        <v>https://www.xeno-canto.org/species/Spinus-spinus</v>
      </c>
      <c r="D912" s="94" t="str">
        <f>HYPERLINK("https://ebird.org/species/eursis")</f>
        <v>https://ebird.org/species/eursis</v>
      </c>
      <c r="E912" s="122" t="str">
        <f>HYPERLINK("https://en.wikipedia.org/wiki/Eurasian_Siskin")</f>
        <v>https://en.wikipedia.org/wiki/Eurasian_Siskin</v>
      </c>
      <c r="F912" s="123" t="str">
        <f>HYPERLINK("https://apiv3.iucnredlist.org/api/v3/website/Spinus spinus")</f>
        <v>https://apiv3.iucnredlist.org/api/v3/website/Spinus spinus</v>
      </c>
      <c r="G912" s="90">
        <v>72</v>
      </c>
      <c r="H912" s="90">
        <v>375</v>
      </c>
      <c r="J912" s="87" t="s">
        <v>1560</v>
      </c>
      <c r="K912" s="92" t="s">
        <v>1576</v>
      </c>
      <c r="M912" s="93" t="s">
        <v>1577</v>
      </c>
      <c r="N912" s="90" t="s">
        <v>49</v>
      </c>
      <c r="Q912" s="2" t="s">
        <v>4240</v>
      </c>
      <c r="R912" s="2" t="s">
        <v>6466</v>
      </c>
    </row>
    <row r="914" spans="1:18" ht="12" x14ac:dyDescent="0.3">
      <c r="K914" s="88" t="s">
        <v>5193</v>
      </c>
      <c r="M914" s="89" t="s">
        <v>5194</v>
      </c>
    </row>
    <row r="915" spans="1:18" ht="20.399999999999999" x14ac:dyDescent="0.3">
      <c r="A915" s="85">
        <v>733</v>
      </c>
      <c r="B915" s="74" t="s">
        <v>5195</v>
      </c>
      <c r="C915" s="75" t="str">
        <f>HYPERLINK("https://www.xeno-canto.org/species/Calcarius-lapponicus")</f>
        <v>https://www.xeno-canto.org/species/Calcarius-lapponicus</v>
      </c>
      <c r="D915" s="91" t="str">
        <f>HYPERLINK("https://ebird.org/species/laplon")</f>
        <v>https://ebird.org/species/laplon</v>
      </c>
      <c r="E915" s="120" t="str">
        <f>HYPERLINK("https://en.wikipedia.org/wiki/Lapland_Longspur")</f>
        <v>https://en.wikipedia.org/wiki/Lapland_Longspur</v>
      </c>
      <c r="F915" s="121" t="str">
        <f>HYPERLINK("https://apiv3.iucnredlist.org/api/v3/website/Calcarius lapponicus")</f>
        <v>https://apiv3.iucnredlist.org/api/v3/website/Calcarius lapponicus</v>
      </c>
      <c r="J915" s="87" t="s">
        <v>5194</v>
      </c>
      <c r="K915" s="92" t="s">
        <v>5196</v>
      </c>
      <c r="M915" s="93" t="s">
        <v>5197</v>
      </c>
      <c r="N915" s="90" t="s">
        <v>49</v>
      </c>
      <c r="R915" s="2" t="s">
        <v>6467</v>
      </c>
    </row>
    <row r="917" spans="1:18" ht="12" x14ac:dyDescent="0.3">
      <c r="K917" s="88" t="s">
        <v>1578</v>
      </c>
      <c r="M917" s="89" t="s">
        <v>1579</v>
      </c>
    </row>
    <row r="918" spans="1:18" ht="20.399999999999999" x14ac:dyDescent="0.3">
      <c r="A918" s="85">
        <v>734</v>
      </c>
      <c r="B918" s="74" t="s">
        <v>4250</v>
      </c>
      <c r="C918" s="75" t="str">
        <f>HYPERLINK("https://www.xeno-canto.org/species/Emberiza-fucata")</f>
        <v>https://www.xeno-canto.org/species/Emberiza-fucata</v>
      </c>
      <c r="D918" s="91" t="str">
        <f>HYPERLINK("https://ebird.org/species/chebun2")</f>
        <v>https://ebird.org/species/chebun2</v>
      </c>
      <c r="E918" s="120" t="str">
        <f>HYPERLINK("https://en.wikipedia.org/wiki/Chestnut-eared_Bunting")</f>
        <v>https://en.wikipedia.org/wiki/Chestnut-eared_Bunting</v>
      </c>
      <c r="F918" s="121" t="str">
        <f>HYPERLINK("https://apiv3.iucnredlist.org/api/v3/website/Emberiza fucata")</f>
        <v>https://apiv3.iucnredlist.org/api/v3/website/Emberiza fucata</v>
      </c>
      <c r="H918" s="90">
        <v>377</v>
      </c>
      <c r="J918" s="87" t="s">
        <v>1579</v>
      </c>
      <c r="K918" s="92" t="s">
        <v>1580</v>
      </c>
      <c r="M918" s="93" t="s">
        <v>1581</v>
      </c>
      <c r="N918" s="90" t="s">
        <v>49</v>
      </c>
      <c r="Q918" s="2" t="s">
        <v>3078</v>
      </c>
      <c r="R918" s="2" t="s">
        <v>8578</v>
      </c>
    </row>
    <row r="919" spans="1:18" ht="20.399999999999999" x14ac:dyDescent="0.3">
      <c r="A919" s="85">
        <v>735</v>
      </c>
      <c r="B919" s="76" t="s">
        <v>4251</v>
      </c>
      <c r="C919" s="77" t="str">
        <f>HYPERLINK("https://www.xeno-canto.org/species/Emberiza-pusilla")</f>
        <v>https://www.xeno-canto.org/species/Emberiza-pusilla</v>
      </c>
      <c r="D919" s="94" t="str">
        <f>HYPERLINK("https://ebird.org/species/litbun")</f>
        <v>https://ebird.org/species/litbun</v>
      </c>
      <c r="E919" s="122" t="str">
        <f>HYPERLINK("https://en.wikipedia.org/wiki/Little_Bunting")</f>
        <v>https://en.wikipedia.org/wiki/Little_Bunting</v>
      </c>
      <c r="F919" s="123" t="str">
        <f>HYPERLINK("https://apiv3.iucnredlist.org/api/v3/website/Emberiza pusilla")</f>
        <v>https://apiv3.iucnredlist.org/api/v3/website/Emberiza pusilla</v>
      </c>
      <c r="G919" s="90">
        <v>72</v>
      </c>
      <c r="H919" s="90">
        <v>377</v>
      </c>
      <c r="J919" s="87" t="s">
        <v>1579</v>
      </c>
      <c r="K919" s="92" t="s">
        <v>1582</v>
      </c>
      <c r="M919" s="93" t="s">
        <v>1583</v>
      </c>
      <c r="N919" s="90" t="s">
        <v>49</v>
      </c>
      <c r="Q919" s="2" t="s">
        <v>4252</v>
      </c>
      <c r="R919" s="2" t="s">
        <v>6620</v>
      </c>
    </row>
    <row r="920" spans="1:18" ht="20.399999999999999" x14ac:dyDescent="0.3">
      <c r="A920" s="85">
        <v>736</v>
      </c>
      <c r="B920" s="76" t="s">
        <v>5857</v>
      </c>
      <c r="C920" s="77" t="str">
        <f>HYPERLINK("https://www.xeno-canto.org/species/Emberiza-chrysophrys")</f>
        <v>https://www.xeno-canto.org/species/Emberiza-chrysophrys</v>
      </c>
      <c r="D920" s="94" t="str">
        <f>HYPERLINK("https://ebird.org/species/yebbun1")</f>
        <v>https://ebird.org/species/yebbun1</v>
      </c>
      <c r="E920" s="122" t="str">
        <f>HYPERLINK("https://en.wikipedia.org/wiki/Yellow-browed_Bunting")</f>
        <v>https://en.wikipedia.org/wiki/Yellow-browed_Bunting</v>
      </c>
      <c r="F920" s="123" t="str">
        <f>HYPERLINK("https://apiv3.iucnredlist.org/api/v3/website/Emberiza chrysophrys")</f>
        <v>https://apiv3.iucnredlist.org/api/v3/website/Emberiza chrysophrys</v>
      </c>
      <c r="J920" s="87" t="s">
        <v>1579</v>
      </c>
      <c r="K920" s="92" t="s">
        <v>5858</v>
      </c>
      <c r="M920" s="93" t="s">
        <v>5859</v>
      </c>
      <c r="N920" s="90" t="s">
        <v>49</v>
      </c>
      <c r="R920" s="2" t="s">
        <v>6621</v>
      </c>
    </row>
    <row r="921" spans="1:18" ht="20.399999999999999" x14ac:dyDescent="0.3">
      <c r="A921" s="85">
        <v>737</v>
      </c>
      <c r="B921" s="76" t="s">
        <v>6622</v>
      </c>
      <c r="C921" s="77" t="str">
        <f>HYPERLINK("https://www.xeno-canto.org/species/Emberiza-rustica")</f>
        <v>https://www.xeno-canto.org/species/Emberiza-rustica</v>
      </c>
      <c r="D921" s="94" t="str">
        <f>HYPERLINK("https://ebird.org/species/rusbun")</f>
        <v>https://ebird.org/species/rusbun</v>
      </c>
      <c r="E921" s="122" t="str">
        <f>HYPERLINK("https://en.wikipedia.org/wiki/Rustic_Bunting")</f>
        <v>https://en.wikipedia.org/wiki/Rustic_Bunting</v>
      </c>
      <c r="F921" s="123" t="str">
        <f>HYPERLINK("https://apiv3.iucnredlist.org/api/v3/website/Emberiza rustica")</f>
        <v>https://apiv3.iucnredlist.org/api/v3/website/Emberiza rustica</v>
      </c>
      <c r="J921" s="87" t="s">
        <v>1579</v>
      </c>
      <c r="K921" s="96" t="s">
        <v>6623</v>
      </c>
      <c r="M921" s="97" t="s">
        <v>6624</v>
      </c>
      <c r="N921" s="90" t="s">
        <v>49</v>
      </c>
      <c r="R921" s="2" t="s">
        <v>6625</v>
      </c>
    </row>
    <row r="922" spans="1:18" ht="20.399999999999999" x14ac:dyDescent="0.3">
      <c r="A922" s="85">
        <v>738</v>
      </c>
      <c r="B922" s="76" t="s">
        <v>4253</v>
      </c>
      <c r="C922" s="77" t="str">
        <f>HYPERLINK("https://www.xeno-canto.org/species/Emberiza-aureola")</f>
        <v>https://www.xeno-canto.org/species/Emberiza-aureola</v>
      </c>
      <c r="D922" s="94" t="str">
        <f>HYPERLINK("https://ebird.org/species/yebbun")</f>
        <v>https://ebird.org/species/yebbun</v>
      </c>
      <c r="E922" s="122" t="str">
        <f>HYPERLINK("https://en.wikipedia.org/wiki/Yellow-breasted_Bunting")</f>
        <v>https://en.wikipedia.org/wiki/Yellow-breasted_Bunting</v>
      </c>
      <c r="F922" s="123" t="str">
        <f>HYPERLINK("https://apiv3.iucnredlist.org/api/v3/website/Emberiza aureola")</f>
        <v>https://apiv3.iucnredlist.org/api/v3/website/Emberiza aureola</v>
      </c>
      <c r="G922" s="90">
        <v>72</v>
      </c>
      <c r="H922" s="90">
        <v>377</v>
      </c>
      <c r="J922" s="87" t="s">
        <v>1579</v>
      </c>
      <c r="K922" s="92" t="s">
        <v>1584</v>
      </c>
      <c r="M922" s="93" t="s">
        <v>1585</v>
      </c>
      <c r="N922" s="90" t="s">
        <v>49</v>
      </c>
      <c r="O922" s="90" t="s">
        <v>112</v>
      </c>
      <c r="Q922" s="2" t="s">
        <v>4254</v>
      </c>
      <c r="R922" s="2" t="s">
        <v>6626</v>
      </c>
    </row>
    <row r="923" spans="1:18" ht="20.399999999999999" x14ac:dyDescent="0.3">
      <c r="A923" s="85">
        <v>739</v>
      </c>
      <c r="B923" s="76" t="s">
        <v>5860</v>
      </c>
      <c r="C923" s="77" t="str">
        <f>HYPERLINK("https://www.xeno-canto.org/species/Emberiza-rutila")</f>
        <v>https://www.xeno-canto.org/species/Emberiza-rutila</v>
      </c>
      <c r="D923" s="94" t="str">
        <f>HYPERLINK("https://ebird.org/species/chebun1")</f>
        <v>https://ebird.org/species/chebun1</v>
      </c>
      <c r="E923" s="122" t="str">
        <f>HYPERLINK("https://en.wikipedia.org/wiki/Chestnut_Bunting")</f>
        <v>https://en.wikipedia.org/wiki/Chestnut_Bunting</v>
      </c>
      <c r="F923" s="123" t="str">
        <f>HYPERLINK("https://apiv3.iucnredlist.org/api/v3/website/Emberiza rutila")</f>
        <v>https://apiv3.iucnredlist.org/api/v3/website/Emberiza rutila</v>
      </c>
      <c r="J923" s="87" t="s">
        <v>1579</v>
      </c>
      <c r="K923" s="92" t="s">
        <v>5861</v>
      </c>
      <c r="M923" s="93" t="s">
        <v>5862</v>
      </c>
      <c r="N923" s="90" t="s">
        <v>49</v>
      </c>
      <c r="R923" s="2" t="s">
        <v>6468</v>
      </c>
    </row>
    <row r="924" spans="1:18" ht="20.399999999999999" x14ac:dyDescent="0.3">
      <c r="A924" s="85">
        <v>740</v>
      </c>
      <c r="B924" s="76" t="s">
        <v>4255</v>
      </c>
      <c r="C924" s="77" t="str">
        <f>HYPERLINK("https://www.xeno-canto.org/species/Emberiza-melanocephala")</f>
        <v>https://www.xeno-canto.org/species/Emberiza-melanocephala</v>
      </c>
      <c r="D924" s="94" t="str">
        <f>HYPERLINK("https://ebird.org/species/blhbun1")</f>
        <v>https://ebird.org/species/blhbun1</v>
      </c>
      <c r="E924" s="122" t="str">
        <f>HYPERLINK("https://en.wikipedia.org/wiki/Black-headed_Bunting")</f>
        <v>https://en.wikipedia.org/wiki/Black-headed_Bunting</v>
      </c>
      <c r="F924" s="123" t="str">
        <f>HYPERLINK("https://apiv3.iucnredlist.org/api/v3/website/Emberiza melanocephala")</f>
        <v>https://apiv3.iucnredlist.org/api/v3/website/Emberiza melanocephala</v>
      </c>
      <c r="H924" s="90">
        <v>375</v>
      </c>
      <c r="J924" s="87" t="s">
        <v>1579</v>
      </c>
      <c r="K924" s="92" t="s">
        <v>1586</v>
      </c>
      <c r="M924" s="93" t="s">
        <v>1587</v>
      </c>
      <c r="N924" s="90" t="s">
        <v>49</v>
      </c>
      <c r="Q924" s="2" t="s">
        <v>3799</v>
      </c>
      <c r="R924" s="2" t="s">
        <v>6469</v>
      </c>
    </row>
    <row r="925" spans="1:18" ht="20.399999999999999" x14ac:dyDescent="0.3">
      <c r="A925" s="85">
        <v>741</v>
      </c>
      <c r="B925" s="76" t="s">
        <v>4256</v>
      </c>
      <c r="C925" s="77" t="str">
        <f>HYPERLINK("https://www.xeno-canto.org/species/Emberiza-sulphurata")</f>
        <v>https://www.xeno-canto.org/species/Emberiza-sulphurata</v>
      </c>
      <c r="D925" s="94" t="str">
        <f>HYPERLINK("https://ebird.org/species/yelbun1")</f>
        <v>https://ebird.org/species/yelbun1</v>
      </c>
      <c r="E925" s="122" t="str">
        <f>HYPERLINK("https://en.wikipedia.org/wiki/Yellow_Bunting")</f>
        <v>https://en.wikipedia.org/wiki/Yellow_Bunting</v>
      </c>
      <c r="F925" s="123" t="str">
        <f>HYPERLINK("https://apiv3.iucnredlist.org/api/v3/website/Emberiza sulphurata")</f>
        <v>https://apiv3.iucnredlist.org/api/v3/website/Emberiza sulphurata</v>
      </c>
      <c r="G925" s="90">
        <v>72</v>
      </c>
      <c r="H925" s="90">
        <v>377</v>
      </c>
      <c r="J925" s="87" t="s">
        <v>1579</v>
      </c>
      <c r="K925" s="95" t="s">
        <v>1588</v>
      </c>
      <c r="M925" s="93" t="s">
        <v>1589</v>
      </c>
      <c r="N925" s="90" t="s">
        <v>89</v>
      </c>
      <c r="O925" s="90" t="s">
        <v>38</v>
      </c>
      <c r="P925" s="90" t="s">
        <v>38</v>
      </c>
      <c r="Q925" s="2" t="s">
        <v>4257</v>
      </c>
    </row>
    <row r="926" spans="1:18" ht="20.399999999999999" x14ac:dyDescent="0.3">
      <c r="A926" s="85">
        <v>742</v>
      </c>
      <c r="B926" s="76" t="s">
        <v>4258</v>
      </c>
      <c r="C926" s="77" t="str">
        <f>HYPERLINK("https://www.xeno-canto.org/species/Emberiza-spodocephala")</f>
        <v>https://www.xeno-canto.org/species/Emberiza-spodocephala</v>
      </c>
      <c r="D926" s="94" t="str">
        <f>HYPERLINK("https://ebird.org/species/bkfbun1")</f>
        <v>https://ebird.org/species/bkfbun1</v>
      </c>
      <c r="E926" s="122" t="str">
        <f>HYPERLINK("https://en.wikipedia.org/wiki/Black-faced_Bunting")</f>
        <v>https://en.wikipedia.org/wiki/Black-faced_Bunting</v>
      </c>
      <c r="F926" s="123" t="str">
        <f>HYPERLINK("https://apiv3.iucnredlist.org/api/v3/website/Emberiza spodocephala")</f>
        <v>https://apiv3.iucnredlist.org/api/v3/website/Emberiza spodocephala</v>
      </c>
      <c r="H926" s="90">
        <v>377</v>
      </c>
      <c r="J926" s="87" t="s">
        <v>1579</v>
      </c>
      <c r="K926" s="92" t="s">
        <v>1590</v>
      </c>
      <c r="M926" s="93" t="s">
        <v>1591</v>
      </c>
      <c r="N926" s="90" t="s">
        <v>49</v>
      </c>
      <c r="Q926" s="2" t="s">
        <v>3078</v>
      </c>
      <c r="R926" s="2" t="s">
        <v>6470</v>
      </c>
    </row>
    <row r="927" spans="1:18" ht="20.399999999999999" x14ac:dyDescent="0.3">
      <c r="A927" s="85">
        <v>743</v>
      </c>
      <c r="B927" s="76" t="s">
        <v>5863</v>
      </c>
      <c r="C927" s="77" t="str">
        <f>HYPERLINK("https://www.xeno-canto.org/species/Emberiza-schoeniclus")</f>
        <v>https://www.xeno-canto.org/species/Emberiza-schoeniclus</v>
      </c>
      <c r="D927" s="94" t="str">
        <f>HYPERLINK("https://ebird.org/species/reebun")</f>
        <v>https://ebird.org/species/reebun</v>
      </c>
      <c r="E927" s="122" t="str">
        <f>HYPERLINK("https://en.wikipedia.org/wiki/Common_Reed_Bunting")</f>
        <v>https://en.wikipedia.org/wiki/Common_Reed_Bunting</v>
      </c>
      <c r="F927" s="123" t="str">
        <f>HYPERLINK("https://apiv3.iucnredlist.org/api/v3/website/Emberiza schoeniclus")</f>
        <v>https://apiv3.iucnredlist.org/api/v3/website/Emberiza schoeniclus</v>
      </c>
      <c r="J927" s="87" t="s">
        <v>1579</v>
      </c>
      <c r="K927" s="92" t="s">
        <v>5864</v>
      </c>
      <c r="M927" s="93" t="s">
        <v>5865</v>
      </c>
      <c r="N927" s="90" t="s">
        <v>49</v>
      </c>
      <c r="R927" s="2" t="s">
        <v>6471</v>
      </c>
    </row>
  </sheetData>
  <autoFilter ref="N2:P929" xr:uid="{6372CE88-6621-4735-8799-7002CFB40CA3}"/>
  <hyperlinks>
    <hyperlink ref="B5" r:id="rId1" xr:uid="{870E94AD-8B95-4491-9E0B-95F2EDD275D9}"/>
    <hyperlink ref="B6" r:id="rId2" xr:uid="{9D4ADFB4-C942-408F-B000-F5B3ED2AFA41}"/>
    <hyperlink ref="B7" r:id="rId3" xr:uid="{0ABEEFF3-9FB7-4038-A9C9-4B8C10B0553E}"/>
    <hyperlink ref="B8" r:id="rId4" xr:uid="{0CE694FE-AD03-4A03-8DEA-20DA8E638D85}"/>
    <hyperlink ref="B9" r:id="rId5" xr:uid="{DC1A7123-2D22-4BFE-9A2B-A28EED96677A}"/>
    <hyperlink ref="B10" r:id="rId6" xr:uid="{F6B94204-2A72-4F9E-9285-926512CFAD58}"/>
    <hyperlink ref="B11" r:id="rId7" xr:uid="{6E08716B-F47A-4078-9FC5-7B63990E9B42}"/>
    <hyperlink ref="B12" r:id="rId8" xr:uid="{2BD740DF-7A5C-4DB9-A4BF-4855F7888351}"/>
    <hyperlink ref="B13" r:id="rId9" xr:uid="{01F29540-82F5-4E72-BC58-BA6D9940D9F0}"/>
    <hyperlink ref="B14" r:id="rId10" xr:uid="{285138E4-08DB-4B33-BE91-E53718E2E9CD}"/>
    <hyperlink ref="B15" r:id="rId11" xr:uid="{E32A597E-0EF2-4A83-A9FE-94EAF314B68E}"/>
    <hyperlink ref="B16" r:id="rId12" xr:uid="{BD377990-FAED-43DE-9BB0-B6A6915255B3}"/>
    <hyperlink ref="B17" r:id="rId13" xr:uid="{226008C3-16CA-4917-BECC-80737A7479ED}"/>
    <hyperlink ref="B18" r:id="rId14" xr:uid="{70049A66-5EB8-4E78-9336-778F80910028}"/>
    <hyperlink ref="B19" r:id="rId15" xr:uid="{1D1EC2AA-0DA9-4133-ACAC-4C86031E7BA5}"/>
    <hyperlink ref="B20" r:id="rId16" xr:uid="{7E4DF31E-838E-4344-930D-38B0EB28DD76}"/>
    <hyperlink ref="B21" r:id="rId17" xr:uid="{F2170C68-6554-4011-A717-441839855A03}"/>
    <hyperlink ref="B22" r:id="rId18" xr:uid="{01099080-2AE3-44B4-9733-271581C519AE}"/>
    <hyperlink ref="B23" r:id="rId19" xr:uid="{BD265F32-FD50-478C-8C0D-353812E19CB1}"/>
    <hyperlink ref="B24" r:id="rId20" xr:uid="{C62CA299-C3E1-4974-B718-50F94698ECDB}"/>
    <hyperlink ref="B25" r:id="rId21" xr:uid="{3FC25CBA-C190-4404-94DF-5CED5B4EDE5A}"/>
    <hyperlink ref="B26" r:id="rId22" xr:uid="{BFE54323-B68D-493A-A874-D34665218F05}"/>
    <hyperlink ref="B27" r:id="rId23" xr:uid="{347C1E4C-0F5C-4BEC-9440-C23C1B75F74A}"/>
    <hyperlink ref="B28" r:id="rId24" xr:uid="{EA42F369-F9EC-41DE-BCEF-ABAB4EFC9E4F}"/>
    <hyperlink ref="B29" r:id="rId25" xr:uid="{B0ABD869-9DCF-44E4-8EF9-8FFF098D6FB3}"/>
    <hyperlink ref="B30" r:id="rId26" xr:uid="{031D5CE1-B1A2-4EC5-B4F5-56023AB46063}"/>
    <hyperlink ref="B31" r:id="rId27" xr:uid="{CD536E52-9C33-4E54-93C2-E393958A2409}"/>
    <hyperlink ref="B32" r:id="rId28" xr:uid="{759D4CE7-9E1A-41E1-BBA6-20310C1E4FAF}"/>
    <hyperlink ref="B33" r:id="rId29" xr:uid="{A79011DF-BE5C-4275-AA1D-DEE3B15A97DA}"/>
    <hyperlink ref="B34" r:id="rId30" xr:uid="{BBCB2316-0B0F-448A-8491-0B1376D74E5D}"/>
    <hyperlink ref="B35" r:id="rId31" xr:uid="{8560E000-EFB8-44EC-AA62-F47C9FF1D3C8}"/>
    <hyperlink ref="B38" r:id="rId32" xr:uid="{71D96004-C60E-49ED-AE07-D27AAAB268A4}"/>
    <hyperlink ref="B41" r:id="rId33" xr:uid="{3E88D10C-02F9-43F8-827B-DEDA47186FD2}"/>
    <hyperlink ref="B42" r:id="rId34" xr:uid="{DA44E743-4BA8-4256-A3F1-228FCDEB7679}"/>
    <hyperlink ref="B43" r:id="rId35" xr:uid="{F4E36FDC-3924-4AE5-A0F0-0E7F1D2489B0}"/>
    <hyperlink ref="B44" r:id="rId36" xr:uid="{F6BCDF3F-6AB3-438F-990A-03BCC481A8A6}"/>
    <hyperlink ref="B45" r:id="rId37" xr:uid="{32A0EA44-49FE-40A4-A0E2-2C43DCCC39C9}"/>
    <hyperlink ref="B46" r:id="rId38" xr:uid="{14AE023F-B9A7-4A02-8D34-15FBC5F562E0}"/>
    <hyperlink ref="B49" r:id="rId39" xr:uid="{C6DA0A5B-9191-4EF2-B440-02FE87A86191}"/>
    <hyperlink ref="B50" r:id="rId40" xr:uid="{091FC171-2EDD-44F9-A4F3-FB5753493694}"/>
    <hyperlink ref="B51" r:id="rId41" xr:uid="{DFD2D51F-4AA5-44FF-A8EB-2472330DCA08}"/>
    <hyperlink ref="B52" r:id="rId42" xr:uid="{C23FA353-EC27-4EC1-BDF8-F565E1E57042}"/>
    <hyperlink ref="B53" r:id="rId43" xr:uid="{1309B4C3-F463-4AAD-AA68-0D3F507EBEE3}"/>
    <hyperlink ref="B56" r:id="rId44" xr:uid="{7D360B4D-4C40-4849-BFD6-88BA47E8ADCC}"/>
    <hyperlink ref="B57" r:id="rId45" xr:uid="{7923A309-35A8-41A4-9E6F-24B7F06C3AF3}"/>
    <hyperlink ref="B60" r:id="rId46" xr:uid="{0E69E841-3192-4363-96E8-53A3AA09AC75}"/>
    <hyperlink ref="B61" r:id="rId47" xr:uid="{0992F631-834E-42E8-BDED-42BF5EC670BA}"/>
    <hyperlink ref="B64" r:id="rId48" xr:uid="{B350070D-4367-4FC5-A700-65E9F818AB39}"/>
    <hyperlink ref="B65" r:id="rId49" xr:uid="{833A0A05-BA89-4AE4-8B04-DC93F615523E}"/>
    <hyperlink ref="B66" r:id="rId50" xr:uid="{BAD0628E-1223-4CE4-88CC-8D7FF58E976F}"/>
    <hyperlink ref="B67" r:id="rId51" xr:uid="{048CAD38-3430-47C8-973B-94F990C3BE66}"/>
    <hyperlink ref="B68" r:id="rId52" xr:uid="{4AB9873D-8A97-40FB-BA09-00EE1D08DF03}"/>
    <hyperlink ref="B69" r:id="rId53" xr:uid="{4716C528-6BE9-4E5B-A390-B81E92F2A554}"/>
    <hyperlink ref="B70" r:id="rId54" xr:uid="{A586844E-A411-4E74-83B6-11F3BC3E06CC}"/>
    <hyperlink ref="B71" r:id="rId55" xr:uid="{E224987C-AA1D-4BAE-8457-CFFBA72E86AC}"/>
    <hyperlink ref="B72" r:id="rId56" xr:uid="{BA1187F4-9F1B-4484-AD89-ECAF1B27947E}"/>
    <hyperlink ref="B73" r:id="rId57" xr:uid="{BC7C92EB-F707-4D6B-A8A2-EF047204CDBF}"/>
    <hyperlink ref="B74" r:id="rId58" xr:uid="{4DE77444-3C80-4F8E-9505-71FD87A17AC1}"/>
    <hyperlink ref="B75" r:id="rId59" xr:uid="{871BA75C-9D92-4345-9EF7-5AD85AC6EE73}"/>
    <hyperlink ref="B76" r:id="rId60" xr:uid="{F3550F64-9FFB-4603-8CA5-6691346C894D}"/>
    <hyperlink ref="B77" r:id="rId61" xr:uid="{D1B0556C-7AFB-4F65-96BE-62A071DA4715}"/>
    <hyperlink ref="B78" r:id="rId62" xr:uid="{95EDF0C1-1E40-4690-A991-A8DE9A0CF939}"/>
    <hyperlink ref="B79" r:id="rId63" xr:uid="{6A0A7B90-1523-4A72-B913-28B36EEC2A5D}"/>
    <hyperlink ref="B82" r:id="rId64" xr:uid="{270DDB1C-5310-445A-9805-AAB4DCFA4193}"/>
    <hyperlink ref="B83" r:id="rId65" xr:uid="{30171490-384C-44E8-A180-E2EBCEE909B7}"/>
    <hyperlink ref="B84" r:id="rId66" xr:uid="{667730EA-83B4-4CA0-AE90-79BA2CFD816C}"/>
    <hyperlink ref="B85" r:id="rId67" xr:uid="{DCE68C5F-31CA-4F41-9392-2BB3124B4765}"/>
    <hyperlink ref="B86" r:id="rId68" xr:uid="{EC6E49F2-CAC5-41FD-A770-973F409317FF}"/>
    <hyperlink ref="B87" r:id="rId69" xr:uid="{1DEAC19C-8846-4943-9A6D-4F31FF4337AB}"/>
    <hyperlink ref="B88" r:id="rId70" xr:uid="{E9AA2E74-988E-4675-9E1F-15A6D2EAB8C9}"/>
    <hyperlink ref="B89" r:id="rId71" xr:uid="{99231015-56B8-4751-A633-748EBB532380}"/>
    <hyperlink ref="B90" r:id="rId72" xr:uid="{37CE2840-3AF7-4D90-8B7D-4C294461BC27}"/>
    <hyperlink ref="B91" r:id="rId73" xr:uid="{7AC41726-1434-4FA3-80AA-DAEAD825912F}"/>
    <hyperlink ref="B92" r:id="rId74" xr:uid="{1D631924-90F5-48A7-A317-EFC72663E9E9}"/>
    <hyperlink ref="B93" r:id="rId75" xr:uid="{7F11E363-DBAC-48C7-A664-12FF64F941B2}"/>
    <hyperlink ref="B94" r:id="rId76" xr:uid="{FD28CF71-AC1F-46C9-9C62-2ADC897DB948}"/>
    <hyperlink ref="B95" r:id="rId77" xr:uid="{2FF5B0D2-4635-4E6D-9666-0FAC7F80A529}"/>
    <hyperlink ref="B96" r:id="rId78" xr:uid="{C3F6CC3E-F054-4CD5-B0D6-F2659ADBFD47}"/>
    <hyperlink ref="B97" r:id="rId79" xr:uid="{9172C777-8AD7-4776-818C-9232E3E43C4B}"/>
    <hyperlink ref="B98" r:id="rId80" xr:uid="{C1CBE72E-C8AE-4471-8513-3036D85E2ADE}"/>
    <hyperlink ref="B99" r:id="rId81" xr:uid="{CFA11632-2FE5-4136-A193-B4530950F00F}"/>
    <hyperlink ref="B100" r:id="rId82" xr:uid="{39DF76A4-A331-40DB-8555-2974F790A61B}"/>
    <hyperlink ref="B101" r:id="rId83" xr:uid="{031946A5-CED0-427E-9828-C7350F2F1030}"/>
    <hyperlink ref="B102" r:id="rId84" xr:uid="{5A86E08C-61C2-481C-930F-87F823602613}"/>
    <hyperlink ref="B103" r:id="rId85" xr:uid="{56F408B7-8E7D-4DCD-8F01-AF32F5EABC85}"/>
    <hyperlink ref="B104" r:id="rId86" xr:uid="{AEAB46DF-CA43-4FCB-82BA-1D8649C7CA51}"/>
    <hyperlink ref="B105" r:id="rId87" xr:uid="{E36A5640-CF08-49E5-9299-175A7AA3FEEE}"/>
    <hyperlink ref="B106" r:id="rId88" xr:uid="{35ED9D04-D1F8-4D8F-9ACD-3D5AB18B0C0C}"/>
    <hyperlink ref="B109" r:id="rId89" xr:uid="{774F43E8-A3E4-4A8B-B204-C1F8F3C9FA33}"/>
    <hyperlink ref="B110" r:id="rId90" xr:uid="{E803F8FA-6DC6-4387-A514-927CDD1E37C3}"/>
    <hyperlink ref="B111" r:id="rId91" xr:uid="{DC57B42D-913E-4EEE-8384-66E1BAE537C3}"/>
    <hyperlink ref="B112" r:id="rId92" xr:uid="{312F970C-A599-44FE-8263-F9A9364EA1E0}"/>
    <hyperlink ref="B113" r:id="rId93" xr:uid="{763CD50D-772E-4812-B67E-1F1721D75A50}"/>
    <hyperlink ref="B114" r:id="rId94" xr:uid="{7147887E-4E8B-401A-AFA3-8868D00EB97E}"/>
    <hyperlink ref="B115" r:id="rId95" xr:uid="{D5726915-BF60-4CF7-9CD8-5A07649173FB}"/>
    <hyperlink ref="B116" r:id="rId96" xr:uid="{FEFDF10C-E150-45DD-BB05-C19E3D65E312}"/>
    <hyperlink ref="B117" r:id="rId97" xr:uid="{A22B91FF-45D1-4AA9-9650-B53415F0EC64}"/>
    <hyperlink ref="B118" r:id="rId98" xr:uid="{41AC8EB1-7743-49E0-9A8D-33DED82F06BE}"/>
    <hyperlink ref="B119" r:id="rId99" xr:uid="{2DCBA792-680B-4BE4-B353-5D3CAEE92F7B}"/>
    <hyperlink ref="B120" r:id="rId100" xr:uid="{E21F29E1-6264-48A3-B80D-9C58DD73CAA9}"/>
    <hyperlink ref="B121" r:id="rId101" xr:uid="{E21E65C3-D598-43F7-A07E-A938E9783690}"/>
    <hyperlink ref="B122" r:id="rId102" xr:uid="{48F35B2B-3A92-407C-97E4-B995C1E4934E}"/>
    <hyperlink ref="B123" r:id="rId103" xr:uid="{8B9DD7B3-0FCE-4D72-9ABC-8E5F16BE7389}"/>
    <hyperlink ref="B124" r:id="rId104" xr:uid="{7465A959-5D24-48DA-8499-FE122EEC29F0}"/>
    <hyperlink ref="B125" r:id="rId105" xr:uid="{A1B9D5E4-A130-42DC-A39D-B31A6AF5F155}"/>
    <hyperlink ref="B126" r:id="rId106" xr:uid="{0736E700-F8CC-4B8F-84CE-ADFEC4922C61}"/>
    <hyperlink ref="B127" r:id="rId107" xr:uid="{4906501B-B1E0-4AEE-B90C-26F7A71348DB}"/>
    <hyperlink ref="B128" r:id="rId108" xr:uid="{B1CDE375-2E1A-4F5D-8B20-AD9BA9C7D769}"/>
    <hyperlink ref="B129" r:id="rId109" xr:uid="{E8D9A0BB-605E-49C6-9D94-CE3C0BE466C5}"/>
    <hyperlink ref="B130" r:id="rId110" xr:uid="{0E16CF92-EC64-4006-A8BE-1A44F52A5E7B}"/>
    <hyperlink ref="B131" r:id="rId111" xr:uid="{2983CA1D-9CE9-4665-BA6C-3BFB470796CF}"/>
    <hyperlink ref="B132" r:id="rId112" xr:uid="{B53811E3-388F-4CCF-925A-5BED780FE7E8}"/>
    <hyperlink ref="B133" r:id="rId113" xr:uid="{DB71541B-8F84-413F-9C14-15B00C1C9FE9}"/>
    <hyperlink ref="B134" r:id="rId114" xr:uid="{FC9BF651-39E4-4C25-8848-D45FDA794486}"/>
    <hyperlink ref="B135" r:id="rId115" xr:uid="{B0D7EF2D-1E75-4721-99B7-FB0EEB455C99}"/>
    <hyperlink ref="B136" r:id="rId116" xr:uid="{03B85453-6441-41E3-9D23-44231D7878DE}"/>
    <hyperlink ref="B137" r:id="rId117" xr:uid="{8E5FC20E-2142-4B09-971D-ED492396AA72}"/>
    <hyperlink ref="B138" r:id="rId118" xr:uid="{07D51A6A-D39B-4EA3-8307-E16A8CC3CD9D}"/>
    <hyperlink ref="B139" r:id="rId119" xr:uid="{A8F5D35A-78C1-4594-9430-8001796D6005}"/>
    <hyperlink ref="B140" r:id="rId120" xr:uid="{A054AA89-DB3A-4349-A0C3-11700AA299A1}"/>
    <hyperlink ref="B141" r:id="rId121" xr:uid="{843D4EF3-F59A-490D-B6F8-632D09A958F7}"/>
    <hyperlink ref="B142" r:id="rId122" xr:uid="{8618559C-97CA-49EA-B481-85544041749E}"/>
    <hyperlink ref="B143" r:id="rId123" xr:uid="{837B12D0-9302-4E10-837C-6B7FD6DFA21A}"/>
    <hyperlink ref="B144" r:id="rId124" xr:uid="{EBC9EA9D-ABB7-4A8F-A736-584B9A6861F2}"/>
    <hyperlink ref="B147" r:id="rId125" xr:uid="{AFAE6949-05FF-4740-90C1-207E884A7CC4}"/>
    <hyperlink ref="B148" r:id="rId126" xr:uid="{6FA04D9D-6F51-4493-82C4-D1FE3668786B}"/>
    <hyperlink ref="B149" r:id="rId127" xr:uid="{B4C9380E-FBF6-41E7-9B5D-E3A591B03320}"/>
    <hyperlink ref="B150" r:id="rId128" xr:uid="{5100D450-D38F-416B-8148-68B6874D7FAC}"/>
    <hyperlink ref="B151" r:id="rId129" xr:uid="{12D33CAA-4C84-46FC-967E-ACE78D36677F}"/>
    <hyperlink ref="B152" r:id="rId130" xr:uid="{1BAAB143-D1A3-4A0A-A05E-85E5D598A203}"/>
    <hyperlink ref="B153" r:id="rId131" xr:uid="{D13B4841-B2DE-4746-8FC3-3E92D5268D7E}"/>
    <hyperlink ref="B154" r:id="rId132" xr:uid="{254A1298-2AF2-41FA-BE32-C38806E8FB07}"/>
    <hyperlink ref="B155" r:id="rId133" xr:uid="{6E5E878F-8F4A-468E-BCDD-A3FE67A40865}"/>
    <hyperlink ref="B156" r:id="rId134" xr:uid="{966BF54C-065A-41FA-BF61-A8636012FFFF}"/>
    <hyperlink ref="B157" r:id="rId135" xr:uid="{0813F3FD-D320-46CA-BC80-27D705249AF3}"/>
    <hyperlink ref="B158" r:id="rId136" xr:uid="{B8E4022A-A3B6-4CCA-8C4D-355D05E24DB7}"/>
    <hyperlink ref="B159" r:id="rId137" xr:uid="{7CE555A9-3A25-4695-8505-BD743E8607A0}"/>
    <hyperlink ref="B160" r:id="rId138" xr:uid="{B5206EAF-8D9D-4E9A-86FC-2E58BCAEB56B}"/>
    <hyperlink ref="B161" r:id="rId139" xr:uid="{50201781-224C-4BC8-9D92-0B93B74CEDA2}"/>
    <hyperlink ref="B162" r:id="rId140" xr:uid="{58669C71-9BD1-4254-8E07-B9B5B20C6E88}"/>
    <hyperlink ref="B163" r:id="rId141" xr:uid="{848B0EE1-F6C8-4C72-8938-5A63DE7A350C}"/>
    <hyperlink ref="B166" r:id="rId142" xr:uid="{00E9596E-B87C-42A8-9EBD-387B7F215B53}"/>
    <hyperlink ref="B167" r:id="rId143" xr:uid="{1FA05D65-815C-4DE1-857A-38959FD05031}"/>
    <hyperlink ref="B168" r:id="rId144" xr:uid="{6EB1FE9C-3347-4612-B15A-0EFAC96D7DF2}"/>
    <hyperlink ref="B171" r:id="rId145" xr:uid="{4AD4BD89-A8E0-4400-903F-022D909C5C8E}"/>
    <hyperlink ref="B172" r:id="rId146" xr:uid="{4092DFB3-3613-4D3F-B59B-4BEA7C7B4782}"/>
    <hyperlink ref="B175" r:id="rId147" xr:uid="{4E091516-D5E2-47CC-AD5E-78C36459BE68}"/>
    <hyperlink ref="B176" r:id="rId148" xr:uid="{04D7376E-581A-47B4-B1D5-D3B0323F119D}"/>
    <hyperlink ref="B177" r:id="rId149" xr:uid="{22BE4B67-46A5-457D-BBA7-D556EEA3BA2C}"/>
    <hyperlink ref="B178" r:id="rId150" xr:uid="{589B513E-877F-43C0-B87A-CBF2743AB4C5}"/>
    <hyperlink ref="B181" r:id="rId151" xr:uid="{1FAE34EB-F57F-4CEE-A95D-219689193628}"/>
    <hyperlink ref="B184" r:id="rId152" xr:uid="{AB3919D1-7297-43DA-A1F2-0F060BE7107D}"/>
    <hyperlink ref="B187" r:id="rId153" xr:uid="{F8AEF43F-244A-4255-A2A4-27E46C375C80}"/>
    <hyperlink ref="B188" r:id="rId154" xr:uid="{8C37DDAC-7080-4F25-8C5B-F9412FE1C763}"/>
    <hyperlink ref="B189" r:id="rId155" xr:uid="{E7C60C5C-CC76-48C3-95A4-EC723E0D4966}"/>
    <hyperlink ref="B192" r:id="rId156" xr:uid="{D38DCD81-5B9C-4099-AC7B-71431906DEDF}"/>
    <hyperlink ref="B193" r:id="rId157" xr:uid="{BC802575-DE9E-47E5-9EBF-1AADB301F014}"/>
    <hyperlink ref="B194" r:id="rId158" xr:uid="{94BE7519-20C9-4A4F-8C02-7260BB3356EA}"/>
    <hyperlink ref="B195" r:id="rId159" xr:uid="{DBCB0D5A-9A84-4598-AAA0-70866EE58755}"/>
    <hyperlink ref="B196" r:id="rId160" xr:uid="{72F80804-D734-4711-A505-A2C6F80C3C7C}"/>
    <hyperlink ref="B197" r:id="rId161" xr:uid="{21D2DF1D-C001-4353-9023-1CE7B4712B97}"/>
    <hyperlink ref="B198" r:id="rId162" xr:uid="{43A88B85-BC0E-44FC-8965-F7DF29C8F8EB}"/>
    <hyperlink ref="B199" r:id="rId163" xr:uid="{EAAD9216-8992-41F1-B4D5-170423BBF72A}"/>
    <hyperlink ref="B200" r:id="rId164" xr:uid="{8F264DF5-49E2-40DE-9417-7E37FDF1623E}"/>
    <hyperlink ref="B201" r:id="rId165" xr:uid="{A4677137-57D9-4CD2-841D-9AFACC07C5FB}"/>
    <hyperlink ref="B202" r:id="rId166" xr:uid="{0641B468-291E-42F1-93B7-E0D14B8CCF04}"/>
    <hyperlink ref="B203" r:id="rId167" xr:uid="{88B71D12-54B5-4469-A5CA-9BC8B20E311C}"/>
    <hyperlink ref="B204" r:id="rId168" xr:uid="{DC518297-83BE-4CB5-A2AF-503530A42F3D}"/>
    <hyperlink ref="B207" r:id="rId169" xr:uid="{AC3A156B-5773-43AF-BA84-60F9E73C4B8F}"/>
    <hyperlink ref="B210" r:id="rId170" xr:uid="{BADE9EAF-409D-417D-8DAF-E469982082F7}"/>
    <hyperlink ref="B211" r:id="rId171" xr:uid="{4AF8B2F5-A95A-4A1C-AEDF-98895472569F}"/>
    <hyperlink ref="B214" r:id="rId172" xr:uid="{94C5E9DF-5BD4-4F5D-AB7F-D3BA62452F0A}"/>
    <hyperlink ref="B215" r:id="rId173" xr:uid="{C480DCD7-7418-4AC2-BDC6-0B30D9E35DE7}"/>
    <hyperlink ref="B216" r:id="rId174" xr:uid="{08A1C3F1-2C02-48E9-B2DE-ADA3F77D0463}"/>
    <hyperlink ref="B217" r:id="rId175" xr:uid="{3BCD0820-51F6-468B-8405-75DF2F717DB8}"/>
    <hyperlink ref="B218" r:id="rId176" xr:uid="{C85AF276-3EB9-426F-9A61-EBA0B7EE1D2C}"/>
    <hyperlink ref="B219" r:id="rId177" xr:uid="{C7B4E80A-C873-4B5E-A579-1B1C3E0772F5}"/>
    <hyperlink ref="B220" r:id="rId178" xr:uid="{B67873B3-3850-4AEE-9091-DE757C5A9029}"/>
    <hyperlink ref="B221" r:id="rId179" xr:uid="{8C61DFBD-66E2-46F6-B8C0-0A3FA4B784DB}"/>
    <hyperlink ref="B222" r:id="rId180" xr:uid="{86FA0BAF-35E0-4027-9367-92E58856215A}"/>
    <hyperlink ref="B223" r:id="rId181" xr:uid="{6BF44798-23FA-4935-AA65-CA6492D64CEB}"/>
    <hyperlink ref="B224" r:id="rId182" xr:uid="{86893349-DC89-4595-A6AE-F0DC710332AB}"/>
    <hyperlink ref="B225" r:id="rId183" xr:uid="{0DB41E66-B3ED-409F-BF05-2755A307F09E}"/>
    <hyperlink ref="B226" r:id="rId184" xr:uid="{770A4216-79B7-4E77-B3FF-91F6FF495D3A}"/>
    <hyperlink ref="B227" r:id="rId185" xr:uid="{95FE6AFF-7BDF-46AE-BAE2-2FC7285844E3}"/>
    <hyperlink ref="B228" r:id="rId186" xr:uid="{AC156DC9-D69B-4C70-9B66-92F618824C01}"/>
    <hyperlink ref="B229" r:id="rId187" xr:uid="{8A2AC4B3-F0C9-47B5-92A5-873C67477A19}"/>
    <hyperlink ref="B230" r:id="rId188" xr:uid="{DD16FE36-2AAF-480E-9730-BF887280CA78}"/>
    <hyperlink ref="B231" r:id="rId189" xr:uid="{40B7018B-EF4A-4E2A-9767-FB781605E558}"/>
    <hyperlink ref="B232" r:id="rId190" xr:uid="{47979C4F-52BE-40A3-8DA5-B48272D585C5}"/>
    <hyperlink ref="B233" r:id="rId191" xr:uid="{F37DA832-5A9D-47DC-A2EE-F91E741794E1}"/>
    <hyperlink ref="B234" r:id="rId192" xr:uid="{F41C6DD1-5638-48A0-AF26-9D2121B4349D}"/>
    <hyperlink ref="B235" r:id="rId193" xr:uid="{252778CA-8E7E-4A01-825B-DADF4B23460E}"/>
    <hyperlink ref="B236" r:id="rId194" xr:uid="{0F7D77F0-0A4D-4A1E-BDEC-E935EA0E8F10}"/>
    <hyperlink ref="B237" r:id="rId195" xr:uid="{76BC8467-261D-4012-9AC8-DDA118A6D451}"/>
    <hyperlink ref="B238" r:id="rId196" xr:uid="{E869BE13-A977-4439-A759-24719F777E6E}"/>
    <hyperlink ref="B239" r:id="rId197" xr:uid="{129340F7-C650-4D54-A939-0597DC845F25}"/>
    <hyperlink ref="B240" r:id="rId198" xr:uid="{31D15F37-5D48-422D-8498-2A8E16FDD225}"/>
    <hyperlink ref="B241" r:id="rId199" xr:uid="{C5D4BE1A-737D-482D-BC18-ED7224B1C505}"/>
    <hyperlink ref="B242" r:id="rId200" xr:uid="{21DDA98B-C150-4763-92A5-6718675F7BFA}"/>
    <hyperlink ref="B243" r:id="rId201" xr:uid="{5FE5410E-028A-44C0-8F63-27D9E624A2ED}"/>
    <hyperlink ref="B244" r:id="rId202" xr:uid="{B7B6D8B0-9822-4F33-A200-4BAC1FE5905F}"/>
    <hyperlink ref="B245" r:id="rId203" xr:uid="{C5641F99-3609-44B7-A768-DBAA87EB974D}"/>
    <hyperlink ref="B246" r:id="rId204" xr:uid="{B587C4B1-DFB4-4729-BDD4-749B943D71A2}"/>
    <hyperlink ref="B247" r:id="rId205" xr:uid="{599F4817-1DA8-41C8-8B4E-AB9BBE40A094}"/>
    <hyperlink ref="B248" r:id="rId206" xr:uid="{DD34172A-43F8-4FEE-B88A-7EC016800ECD}"/>
    <hyperlink ref="B249" r:id="rId207" xr:uid="{608DEA6D-5ACD-41FF-9CC0-104BF841CC03}"/>
    <hyperlink ref="B250" r:id="rId208" xr:uid="{F61B8542-4981-4BD2-AB21-FF39BFE4C1D7}"/>
    <hyperlink ref="B251" r:id="rId209" xr:uid="{D1CC61F5-6C96-4011-A62F-A3D53294DF40}"/>
    <hyperlink ref="B252" r:id="rId210" xr:uid="{34067A1E-FEB9-4B71-B293-A7C19C3BC1FB}"/>
    <hyperlink ref="B253" r:id="rId211" xr:uid="{B81269DC-5B5E-445B-94E9-AA8A0247D192}"/>
    <hyperlink ref="B254" r:id="rId212" xr:uid="{216B5355-6D90-432F-A013-A4B578C32A54}"/>
    <hyperlink ref="B255" r:id="rId213" xr:uid="{372F5088-D84F-4151-A48F-AF832E0E1F7A}"/>
    <hyperlink ref="B258" r:id="rId214" xr:uid="{88031E9D-FF3C-40C7-8AF8-9BC6345CDF51}"/>
    <hyperlink ref="B261" r:id="rId215" xr:uid="{FA50F7A6-415B-4104-A1BB-3BF6352C97A5}"/>
    <hyperlink ref="B262" r:id="rId216" xr:uid="{F96F00AA-7A43-49B9-867E-C198CBEF91DE}"/>
    <hyperlink ref="B263" r:id="rId217" xr:uid="{45E7E4A9-9513-4A5D-82E7-6789779DD485}"/>
    <hyperlink ref="B264" r:id="rId218" xr:uid="{2EDF9D43-48FA-47D8-81CF-863A017112B9}"/>
    <hyperlink ref="B265" r:id="rId219" xr:uid="{E1EC4A99-0770-4839-8816-E9B188D078AC}"/>
    <hyperlink ref="B266" r:id="rId220" xr:uid="{C1CF69D0-1F36-49EE-B3B8-913933690679}"/>
    <hyperlink ref="B267" r:id="rId221" xr:uid="{BEB5E4A2-0BF4-4392-B0A5-A6F213719CB1}"/>
    <hyperlink ref="B268" r:id="rId222" xr:uid="{CD3EAF0B-03A9-4952-81C2-B1002F1E1B1A}"/>
    <hyperlink ref="B269" r:id="rId223" xr:uid="{AC33BDE3-76E4-4F3C-AB18-0032191FA49E}"/>
    <hyperlink ref="B270" r:id="rId224" xr:uid="{38F7B69A-BA17-418D-AC55-266F25A1056A}"/>
    <hyperlink ref="B271" r:id="rId225" xr:uid="{B5C0029C-B3F9-43C4-A9F1-A2B35A72B3FD}"/>
    <hyperlink ref="B272" r:id="rId226" xr:uid="{2F2D540A-772E-4C7B-8117-C690D1487BC1}"/>
    <hyperlink ref="B273" r:id="rId227" xr:uid="{C9E14C87-0A16-450C-9C6B-A5E66D542B12}"/>
    <hyperlink ref="B274" r:id="rId228" xr:uid="{8A4757AD-C57E-4BD0-9338-7889E904A66A}"/>
    <hyperlink ref="B275" r:id="rId229" xr:uid="{EF98EABC-5907-4D64-94B2-A62D47DB65B4}"/>
    <hyperlink ref="B276" r:id="rId230" xr:uid="{48744127-750F-450E-B2A6-8C21B9323A68}"/>
    <hyperlink ref="B277" r:id="rId231" xr:uid="{E8EAECB1-9F51-4790-8DA9-3E31043E6252}"/>
    <hyperlink ref="B278" r:id="rId232" xr:uid="{8C817C91-18CB-454D-93B0-07474E84AF41}"/>
    <hyperlink ref="B279" r:id="rId233" xr:uid="{9ACD2ED3-BC2C-4330-8E48-4842791F69B3}"/>
    <hyperlink ref="B280" r:id="rId234" xr:uid="{2E646A36-F8F7-476E-8A91-9C46017A94B2}"/>
    <hyperlink ref="B281" r:id="rId235" xr:uid="{63C5768E-94FB-41C6-B41B-0AD0411FD26B}"/>
    <hyperlink ref="B282" r:id="rId236" xr:uid="{86102BF5-08E2-4549-B4DC-1913FA7624A4}"/>
    <hyperlink ref="B283" r:id="rId237" xr:uid="{721111C7-41E8-46B7-BC5A-8B087EAF58C1}"/>
    <hyperlink ref="B284" r:id="rId238" xr:uid="{64CF44D2-EE0F-4103-9F37-EF442BDA4DFB}"/>
    <hyperlink ref="B285" r:id="rId239" xr:uid="{8ABD4539-5690-46A2-973C-F5828866FECD}"/>
    <hyperlink ref="B286" r:id="rId240" xr:uid="{926CFD60-A8C3-47A1-A4C6-E9EDCF66D242}"/>
    <hyperlink ref="B287" r:id="rId241" xr:uid="{F1AAFD82-C622-4313-AA20-987D91AD6F20}"/>
    <hyperlink ref="B290" r:id="rId242" xr:uid="{EDE80215-E205-4886-9AEA-EABB367D34AD}"/>
    <hyperlink ref="B291" r:id="rId243" xr:uid="{50871DE0-70C7-445F-BB78-20A5F9F3E17C}"/>
    <hyperlink ref="B292" r:id="rId244" xr:uid="{21A8801D-FD03-42B6-A4EC-FD114B13CB24}"/>
    <hyperlink ref="B295" r:id="rId245" xr:uid="{4E06AEE5-C7A8-4485-B8ED-F3672481D2BC}"/>
    <hyperlink ref="B296" r:id="rId246" xr:uid="{A855D242-F060-471F-B489-524550976E44}"/>
    <hyperlink ref="B299" r:id="rId247" xr:uid="{E52A3D9B-4A2B-44E7-8EE7-EBC0D9146E1A}"/>
    <hyperlink ref="B302" r:id="rId248" xr:uid="{4EC32B55-8A1D-4A73-8066-24DCBDBF7849}"/>
    <hyperlink ref="B303" r:id="rId249" xr:uid="{17FB0692-EDE7-4AE4-8FD0-45A63BA5FCA8}"/>
    <hyperlink ref="B306" r:id="rId250" xr:uid="{BAEA6776-CD44-48B5-A080-ACF8C105DBA0}"/>
    <hyperlink ref="B307" r:id="rId251" xr:uid="{24126078-247E-4743-A3B4-080558421C79}"/>
    <hyperlink ref="B308" r:id="rId252" xr:uid="{E32B9CCF-2637-4FF4-960F-5887E9F7D2B6}"/>
    <hyperlink ref="B309" r:id="rId253" xr:uid="{D230D04C-856E-4FAA-94CD-FA2945A60912}"/>
    <hyperlink ref="B310" r:id="rId254" xr:uid="{DBC869EB-FB2A-4C6B-BC4E-9F8984710BFF}"/>
    <hyperlink ref="B311" r:id="rId255" xr:uid="{6ED872E6-17A3-41FE-A234-822E40AD05A1}"/>
    <hyperlink ref="B312" r:id="rId256" xr:uid="{3784F5DD-1933-494A-879F-45E0EE637003}"/>
    <hyperlink ref="B313" r:id="rId257" xr:uid="{F07B9D92-18E4-4533-B8F4-FD8CAD041AC6}"/>
    <hyperlink ref="B314" r:id="rId258" xr:uid="{AEA9041E-67DD-4FBB-8174-FBCB79297EE8}"/>
    <hyperlink ref="B317" r:id="rId259" xr:uid="{E772C372-F898-4C83-B413-964FF97D58F0}"/>
    <hyperlink ref="B318" r:id="rId260" xr:uid="{0DA5B0D5-881E-4B43-A541-0C444DC0F267}"/>
    <hyperlink ref="B319" r:id="rId261" xr:uid="{EECE4152-AC9C-4969-A985-90C5C5B53E14}"/>
    <hyperlink ref="B322" r:id="rId262" xr:uid="{2BF4E0FD-01BA-4F92-BF65-5F4DEC0D8647}"/>
    <hyperlink ref="B323" r:id="rId263" xr:uid="{DD08E31E-B67D-4AE1-8A08-FA588CED25BE}"/>
    <hyperlink ref="B324" r:id="rId264" xr:uid="{9D4849AB-DCAC-4ED6-A5B6-FC5EE6796A8A}"/>
    <hyperlink ref="B327" r:id="rId265" xr:uid="{F3C610BE-3650-4AF8-9FD7-5E727E7A0F6F}"/>
    <hyperlink ref="B328" r:id="rId266" xr:uid="{B715E48E-462A-4A33-8E76-D46E2ADDA36D}"/>
    <hyperlink ref="B329" r:id="rId267" xr:uid="{847731C9-33E1-4B8B-ACE1-31650ED64C0E}"/>
    <hyperlink ref="B332" r:id="rId268" xr:uid="{43936F4A-7908-4075-85C1-EA1D0E8C1E32}"/>
    <hyperlink ref="B335" r:id="rId269" xr:uid="{D341BD7D-9618-477B-8682-174D344E1294}"/>
    <hyperlink ref="B336" r:id="rId270" xr:uid="{BBE0A19B-05C3-40AB-B541-49CC0D9D6DD5}"/>
    <hyperlink ref="B339" r:id="rId271" xr:uid="{71AFCE36-86A7-498D-B3C0-FF09879BC4D5}"/>
    <hyperlink ref="B340" r:id="rId272" xr:uid="{2B6E1274-2D65-4DCB-81EE-52E59C255E7B}"/>
    <hyperlink ref="B341" r:id="rId273" xr:uid="{0E2D3C52-DC67-4168-B161-AE4C9FD83BAF}"/>
    <hyperlink ref="B342" r:id="rId274" xr:uid="{76670501-9B39-4F78-BBFF-3789EF695CAF}"/>
    <hyperlink ref="B345" r:id="rId275" xr:uid="{97A9CEE5-9377-4AC4-89E2-BAE92DE67001}"/>
    <hyperlink ref="B346" r:id="rId276" xr:uid="{8BF66B0A-3891-4356-8E93-8E54C49AD4A3}"/>
    <hyperlink ref="B347" r:id="rId277" xr:uid="{DEDE7CA3-5DE4-4BFF-9309-966F1B5E57A3}"/>
    <hyperlink ref="B348" r:id="rId278" xr:uid="{3304202E-A9DD-4969-B292-31B27373FEFF}"/>
    <hyperlink ref="B349" r:id="rId279" xr:uid="{09F6B5F8-268D-4281-9925-45A04F04540E}"/>
    <hyperlink ref="B350" r:id="rId280" xr:uid="{27326D39-A9C0-4A08-8BA3-4FC69259BD45}"/>
    <hyperlink ref="B351" r:id="rId281" xr:uid="{E7A421BD-32E5-44A1-87C0-A6EA54C28CA9}"/>
    <hyperlink ref="B352" r:id="rId282" xr:uid="{7FCC7BCD-625C-4383-A7F3-9CCB8192E1F2}"/>
    <hyperlink ref="B353" r:id="rId283" xr:uid="{D4D081CC-55C2-40D9-A658-336E51BEDFC9}"/>
    <hyperlink ref="B354" r:id="rId284" xr:uid="{7F582E91-FFC6-49D3-B46E-BF9A96C5E511}"/>
    <hyperlink ref="B355" r:id="rId285" xr:uid="{EDB86260-7F08-4982-8226-C33ADB44FD9C}"/>
    <hyperlink ref="B356" r:id="rId286" xr:uid="{204FCD17-4BC1-4774-9860-D102B2F8144E}"/>
    <hyperlink ref="B357" r:id="rId287" xr:uid="{D28473D2-B70A-41F1-9384-5B00047BB9BD}"/>
    <hyperlink ref="B358" r:id="rId288" xr:uid="{77021445-A120-42F2-8925-DE4DC5C278EB}"/>
    <hyperlink ref="B359" r:id="rId289" xr:uid="{070EB408-65E8-4BC4-A5F6-6126A9697888}"/>
    <hyperlink ref="B360" r:id="rId290" xr:uid="{B51FF950-C1C2-400C-A370-ABE96D6568BA}"/>
    <hyperlink ref="B361" r:id="rId291" xr:uid="{1714F64B-3FFF-4CBD-B091-19700342B6AD}"/>
    <hyperlink ref="B362" r:id="rId292" xr:uid="{C0D59441-6B5C-4EB4-BC10-87C1D27FF706}"/>
    <hyperlink ref="B363" r:id="rId293" xr:uid="{B1640CD7-60BC-4EAE-8C48-699F0A926117}"/>
    <hyperlink ref="B364" r:id="rId294" xr:uid="{613DA716-116C-4C4A-8E14-D41A8D470234}"/>
    <hyperlink ref="B365" r:id="rId295" xr:uid="{337EAB28-1E4F-41A4-B001-1137730EAA77}"/>
    <hyperlink ref="B368" r:id="rId296" xr:uid="{F70828A9-8947-4E7A-991C-808C22568022}"/>
    <hyperlink ref="B369" r:id="rId297" xr:uid="{2690C395-5ABB-45CC-B1B2-DAC7E80564C1}"/>
    <hyperlink ref="B370" r:id="rId298" xr:uid="{BD687984-0CF1-4709-93C2-78D7BDAB3F74}"/>
    <hyperlink ref="B373" r:id="rId299" xr:uid="{184AC3A6-04E2-4F0A-BCBE-FFD8D625BEFD}"/>
    <hyperlink ref="B376" r:id="rId300" xr:uid="{AADE3B5A-2209-4E5F-9A06-AC96AF61A961}"/>
    <hyperlink ref="B377" r:id="rId301" xr:uid="{1CF2005D-806D-4A37-8A89-B28E038A6E55}"/>
    <hyperlink ref="B378" r:id="rId302" xr:uid="{69D98368-ACEB-4656-973A-2B5ACCAB6ACE}"/>
    <hyperlink ref="B379" r:id="rId303" xr:uid="{7F14A07D-371C-4E84-BBE8-566A3B5D11F4}"/>
    <hyperlink ref="B380" r:id="rId304" xr:uid="{0FE55FD6-8B56-4185-8004-E07671F80582}"/>
    <hyperlink ref="B381" r:id="rId305" xr:uid="{8D923879-2F51-4203-B647-A8A27F7860D1}"/>
    <hyperlink ref="B382" r:id="rId306" xr:uid="{112CF8F8-2B4F-4006-B77A-E01C55A18A27}"/>
    <hyperlink ref="B383" r:id="rId307" xr:uid="{924D42BD-4199-4BB7-A457-1A91B5907DDF}"/>
    <hyperlink ref="B384" r:id="rId308" xr:uid="{EF92B3B0-19E1-41F5-9AD5-F16CCD465148}"/>
    <hyperlink ref="B385" r:id="rId309" xr:uid="{88DF092A-F231-4636-93ED-103A5979FA78}"/>
    <hyperlink ref="B386" r:id="rId310" xr:uid="{8BEC6D5C-2DB8-4A8F-87EB-5CC478103802}"/>
    <hyperlink ref="B387" r:id="rId311" xr:uid="{963C16F8-11AD-4D6F-8311-51928A72C7C4}"/>
    <hyperlink ref="B388" r:id="rId312" xr:uid="{C291C258-F93E-4F96-BF99-31CCD46ED185}"/>
    <hyperlink ref="B389" r:id="rId313" xr:uid="{92FA5638-5312-49C9-9B68-A578737C3DF4}"/>
    <hyperlink ref="B390" r:id="rId314" xr:uid="{357EA336-75ED-4448-A64F-D4E00AB0DC10}"/>
    <hyperlink ref="B391" r:id="rId315" xr:uid="{6A4440E1-7992-4ED5-8FF9-04B4225F23EA}"/>
    <hyperlink ref="B392" r:id="rId316" xr:uid="{586CD86B-7C06-4A4E-9D27-CE6483D79561}"/>
    <hyperlink ref="B393" r:id="rId317" xr:uid="{E5E6E911-A3E4-4FB2-965F-1983E04165A4}"/>
    <hyperlink ref="B394" r:id="rId318" xr:uid="{F0EE1FCE-5BFF-4D01-8844-E3473068173E}"/>
    <hyperlink ref="B395" r:id="rId319" xr:uid="{9A1D1B1C-4E4D-4F1B-9777-F448E2247CB1}"/>
    <hyperlink ref="B396" r:id="rId320" xr:uid="{70C95D04-576A-4A0A-A176-83CBFF3CAF2E}"/>
    <hyperlink ref="B397" r:id="rId321" xr:uid="{7E0D8E85-F430-4C6F-96E0-561BCE3A0407}"/>
    <hyperlink ref="B398" r:id="rId322" xr:uid="{95F84259-1318-4FF6-A6EB-13498D248CC6}"/>
    <hyperlink ref="B399" r:id="rId323" xr:uid="{393EEA54-21DE-4852-8F70-C0F116A8E8A5}"/>
    <hyperlink ref="B400" r:id="rId324" xr:uid="{AD6C0E50-CF15-4263-9F2E-C6528C20C2E2}"/>
    <hyperlink ref="B401" r:id="rId325" xr:uid="{0D030B6C-CC0E-4914-AB13-7303A66296FF}"/>
    <hyperlink ref="B404" r:id="rId326" xr:uid="{05245003-95E0-4610-AF10-E1B9B1BD530F}"/>
    <hyperlink ref="B407" r:id="rId327" xr:uid="{82288A34-5F98-4B7F-8C86-D45CAA76984E}"/>
    <hyperlink ref="B408" r:id="rId328" xr:uid="{B16CF1C6-C181-4C1E-8D80-C8E253F28C4F}"/>
    <hyperlink ref="B409" r:id="rId329" xr:uid="{0F8DB789-B250-438B-80E7-A007D678D737}"/>
    <hyperlink ref="B410" r:id="rId330" xr:uid="{916BB427-25CB-4529-BFD0-3A2AA527C274}"/>
    <hyperlink ref="B411" r:id="rId331" xr:uid="{B9A30C49-7B8A-43D9-9A3E-E6816FB74D60}"/>
    <hyperlink ref="B412" r:id="rId332" xr:uid="{45A834DB-A97A-40DC-8511-F3477F96C963}"/>
    <hyperlink ref="B413" r:id="rId333" xr:uid="{513C42B2-BFC5-46C3-B83D-37EAD4B68A18}"/>
    <hyperlink ref="B414" r:id="rId334" xr:uid="{410F95EC-7672-46F3-9A9E-D4687AD599E6}"/>
    <hyperlink ref="B415" r:id="rId335" xr:uid="{6E0802E1-1306-46E8-A556-F10CC34CDFAC}"/>
    <hyperlink ref="B416" r:id="rId336" xr:uid="{DF56124A-0A21-4903-AC06-48D593CEB110}"/>
    <hyperlink ref="B417" r:id="rId337" xr:uid="{B592EBA0-1C44-4C30-A29C-3B2692016E7A}"/>
    <hyperlink ref="B418" r:id="rId338" xr:uid="{FDBF5F63-6FE7-4ACB-A795-718871B15147}"/>
    <hyperlink ref="B419" r:id="rId339" xr:uid="{CE83E43B-2407-4B87-8457-13041D63D162}"/>
    <hyperlink ref="B420" r:id="rId340" xr:uid="{B3082E17-1606-46B8-86F5-189998FA7A03}"/>
    <hyperlink ref="B421" r:id="rId341" xr:uid="{C383EA83-6AF5-4A8C-8DD5-158840A1C516}"/>
    <hyperlink ref="B422" r:id="rId342" xr:uid="{4B0FCFB2-1D7E-4D44-91E8-5FD6A6701A6D}"/>
    <hyperlink ref="B423" r:id="rId343" xr:uid="{27C37410-8CB9-4783-BE62-A375CBA01435}"/>
    <hyperlink ref="B424" r:id="rId344" xr:uid="{66DC06AA-9B96-4824-9807-C8DBE5E2F77F}"/>
    <hyperlink ref="B425" r:id="rId345" xr:uid="{AE2A7641-13B1-463A-9927-FE5FFD83D581}"/>
    <hyperlink ref="B426" r:id="rId346" xr:uid="{0301FD12-019F-43A5-8343-D155B91ACD04}"/>
    <hyperlink ref="B427" r:id="rId347" xr:uid="{7B9CCD90-0D58-4B19-9ED7-FE0F383956B5}"/>
    <hyperlink ref="B428" r:id="rId348" xr:uid="{8536AAA7-2060-4CC3-9A74-F066A4E9191E}"/>
    <hyperlink ref="B429" r:id="rId349" xr:uid="{903810DE-CA89-4D0E-8C4E-CF369E9B1F5F}"/>
    <hyperlink ref="B430" r:id="rId350" xr:uid="{B1412756-1642-4C6B-A215-826BDAD4FCFA}"/>
    <hyperlink ref="B433" r:id="rId351" xr:uid="{F77537B4-630D-4DFF-B0F2-20CCAA08DD75}"/>
    <hyperlink ref="B436" r:id="rId352" xr:uid="{6D0ECD25-0415-403B-9639-C9A72462A6B5}"/>
    <hyperlink ref="B439" r:id="rId353" xr:uid="{C0875B19-8DC2-4741-A6EF-177246B517D5}"/>
    <hyperlink ref="B440" r:id="rId354" xr:uid="{E6524CA4-E1A7-4E01-B98B-BC80B0F8E7F3}"/>
    <hyperlink ref="B441" r:id="rId355" xr:uid="{63C9B5B7-3A44-4349-988C-9E613384A667}"/>
    <hyperlink ref="B442" r:id="rId356" xr:uid="{C517C8DA-1360-4392-8C88-41FCEA2C664C}"/>
    <hyperlink ref="B443" r:id="rId357" xr:uid="{A61036B0-2ABF-4603-9816-AF8532525167}"/>
    <hyperlink ref="B444" r:id="rId358" xr:uid="{ABE6DC64-CD34-4A5E-986A-7A15E26C2CB4}"/>
    <hyperlink ref="B445" r:id="rId359" xr:uid="{3D1F0B92-00C8-443E-8562-80CFDB66916A}"/>
    <hyperlink ref="B446" r:id="rId360" xr:uid="{BEED6169-8C54-4D7F-8776-CE5854760675}"/>
    <hyperlink ref="B447" r:id="rId361" xr:uid="{280C7142-FA4B-43EE-89A7-222407053BD2}"/>
    <hyperlink ref="B448" r:id="rId362" xr:uid="{7A1AB684-7030-4193-97E4-78C422A05D1B}"/>
    <hyperlink ref="B451" r:id="rId363" xr:uid="{752467AE-6151-43C5-B7BC-606DE7E752AF}"/>
    <hyperlink ref="B454" r:id="rId364" xr:uid="{C2E0463A-A5CA-4733-934A-102CFA0763DE}"/>
    <hyperlink ref="B455" r:id="rId365" xr:uid="{C4D1E72A-5A9E-4A7A-BF56-E1A4F2AC6557}"/>
    <hyperlink ref="B456" r:id="rId366" xr:uid="{3F7F66AE-872B-49C1-84A3-EFB098393E5E}"/>
    <hyperlink ref="B457" r:id="rId367" xr:uid="{949CBDFF-C933-42B9-A671-A434CB959887}"/>
    <hyperlink ref="B458" r:id="rId368" xr:uid="{AE31E7F2-ABB8-4B03-A253-EB181A29B70F}"/>
    <hyperlink ref="B459" r:id="rId369" xr:uid="{25F7AFF6-3D56-4F51-9CCB-0D2EF0082CB4}"/>
    <hyperlink ref="B460" r:id="rId370" xr:uid="{AE572E3F-8C45-479C-AE3B-5CB8C13D5764}"/>
    <hyperlink ref="B461" r:id="rId371" xr:uid="{5AE14BE8-6C1B-4AED-9FDE-11ED25EF6E3C}"/>
    <hyperlink ref="B462" r:id="rId372" xr:uid="{6F8803E5-E86E-46E2-B871-875E7D51144C}"/>
    <hyperlink ref="B463" r:id="rId373" xr:uid="{151578CF-C078-47BC-A3D2-A812EDCEB01E}"/>
    <hyperlink ref="B464" r:id="rId374" xr:uid="{44467F94-D8EC-4990-A747-FC7C15757198}"/>
    <hyperlink ref="B465" r:id="rId375" xr:uid="{8AEE5560-CAAC-49B1-8B86-B3D2D28C53E8}"/>
    <hyperlink ref="B466" r:id="rId376" xr:uid="{409E8755-4B13-4DA4-B3B1-01014E0A9C0F}"/>
    <hyperlink ref="B467" r:id="rId377" xr:uid="{FFB45935-E25F-4477-92AD-094D742C3A2B}"/>
    <hyperlink ref="B468" r:id="rId378" xr:uid="{F35FEC74-4793-458D-928C-2A2C6C4FF733}"/>
    <hyperlink ref="B469" r:id="rId379" xr:uid="{024FFB5A-DE56-4B97-BDA9-16628581B3E6}"/>
    <hyperlink ref="B470" r:id="rId380" xr:uid="{54A0DC16-58C7-40D4-9996-A5B4A3DBE969}"/>
    <hyperlink ref="B473" r:id="rId381" xr:uid="{5DE925EE-4E84-4C39-927A-020D690D3382}"/>
    <hyperlink ref="B474" r:id="rId382" xr:uid="{7A97E3A6-110D-45B6-B586-E2EF2E9F1486}"/>
    <hyperlink ref="B477" r:id="rId383" xr:uid="{68BBCFAE-1168-4DD0-A7E6-FA5087ABDE18}"/>
    <hyperlink ref="B480" r:id="rId384" xr:uid="{D3DF1FBA-0AFD-47CF-8402-68289B76608E}"/>
    <hyperlink ref="B481" r:id="rId385" xr:uid="{DD4C7546-A224-4F47-B095-1608705A2DBD}"/>
    <hyperlink ref="B482" r:id="rId386" xr:uid="{3D8E7BAD-6CD4-4C8A-8E06-8A4A41A30E00}"/>
    <hyperlink ref="B483" r:id="rId387" xr:uid="{D5700783-1BF9-46CB-BC22-BDF3A4B7DEDF}"/>
    <hyperlink ref="B484" r:id="rId388" xr:uid="{45D5DD9E-AE57-40D9-8AF6-F6C3D30CA881}"/>
    <hyperlink ref="B485" r:id="rId389" xr:uid="{3B2A8304-40B2-4802-B5D7-5D7388339647}"/>
    <hyperlink ref="B486" r:id="rId390" xr:uid="{658C09A0-0730-4A56-BF9E-C13FF8FC946E}"/>
    <hyperlink ref="B487" r:id="rId391" xr:uid="{CBC6E88D-6F24-4A9B-BE47-152A57C7C305}"/>
    <hyperlink ref="B488" r:id="rId392" xr:uid="{B04C3E0D-906D-4CEB-A0A9-7752EFDB330C}"/>
    <hyperlink ref="B489" r:id="rId393" xr:uid="{79C72CEE-4929-464A-BF50-3309031288FC}"/>
    <hyperlink ref="B490" r:id="rId394" xr:uid="{7125F994-EE9F-4796-A171-1EBCE4BFFAB1}"/>
    <hyperlink ref="B491" r:id="rId395" xr:uid="{67987022-40C2-4B62-871C-0102A2618C57}"/>
    <hyperlink ref="B494" r:id="rId396" xr:uid="{965AAF30-B285-4E09-849E-5572B395026A}"/>
    <hyperlink ref="B495" r:id="rId397" xr:uid="{F5C7DF32-97D3-414D-8402-87A61776AD23}"/>
    <hyperlink ref="B496" r:id="rId398" xr:uid="{91C7F23A-8C45-4D42-AAA0-A276FFBFA41A}"/>
    <hyperlink ref="B497" r:id="rId399" xr:uid="{7908BABC-3E14-48CC-9CBD-989FADB6B870}"/>
    <hyperlink ref="B498" r:id="rId400" xr:uid="{5F6800D7-A804-41C2-8AEB-4E949320B87C}"/>
    <hyperlink ref="B499" r:id="rId401" xr:uid="{815B5A12-7500-4B4E-83EB-B10A36E3DC23}"/>
    <hyperlink ref="B500" r:id="rId402" xr:uid="{BBD48E90-A852-4B0C-8ADD-CF8E8C8E8268}"/>
    <hyperlink ref="B501" r:id="rId403" xr:uid="{AC30A463-4601-49C2-BE2D-9B09D490FB7D}"/>
    <hyperlink ref="B504" r:id="rId404" xr:uid="{6AF93559-9901-42DB-A908-8065940D3E61}"/>
    <hyperlink ref="B507" r:id="rId405" xr:uid="{BC307F56-9CFA-4CE1-B797-7E46340E0DA8}"/>
    <hyperlink ref="B508" r:id="rId406" xr:uid="{F4751B2A-1871-49C9-9EA3-871D46F8E26C}"/>
    <hyperlink ref="B509" r:id="rId407" xr:uid="{7A8E9562-240D-4F13-AAA6-1CA6D07C37F0}"/>
    <hyperlink ref="B510" r:id="rId408" xr:uid="{195218C9-8CC0-425B-B6BD-477641C2C000}"/>
    <hyperlink ref="B511" r:id="rId409" xr:uid="{0C8A99F4-F85B-423D-8A39-F4467443C330}"/>
    <hyperlink ref="B512" r:id="rId410" xr:uid="{3A98935A-B5C5-466A-9441-C478B1C385F7}"/>
    <hyperlink ref="B513" r:id="rId411" xr:uid="{9A20E2B1-CF2C-4D98-839F-49364439B7CE}"/>
    <hyperlink ref="B514" r:id="rId412" xr:uid="{61C096F5-C672-4579-9786-2D32EDACFA15}"/>
    <hyperlink ref="B515" r:id="rId413" xr:uid="{06008AC4-5395-4789-AC32-219A35B20942}"/>
    <hyperlink ref="B516" r:id="rId414" xr:uid="{41A7F189-4C13-4AC6-82FE-043AAB296B7B}"/>
    <hyperlink ref="B517" r:id="rId415" xr:uid="{699F2E7E-A39D-4A73-A309-A060897FC81A}"/>
    <hyperlink ref="B518" r:id="rId416" xr:uid="{95DBA1A1-6BB9-4F4A-965B-95358FB2A182}"/>
    <hyperlink ref="B519" r:id="rId417" xr:uid="{DCDC67D6-B03A-43E4-A327-920080F9D8A2}"/>
    <hyperlink ref="B520" r:id="rId418" xr:uid="{7731CAE7-C199-4A6F-87DE-4675F0D4543C}"/>
    <hyperlink ref="B521" r:id="rId419" xr:uid="{F5EADA1F-EB16-4E72-98D7-A86E7E43B61D}"/>
    <hyperlink ref="B522" r:id="rId420" xr:uid="{E4FED631-06F9-4D08-AB01-B69CD4F78AAC}"/>
    <hyperlink ref="B525" r:id="rId421" xr:uid="{F87E4A8B-ADB8-4256-9BA0-0594A615A8CA}"/>
    <hyperlink ref="B526" r:id="rId422" xr:uid="{D0C4E3B1-AEC7-4D4C-8054-DE5CFA21D6BE}"/>
    <hyperlink ref="B529" r:id="rId423" xr:uid="{BDDD2FFE-6E16-476E-B7C4-4F8702F65240}"/>
    <hyperlink ref="B530" r:id="rId424" xr:uid="{EAE6DA8E-14D1-4C07-9866-A3325DFD8CE9}"/>
    <hyperlink ref="B531" r:id="rId425" xr:uid="{D4B812CE-7456-4946-90B5-A871436EF560}"/>
    <hyperlink ref="B532" r:id="rId426" xr:uid="{6B929953-E39A-4D08-9239-82FAC754E776}"/>
    <hyperlink ref="B533" r:id="rId427" xr:uid="{4568140C-7003-4DFD-B6C1-632275260A62}"/>
    <hyperlink ref="B534" r:id="rId428" xr:uid="{0914B7C1-5E59-44D2-81F4-ABB8942D8DF8}"/>
    <hyperlink ref="B537" r:id="rId429" xr:uid="{F9352CF2-4B91-49EC-8DD2-504560D9172B}"/>
    <hyperlink ref="B540" r:id="rId430" xr:uid="{B8F6CC23-D6C8-41D0-9235-46B9777101A1}"/>
    <hyperlink ref="B543" r:id="rId431" xr:uid="{30F5A50B-6DB0-4666-A4AF-C8FE5F9C2149}"/>
    <hyperlink ref="B546" r:id="rId432" xr:uid="{62DECF99-BDFA-4737-AB0B-6450F1A8258F}"/>
    <hyperlink ref="B547" r:id="rId433" xr:uid="{A79E18FE-9B7C-413A-8F82-817D738559E7}"/>
    <hyperlink ref="B548" r:id="rId434" xr:uid="{29341C18-5792-4354-A043-0ECE12A85F4C}"/>
    <hyperlink ref="B549" r:id="rId435" xr:uid="{013422B7-985A-4FCC-AC24-9F7690E4459B}"/>
    <hyperlink ref="B550" r:id="rId436" xr:uid="{DF7B4FF6-8783-4452-B0BA-82BE4F87D145}"/>
    <hyperlink ref="B551" r:id="rId437" xr:uid="{41F5BF11-11FE-4DBA-82D4-5C9D8E8410A8}"/>
    <hyperlink ref="B552" r:id="rId438" xr:uid="{F1BC00D8-D8AE-463B-8782-4DABDAB7DB4E}"/>
    <hyperlink ref="B553" r:id="rId439" xr:uid="{39E14A41-035C-49B1-A35A-F996561CD418}"/>
    <hyperlink ref="B554" r:id="rId440" xr:uid="{10F5E00A-A007-44AE-B9F0-68B88691788E}"/>
    <hyperlink ref="B555" r:id="rId441" xr:uid="{C11EAB08-F288-4550-8755-781753977631}"/>
    <hyperlink ref="B556" r:id="rId442" xr:uid="{1C1C47CF-9969-4614-861C-C8E5E7C5B73C}"/>
    <hyperlink ref="B559" r:id="rId443" xr:uid="{E723B066-17AB-418B-A310-3AC9B2195A9B}"/>
    <hyperlink ref="B560" r:id="rId444" xr:uid="{78F372A3-24F5-4818-8FCA-04AE9C16F00E}"/>
    <hyperlink ref="B561" r:id="rId445" xr:uid="{8FD8177E-4208-4DF5-AD7A-A3FA2B66CB32}"/>
    <hyperlink ref="B562" r:id="rId446" xr:uid="{DC54B72E-A80E-434E-9C00-00E8A77C3D6C}"/>
    <hyperlink ref="B565" r:id="rId447" xr:uid="{001F71C9-A5C9-4891-A602-5E553935E23C}"/>
    <hyperlink ref="B566" r:id="rId448" xr:uid="{E1C60715-806D-412E-88B5-E108871D4526}"/>
    <hyperlink ref="B567" r:id="rId449" xr:uid="{D7C37BDC-1204-437C-9D66-776228208713}"/>
    <hyperlink ref="B568" r:id="rId450" xr:uid="{EDDAD473-19E3-4DC1-B71F-E9A6F1A7FF58}"/>
    <hyperlink ref="B569" r:id="rId451" xr:uid="{2482E33E-7325-46F3-8A70-A05B110C6C89}"/>
    <hyperlink ref="B572" r:id="rId452" xr:uid="{421ECC66-A48A-4590-9DA8-F971F95AB506}"/>
    <hyperlink ref="B573" r:id="rId453" xr:uid="{0715F68D-4196-4222-892C-E9AAE6159F4B}"/>
    <hyperlink ref="B574" r:id="rId454" xr:uid="{573C974F-EC26-485D-BD3E-15A6944100B2}"/>
    <hyperlink ref="B575" r:id="rId455" xr:uid="{DD9D0294-0164-4A60-B584-6ADCAF11AC1E}"/>
    <hyperlink ref="B576" r:id="rId456" xr:uid="{392C04E6-BDBD-4319-B02A-042200D84239}"/>
    <hyperlink ref="B577" r:id="rId457" xr:uid="{D1E6CAA0-162D-49D7-A668-CDBA4A8E99B8}"/>
    <hyperlink ref="B578" r:id="rId458" xr:uid="{6B7FB146-6FB7-4600-BFDD-D414B1F4FE1A}"/>
    <hyperlink ref="B579" r:id="rId459" xr:uid="{DA6C309C-E692-4489-9E0A-A4FDAEAC7AA7}"/>
    <hyperlink ref="B582" r:id="rId460" xr:uid="{96FF65A3-04D7-4723-9F23-668077A06AA3}"/>
    <hyperlink ref="B583" r:id="rId461" xr:uid="{F9427FE5-9F4F-404C-B48B-4D554B6A5E8B}"/>
    <hyperlink ref="B584" r:id="rId462" xr:uid="{60DFB2CC-8DE4-451D-AB7D-066627025FDE}"/>
    <hyperlink ref="B585" r:id="rId463" xr:uid="{E1EE3BE6-A21A-4D7E-AB63-6890D1FACEF1}"/>
    <hyperlink ref="B586" r:id="rId464" xr:uid="{93BFF25C-8B20-458E-8C65-52EBC850E52C}"/>
    <hyperlink ref="B587" r:id="rId465" xr:uid="{26C7AC1F-3A9B-4103-9EC7-E143425CC3B8}"/>
    <hyperlink ref="B588" r:id="rId466" xr:uid="{D11189A1-A86B-452D-8E36-682C56E7A86B}"/>
    <hyperlink ref="B591" r:id="rId467" xr:uid="{262D6AA4-429B-479A-9072-F7804688CE62}"/>
    <hyperlink ref="B592" r:id="rId468" xr:uid="{22D6B184-5FC1-44EB-A42A-910E856760F3}"/>
    <hyperlink ref="B593" r:id="rId469" xr:uid="{E2BF93D3-5052-4AB5-83CA-E2A7C54804AF}"/>
    <hyperlink ref="B594" r:id="rId470" xr:uid="{CCB21D98-2C9B-4D4A-9EDE-8DBF85EB594F}"/>
    <hyperlink ref="B595" r:id="rId471" xr:uid="{127D38BC-2501-4B67-A0CC-5DD39AE92EE5}"/>
    <hyperlink ref="B596" r:id="rId472" xr:uid="{697A7DA8-D052-43EC-ADC2-2D72483D89A0}"/>
    <hyperlink ref="B597" r:id="rId473" xr:uid="{20A00FEE-90C7-42AE-872A-B9D4059FF666}"/>
    <hyperlink ref="B600" r:id="rId474" xr:uid="{3C68C858-FB97-49E8-9FE8-77D925BF5E67}"/>
    <hyperlink ref="B601" r:id="rId475" xr:uid="{976293F9-D26B-4888-A901-FDBBCC02B105}"/>
    <hyperlink ref="B602" r:id="rId476" xr:uid="{C7AC19F4-A516-4854-AF6C-446EF341736F}"/>
    <hyperlink ref="B603" r:id="rId477" xr:uid="{048AB5DC-8A3C-47D7-AA69-8F0A644E1AAD}"/>
    <hyperlink ref="B606" r:id="rId478" xr:uid="{D916A7BD-6052-4B84-90C3-1B04DD14A789}"/>
    <hyperlink ref="B607" r:id="rId479" xr:uid="{9CD60DD1-8070-48AC-93A6-5564E2E14D29}"/>
    <hyperlink ref="B608" r:id="rId480" xr:uid="{AF51B1A4-8B4B-4A77-9B63-012570159A2C}"/>
    <hyperlink ref="B611" r:id="rId481" xr:uid="{666D31CF-CC12-4470-889D-D8166F0E21A4}"/>
    <hyperlink ref="B614" r:id="rId482" xr:uid="{3452FC51-5938-4F8B-89D2-09684173BE17}"/>
    <hyperlink ref="B617" r:id="rId483" xr:uid="{F7D0E0A3-7018-4DD4-9A0B-1F8B9B808A64}"/>
    <hyperlink ref="B618" r:id="rId484" xr:uid="{63B73704-CAFA-4B8B-A2A0-AE518ECD26DC}"/>
    <hyperlink ref="B619" r:id="rId485" xr:uid="{7E4C9A1D-34E5-420E-AC0A-5E7A84E8208B}"/>
    <hyperlink ref="B622" r:id="rId486" xr:uid="{8C63ACA8-385E-4E94-AD8E-A933E1440C58}"/>
    <hyperlink ref="B623" r:id="rId487" xr:uid="{C68603C4-35D1-4E46-95D2-16F82EA7883F}"/>
    <hyperlink ref="B624" r:id="rId488" xr:uid="{25178502-D28D-4D26-A33E-DD323BB1EEF8}"/>
    <hyperlink ref="B627" r:id="rId489" xr:uid="{C8184CE1-2525-4D7C-BDA0-5B01E9C6EECB}"/>
    <hyperlink ref="B628" r:id="rId490" xr:uid="{8D761ACE-20C4-484E-AB5C-BD686ECEFD8D}"/>
    <hyperlink ref="B629" r:id="rId491" xr:uid="{ED62D0DA-E460-4F52-B6BB-6A95AF6CD287}"/>
    <hyperlink ref="B630" r:id="rId492" xr:uid="{97F21927-3FF0-433A-B19A-848E62F8E4FD}"/>
    <hyperlink ref="B631" r:id="rId493" xr:uid="{F6A7014F-83FB-4AF3-BE6E-83E6F1D6BD23}"/>
    <hyperlink ref="B632" r:id="rId494" xr:uid="{D4F05C34-3D35-4EB2-BC52-413A2AE76C98}"/>
    <hyperlink ref="B633" r:id="rId495" xr:uid="{91E15818-3700-42E8-A391-2C2C68213B61}"/>
    <hyperlink ref="B634" r:id="rId496" xr:uid="{A4B89918-2E0B-4D04-9C5A-78C6019D8C1D}"/>
    <hyperlink ref="B635" r:id="rId497" xr:uid="{7A820213-121B-4644-8F4B-8918E30014B8}"/>
    <hyperlink ref="B636" r:id="rId498" xr:uid="{EEF350D9-2516-4F8C-8B7E-3B29F7F9ECCF}"/>
    <hyperlink ref="B637" r:id="rId499" xr:uid="{9E47C10F-9580-4655-899C-34FB386052EE}"/>
    <hyperlink ref="B638" r:id="rId500" xr:uid="{6FB261CD-A943-4CE6-B8E5-80126A6A8F15}"/>
    <hyperlink ref="B639" r:id="rId501" xr:uid="{50AF4F94-65E6-4055-82A1-248AEDF11455}"/>
    <hyperlink ref="B640" r:id="rId502" xr:uid="{663CB4AE-E00D-404F-8E0F-FF083DE8641C}"/>
    <hyperlink ref="B641" r:id="rId503" xr:uid="{639F5F79-D82A-490A-B6C7-12CC6A687249}"/>
    <hyperlink ref="B642" r:id="rId504" xr:uid="{0647D307-0B95-40AE-95D5-C754F5D47E86}"/>
    <hyperlink ref="B643" r:id="rId505" xr:uid="{4E2BA636-35E7-41A8-A6F2-767FC2376183}"/>
    <hyperlink ref="B646" r:id="rId506" xr:uid="{45ED9529-BCF7-4FE0-B23E-14C5EB084989}"/>
    <hyperlink ref="B647" r:id="rId507" xr:uid="{74E4F2CD-4E9B-4B7B-B174-3D2D3868E25B}"/>
    <hyperlink ref="B648" r:id="rId508" xr:uid="{8A97251B-085B-4102-8F9F-88E205383689}"/>
    <hyperlink ref="B649" r:id="rId509" xr:uid="{8ED6867F-A0CD-4F23-92C1-AF53CE2ECE30}"/>
    <hyperlink ref="B650" r:id="rId510" xr:uid="{ECBFA8B3-6121-4150-A9A6-97B47EF919F1}"/>
    <hyperlink ref="B651" r:id="rId511" xr:uid="{4F8F719F-7A4E-4FFB-9889-EAA49544B231}"/>
    <hyperlink ref="B652" r:id="rId512" xr:uid="{0AB97A7B-4882-4213-865C-E7DDF18B6E1D}"/>
    <hyperlink ref="B655" r:id="rId513" xr:uid="{400523D6-5AC6-4C6B-87BA-6C1D6FD172B1}"/>
    <hyperlink ref="B656" r:id="rId514" xr:uid="{A956F629-CDFB-4722-8CB7-41CC3DEE0263}"/>
    <hyperlink ref="B657" r:id="rId515" xr:uid="{01873527-85B3-4C61-B1E0-7683786AA8ED}"/>
    <hyperlink ref="B658" r:id="rId516" xr:uid="{37DE63CD-8F8E-4E34-943E-4424A4C1399E}"/>
    <hyperlink ref="B659" r:id="rId517" xr:uid="{83107D1B-F5C2-468F-8C5C-61536FB06EC6}"/>
    <hyperlink ref="B660" r:id="rId518" xr:uid="{DCD69C40-0306-46A7-BC4B-D0E326EE8F25}"/>
    <hyperlink ref="B663" r:id="rId519" xr:uid="{6B320072-F41D-4221-A532-720D97DDE128}"/>
    <hyperlink ref="B664" r:id="rId520" xr:uid="{5DEEA203-AAB8-4266-A130-2468DB5969D5}"/>
    <hyperlink ref="B665" r:id="rId521" xr:uid="{83E5D314-975B-42EA-B59D-FBB2C69F45F5}"/>
    <hyperlink ref="B666" r:id="rId522" xr:uid="{E2B327C0-4AD1-4CCD-8A57-F55FD59233BB}"/>
    <hyperlink ref="B667" r:id="rId523" xr:uid="{8BA2E069-6ECF-4797-9C30-AA133E9A2580}"/>
    <hyperlink ref="B668" r:id="rId524" xr:uid="{5E4F6BC6-FC8B-4AEA-BC90-B6EB9757CC03}"/>
    <hyperlink ref="B669" r:id="rId525" xr:uid="{F341B3AC-25BC-49F2-B421-C6FAC681805D}"/>
    <hyperlink ref="B670" r:id="rId526" xr:uid="{B992F24C-FBC2-4F27-BF57-16B1DFF70709}"/>
    <hyperlink ref="B671" r:id="rId527" xr:uid="{69527BD9-213D-465E-AEAB-8ABECD55D8B5}"/>
    <hyperlink ref="B672" r:id="rId528" xr:uid="{F4C3A767-6007-455A-8A01-43112F888AAD}"/>
    <hyperlink ref="B673" r:id="rId529" xr:uid="{B94B9A9E-0416-4CF4-9F01-04C0AABC6898}"/>
    <hyperlink ref="B676" r:id="rId530" xr:uid="{055C1BD0-EDB3-4854-AFFE-8A36C297C8A3}"/>
    <hyperlink ref="B677" r:id="rId531" xr:uid="{48548760-0BB1-4965-BE98-459503DB6A34}"/>
    <hyperlink ref="B678" r:id="rId532" xr:uid="{940C494F-1AAB-4378-A45F-7B82D3BED358}"/>
    <hyperlink ref="B679" r:id="rId533" xr:uid="{4100300E-DBB2-484C-AE71-4D68AA6A87C2}"/>
    <hyperlink ref="B682" r:id="rId534" xr:uid="{E0B601F3-1DED-4DA2-A8E3-D78820561F9F}"/>
    <hyperlink ref="B683" r:id="rId535" xr:uid="{3D31CF11-8BF2-49A2-A75D-54FBFBF23202}"/>
    <hyperlink ref="B684" r:id="rId536" xr:uid="{0EBDA410-6BFA-4D30-8363-4ACB61B48675}"/>
    <hyperlink ref="B685" r:id="rId537" xr:uid="{1E2AC463-550C-49DF-8E13-28FD81E0DCD8}"/>
    <hyperlink ref="B686" r:id="rId538" xr:uid="{62B8276B-BAD0-4AE4-86AA-A36E2DF0B940}"/>
    <hyperlink ref="B687" r:id="rId539" xr:uid="{827EBF28-B79D-4CB9-9E99-CE92E8746A21}"/>
    <hyperlink ref="B688" r:id="rId540" xr:uid="{9752C171-157E-4F4B-9E52-4226F8231049}"/>
    <hyperlink ref="B689" r:id="rId541" xr:uid="{24B50B3D-BFB2-4460-B2F3-FDA000FE3473}"/>
    <hyperlink ref="B690" r:id="rId542" xr:uid="{7825F557-7739-4391-A208-42A99261E4A8}"/>
    <hyperlink ref="B691" r:id="rId543" xr:uid="{7E5C97E4-BC57-4089-974D-5AEBF93C9708}"/>
    <hyperlink ref="B692" r:id="rId544" xr:uid="{741F8BC9-30FA-4931-BA92-082E6783126F}"/>
    <hyperlink ref="B695" r:id="rId545" xr:uid="{CBFF850A-753D-4FBB-A200-49CB3D7ADC4E}"/>
    <hyperlink ref="B696" r:id="rId546" xr:uid="{3624F03E-9320-4807-BA25-565609286D0F}"/>
    <hyperlink ref="B697" r:id="rId547" xr:uid="{20C7EF7F-80FC-466E-A0EA-40E992FB4D2B}"/>
    <hyperlink ref="B698" r:id="rId548" xr:uid="{0EAC4F5D-68B2-4F29-946B-41E4AADBDDEB}"/>
    <hyperlink ref="B699" r:id="rId549" xr:uid="{CB7B8B82-C0A7-4E79-B8B2-AFCC7B77E0BA}"/>
    <hyperlink ref="B700" r:id="rId550" xr:uid="{D8D3FA09-7440-461C-BB60-1C87F5757071}"/>
    <hyperlink ref="B701" r:id="rId551" xr:uid="{5C8F8442-CC77-4F8B-8133-B6C98E9D4F90}"/>
    <hyperlink ref="B702" r:id="rId552" xr:uid="{7CF25FBF-0652-4356-914A-8A5F2A9183F1}"/>
    <hyperlink ref="B703" r:id="rId553" xr:uid="{7DD096A3-B8EC-485A-BE92-2953A8EBF95E}"/>
    <hyperlink ref="B704" r:id="rId554" xr:uid="{A40F4115-6DB8-4818-9EF9-C91AC04E3F96}"/>
    <hyperlink ref="B705" r:id="rId555" xr:uid="{BAD16EE0-1AFB-4007-B7B3-AF358382AA99}"/>
    <hyperlink ref="B706" r:id="rId556" xr:uid="{A3C83437-ACF3-43B7-B051-63E9F360D8E5}"/>
    <hyperlink ref="B707" r:id="rId557" xr:uid="{48182AAF-23CC-4067-B4B3-023246597CD5}"/>
    <hyperlink ref="B710" r:id="rId558" xr:uid="{51E1C8B8-96E2-41D7-9F05-733CA2FD0247}"/>
    <hyperlink ref="B711" r:id="rId559" xr:uid="{F83332F7-1E10-4848-BB9A-477965F1FFE5}"/>
    <hyperlink ref="B712" r:id="rId560" xr:uid="{E806F3CE-3052-4481-817E-3C2C311D24FF}"/>
    <hyperlink ref="B713" r:id="rId561" xr:uid="{82379463-A904-47F8-9BD0-4FB0976D9629}"/>
    <hyperlink ref="B714" r:id="rId562" xr:uid="{52E6130E-BD9C-40DD-B401-13473038ACA9}"/>
    <hyperlink ref="B715" r:id="rId563" xr:uid="{8ABE0C32-12E0-483E-9EFD-D79422CFA39A}"/>
    <hyperlink ref="B716" r:id="rId564" xr:uid="{40C73E08-72BE-40D6-B925-918CB4FD52B5}"/>
    <hyperlink ref="B717" r:id="rId565" xr:uid="{818C9AE0-0D3B-4386-8D28-89B00AA8B8BE}"/>
    <hyperlink ref="B718" r:id="rId566" xr:uid="{153C68E4-F2E7-4AC8-8709-135DCE8A5D2A}"/>
    <hyperlink ref="B719" r:id="rId567" xr:uid="{5A6D945C-0CE7-43E6-A217-CDD3FC1A8087}"/>
    <hyperlink ref="B720" r:id="rId568" xr:uid="{2B1901C3-8CAD-43EB-90F6-3B577E1BA661}"/>
    <hyperlink ref="B721" r:id="rId569" xr:uid="{F852B72C-85A4-48F8-BB12-7D0AC1DE1BDA}"/>
    <hyperlink ref="B722" r:id="rId570" xr:uid="{8558A18E-02D0-4621-B002-81D71D7D1B12}"/>
    <hyperlink ref="B723" r:id="rId571" xr:uid="{6850FD4E-6401-4E8F-AB2C-35A02C302623}"/>
    <hyperlink ref="B724" r:id="rId572" xr:uid="{853223DE-AAC9-4137-AF8A-5C54DFF3F4EF}"/>
    <hyperlink ref="B725" r:id="rId573" xr:uid="{A7BCB19C-A0F6-40D4-A67E-2ECA5F1C9287}"/>
    <hyperlink ref="B726" r:id="rId574" xr:uid="{3347249A-B83A-40E4-9E1A-AFDEEB21C980}"/>
    <hyperlink ref="B729" r:id="rId575" xr:uid="{FFD4617A-CB4D-4FDC-82E7-48FEEBAE3067}"/>
    <hyperlink ref="B730" r:id="rId576" xr:uid="{46516D74-C27F-4E02-9F8E-4398BD9BD846}"/>
    <hyperlink ref="B731" r:id="rId577" xr:uid="{8117DE9F-B949-4359-B569-846E9E81BB53}"/>
    <hyperlink ref="B734" r:id="rId578" xr:uid="{676661CE-8AC3-48C4-A077-686943B1CBDE}"/>
    <hyperlink ref="B735" r:id="rId579" xr:uid="{98ABDE14-014F-4AE6-98A8-E6D03A2D709F}"/>
    <hyperlink ref="B736" r:id="rId580" xr:uid="{F12E869E-0300-4317-8040-8886FA3A17C7}"/>
    <hyperlink ref="B737" r:id="rId581" xr:uid="{AE05BAAD-5C1B-4E6B-8A90-4FA57F792850}"/>
    <hyperlink ref="B740" r:id="rId582" xr:uid="{50E37C7A-E904-46F4-88BC-CBCD50C4A066}"/>
    <hyperlink ref="B741" r:id="rId583" xr:uid="{674234E0-7BC4-4B6E-983C-52F7A5C6589F}"/>
    <hyperlink ref="B744" r:id="rId584" xr:uid="{26B2441C-6948-4958-ABA2-F4735F89A679}"/>
    <hyperlink ref="B745" r:id="rId585" xr:uid="{E729B649-9D4B-4248-B749-3E49411ABBB6}"/>
    <hyperlink ref="B748" r:id="rId586" xr:uid="{6B83E86C-6F21-4198-A916-BB5C2092CC6F}"/>
    <hyperlink ref="B749" r:id="rId587" xr:uid="{3B21A589-A502-4B0C-AB92-869FFA4E9754}"/>
    <hyperlink ref="B750" r:id="rId588" xr:uid="{BA1064A6-162E-4159-ABC3-85DE50658C9E}"/>
    <hyperlink ref="B751" r:id="rId589" xr:uid="{70CC1356-E99F-438A-8718-7EC4067B3E0C}"/>
    <hyperlink ref="B752" r:id="rId590" xr:uid="{8F498D82-A4DB-4E23-B499-BA9AC3D7F9AE}"/>
    <hyperlink ref="B753" r:id="rId591" xr:uid="{0F208017-2DF8-494E-91A8-7D0BD936F121}"/>
    <hyperlink ref="B754" r:id="rId592" xr:uid="{E65470FC-4A97-42A0-9F1A-861C7DCA8325}"/>
    <hyperlink ref="B755" r:id="rId593" xr:uid="{1EF41935-CA77-4BF3-A416-750EAE95DB40}"/>
    <hyperlink ref="B756" r:id="rId594" xr:uid="{AEDCD0D5-81F7-4C79-A894-95E3B8D9D5BB}"/>
    <hyperlink ref="B757" r:id="rId595" xr:uid="{710C759A-2172-4B4A-9B39-E69AFE095E29}"/>
    <hyperlink ref="B758" r:id="rId596" xr:uid="{EC3DFEAF-88DF-4588-A05B-0BFA3DB18F5A}"/>
    <hyperlink ref="B759" r:id="rId597" xr:uid="{2D9FC712-C28F-4A6F-8F07-852795AA3D2C}"/>
    <hyperlink ref="B760" r:id="rId598" xr:uid="{36079776-71EF-4DEE-B865-91B362D9AD79}"/>
    <hyperlink ref="B761" r:id="rId599" xr:uid="{04A7C062-91C2-4261-B4CC-00B8E748DD66}"/>
    <hyperlink ref="B762" r:id="rId600" xr:uid="{1B80C83E-FC35-4E34-ACE4-3E8B0AC1E8BD}"/>
    <hyperlink ref="B763" r:id="rId601" xr:uid="{0F96BE08-AC59-4204-8C0D-A4BAEDF474A0}"/>
    <hyperlink ref="B764" r:id="rId602" xr:uid="{F828F7E4-B0A5-455D-812D-B87D98821FFA}"/>
    <hyperlink ref="B765" r:id="rId603" xr:uid="{2C72EAAB-6823-4429-B254-F2263E61DF53}"/>
    <hyperlink ref="B768" r:id="rId604" xr:uid="{C2479FE4-6DD8-463E-9616-466EA29A543B}"/>
    <hyperlink ref="B769" r:id="rId605" xr:uid="{3A9582F2-756C-4100-91A5-A5C4ED032EB6}"/>
    <hyperlink ref="B770" r:id="rId606" xr:uid="{0CD6B391-E2D1-4624-BB2F-981CC5B6F4CD}"/>
    <hyperlink ref="B771" r:id="rId607" xr:uid="{B38F5965-7C08-4965-89B8-3444E1D65237}"/>
    <hyperlink ref="B772" r:id="rId608" xr:uid="{A8800095-4D21-46D2-BB85-37EEDEF76C2F}"/>
    <hyperlink ref="B773" r:id="rId609" xr:uid="{E3AA3CC0-E0DB-4853-85BD-B7AD26838A28}"/>
    <hyperlink ref="B774" r:id="rId610" xr:uid="{2ED68A7B-6DD5-46FA-A130-F834501C8676}"/>
    <hyperlink ref="B775" r:id="rId611" xr:uid="{DF81B935-912B-4B0F-886E-21B7AFF30447}"/>
    <hyperlink ref="B776" r:id="rId612" xr:uid="{9A7F0FDD-0668-4891-B3B9-62DDFB01E90A}"/>
    <hyperlink ref="B777" r:id="rId613" xr:uid="{6D5FF3F8-4A8C-4D27-835D-9C9EF6DF9431}"/>
    <hyperlink ref="B778" r:id="rId614" xr:uid="{423D5FB7-25C5-4E00-819A-CB5C061C3920}"/>
    <hyperlink ref="B779" r:id="rId615" xr:uid="{501A7ED5-69DF-4802-B5FA-2133724AF9E7}"/>
    <hyperlink ref="B780" r:id="rId616" xr:uid="{5AEF68B5-18F8-4C09-A170-AC2EFA3C4A0D}"/>
    <hyperlink ref="B781" r:id="rId617" xr:uid="{B6EF81F1-8089-48E8-95C9-C731AE8C5B6B}"/>
    <hyperlink ref="B782" r:id="rId618" xr:uid="{8193C4E4-D5E5-43E5-A178-8E056694D3D7}"/>
    <hyperlink ref="B785" r:id="rId619" xr:uid="{5F328000-208D-4567-B697-AE85074783BC}"/>
    <hyperlink ref="B786" r:id="rId620" xr:uid="{A554AE44-6D1F-4F01-B237-0D5581D48BC4}"/>
    <hyperlink ref="B787" r:id="rId621" xr:uid="{720FC85C-5C93-45E2-85ED-826C1ECEA8FD}"/>
    <hyperlink ref="B788" r:id="rId622" xr:uid="{477CF0ED-3EE5-4A82-88E9-BB0F97516407}"/>
    <hyperlink ref="B789" r:id="rId623" xr:uid="{8E1E78B7-69CE-4784-BC01-061E4385610D}"/>
    <hyperlink ref="B790" r:id="rId624" xr:uid="{10D3849D-ADF5-4D58-AEE6-314C7A7B92FE}"/>
    <hyperlink ref="B791" r:id="rId625" xr:uid="{67A314E8-3901-491E-B186-96B2CE5EDE85}"/>
    <hyperlink ref="B792" r:id="rId626" xr:uid="{C0C8873B-C768-4801-8E2A-6A96D614EDA6}"/>
    <hyperlink ref="B793" r:id="rId627" xr:uid="{1BFEF6A7-766F-4561-BA3B-D4215CB55D91}"/>
    <hyperlink ref="B794" r:id="rId628" xr:uid="{75A24214-868A-40BF-A95A-351D270B39CE}"/>
    <hyperlink ref="B795" r:id="rId629" xr:uid="{E4A16BA1-1ADE-45D7-9843-E6D4B54D1A0E}"/>
    <hyperlink ref="B796" r:id="rId630" xr:uid="{95E22500-6874-4BFB-94C9-CE88640BD91C}"/>
    <hyperlink ref="B797" r:id="rId631" xr:uid="{60D71797-4ACB-4E34-BAEF-41A7B7419C67}"/>
    <hyperlink ref="B798" r:id="rId632" xr:uid="{DF8BE167-E469-48F7-A775-B80E26CECD74}"/>
    <hyperlink ref="B799" r:id="rId633" xr:uid="{7BF2FF12-5C66-40DF-8AAC-C2E7BD81D41F}"/>
    <hyperlink ref="B800" r:id="rId634" xr:uid="{FB1AA1B8-B262-4CC6-8EC9-628B17D78A6B}"/>
    <hyperlink ref="B801" r:id="rId635" xr:uid="{7B8D296B-719C-46D7-9216-D6651FFA3EF2}"/>
    <hyperlink ref="B802" r:id="rId636" xr:uid="{01852EAD-ED33-49F6-ACB0-0B62FF0B7B28}"/>
    <hyperlink ref="B803" r:id="rId637" xr:uid="{A8AAD58D-A821-4921-97DA-09F2C94F9D1F}"/>
    <hyperlink ref="B804" r:id="rId638" xr:uid="{46C62E6E-AF4B-40C6-8F0B-C835122FF9CE}"/>
    <hyperlink ref="B805" r:id="rId639" xr:uid="{0663AEA7-87FE-4C82-88B5-26478005E1EC}"/>
    <hyperlink ref="B806" r:id="rId640" xr:uid="{ED915B24-34C6-433B-8B7B-CAB2DC3E4341}"/>
    <hyperlink ref="B807" r:id="rId641" xr:uid="{409E6CBE-9988-4664-8448-2FCC6743CD0B}"/>
    <hyperlink ref="B808" r:id="rId642" xr:uid="{F939B125-943F-41CF-BC07-5213767074E5}"/>
    <hyperlink ref="B809" r:id="rId643" xr:uid="{9031DEEC-BD38-495B-BD37-4C6C47C86428}"/>
    <hyperlink ref="B810" r:id="rId644" xr:uid="{BD313143-9445-453E-840E-6FB26593C8F3}"/>
    <hyperlink ref="B811" r:id="rId645" xr:uid="{06EE875B-DE43-45A2-94A1-69111ACCF04D}"/>
    <hyperlink ref="B812" r:id="rId646" xr:uid="{8DAF5C29-38DF-4410-9B7B-41DBF2ABE105}"/>
    <hyperlink ref="B813" r:id="rId647" xr:uid="{9D5B83E7-88C6-42F9-91A7-B65C4CB74581}"/>
    <hyperlink ref="B814" r:id="rId648" xr:uid="{91760B1B-69BF-41E6-B37C-9196D7659BE5}"/>
    <hyperlink ref="B815" r:id="rId649" xr:uid="{FB153382-CFDD-486F-922B-7F7E34325470}"/>
    <hyperlink ref="B816" r:id="rId650" xr:uid="{F92D8A2D-0ED3-4B24-8866-B4A728676398}"/>
    <hyperlink ref="B817" r:id="rId651" xr:uid="{B79C54AE-A339-40E8-B3F1-F95F5AA08C23}"/>
    <hyperlink ref="B818" r:id="rId652" xr:uid="{492FAD22-C423-4C02-877D-AE2FBB598F34}"/>
    <hyperlink ref="B819" r:id="rId653" xr:uid="{2D95D31C-1988-44E6-B9D8-154216AB2160}"/>
    <hyperlink ref="B820" r:id="rId654" xr:uid="{2D7289E6-1AD3-4318-BA5A-8B1332ADF9FB}"/>
    <hyperlink ref="B821" r:id="rId655" xr:uid="{F5B97634-6F15-4A03-BAB0-3DF9950B1F7B}"/>
    <hyperlink ref="B822" r:id="rId656" xr:uid="{ABDB0F2B-881B-4C55-8E86-568785187766}"/>
    <hyperlink ref="B823" r:id="rId657" xr:uid="{EFF4326B-E492-4811-8737-18B3026EFDA6}"/>
    <hyperlink ref="B824" r:id="rId658" xr:uid="{67BA6F22-C92A-410B-AE93-6261D1436D0F}"/>
    <hyperlink ref="B825" r:id="rId659" xr:uid="{2ABF3D87-3C54-423A-90E6-992423CFB994}"/>
    <hyperlink ref="B826" r:id="rId660" xr:uid="{605EBA6B-2154-4F24-BAF5-4F85C773D026}"/>
    <hyperlink ref="B827" r:id="rId661" xr:uid="{2118AB20-605D-4476-8251-64B20745D0EA}"/>
    <hyperlink ref="B828" r:id="rId662" xr:uid="{8036B8CB-58F9-4887-824C-D9D9FB2C77B0}"/>
    <hyperlink ref="B829" r:id="rId663" xr:uid="{50384214-1F5E-4012-90D2-02365D33B749}"/>
    <hyperlink ref="B830" r:id="rId664" xr:uid="{3A30FC2F-8DA2-4A20-901A-F454BFFF8F11}"/>
    <hyperlink ref="B833" r:id="rId665" xr:uid="{C2D82C11-B9E0-4D24-8E92-FF5232687F1B}"/>
    <hyperlink ref="B834" r:id="rId666" xr:uid="{4D5F3F77-EE92-4396-B13C-DF7D71DE6B98}"/>
    <hyperlink ref="B837" r:id="rId667" xr:uid="{996D617F-C93F-4EA9-8402-37BC13937F57}"/>
    <hyperlink ref="B838" r:id="rId668" xr:uid="{B0FA0996-9C01-4A99-B455-C7945DBDB2CC}"/>
    <hyperlink ref="B839" r:id="rId669" xr:uid="{53B2FF7F-1E07-4E29-8D1F-0642B4B63841}"/>
    <hyperlink ref="B840" r:id="rId670" xr:uid="{2D75C811-25FE-4801-BEA4-38E3690AB585}"/>
    <hyperlink ref="B841" r:id="rId671" xr:uid="{383F936C-A1E8-48D7-9C59-63E2BC530EA5}"/>
    <hyperlink ref="B842" r:id="rId672" xr:uid="{8997C55D-0561-4BDA-B4E0-8791D358934A}"/>
    <hyperlink ref="B843" r:id="rId673" xr:uid="{7D8F0803-0F1B-4680-90F8-3AE6ADC53939}"/>
    <hyperlink ref="B844" r:id="rId674" xr:uid="{4E921714-977F-4BD6-8BA8-D4ACBF929B3A}"/>
    <hyperlink ref="B845" r:id="rId675" xr:uid="{3D4063A3-1013-4000-B212-7DAF5E12EB8D}"/>
    <hyperlink ref="B846" r:id="rId676" xr:uid="{C175EC0A-E051-4BAB-B294-2D994D1AB8FB}"/>
    <hyperlink ref="B847" r:id="rId677" xr:uid="{568C126C-7E27-4895-BE14-06DC46F995BC}"/>
    <hyperlink ref="B848" r:id="rId678" xr:uid="{434DB232-8937-47D4-A7D6-4AEACA5DEF15}"/>
    <hyperlink ref="B849" r:id="rId679" xr:uid="{26A5D9B9-48D7-49C2-ADF5-23742F745B97}"/>
    <hyperlink ref="B850" r:id="rId680" xr:uid="{93DC8C1B-3C76-46A8-BBB8-A098746C4220}"/>
    <hyperlink ref="B851" r:id="rId681" xr:uid="{E0E6D9D1-AFA1-47B5-A4FB-A36E719E4103}"/>
    <hyperlink ref="B852" r:id="rId682" xr:uid="{C04D0FF2-DC14-4591-8EBD-CB404F775676}"/>
    <hyperlink ref="B855" r:id="rId683" xr:uid="{818CC799-FD68-44E8-8A2B-025C8F40E8A6}"/>
    <hyperlink ref="B856" r:id="rId684" xr:uid="{AB43014D-7CAE-4D95-BE64-02ECCA39398F}"/>
    <hyperlink ref="B857" r:id="rId685" xr:uid="{319199C9-1CDE-4AF5-9364-C7D66F3E38BC}"/>
    <hyperlink ref="B858" r:id="rId686" xr:uid="{2CBB3201-1B7B-4E1E-BC89-02EEAD315087}"/>
    <hyperlink ref="B859" r:id="rId687" xr:uid="{CE2FA2F5-1584-4538-8265-5B4296FB32F5}"/>
    <hyperlink ref="B860" r:id="rId688" xr:uid="{87E5AA21-2D2D-4AF2-BBF1-FA5750EEA216}"/>
    <hyperlink ref="B861" r:id="rId689" xr:uid="{42F1E95E-BD32-47AE-B9AE-EB1832259922}"/>
    <hyperlink ref="B862" r:id="rId690" xr:uid="{A76DE83A-B7F3-4DE2-A1FF-954EF04D4977}"/>
    <hyperlink ref="B863" r:id="rId691" xr:uid="{3A8B76B4-C939-4C29-96E7-D031DB2A5D42}"/>
    <hyperlink ref="B864" r:id="rId692" xr:uid="{BE3B42B6-3D40-4F83-BDDC-FA0A15A36A2E}"/>
    <hyperlink ref="B865" r:id="rId693" xr:uid="{C8FF739B-6DDD-43E5-8885-F4FA22CB4467}"/>
    <hyperlink ref="B866" r:id="rId694" xr:uid="{6D54E900-DBB2-4650-A883-4EB1834A84EC}"/>
    <hyperlink ref="B867" r:id="rId695" xr:uid="{698AE2D8-229B-4AC5-880A-5F382CCF5A05}"/>
    <hyperlink ref="B868" r:id="rId696" xr:uid="{78BA2C96-47D9-428E-87A8-1704DB4B9D3C}"/>
    <hyperlink ref="B869" r:id="rId697" xr:uid="{B43846A0-F2AE-4F73-B958-49AED1B68CA7}"/>
    <hyperlink ref="B870" r:id="rId698" xr:uid="{6C5EDF94-64D4-49E7-BE6D-60389928EE1E}"/>
    <hyperlink ref="B871" r:id="rId699" xr:uid="{4230BBB5-AABB-42AE-B321-D46661D1A9C6}"/>
    <hyperlink ref="B872" r:id="rId700" xr:uid="{1A20FDC1-04EF-4C23-8C08-859885A8A1BF}"/>
    <hyperlink ref="B875" r:id="rId701" xr:uid="{A4D075C0-943C-4FA3-9951-FE4815A99489}"/>
    <hyperlink ref="B876" r:id="rId702" xr:uid="{78852948-381D-4550-82D6-C2DF9519C846}"/>
    <hyperlink ref="B877" r:id="rId703" xr:uid="{8A6155A8-1F30-48C4-A65E-D150982DEDFE}"/>
    <hyperlink ref="B880" r:id="rId704" xr:uid="{5A9DFDD1-3DED-4316-BBE5-4ED0A876B0C2}"/>
    <hyperlink ref="B881" r:id="rId705" xr:uid="{E81DE9BE-AE0B-4924-86C8-248C6538EEF3}"/>
    <hyperlink ref="B882" r:id="rId706" xr:uid="{DE53E397-8CB0-40B9-B301-BDCD66156F58}"/>
    <hyperlink ref="B883" r:id="rId707" xr:uid="{188B7344-B4B5-414E-B195-D6EFEC5FE726}"/>
    <hyperlink ref="B884" r:id="rId708" xr:uid="{0B30AEBA-0C2C-4466-8160-1ED3C4231E5C}"/>
    <hyperlink ref="B885" r:id="rId709" xr:uid="{DA02BA13-0A2B-4412-AB22-0055F99A7FF3}"/>
    <hyperlink ref="B886" r:id="rId710" xr:uid="{DD2CC31B-E6C6-4344-B10A-DF8F486231CC}"/>
    <hyperlink ref="B887" r:id="rId711" xr:uid="{9744EA5E-C996-45AF-99B3-2FA0381F68F5}"/>
    <hyperlink ref="B888" r:id="rId712" xr:uid="{7B065EFA-74C3-4D71-B52B-60CE07A396DA}"/>
    <hyperlink ref="B891" r:id="rId713" xr:uid="{D9020640-EBB4-4CF9-B008-A171830F4B5D}"/>
    <hyperlink ref="B892" r:id="rId714" xr:uid="{5EB86500-8775-4012-9667-D0A0D24A3BA3}"/>
    <hyperlink ref="B893" r:id="rId715" xr:uid="{33E6F33F-F759-4850-A1F3-2AB48BFC910D}"/>
    <hyperlink ref="B894" r:id="rId716" xr:uid="{185A30B9-E5D5-40D0-AC22-6198FE918CF7}"/>
    <hyperlink ref="B895" r:id="rId717" xr:uid="{3BFEF9C9-44B7-47FB-8EC3-136D0D691203}"/>
    <hyperlink ref="B896" r:id="rId718" xr:uid="{24232DD6-D906-4151-8D1B-75C881DE1CF6}"/>
    <hyperlink ref="B897" r:id="rId719" xr:uid="{E8538818-12F8-4E7A-B2E6-166F1B324632}"/>
    <hyperlink ref="B898" r:id="rId720" xr:uid="{F62F941B-D044-4EEF-B423-D2AAB3C503F1}"/>
    <hyperlink ref="B899" r:id="rId721" xr:uid="{31B6EDA2-0177-4EBA-8451-1B808F61B785}"/>
    <hyperlink ref="B900" r:id="rId722" xr:uid="{2EA4C17A-2748-4CD8-9B74-3E3B2CD68A43}"/>
    <hyperlink ref="B901" r:id="rId723" xr:uid="{99C7CDB1-A8FB-432D-B7BB-F4FD9560A844}"/>
    <hyperlink ref="B904" r:id="rId724" xr:uid="{0F6C6E55-CE25-4F5C-AE96-75AEE2A3901B}"/>
    <hyperlink ref="B905" r:id="rId725" xr:uid="{FCB069EB-DC1F-4E40-B208-AE3A4FC32C99}"/>
    <hyperlink ref="B906" r:id="rId726" xr:uid="{9562F362-6E71-4A7F-A482-399E8C174E67}"/>
    <hyperlink ref="B907" r:id="rId727" xr:uid="{1675FBD2-B18B-46F3-9311-EEB348EDD7AB}"/>
    <hyperlink ref="B908" r:id="rId728" xr:uid="{DC271EA6-44DF-4F3F-839A-F88D0F1B7B2A}"/>
    <hyperlink ref="B909" r:id="rId729" xr:uid="{BF1A456E-E3AA-4451-B4C8-4C8B2E5F9493}"/>
    <hyperlink ref="B910" r:id="rId730" xr:uid="{B63CE813-C994-4028-B1E8-A07068D5E6A3}"/>
    <hyperlink ref="B911" r:id="rId731" xr:uid="{36901170-FF2F-48F4-93B9-92C3E9A95112}"/>
    <hyperlink ref="B912" r:id="rId732" xr:uid="{AC2C2F64-084D-4724-A04D-521F83ACE1F5}"/>
    <hyperlink ref="B915" r:id="rId733" xr:uid="{3E427791-1231-400D-B4B9-222EC5F587CB}"/>
    <hyperlink ref="B918" r:id="rId734" xr:uid="{E389CCDA-A5B2-45B8-83BD-B936AA42A320}"/>
    <hyperlink ref="B919" r:id="rId735" xr:uid="{84776900-5506-487C-94A3-C949612B2561}"/>
    <hyperlink ref="B920" r:id="rId736" xr:uid="{3491A257-943C-4CFE-B1D0-037A25D78940}"/>
    <hyperlink ref="B921" r:id="rId737" xr:uid="{F7E1F8A5-E5DE-4249-BFC7-B10BC37BDB04}"/>
    <hyperlink ref="B922" r:id="rId738" xr:uid="{D790B4AF-51E4-429B-B23C-FCC80381C32E}"/>
    <hyperlink ref="B923" r:id="rId739" xr:uid="{EFC2DF07-DB37-4217-821C-7D6F4C342BE9}"/>
    <hyperlink ref="B924" r:id="rId740" xr:uid="{CBB3CF46-6000-4B19-BCBF-0F4190A009C2}"/>
    <hyperlink ref="B925" r:id="rId741" xr:uid="{89327998-F37A-4F0A-86BD-F7F1BFB826DA}"/>
    <hyperlink ref="B926" r:id="rId742" xr:uid="{C4597E9E-C04A-41EA-ABDE-1820B7A68A12}"/>
    <hyperlink ref="B927" r:id="rId743" xr:uid="{9D893462-800E-4DE7-A878-9577F45B51FD}"/>
  </hyperlinks>
  <pageMargins left="0.7" right="0.7" top="0.75" bottom="0.75" header="0.3" footer="0.3"/>
  <pageSetup orientation="portrait" r:id="rId74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BB591-F934-4245-A9D6-4C56BFE36496}">
  <sheetPr codeName="Sheet12"/>
  <dimension ref="A1:Y744"/>
  <sheetViews>
    <sheetView zoomScaleNormal="100" workbookViewId="0">
      <pane ySplit="1" topLeftCell="A2" activePane="bottomLeft" state="frozen"/>
      <selection activeCell="N26" sqref="N26"/>
      <selection pane="bottomLeft" activeCell="A2" sqref="A2"/>
    </sheetView>
  </sheetViews>
  <sheetFormatPr defaultColWidth="9.33203125" defaultRowHeight="10.199999999999999" x14ac:dyDescent="0.3"/>
  <cols>
    <col min="1" max="1" width="3.33203125" style="22" customWidth="1"/>
    <col min="2" max="2" width="4.21875" style="22" customWidth="1"/>
    <col min="3" max="3" width="12.77734375" style="18" customWidth="1"/>
    <col min="4" max="4" width="20.77734375" style="21" customWidth="1"/>
    <col min="5" max="5" width="23.77734375" style="21" customWidth="1"/>
    <col min="6" max="6" width="20.77734375" style="18" customWidth="1"/>
    <col min="7" max="7" width="23.77734375" style="23" customWidth="1"/>
    <col min="8" max="8" width="23.77734375" style="21" customWidth="1"/>
    <col min="9" max="9" width="23.77734375" style="23" customWidth="1"/>
    <col min="10" max="12" width="30.77734375" style="23" customWidth="1"/>
    <col min="13" max="13" width="50.77734375" style="23" customWidth="1"/>
    <col min="14" max="14" width="5.33203125" style="22" customWidth="1"/>
    <col min="15" max="15" width="13.33203125" style="23" customWidth="1"/>
    <col min="16" max="16" width="30.77734375" style="23" customWidth="1"/>
    <col min="17" max="18" width="5.33203125" style="22" customWidth="1"/>
    <col min="19" max="19" width="9.77734375" style="22" customWidth="1"/>
    <col min="20" max="21" width="20.77734375" style="62" customWidth="1"/>
    <col min="22" max="22" width="20.77734375" style="107" customWidth="1"/>
    <col min="23" max="23" width="9.33203125" style="108"/>
    <col min="24" max="24" width="50.77734375" style="124" customWidth="1"/>
    <col min="25" max="25" width="50.77734375" style="23" customWidth="1"/>
    <col min="26" max="16384" width="9.33203125" style="21"/>
  </cols>
  <sheetData>
    <row r="1" spans="1:25" s="16" customFormat="1" x14ac:dyDescent="0.3">
      <c r="A1" s="14" t="s">
        <v>25</v>
      </c>
      <c r="B1" s="14" t="s">
        <v>4259</v>
      </c>
      <c r="C1" s="15" t="s">
        <v>26</v>
      </c>
      <c r="D1" s="16" t="s">
        <v>1592</v>
      </c>
      <c r="E1" s="16" t="s">
        <v>27</v>
      </c>
      <c r="F1" s="15" t="s">
        <v>28</v>
      </c>
      <c r="G1" s="17" t="s">
        <v>1598</v>
      </c>
      <c r="H1" s="16" t="s">
        <v>1599</v>
      </c>
      <c r="I1" s="17" t="s">
        <v>4756</v>
      </c>
      <c r="J1" s="17" t="s">
        <v>31</v>
      </c>
      <c r="K1" s="17" t="s">
        <v>1593</v>
      </c>
      <c r="L1" s="17" t="s">
        <v>1594</v>
      </c>
      <c r="M1" s="17" t="s">
        <v>4757</v>
      </c>
      <c r="N1" s="14" t="s">
        <v>4260</v>
      </c>
      <c r="O1" s="17" t="s">
        <v>1595</v>
      </c>
      <c r="P1" s="17" t="s">
        <v>1596</v>
      </c>
      <c r="Q1" s="14" t="s">
        <v>24</v>
      </c>
      <c r="R1" s="14" t="s">
        <v>30</v>
      </c>
      <c r="S1" s="14" t="s">
        <v>1597</v>
      </c>
      <c r="T1" s="65" t="s">
        <v>1601</v>
      </c>
      <c r="U1" s="65" t="s">
        <v>1600</v>
      </c>
      <c r="V1" s="111" t="s">
        <v>4763</v>
      </c>
      <c r="W1" s="112" t="s">
        <v>3012</v>
      </c>
      <c r="X1" s="125" t="s">
        <v>32</v>
      </c>
      <c r="Y1" s="17" t="s">
        <v>1602</v>
      </c>
    </row>
    <row r="2" spans="1:25" x14ac:dyDescent="0.3">
      <c r="A2" s="22">
        <v>1</v>
      </c>
      <c r="B2" s="22">
        <v>37</v>
      </c>
      <c r="C2" s="18" t="s">
        <v>60</v>
      </c>
      <c r="D2" s="21" t="s">
        <v>5790</v>
      </c>
      <c r="E2" s="21" t="s">
        <v>61</v>
      </c>
      <c r="F2" s="18" t="s">
        <v>62</v>
      </c>
      <c r="J2" s="23" t="s">
        <v>5198</v>
      </c>
      <c r="L2" s="23" t="s">
        <v>1611</v>
      </c>
      <c r="M2" s="23" t="s">
        <v>3069</v>
      </c>
      <c r="N2" s="22" t="s">
        <v>63</v>
      </c>
      <c r="P2" s="23" t="s">
        <v>3019</v>
      </c>
      <c r="X2" s="124" t="s">
        <v>3070</v>
      </c>
    </row>
    <row r="3" spans="1:25" x14ac:dyDescent="0.3">
      <c r="A3" s="22">
        <v>2</v>
      </c>
      <c r="B3" s="22">
        <v>37</v>
      </c>
      <c r="C3" s="18" t="s">
        <v>60</v>
      </c>
      <c r="D3" s="21" t="s">
        <v>5790</v>
      </c>
      <c r="E3" s="21" t="s">
        <v>64</v>
      </c>
      <c r="F3" s="18" t="s">
        <v>65</v>
      </c>
      <c r="J3" s="23" t="s">
        <v>5199</v>
      </c>
      <c r="M3" s="23" t="s">
        <v>3072</v>
      </c>
      <c r="N3" s="22" t="s">
        <v>37</v>
      </c>
    </row>
    <row r="4" spans="1:25" x14ac:dyDescent="0.3">
      <c r="A4" s="22">
        <v>3</v>
      </c>
      <c r="B4" s="22">
        <v>37</v>
      </c>
      <c r="C4" s="18" t="s">
        <v>60</v>
      </c>
      <c r="D4" s="21" t="s">
        <v>5790</v>
      </c>
      <c r="E4" s="21" t="s">
        <v>66</v>
      </c>
      <c r="F4" s="18" t="s">
        <v>67</v>
      </c>
      <c r="G4" s="23" t="s">
        <v>1612</v>
      </c>
      <c r="H4" s="21" t="s">
        <v>1613</v>
      </c>
      <c r="I4" s="23" t="s">
        <v>1614</v>
      </c>
      <c r="J4" s="23" t="s">
        <v>5200</v>
      </c>
      <c r="M4" s="23" t="s">
        <v>3074</v>
      </c>
      <c r="N4" s="22" t="s">
        <v>49</v>
      </c>
      <c r="P4" s="23" t="s">
        <v>49</v>
      </c>
      <c r="W4" s="108">
        <v>42771</v>
      </c>
      <c r="X4" s="124" t="s">
        <v>6376</v>
      </c>
    </row>
    <row r="5" spans="1:25" x14ac:dyDescent="0.3">
      <c r="A5" s="22">
        <v>4</v>
      </c>
      <c r="B5" s="22">
        <v>37</v>
      </c>
      <c r="C5" s="18" t="s">
        <v>60</v>
      </c>
      <c r="D5" s="21" t="s">
        <v>5790</v>
      </c>
      <c r="E5" s="21" t="s">
        <v>3076</v>
      </c>
      <c r="F5" s="18" t="s">
        <v>3077</v>
      </c>
      <c r="G5" s="23" t="s">
        <v>1612</v>
      </c>
      <c r="J5" s="23" t="s">
        <v>5201</v>
      </c>
      <c r="K5" s="23" t="s">
        <v>4261</v>
      </c>
      <c r="L5" s="23" t="s">
        <v>4262</v>
      </c>
      <c r="M5" s="23" t="s">
        <v>3078</v>
      </c>
      <c r="N5" s="22" t="s">
        <v>49</v>
      </c>
      <c r="P5" s="23" t="s">
        <v>49</v>
      </c>
      <c r="W5" s="108">
        <v>43901</v>
      </c>
      <c r="X5" s="124" t="s">
        <v>6490</v>
      </c>
    </row>
    <row r="6" spans="1:25" x14ac:dyDescent="0.3">
      <c r="A6" s="22">
        <v>5</v>
      </c>
      <c r="C6" s="18" t="s">
        <v>60</v>
      </c>
      <c r="D6" s="21" t="s">
        <v>5790</v>
      </c>
      <c r="E6" s="21" t="s">
        <v>5792</v>
      </c>
      <c r="F6" s="18" t="s">
        <v>5793</v>
      </c>
      <c r="G6" s="23" t="s">
        <v>1612</v>
      </c>
      <c r="H6" s="21" t="s">
        <v>5866</v>
      </c>
      <c r="J6" s="23" t="s">
        <v>5340</v>
      </c>
      <c r="K6" s="23" t="s">
        <v>5867</v>
      </c>
      <c r="N6" s="22" t="s">
        <v>49</v>
      </c>
      <c r="P6" s="23" t="s">
        <v>49</v>
      </c>
      <c r="W6" s="108">
        <v>44874</v>
      </c>
      <c r="X6" s="124" t="s">
        <v>6377</v>
      </c>
    </row>
    <row r="7" spans="1:25" x14ac:dyDescent="0.3">
      <c r="A7" s="22">
        <v>6</v>
      </c>
      <c r="B7" s="22">
        <v>39</v>
      </c>
      <c r="C7" s="18" t="s">
        <v>60</v>
      </c>
      <c r="D7" s="21" t="s">
        <v>5790</v>
      </c>
      <c r="E7" s="21" t="s">
        <v>68</v>
      </c>
      <c r="F7" s="18" t="s">
        <v>69</v>
      </c>
      <c r="G7" s="23" t="s">
        <v>1612</v>
      </c>
      <c r="J7" s="23" t="s">
        <v>5202</v>
      </c>
      <c r="K7" s="23" t="s">
        <v>4263</v>
      </c>
      <c r="M7" s="23" t="s">
        <v>3078</v>
      </c>
      <c r="N7" s="22" t="s">
        <v>49</v>
      </c>
      <c r="P7" s="23" t="s">
        <v>49</v>
      </c>
      <c r="S7" s="22" t="s">
        <v>1615</v>
      </c>
      <c r="V7" s="107" t="s">
        <v>4522</v>
      </c>
      <c r="W7" s="108">
        <v>43173</v>
      </c>
      <c r="X7" s="124" t="s">
        <v>6378</v>
      </c>
      <c r="Y7" s="23" t="s">
        <v>4264</v>
      </c>
    </row>
    <row r="8" spans="1:25" x14ac:dyDescent="0.3">
      <c r="A8" s="22">
        <v>7</v>
      </c>
      <c r="B8" s="22">
        <v>39</v>
      </c>
      <c r="C8" s="18" t="s">
        <v>60</v>
      </c>
      <c r="D8" s="21" t="s">
        <v>5790</v>
      </c>
      <c r="E8" s="21" t="s">
        <v>70</v>
      </c>
      <c r="F8" s="18" t="s">
        <v>71</v>
      </c>
      <c r="G8" s="23" t="s">
        <v>1612</v>
      </c>
      <c r="J8" s="23" t="s">
        <v>5202</v>
      </c>
      <c r="M8" s="23" t="s">
        <v>3081</v>
      </c>
      <c r="N8" s="22" t="s">
        <v>49</v>
      </c>
      <c r="P8" s="23" t="s">
        <v>49</v>
      </c>
      <c r="S8" s="22" t="s">
        <v>1616</v>
      </c>
      <c r="V8" s="107" t="s">
        <v>4523</v>
      </c>
      <c r="W8" s="108">
        <v>40264</v>
      </c>
      <c r="X8" s="124" t="s">
        <v>6491</v>
      </c>
      <c r="Y8" s="23" t="s">
        <v>5868</v>
      </c>
    </row>
    <row r="9" spans="1:25" x14ac:dyDescent="0.3">
      <c r="A9" s="22">
        <v>8</v>
      </c>
      <c r="B9" s="22">
        <v>39</v>
      </c>
      <c r="C9" s="18" t="s">
        <v>60</v>
      </c>
      <c r="D9" s="21" t="s">
        <v>5790</v>
      </c>
      <c r="E9" s="21" t="s">
        <v>72</v>
      </c>
      <c r="F9" s="18" t="s">
        <v>73</v>
      </c>
      <c r="G9" s="23" t="s">
        <v>1612</v>
      </c>
      <c r="J9" s="23" t="s">
        <v>5203</v>
      </c>
      <c r="M9" s="23" t="s">
        <v>3083</v>
      </c>
      <c r="N9" s="22" t="s">
        <v>49</v>
      </c>
      <c r="P9" s="23" t="s">
        <v>49</v>
      </c>
      <c r="W9" s="108">
        <v>40517</v>
      </c>
      <c r="X9" s="124" t="s">
        <v>6492</v>
      </c>
    </row>
    <row r="10" spans="1:25" x14ac:dyDescent="0.3">
      <c r="A10" s="22">
        <v>9</v>
      </c>
      <c r="C10" s="18" t="s">
        <v>60</v>
      </c>
      <c r="D10" s="21" t="s">
        <v>5790</v>
      </c>
      <c r="E10" s="21" t="s">
        <v>5795</v>
      </c>
      <c r="F10" s="18" t="s">
        <v>5796</v>
      </c>
      <c r="G10" s="23" t="s">
        <v>1612</v>
      </c>
      <c r="J10" s="23" t="s">
        <v>5212</v>
      </c>
      <c r="K10" s="23" t="s">
        <v>5869</v>
      </c>
      <c r="L10" s="23" t="s">
        <v>5870</v>
      </c>
      <c r="N10" s="22" t="s">
        <v>49</v>
      </c>
      <c r="P10" s="23" t="s">
        <v>49</v>
      </c>
      <c r="W10" s="108">
        <v>44854</v>
      </c>
      <c r="X10" s="124" t="s">
        <v>6379</v>
      </c>
    </row>
    <row r="11" spans="1:25" x14ac:dyDescent="0.3">
      <c r="A11" s="22">
        <v>10</v>
      </c>
      <c r="B11" s="22">
        <v>37</v>
      </c>
      <c r="C11" s="18" t="s">
        <v>60</v>
      </c>
      <c r="D11" s="21" t="s">
        <v>5790</v>
      </c>
      <c r="E11" s="21" t="s">
        <v>74</v>
      </c>
      <c r="F11" s="18" t="s">
        <v>75</v>
      </c>
      <c r="G11" s="23" t="s">
        <v>1612</v>
      </c>
      <c r="J11" s="23" t="s">
        <v>5204</v>
      </c>
      <c r="K11" s="23" t="s">
        <v>5871</v>
      </c>
      <c r="M11" s="23" t="s">
        <v>3083</v>
      </c>
      <c r="N11" s="22" t="s">
        <v>49</v>
      </c>
      <c r="P11" s="23" t="s">
        <v>49</v>
      </c>
      <c r="S11" s="22" t="s">
        <v>1679</v>
      </c>
      <c r="W11" s="108">
        <v>38755</v>
      </c>
      <c r="X11" s="124" t="s">
        <v>6380</v>
      </c>
      <c r="Y11" s="23" t="s">
        <v>4265</v>
      </c>
    </row>
    <row r="12" spans="1:25" x14ac:dyDescent="0.3">
      <c r="A12" s="22">
        <v>11</v>
      </c>
      <c r="B12" s="22">
        <v>39</v>
      </c>
      <c r="C12" s="18" t="s">
        <v>60</v>
      </c>
      <c r="D12" s="21" t="s">
        <v>5790</v>
      </c>
      <c r="E12" s="21" t="s">
        <v>76</v>
      </c>
      <c r="F12" s="18" t="s">
        <v>77</v>
      </c>
      <c r="J12" s="23" t="s">
        <v>5205</v>
      </c>
      <c r="K12" s="23" t="s">
        <v>4266</v>
      </c>
      <c r="L12" s="23" t="s">
        <v>1617</v>
      </c>
      <c r="M12" s="23" t="s">
        <v>3086</v>
      </c>
      <c r="N12" s="22" t="s">
        <v>49</v>
      </c>
      <c r="P12" s="23" t="s">
        <v>49</v>
      </c>
      <c r="W12" s="108">
        <v>6150</v>
      </c>
      <c r="X12" s="124" t="s">
        <v>6493</v>
      </c>
    </row>
    <row r="13" spans="1:25" x14ac:dyDescent="0.3">
      <c r="A13" s="22">
        <v>12</v>
      </c>
      <c r="B13" s="22">
        <v>39</v>
      </c>
      <c r="C13" s="18" t="s">
        <v>60</v>
      </c>
      <c r="D13" s="21" t="s">
        <v>5790</v>
      </c>
      <c r="E13" s="21" t="s">
        <v>78</v>
      </c>
      <c r="F13" s="18" t="s">
        <v>79</v>
      </c>
      <c r="J13" s="23" t="s">
        <v>5206</v>
      </c>
      <c r="K13" s="23" t="s">
        <v>1618</v>
      </c>
      <c r="L13" s="23" t="s">
        <v>1619</v>
      </c>
      <c r="M13" s="23" t="s">
        <v>3081</v>
      </c>
      <c r="N13" s="22" t="s">
        <v>49</v>
      </c>
      <c r="P13" s="23" t="s">
        <v>49</v>
      </c>
      <c r="W13" s="108">
        <v>37220</v>
      </c>
      <c r="X13" s="124" t="s">
        <v>6381</v>
      </c>
    </row>
    <row r="14" spans="1:25" x14ac:dyDescent="0.3">
      <c r="A14" s="22">
        <v>13</v>
      </c>
      <c r="B14" s="22">
        <v>41</v>
      </c>
      <c r="C14" s="18" t="s">
        <v>60</v>
      </c>
      <c r="D14" s="21" t="s">
        <v>5790</v>
      </c>
      <c r="E14" s="21" t="s">
        <v>80</v>
      </c>
      <c r="F14" s="18" t="s">
        <v>81</v>
      </c>
      <c r="J14" s="23" t="s">
        <v>5207</v>
      </c>
      <c r="K14" s="23" t="s">
        <v>1620</v>
      </c>
      <c r="L14" s="23" t="s">
        <v>1621</v>
      </c>
      <c r="M14" s="23" t="s">
        <v>3081</v>
      </c>
      <c r="N14" s="22" t="s">
        <v>49</v>
      </c>
      <c r="P14" s="23" t="s">
        <v>49</v>
      </c>
      <c r="W14" s="108">
        <v>41608</v>
      </c>
      <c r="X14" s="124" t="s">
        <v>8547</v>
      </c>
    </row>
    <row r="15" spans="1:25" x14ac:dyDescent="0.3">
      <c r="A15" s="22">
        <v>14</v>
      </c>
      <c r="B15" s="22">
        <v>41</v>
      </c>
      <c r="C15" s="18" t="s">
        <v>60</v>
      </c>
      <c r="D15" s="21" t="s">
        <v>5790</v>
      </c>
      <c r="E15" s="21" t="s">
        <v>82</v>
      </c>
      <c r="F15" s="18" t="s">
        <v>83</v>
      </c>
      <c r="J15" s="23" t="s">
        <v>84</v>
      </c>
      <c r="K15" s="23" t="s">
        <v>1622</v>
      </c>
      <c r="M15" s="23" t="s">
        <v>3090</v>
      </c>
      <c r="N15" s="22" t="s">
        <v>89</v>
      </c>
      <c r="P15" s="23" t="s">
        <v>3019</v>
      </c>
    </row>
    <row r="16" spans="1:25" x14ac:dyDescent="0.3">
      <c r="A16" s="22">
        <v>15</v>
      </c>
      <c r="B16" s="22">
        <v>45</v>
      </c>
      <c r="C16" s="18" t="s">
        <v>60</v>
      </c>
      <c r="D16" s="21" t="s">
        <v>5790</v>
      </c>
      <c r="E16" s="21" t="s">
        <v>85</v>
      </c>
      <c r="F16" s="18" t="s">
        <v>86</v>
      </c>
      <c r="G16" s="23" t="s">
        <v>1612</v>
      </c>
      <c r="J16" s="23" t="s">
        <v>5208</v>
      </c>
      <c r="K16" s="23" t="s">
        <v>4267</v>
      </c>
      <c r="L16" s="23" t="s">
        <v>1623</v>
      </c>
      <c r="M16" s="23" t="s">
        <v>3081</v>
      </c>
      <c r="N16" s="22" t="s">
        <v>49</v>
      </c>
      <c r="P16" s="23" t="s">
        <v>49</v>
      </c>
      <c r="W16" s="108">
        <v>42378</v>
      </c>
      <c r="X16" s="124" t="s">
        <v>8548</v>
      </c>
    </row>
    <row r="17" spans="1:25" x14ac:dyDescent="0.3">
      <c r="A17" s="22">
        <v>16</v>
      </c>
      <c r="B17" s="22">
        <v>43</v>
      </c>
      <c r="C17" s="18" t="s">
        <v>60</v>
      </c>
      <c r="D17" s="21" t="s">
        <v>5790</v>
      </c>
      <c r="E17" s="21" t="s">
        <v>87</v>
      </c>
      <c r="F17" s="18" t="s">
        <v>88</v>
      </c>
      <c r="J17" s="23" t="s">
        <v>5209</v>
      </c>
      <c r="K17" s="23" t="s">
        <v>5210</v>
      </c>
      <c r="L17" s="23" t="s">
        <v>1624</v>
      </c>
      <c r="M17" s="23" t="s">
        <v>3093</v>
      </c>
      <c r="N17" s="22" t="s">
        <v>89</v>
      </c>
      <c r="T17" s="62" t="s">
        <v>5872</v>
      </c>
    </row>
    <row r="18" spans="1:25" x14ac:dyDescent="0.3">
      <c r="A18" s="22">
        <v>17</v>
      </c>
      <c r="B18" s="22">
        <v>43</v>
      </c>
      <c r="C18" s="18" t="s">
        <v>60</v>
      </c>
      <c r="D18" s="21" t="s">
        <v>5790</v>
      </c>
      <c r="E18" s="21" t="s">
        <v>90</v>
      </c>
      <c r="F18" s="18" t="s">
        <v>91</v>
      </c>
      <c r="J18" s="23" t="s">
        <v>5200</v>
      </c>
      <c r="K18" s="23" t="s">
        <v>1625</v>
      </c>
      <c r="L18" s="23" t="s">
        <v>1626</v>
      </c>
      <c r="M18" s="23" t="s">
        <v>3095</v>
      </c>
      <c r="N18" s="22" t="s">
        <v>89</v>
      </c>
      <c r="T18" s="62" t="s">
        <v>5873</v>
      </c>
    </row>
    <row r="19" spans="1:25" x14ac:dyDescent="0.3">
      <c r="A19" s="22">
        <v>18</v>
      </c>
      <c r="B19" s="22">
        <v>45</v>
      </c>
      <c r="C19" s="18" t="s">
        <v>60</v>
      </c>
      <c r="D19" s="21" t="s">
        <v>5790</v>
      </c>
      <c r="E19" s="21" t="s">
        <v>92</v>
      </c>
      <c r="F19" s="18" t="s">
        <v>93</v>
      </c>
      <c r="J19" s="23" t="s">
        <v>5200</v>
      </c>
      <c r="K19" s="23" t="s">
        <v>1627</v>
      </c>
      <c r="M19" s="23" t="s">
        <v>3097</v>
      </c>
      <c r="N19" s="22" t="s">
        <v>89</v>
      </c>
      <c r="T19" s="62" t="s">
        <v>5874</v>
      </c>
      <c r="W19" s="108">
        <v>28819</v>
      </c>
      <c r="X19" s="124" t="s">
        <v>6382</v>
      </c>
    </row>
    <row r="20" spans="1:25" x14ac:dyDescent="0.3">
      <c r="A20" s="22">
        <v>19</v>
      </c>
      <c r="B20" s="22">
        <v>45</v>
      </c>
      <c r="C20" s="18" t="s">
        <v>60</v>
      </c>
      <c r="D20" s="21" t="s">
        <v>5790</v>
      </c>
      <c r="E20" s="21" t="s">
        <v>94</v>
      </c>
      <c r="F20" s="18" t="s">
        <v>95</v>
      </c>
      <c r="G20" s="23" t="s">
        <v>1612</v>
      </c>
      <c r="J20" s="23" t="s">
        <v>5211</v>
      </c>
      <c r="K20" s="23" t="s">
        <v>4268</v>
      </c>
      <c r="L20" s="23" t="s">
        <v>1628</v>
      </c>
      <c r="M20" s="23" t="s">
        <v>3083</v>
      </c>
      <c r="N20" s="22" t="s">
        <v>49</v>
      </c>
      <c r="P20" s="23" t="s">
        <v>49</v>
      </c>
      <c r="Q20" s="22" t="s">
        <v>50</v>
      </c>
      <c r="W20" s="108">
        <v>42376</v>
      </c>
      <c r="X20" s="124" t="s">
        <v>8549</v>
      </c>
    </row>
    <row r="21" spans="1:25" x14ac:dyDescent="0.3">
      <c r="A21" s="22">
        <v>20</v>
      </c>
      <c r="B21" s="22">
        <v>45</v>
      </c>
      <c r="C21" s="18" t="s">
        <v>60</v>
      </c>
      <c r="D21" s="21" t="s">
        <v>5790</v>
      </c>
      <c r="E21" s="21" t="s">
        <v>96</v>
      </c>
      <c r="F21" s="18" t="s">
        <v>97</v>
      </c>
      <c r="J21" s="23" t="s">
        <v>5212</v>
      </c>
      <c r="K21" s="23" t="s">
        <v>4269</v>
      </c>
      <c r="L21" s="23" t="s">
        <v>1630</v>
      </c>
      <c r="M21" s="23" t="s">
        <v>3095</v>
      </c>
      <c r="N21" s="22" t="s">
        <v>89</v>
      </c>
      <c r="T21" s="62" t="s">
        <v>5875</v>
      </c>
    </row>
    <row r="22" spans="1:25" x14ac:dyDescent="0.3">
      <c r="A22" s="22">
        <v>21</v>
      </c>
      <c r="B22" s="22">
        <v>47</v>
      </c>
      <c r="C22" s="18" t="s">
        <v>60</v>
      </c>
      <c r="D22" s="21" t="s">
        <v>5790</v>
      </c>
      <c r="E22" s="21" t="s">
        <v>98</v>
      </c>
      <c r="F22" s="18" t="s">
        <v>99</v>
      </c>
      <c r="J22" s="23" t="s">
        <v>5213</v>
      </c>
      <c r="L22" s="23" t="s">
        <v>1631</v>
      </c>
      <c r="M22" s="23" t="s">
        <v>3101</v>
      </c>
      <c r="N22" s="22" t="s">
        <v>57</v>
      </c>
      <c r="O22" s="23" t="s">
        <v>1632</v>
      </c>
      <c r="Q22" s="22" t="s">
        <v>38</v>
      </c>
      <c r="R22" s="22" t="s">
        <v>58</v>
      </c>
    </row>
    <row r="23" spans="1:25" x14ac:dyDescent="0.3">
      <c r="A23" s="22">
        <v>22</v>
      </c>
      <c r="B23" s="22">
        <v>47</v>
      </c>
      <c r="C23" s="18" t="s">
        <v>60</v>
      </c>
      <c r="D23" s="21" t="s">
        <v>5790</v>
      </c>
      <c r="E23" s="21" t="s">
        <v>100</v>
      </c>
      <c r="F23" s="18" t="s">
        <v>101</v>
      </c>
      <c r="G23" s="23" t="s">
        <v>1635</v>
      </c>
      <c r="I23" s="23" t="s">
        <v>1636</v>
      </c>
      <c r="J23" s="23" t="s">
        <v>4270</v>
      </c>
      <c r="K23" s="23" t="s">
        <v>1633</v>
      </c>
      <c r="L23" s="23" t="s">
        <v>1634</v>
      </c>
      <c r="M23" s="23" t="s">
        <v>3103</v>
      </c>
      <c r="N23" s="22" t="s">
        <v>89</v>
      </c>
      <c r="W23" s="108">
        <v>1437</v>
      </c>
      <c r="X23" s="124" t="s">
        <v>6383</v>
      </c>
    </row>
    <row r="24" spans="1:25" x14ac:dyDescent="0.3">
      <c r="A24" s="22">
        <v>23</v>
      </c>
      <c r="B24" s="22">
        <v>47</v>
      </c>
      <c r="C24" s="18" t="s">
        <v>60</v>
      </c>
      <c r="D24" s="21" t="s">
        <v>5790</v>
      </c>
      <c r="E24" s="21" t="s">
        <v>102</v>
      </c>
      <c r="F24" s="18" t="s">
        <v>103</v>
      </c>
      <c r="J24" s="23" t="s">
        <v>5200</v>
      </c>
      <c r="K24" s="23" t="s">
        <v>4271</v>
      </c>
      <c r="M24" s="23" t="s">
        <v>3105</v>
      </c>
      <c r="N24" s="22" t="s">
        <v>89</v>
      </c>
      <c r="W24" s="108">
        <v>17729</v>
      </c>
      <c r="X24" s="124" t="s">
        <v>6384</v>
      </c>
    </row>
    <row r="25" spans="1:25" x14ac:dyDescent="0.3">
      <c r="A25" s="22">
        <v>24</v>
      </c>
      <c r="B25" s="22">
        <v>47</v>
      </c>
      <c r="C25" s="18" t="s">
        <v>60</v>
      </c>
      <c r="D25" s="21" t="s">
        <v>5790</v>
      </c>
      <c r="E25" s="21" t="s">
        <v>104</v>
      </c>
      <c r="F25" s="18" t="s">
        <v>105</v>
      </c>
      <c r="J25" s="23" t="s">
        <v>5200</v>
      </c>
      <c r="K25" s="23" t="s">
        <v>4272</v>
      </c>
      <c r="L25" s="23" t="s">
        <v>1637</v>
      </c>
      <c r="M25" s="23" t="s">
        <v>3107</v>
      </c>
      <c r="N25" s="22" t="s">
        <v>89</v>
      </c>
    </row>
    <row r="26" spans="1:25" x14ac:dyDescent="0.3">
      <c r="A26" s="22">
        <v>25</v>
      </c>
      <c r="B26" s="22">
        <v>49</v>
      </c>
      <c r="C26" s="18" t="s">
        <v>60</v>
      </c>
      <c r="D26" s="21" t="s">
        <v>5790</v>
      </c>
      <c r="E26" s="21" t="s">
        <v>106</v>
      </c>
      <c r="F26" s="18" t="s">
        <v>107</v>
      </c>
      <c r="G26" s="23" t="s">
        <v>1639</v>
      </c>
      <c r="H26" s="21" t="s">
        <v>1639</v>
      </c>
      <c r="J26" s="23" t="s">
        <v>5214</v>
      </c>
      <c r="K26" s="23" t="s">
        <v>4273</v>
      </c>
      <c r="M26" s="23" t="s">
        <v>3109</v>
      </c>
      <c r="N26" s="22" t="s">
        <v>89</v>
      </c>
      <c r="S26" s="22" t="s">
        <v>1638</v>
      </c>
      <c r="V26" s="107" t="s">
        <v>4274</v>
      </c>
      <c r="Y26" s="23" t="s">
        <v>4275</v>
      </c>
    </row>
    <row r="27" spans="1:25" x14ac:dyDescent="0.3">
      <c r="A27" s="22">
        <v>26</v>
      </c>
      <c r="B27" s="22">
        <v>41</v>
      </c>
      <c r="C27" s="18" t="s">
        <v>60</v>
      </c>
      <c r="D27" s="21" t="s">
        <v>5790</v>
      </c>
      <c r="E27" s="21" t="s">
        <v>108</v>
      </c>
      <c r="F27" s="18" t="s">
        <v>109</v>
      </c>
      <c r="J27" s="23" t="s">
        <v>5215</v>
      </c>
      <c r="K27" s="23" t="s">
        <v>4269</v>
      </c>
      <c r="L27" s="23" t="s">
        <v>1640</v>
      </c>
      <c r="M27" s="23" t="s">
        <v>3111</v>
      </c>
      <c r="N27" s="22" t="s">
        <v>89</v>
      </c>
      <c r="Q27" s="22" t="s">
        <v>38</v>
      </c>
    </row>
    <row r="28" spans="1:25" x14ac:dyDescent="0.3">
      <c r="A28" s="22">
        <v>27</v>
      </c>
      <c r="B28" s="22">
        <v>43</v>
      </c>
      <c r="C28" s="18" t="s">
        <v>60</v>
      </c>
      <c r="D28" s="21" t="s">
        <v>5790</v>
      </c>
      <c r="E28" s="21" t="s">
        <v>110</v>
      </c>
      <c r="F28" s="18" t="s">
        <v>111</v>
      </c>
      <c r="J28" s="23" t="s">
        <v>5216</v>
      </c>
      <c r="K28" s="23" t="s">
        <v>4276</v>
      </c>
      <c r="L28" s="23" t="s">
        <v>1641</v>
      </c>
      <c r="M28" s="23" t="s">
        <v>3083</v>
      </c>
      <c r="N28" s="22" t="s">
        <v>49</v>
      </c>
      <c r="P28" s="23" t="s">
        <v>49</v>
      </c>
      <c r="Q28" s="22" t="s">
        <v>112</v>
      </c>
      <c r="R28" s="22" t="s">
        <v>112</v>
      </c>
      <c r="W28" s="108">
        <v>28918</v>
      </c>
      <c r="X28" s="124" t="s">
        <v>6385</v>
      </c>
    </row>
    <row r="29" spans="1:25" x14ac:dyDescent="0.3">
      <c r="A29" s="22">
        <v>28</v>
      </c>
      <c r="B29" s="22">
        <v>41</v>
      </c>
      <c r="C29" s="18" t="s">
        <v>60</v>
      </c>
      <c r="D29" s="21" t="s">
        <v>5790</v>
      </c>
      <c r="E29" s="21" t="s">
        <v>113</v>
      </c>
      <c r="F29" s="18" t="s">
        <v>114</v>
      </c>
      <c r="G29" s="23" t="s">
        <v>1612</v>
      </c>
      <c r="J29" s="23" t="s">
        <v>5217</v>
      </c>
      <c r="K29" s="23" t="s">
        <v>1642</v>
      </c>
      <c r="L29" s="23" t="s">
        <v>1643</v>
      </c>
      <c r="M29" s="23" t="s">
        <v>3083</v>
      </c>
      <c r="N29" s="22" t="s">
        <v>49</v>
      </c>
      <c r="P29" s="23" t="s">
        <v>49</v>
      </c>
      <c r="Q29" s="22" t="s">
        <v>50</v>
      </c>
      <c r="W29" s="108">
        <v>43085</v>
      </c>
      <c r="X29" s="124" t="s">
        <v>6494</v>
      </c>
    </row>
    <row r="30" spans="1:25" x14ac:dyDescent="0.3">
      <c r="A30" s="22">
        <v>29</v>
      </c>
      <c r="B30" s="22">
        <v>43</v>
      </c>
      <c r="C30" s="18" t="s">
        <v>60</v>
      </c>
      <c r="D30" s="21" t="s">
        <v>5790</v>
      </c>
      <c r="E30" s="21" t="s">
        <v>115</v>
      </c>
      <c r="F30" s="18" t="s">
        <v>116</v>
      </c>
      <c r="J30" s="23" t="s">
        <v>5218</v>
      </c>
      <c r="K30" s="23" t="s">
        <v>4269</v>
      </c>
      <c r="L30" s="23" t="s">
        <v>1644</v>
      </c>
      <c r="M30" s="23" t="s">
        <v>3095</v>
      </c>
      <c r="N30" s="22" t="s">
        <v>89</v>
      </c>
    </row>
    <row r="31" spans="1:25" x14ac:dyDescent="0.3">
      <c r="A31" s="22">
        <v>30</v>
      </c>
      <c r="B31" s="22">
        <v>43</v>
      </c>
      <c r="C31" s="18" t="s">
        <v>60</v>
      </c>
      <c r="D31" s="21" t="s">
        <v>5790</v>
      </c>
      <c r="E31" s="21" t="s">
        <v>117</v>
      </c>
      <c r="F31" s="18" t="s">
        <v>118</v>
      </c>
      <c r="J31" s="23" t="s">
        <v>5219</v>
      </c>
      <c r="K31" s="23" t="s">
        <v>5220</v>
      </c>
      <c r="M31" s="23" t="s">
        <v>3083</v>
      </c>
      <c r="N31" s="22" t="s">
        <v>49</v>
      </c>
      <c r="P31" s="23" t="s">
        <v>49</v>
      </c>
      <c r="W31" s="108">
        <v>2497</v>
      </c>
      <c r="X31" s="124" t="s">
        <v>6495</v>
      </c>
    </row>
    <row r="32" spans="1:25" x14ac:dyDescent="0.3">
      <c r="A32" s="22">
        <v>31</v>
      </c>
      <c r="B32" s="22">
        <v>39</v>
      </c>
      <c r="C32" s="18" t="s">
        <v>60</v>
      </c>
      <c r="D32" s="21" t="s">
        <v>5790</v>
      </c>
      <c r="E32" s="21" t="s">
        <v>119</v>
      </c>
      <c r="F32" s="18" t="s">
        <v>120</v>
      </c>
      <c r="G32" s="23" t="s">
        <v>1612</v>
      </c>
      <c r="J32" s="23" t="s">
        <v>5221</v>
      </c>
      <c r="L32" s="23" t="s">
        <v>1645</v>
      </c>
      <c r="M32" s="23" t="s">
        <v>3078</v>
      </c>
      <c r="N32" s="22" t="s">
        <v>49</v>
      </c>
      <c r="P32" s="23" t="s">
        <v>49</v>
      </c>
      <c r="Q32" s="22" t="s">
        <v>58</v>
      </c>
      <c r="W32" s="108">
        <v>43117</v>
      </c>
      <c r="X32" s="124" t="s">
        <v>6386</v>
      </c>
    </row>
    <row r="33" spans="1:25" x14ac:dyDescent="0.3">
      <c r="A33" s="22">
        <v>32</v>
      </c>
      <c r="B33" s="22">
        <v>33</v>
      </c>
      <c r="C33" s="18" t="s">
        <v>34</v>
      </c>
      <c r="D33" s="21" t="s">
        <v>33</v>
      </c>
      <c r="E33" s="21" t="s">
        <v>35</v>
      </c>
      <c r="F33" s="18" t="s">
        <v>36</v>
      </c>
      <c r="G33" s="23" t="s">
        <v>1603</v>
      </c>
      <c r="I33" s="23" t="s">
        <v>1604</v>
      </c>
      <c r="J33" s="23" t="s">
        <v>5222</v>
      </c>
      <c r="M33" s="23" t="s">
        <v>3118</v>
      </c>
      <c r="N33" s="22" t="s">
        <v>37</v>
      </c>
      <c r="R33" s="22" t="s">
        <v>38</v>
      </c>
    </row>
    <row r="34" spans="1:25" x14ac:dyDescent="0.3">
      <c r="A34" s="22">
        <v>33</v>
      </c>
      <c r="B34" s="22">
        <v>35</v>
      </c>
      <c r="C34" s="18" t="s">
        <v>39</v>
      </c>
      <c r="D34" s="21" t="s">
        <v>5797</v>
      </c>
      <c r="E34" s="21" t="s">
        <v>44</v>
      </c>
      <c r="F34" s="18" t="s">
        <v>45</v>
      </c>
      <c r="J34" s="23" t="s">
        <v>5876</v>
      </c>
      <c r="M34" s="23" t="s">
        <v>3122</v>
      </c>
      <c r="N34" s="22" t="s">
        <v>42</v>
      </c>
      <c r="X34" s="124" t="s">
        <v>46</v>
      </c>
    </row>
    <row r="35" spans="1:25" x14ac:dyDescent="0.3">
      <c r="A35" s="22">
        <v>34</v>
      </c>
      <c r="B35" s="22">
        <v>33</v>
      </c>
      <c r="C35" s="18" t="s">
        <v>39</v>
      </c>
      <c r="D35" s="21" t="s">
        <v>5797</v>
      </c>
      <c r="E35" s="21" t="s">
        <v>55</v>
      </c>
      <c r="F35" s="18" t="s">
        <v>56</v>
      </c>
      <c r="J35" s="23" t="s">
        <v>5223</v>
      </c>
      <c r="L35" s="23" t="s">
        <v>1609</v>
      </c>
      <c r="M35" s="23" t="s">
        <v>3129</v>
      </c>
      <c r="N35" s="22" t="s">
        <v>57</v>
      </c>
      <c r="O35" s="23" t="s">
        <v>1610</v>
      </c>
      <c r="Q35" s="22" t="s">
        <v>38</v>
      </c>
      <c r="R35" s="22" t="s">
        <v>58</v>
      </c>
      <c r="T35" s="62" t="s">
        <v>5877</v>
      </c>
    </row>
    <row r="36" spans="1:25" x14ac:dyDescent="0.3">
      <c r="A36" s="22">
        <v>35</v>
      </c>
      <c r="B36" s="22">
        <v>35</v>
      </c>
      <c r="C36" s="18" t="s">
        <v>39</v>
      </c>
      <c r="D36" s="21" t="s">
        <v>5797</v>
      </c>
      <c r="E36" s="21" t="s">
        <v>53</v>
      </c>
      <c r="F36" s="18" t="s">
        <v>54</v>
      </c>
      <c r="J36" s="23" t="s">
        <v>4278</v>
      </c>
      <c r="M36" s="23" t="s">
        <v>3127</v>
      </c>
      <c r="N36" s="22" t="s">
        <v>37</v>
      </c>
      <c r="X36" s="124" t="s">
        <v>9</v>
      </c>
    </row>
    <row r="37" spans="1:25" x14ac:dyDescent="0.3">
      <c r="A37" s="22">
        <v>36</v>
      </c>
      <c r="B37" s="22">
        <v>35</v>
      </c>
      <c r="C37" s="18" t="s">
        <v>39</v>
      </c>
      <c r="D37" s="21" t="s">
        <v>5797</v>
      </c>
      <c r="E37" s="21" t="s">
        <v>40</v>
      </c>
      <c r="F37" s="18" t="s">
        <v>41</v>
      </c>
      <c r="J37" s="23" t="s">
        <v>4277</v>
      </c>
      <c r="M37" s="23" t="s">
        <v>3120</v>
      </c>
      <c r="N37" s="22" t="s">
        <v>42</v>
      </c>
      <c r="X37" s="124" t="s">
        <v>43</v>
      </c>
    </row>
    <row r="38" spans="1:25" x14ac:dyDescent="0.3">
      <c r="A38" s="22">
        <v>37</v>
      </c>
      <c r="B38" s="22">
        <v>35</v>
      </c>
      <c r="C38" s="18" t="s">
        <v>39</v>
      </c>
      <c r="D38" s="21" t="s">
        <v>5797</v>
      </c>
      <c r="E38" s="21" t="s">
        <v>51</v>
      </c>
      <c r="F38" s="18" t="s">
        <v>1608</v>
      </c>
      <c r="G38" s="23" t="s">
        <v>1606</v>
      </c>
      <c r="H38" s="21" t="s">
        <v>1606</v>
      </c>
      <c r="I38" s="23" t="s">
        <v>1607</v>
      </c>
      <c r="J38" s="23" t="s">
        <v>52</v>
      </c>
      <c r="M38" s="23" t="s">
        <v>3125</v>
      </c>
      <c r="N38" s="22" t="s">
        <v>37</v>
      </c>
      <c r="S38" s="22" t="s">
        <v>2142</v>
      </c>
      <c r="T38" s="62" t="s">
        <v>5878</v>
      </c>
      <c r="Y38" s="23" t="s">
        <v>5224</v>
      </c>
    </row>
    <row r="39" spans="1:25" x14ac:dyDescent="0.3">
      <c r="A39" s="22">
        <v>38</v>
      </c>
      <c r="B39" s="22">
        <v>33</v>
      </c>
      <c r="C39" s="18" t="s">
        <v>39</v>
      </c>
      <c r="D39" s="21" t="s">
        <v>5797</v>
      </c>
      <c r="E39" s="21" t="s">
        <v>47</v>
      </c>
      <c r="F39" s="18" t="s">
        <v>48</v>
      </c>
      <c r="J39" s="23" t="s">
        <v>5225</v>
      </c>
      <c r="K39" s="23" t="s">
        <v>1633</v>
      </c>
      <c r="L39" s="23" t="s">
        <v>1605</v>
      </c>
      <c r="M39" s="23" t="s">
        <v>3124</v>
      </c>
      <c r="N39" s="22" t="s">
        <v>49</v>
      </c>
      <c r="P39" s="23" t="s">
        <v>49</v>
      </c>
      <c r="Q39" s="22" t="s">
        <v>50</v>
      </c>
      <c r="W39" s="108">
        <v>11291</v>
      </c>
      <c r="X39" s="124" t="s">
        <v>6387</v>
      </c>
    </row>
    <row r="40" spans="1:25" x14ac:dyDescent="0.3">
      <c r="A40" s="22">
        <v>39</v>
      </c>
      <c r="B40" s="22">
        <v>73</v>
      </c>
      <c r="C40" s="18" t="s">
        <v>128</v>
      </c>
      <c r="D40" s="21" t="s">
        <v>127</v>
      </c>
      <c r="E40" s="21" t="s">
        <v>129</v>
      </c>
      <c r="F40" s="18" t="s">
        <v>130</v>
      </c>
      <c r="J40" s="23" t="s">
        <v>5226</v>
      </c>
      <c r="M40" s="23" t="s">
        <v>3136</v>
      </c>
      <c r="N40" s="22" t="s">
        <v>37</v>
      </c>
      <c r="T40" s="62" t="s">
        <v>5879</v>
      </c>
    </row>
    <row r="41" spans="1:25" x14ac:dyDescent="0.3">
      <c r="A41" s="22">
        <v>40</v>
      </c>
      <c r="B41" s="22">
        <v>73</v>
      </c>
      <c r="C41" s="18" t="s">
        <v>128</v>
      </c>
      <c r="D41" s="21" t="s">
        <v>127</v>
      </c>
      <c r="E41" s="21" t="s">
        <v>131</v>
      </c>
      <c r="F41" s="18" t="s">
        <v>132</v>
      </c>
      <c r="H41" s="21" t="s">
        <v>1651</v>
      </c>
      <c r="J41" s="23" t="s">
        <v>133</v>
      </c>
      <c r="K41" s="23" t="s">
        <v>5227</v>
      </c>
      <c r="M41" s="23" t="s">
        <v>3138</v>
      </c>
      <c r="N41" s="22" t="s">
        <v>89</v>
      </c>
      <c r="P41" s="23" t="s">
        <v>3019</v>
      </c>
      <c r="S41" s="22" t="s">
        <v>1648</v>
      </c>
      <c r="Y41" s="23" t="s">
        <v>1652</v>
      </c>
    </row>
    <row r="42" spans="1:25" x14ac:dyDescent="0.3">
      <c r="A42" s="22">
        <v>41</v>
      </c>
      <c r="B42" s="22">
        <v>73</v>
      </c>
      <c r="C42" s="18" t="s">
        <v>128</v>
      </c>
      <c r="D42" s="21" t="s">
        <v>127</v>
      </c>
      <c r="E42" s="21" t="s">
        <v>134</v>
      </c>
      <c r="F42" s="18" t="s">
        <v>135</v>
      </c>
      <c r="J42" s="23" t="s">
        <v>5228</v>
      </c>
      <c r="M42" s="23" t="s">
        <v>3140</v>
      </c>
      <c r="N42" s="22" t="s">
        <v>37</v>
      </c>
    </row>
    <row r="43" spans="1:25" x14ac:dyDescent="0.3">
      <c r="A43" s="22">
        <v>42</v>
      </c>
      <c r="B43" s="22">
        <v>73</v>
      </c>
      <c r="C43" s="18" t="s">
        <v>128</v>
      </c>
      <c r="D43" s="21" t="s">
        <v>127</v>
      </c>
      <c r="E43" s="21" t="s">
        <v>136</v>
      </c>
      <c r="F43" s="18" t="s">
        <v>137</v>
      </c>
      <c r="J43" s="23" t="s">
        <v>5229</v>
      </c>
      <c r="L43" s="23" t="s">
        <v>1653</v>
      </c>
      <c r="M43" s="23" t="s">
        <v>3142</v>
      </c>
      <c r="N43" s="22" t="s">
        <v>57</v>
      </c>
      <c r="O43" s="23" t="s">
        <v>1632</v>
      </c>
    </row>
    <row r="44" spans="1:25" x14ac:dyDescent="0.3">
      <c r="A44" s="22">
        <v>43</v>
      </c>
      <c r="B44" s="22">
        <v>75</v>
      </c>
      <c r="C44" s="18" t="s">
        <v>128</v>
      </c>
      <c r="D44" s="21" t="s">
        <v>127</v>
      </c>
      <c r="E44" s="21" t="s">
        <v>6497</v>
      </c>
      <c r="F44" s="18" t="s">
        <v>6498</v>
      </c>
      <c r="G44" s="23" t="s">
        <v>138</v>
      </c>
      <c r="I44" s="23" t="s">
        <v>138</v>
      </c>
      <c r="J44" s="23" t="s">
        <v>59</v>
      </c>
      <c r="M44" s="23" t="s">
        <v>3143</v>
      </c>
      <c r="N44" s="22" t="s">
        <v>37</v>
      </c>
      <c r="S44" s="22" t="s">
        <v>1648</v>
      </c>
      <c r="V44" s="107" t="s">
        <v>139</v>
      </c>
      <c r="Y44" s="23" t="s">
        <v>6627</v>
      </c>
    </row>
    <row r="45" spans="1:25" x14ac:dyDescent="0.3">
      <c r="A45" s="22">
        <v>44</v>
      </c>
      <c r="B45" s="22">
        <v>71</v>
      </c>
      <c r="C45" s="18" t="s">
        <v>122</v>
      </c>
      <c r="D45" s="21" t="s">
        <v>121</v>
      </c>
      <c r="E45" s="21" t="s">
        <v>123</v>
      </c>
      <c r="F45" s="18" t="s">
        <v>124</v>
      </c>
      <c r="J45" s="23" t="s">
        <v>5230</v>
      </c>
      <c r="M45" s="23" t="s">
        <v>3131</v>
      </c>
      <c r="N45" s="22" t="s">
        <v>57</v>
      </c>
      <c r="O45" s="23" t="s">
        <v>1632</v>
      </c>
    </row>
    <row r="46" spans="1:25" x14ac:dyDescent="0.3">
      <c r="A46" s="22">
        <v>45</v>
      </c>
      <c r="B46" s="22">
        <v>71</v>
      </c>
      <c r="C46" s="18" t="s">
        <v>122</v>
      </c>
      <c r="D46" s="21" t="s">
        <v>121</v>
      </c>
      <c r="E46" s="21" t="s">
        <v>125</v>
      </c>
      <c r="F46" s="18" t="s">
        <v>126</v>
      </c>
      <c r="G46" s="23" t="s">
        <v>1649</v>
      </c>
      <c r="I46" s="23" t="s">
        <v>3133</v>
      </c>
      <c r="J46" s="23" t="s">
        <v>5231</v>
      </c>
      <c r="L46" s="23" t="s">
        <v>1646</v>
      </c>
      <c r="M46" s="23" t="s">
        <v>3134</v>
      </c>
      <c r="N46" s="22" t="s">
        <v>57</v>
      </c>
      <c r="O46" s="23" t="s">
        <v>1647</v>
      </c>
      <c r="R46" s="22" t="s">
        <v>38</v>
      </c>
      <c r="S46" s="22" t="s">
        <v>1648</v>
      </c>
      <c r="V46" s="107" t="s">
        <v>4279</v>
      </c>
      <c r="Y46" s="23" t="s">
        <v>4280</v>
      </c>
    </row>
    <row r="47" spans="1:25" x14ac:dyDescent="0.3">
      <c r="A47" s="22">
        <v>46</v>
      </c>
      <c r="B47" s="22">
        <v>75</v>
      </c>
      <c r="C47" s="18" t="s">
        <v>141</v>
      </c>
      <c r="D47" s="21" t="s">
        <v>140</v>
      </c>
      <c r="E47" s="21" t="s">
        <v>142</v>
      </c>
      <c r="F47" s="18" t="s">
        <v>143</v>
      </c>
      <c r="H47" s="21" t="s">
        <v>1654</v>
      </c>
      <c r="J47" s="23" t="s">
        <v>5232</v>
      </c>
      <c r="M47" s="23" t="s">
        <v>3145</v>
      </c>
      <c r="N47" s="22" t="s">
        <v>37</v>
      </c>
      <c r="P47" s="23" t="s">
        <v>3019</v>
      </c>
    </row>
    <row r="48" spans="1:25" x14ac:dyDescent="0.3">
      <c r="A48" s="22">
        <v>47</v>
      </c>
      <c r="B48" s="22">
        <v>75</v>
      </c>
      <c r="C48" s="18" t="s">
        <v>141</v>
      </c>
      <c r="D48" s="21" t="s">
        <v>140</v>
      </c>
      <c r="E48" s="21" t="s">
        <v>144</v>
      </c>
      <c r="F48" s="18" t="s">
        <v>145</v>
      </c>
      <c r="J48" s="23" t="s">
        <v>4281</v>
      </c>
      <c r="M48" s="23" t="s">
        <v>3147</v>
      </c>
      <c r="N48" s="22" t="s">
        <v>37</v>
      </c>
    </row>
    <row r="49" spans="1:25" x14ac:dyDescent="0.3">
      <c r="A49" s="22">
        <v>48</v>
      </c>
      <c r="B49" s="22">
        <v>79</v>
      </c>
      <c r="C49" s="18" t="s">
        <v>147</v>
      </c>
      <c r="D49" s="21" t="s">
        <v>146</v>
      </c>
      <c r="E49" s="21" t="s">
        <v>148</v>
      </c>
      <c r="F49" s="18" t="s">
        <v>149</v>
      </c>
      <c r="G49" s="23" t="s">
        <v>1655</v>
      </c>
      <c r="H49" s="21" t="s">
        <v>1656</v>
      </c>
      <c r="I49" s="23" t="s">
        <v>3149</v>
      </c>
      <c r="J49" s="23" t="s">
        <v>59</v>
      </c>
      <c r="M49" s="23" t="s">
        <v>3150</v>
      </c>
      <c r="N49" s="22" t="s">
        <v>57</v>
      </c>
      <c r="O49" s="23" t="s">
        <v>1632</v>
      </c>
      <c r="S49" s="22" t="s">
        <v>1648</v>
      </c>
      <c r="T49" s="62" t="s">
        <v>3010</v>
      </c>
      <c r="V49" s="107" t="s">
        <v>4282</v>
      </c>
      <c r="Y49" s="23" t="s">
        <v>4283</v>
      </c>
    </row>
    <row r="50" spans="1:25" x14ac:dyDescent="0.3">
      <c r="A50" s="22">
        <v>49</v>
      </c>
      <c r="B50" s="22">
        <v>79</v>
      </c>
      <c r="C50" s="18" t="s">
        <v>147</v>
      </c>
      <c r="D50" s="21" t="s">
        <v>146</v>
      </c>
      <c r="E50" s="21" t="s">
        <v>150</v>
      </c>
      <c r="F50" s="18" t="s">
        <v>151</v>
      </c>
      <c r="G50" s="23" t="s">
        <v>1655</v>
      </c>
      <c r="I50" s="23" t="s">
        <v>3149</v>
      </c>
      <c r="J50" s="23" t="s">
        <v>59</v>
      </c>
      <c r="N50" s="22" t="s">
        <v>57</v>
      </c>
      <c r="O50" s="23" t="s">
        <v>1632</v>
      </c>
      <c r="S50" s="22" t="s">
        <v>1648</v>
      </c>
      <c r="V50" s="107" t="s">
        <v>4282</v>
      </c>
      <c r="Y50" s="23" t="s">
        <v>4284</v>
      </c>
    </row>
    <row r="51" spans="1:25" x14ac:dyDescent="0.3">
      <c r="A51" s="22">
        <v>50</v>
      </c>
      <c r="B51" s="22">
        <v>77</v>
      </c>
      <c r="C51" s="18" t="s">
        <v>147</v>
      </c>
      <c r="D51" s="21" t="s">
        <v>146</v>
      </c>
      <c r="E51" s="21" t="s">
        <v>152</v>
      </c>
      <c r="F51" s="18" t="s">
        <v>153</v>
      </c>
      <c r="J51" s="23" t="s">
        <v>59</v>
      </c>
      <c r="L51" s="23" t="s">
        <v>1657</v>
      </c>
      <c r="M51" s="23" t="s">
        <v>3153</v>
      </c>
      <c r="N51" s="22" t="s">
        <v>57</v>
      </c>
      <c r="O51" s="23" t="s">
        <v>1632</v>
      </c>
    </row>
    <row r="52" spans="1:25" x14ac:dyDescent="0.3">
      <c r="A52" s="22">
        <v>51</v>
      </c>
      <c r="B52" s="22">
        <v>81</v>
      </c>
      <c r="C52" s="18" t="s">
        <v>147</v>
      </c>
      <c r="D52" s="21" t="s">
        <v>146</v>
      </c>
      <c r="E52" s="21" t="s">
        <v>154</v>
      </c>
      <c r="F52" s="18" t="s">
        <v>155</v>
      </c>
      <c r="J52" s="23" t="s">
        <v>59</v>
      </c>
      <c r="L52" s="23" t="s">
        <v>1658</v>
      </c>
      <c r="M52" s="23" t="s">
        <v>3155</v>
      </c>
      <c r="N52" s="22" t="s">
        <v>57</v>
      </c>
      <c r="O52" s="23" t="s">
        <v>1632</v>
      </c>
      <c r="T52" s="62" t="s">
        <v>5880</v>
      </c>
    </row>
    <row r="53" spans="1:25" x14ac:dyDescent="0.3">
      <c r="A53" s="22">
        <v>52</v>
      </c>
      <c r="B53" s="22">
        <v>79</v>
      </c>
      <c r="C53" s="18" t="s">
        <v>147</v>
      </c>
      <c r="D53" s="21" t="s">
        <v>146</v>
      </c>
      <c r="E53" s="21" t="s">
        <v>156</v>
      </c>
      <c r="F53" s="18" t="s">
        <v>157</v>
      </c>
      <c r="J53" s="23" t="s">
        <v>5233</v>
      </c>
      <c r="M53" s="23" t="s">
        <v>3157</v>
      </c>
      <c r="N53" s="22" t="s">
        <v>57</v>
      </c>
      <c r="O53" s="23" t="s">
        <v>1632</v>
      </c>
      <c r="P53" s="23" t="s">
        <v>3017</v>
      </c>
      <c r="Q53" s="22" t="s">
        <v>158</v>
      </c>
      <c r="T53" s="62" t="s">
        <v>5881</v>
      </c>
    </row>
    <row r="54" spans="1:25" x14ac:dyDescent="0.3">
      <c r="A54" s="22">
        <v>53</v>
      </c>
      <c r="B54" s="22">
        <v>81</v>
      </c>
      <c r="C54" s="18" t="s">
        <v>147</v>
      </c>
      <c r="D54" s="21" t="s">
        <v>146</v>
      </c>
      <c r="E54" s="21" t="s">
        <v>159</v>
      </c>
      <c r="F54" s="18" t="s">
        <v>160</v>
      </c>
      <c r="J54" s="23" t="s">
        <v>4285</v>
      </c>
      <c r="M54" s="23" t="s">
        <v>3159</v>
      </c>
      <c r="N54" s="22" t="s">
        <v>63</v>
      </c>
      <c r="P54" s="23" t="s">
        <v>3019</v>
      </c>
      <c r="T54" s="62" t="s">
        <v>5882</v>
      </c>
    </row>
    <row r="55" spans="1:25" ht="30.6" x14ac:dyDescent="0.3">
      <c r="A55" s="22">
        <v>54</v>
      </c>
      <c r="C55" s="18" t="s">
        <v>147</v>
      </c>
      <c r="D55" s="21" t="s">
        <v>146</v>
      </c>
      <c r="E55" s="21" t="s">
        <v>161</v>
      </c>
      <c r="F55" s="18" t="s">
        <v>162</v>
      </c>
      <c r="G55" s="23" t="s">
        <v>1659</v>
      </c>
      <c r="J55" s="23" t="s">
        <v>5234</v>
      </c>
      <c r="M55" s="109" t="s">
        <v>3162</v>
      </c>
      <c r="N55" s="22" t="s">
        <v>57</v>
      </c>
      <c r="O55" s="23" t="s">
        <v>1632</v>
      </c>
      <c r="S55" s="22" t="s">
        <v>1648</v>
      </c>
      <c r="Y55" s="23" t="s">
        <v>4286</v>
      </c>
    </row>
    <row r="56" spans="1:25" x14ac:dyDescent="0.3">
      <c r="A56" s="22">
        <v>55</v>
      </c>
      <c r="B56" s="22">
        <v>79</v>
      </c>
      <c r="C56" s="18" t="s">
        <v>147</v>
      </c>
      <c r="D56" s="21" t="s">
        <v>146</v>
      </c>
      <c r="E56" s="21" t="s">
        <v>163</v>
      </c>
      <c r="F56" s="18" t="s">
        <v>164</v>
      </c>
      <c r="J56" s="23" t="s">
        <v>4287</v>
      </c>
      <c r="M56" s="23" t="s">
        <v>3164</v>
      </c>
      <c r="N56" s="22" t="s">
        <v>63</v>
      </c>
      <c r="P56" s="23" t="s">
        <v>3019</v>
      </c>
      <c r="T56" s="62" t="s">
        <v>5883</v>
      </c>
    </row>
    <row r="57" spans="1:25" x14ac:dyDescent="0.3">
      <c r="A57" s="22">
        <v>56</v>
      </c>
      <c r="B57" s="22">
        <v>81</v>
      </c>
      <c r="C57" s="18" t="s">
        <v>147</v>
      </c>
      <c r="D57" s="21" t="s">
        <v>146</v>
      </c>
      <c r="E57" s="21" t="s">
        <v>165</v>
      </c>
      <c r="F57" s="18" t="s">
        <v>166</v>
      </c>
      <c r="G57" s="23" t="s">
        <v>1660</v>
      </c>
      <c r="J57" s="23" t="s">
        <v>5235</v>
      </c>
      <c r="M57" s="23" t="s">
        <v>3166</v>
      </c>
      <c r="N57" s="22" t="s">
        <v>37</v>
      </c>
      <c r="V57" s="107" t="s">
        <v>4288</v>
      </c>
    </row>
    <row r="58" spans="1:25" x14ac:dyDescent="0.3">
      <c r="A58" s="22">
        <v>57</v>
      </c>
      <c r="B58" s="22">
        <v>77</v>
      </c>
      <c r="C58" s="18" t="s">
        <v>147</v>
      </c>
      <c r="D58" s="21" t="s">
        <v>146</v>
      </c>
      <c r="E58" s="21" t="s">
        <v>1663</v>
      </c>
      <c r="F58" s="18" t="s">
        <v>167</v>
      </c>
      <c r="G58" s="23" t="s">
        <v>1662</v>
      </c>
      <c r="J58" s="23" t="s">
        <v>5236</v>
      </c>
      <c r="L58" s="23" t="s">
        <v>1661</v>
      </c>
      <c r="M58" s="23" t="s">
        <v>3168</v>
      </c>
      <c r="N58" s="22" t="s">
        <v>57</v>
      </c>
      <c r="O58" s="23" t="s">
        <v>1632</v>
      </c>
      <c r="Q58" s="22" t="s">
        <v>50</v>
      </c>
      <c r="R58" s="22" t="s">
        <v>38</v>
      </c>
      <c r="S58" s="22" t="s">
        <v>1615</v>
      </c>
      <c r="Y58" s="23" t="s">
        <v>6628</v>
      </c>
    </row>
    <row r="59" spans="1:25" x14ac:dyDescent="0.3">
      <c r="A59" s="22">
        <v>58</v>
      </c>
      <c r="B59" s="22">
        <v>77</v>
      </c>
      <c r="C59" s="18" t="s">
        <v>147</v>
      </c>
      <c r="D59" s="21" t="s">
        <v>146</v>
      </c>
      <c r="E59" s="21" t="s">
        <v>168</v>
      </c>
      <c r="F59" s="18" t="s">
        <v>169</v>
      </c>
      <c r="G59" s="23" t="s">
        <v>1612</v>
      </c>
      <c r="J59" s="23" t="s">
        <v>5237</v>
      </c>
      <c r="K59" s="23" t="s">
        <v>1622</v>
      </c>
      <c r="M59" s="23" t="s">
        <v>3170</v>
      </c>
      <c r="N59" s="22" t="s">
        <v>49</v>
      </c>
      <c r="P59" s="23" t="s">
        <v>49</v>
      </c>
      <c r="W59" s="108">
        <v>39917</v>
      </c>
      <c r="X59" s="124" t="s">
        <v>6499</v>
      </c>
    </row>
    <row r="60" spans="1:25" x14ac:dyDescent="0.3">
      <c r="A60" s="22">
        <v>59</v>
      </c>
      <c r="B60" s="22">
        <v>77</v>
      </c>
      <c r="C60" s="18" t="s">
        <v>147</v>
      </c>
      <c r="D60" s="21" t="s">
        <v>146</v>
      </c>
      <c r="E60" s="21" t="s">
        <v>170</v>
      </c>
      <c r="F60" s="18" t="s">
        <v>171</v>
      </c>
      <c r="J60" s="23" t="s">
        <v>84</v>
      </c>
      <c r="M60" s="23" t="s">
        <v>3172</v>
      </c>
      <c r="N60" s="22" t="s">
        <v>37</v>
      </c>
    </row>
    <row r="61" spans="1:25" x14ac:dyDescent="0.3">
      <c r="A61" s="22">
        <v>60</v>
      </c>
      <c r="B61" s="22">
        <v>77</v>
      </c>
      <c r="C61" s="18" t="s">
        <v>147</v>
      </c>
      <c r="D61" s="21" t="s">
        <v>146</v>
      </c>
      <c r="E61" s="21" t="s">
        <v>172</v>
      </c>
      <c r="F61" s="18" t="s">
        <v>173</v>
      </c>
      <c r="J61" s="23" t="s">
        <v>5238</v>
      </c>
      <c r="L61" s="23" t="s">
        <v>1664</v>
      </c>
      <c r="M61" s="23" t="s">
        <v>3174</v>
      </c>
      <c r="N61" s="22" t="s">
        <v>37</v>
      </c>
    </row>
    <row r="62" spans="1:25" x14ac:dyDescent="0.3">
      <c r="A62" s="22">
        <v>61</v>
      </c>
      <c r="B62" s="22">
        <v>81</v>
      </c>
      <c r="C62" s="18" t="s">
        <v>147</v>
      </c>
      <c r="D62" s="21" t="s">
        <v>146</v>
      </c>
      <c r="E62" s="21" t="s">
        <v>174</v>
      </c>
      <c r="F62" s="18" t="s">
        <v>175</v>
      </c>
      <c r="J62" s="23" t="s">
        <v>84</v>
      </c>
      <c r="M62" s="23" t="s">
        <v>3176</v>
      </c>
      <c r="N62" s="22" t="s">
        <v>37</v>
      </c>
    </row>
    <row r="63" spans="1:25" x14ac:dyDescent="0.3">
      <c r="A63" s="22">
        <v>62</v>
      </c>
      <c r="B63" s="22">
        <v>81</v>
      </c>
      <c r="C63" s="18" t="s">
        <v>147</v>
      </c>
      <c r="D63" s="21" t="s">
        <v>146</v>
      </c>
      <c r="E63" s="21" t="s">
        <v>176</v>
      </c>
      <c r="F63" s="18" t="s">
        <v>177</v>
      </c>
      <c r="G63" s="23" t="s">
        <v>1666</v>
      </c>
      <c r="J63" s="23" t="s">
        <v>5239</v>
      </c>
      <c r="K63" s="23" t="s">
        <v>1665</v>
      </c>
      <c r="M63" s="23" t="s">
        <v>3178</v>
      </c>
      <c r="N63" s="22" t="s">
        <v>695</v>
      </c>
      <c r="S63" s="22" t="s">
        <v>1615</v>
      </c>
      <c r="V63" s="107" t="s">
        <v>4289</v>
      </c>
      <c r="X63" s="124" t="s">
        <v>9</v>
      </c>
      <c r="Y63" s="23" t="s">
        <v>4290</v>
      </c>
    </row>
    <row r="64" spans="1:25" x14ac:dyDescent="0.3">
      <c r="A64" s="22">
        <v>63</v>
      </c>
      <c r="B64" s="22">
        <v>83</v>
      </c>
      <c r="C64" s="18" t="s">
        <v>147</v>
      </c>
      <c r="D64" s="21" t="s">
        <v>146</v>
      </c>
      <c r="E64" s="21" t="s">
        <v>179</v>
      </c>
      <c r="F64" s="18" t="s">
        <v>180</v>
      </c>
      <c r="J64" s="23" t="s">
        <v>181</v>
      </c>
      <c r="M64" s="23" t="s">
        <v>3180</v>
      </c>
      <c r="N64" s="22" t="s">
        <v>37</v>
      </c>
    </row>
    <row r="65" spans="1:25" x14ac:dyDescent="0.3">
      <c r="A65" s="22">
        <v>64</v>
      </c>
      <c r="B65" s="22">
        <v>83</v>
      </c>
      <c r="C65" s="18" t="s">
        <v>183</v>
      </c>
      <c r="D65" s="21" t="s">
        <v>182</v>
      </c>
      <c r="E65" s="21" t="s">
        <v>184</v>
      </c>
      <c r="F65" s="18" t="s">
        <v>185</v>
      </c>
      <c r="J65" s="23" t="s">
        <v>5240</v>
      </c>
      <c r="L65" s="23" t="s">
        <v>1667</v>
      </c>
      <c r="M65" s="23" t="s">
        <v>3182</v>
      </c>
      <c r="N65" s="22" t="s">
        <v>57</v>
      </c>
      <c r="O65" s="23" t="s">
        <v>1668</v>
      </c>
      <c r="Q65" s="22" t="s">
        <v>50</v>
      </c>
      <c r="R65" s="22" t="s">
        <v>186</v>
      </c>
    </row>
    <row r="66" spans="1:25" x14ac:dyDescent="0.3">
      <c r="A66" s="22">
        <v>65</v>
      </c>
      <c r="B66" s="22">
        <v>83</v>
      </c>
      <c r="C66" s="18" t="s">
        <v>183</v>
      </c>
      <c r="D66" s="21" t="s">
        <v>182</v>
      </c>
      <c r="E66" s="21" t="s">
        <v>187</v>
      </c>
      <c r="F66" s="18" t="s">
        <v>188</v>
      </c>
      <c r="J66" s="23" t="s">
        <v>5241</v>
      </c>
      <c r="L66" s="23" t="s">
        <v>6629</v>
      </c>
      <c r="M66" s="23" t="s">
        <v>3184</v>
      </c>
      <c r="N66" s="22" t="s">
        <v>57</v>
      </c>
      <c r="O66" s="23" t="s">
        <v>1669</v>
      </c>
      <c r="S66" s="22" t="s">
        <v>1638</v>
      </c>
      <c r="Y66" s="23" t="s">
        <v>4291</v>
      </c>
    </row>
    <row r="67" spans="1:25" x14ac:dyDescent="0.3">
      <c r="A67" s="22">
        <v>66</v>
      </c>
      <c r="B67" s="22">
        <v>83</v>
      </c>
      <c r="C67" s="18" t="s">
        <v>183</v>
      </c>
      <c r="D67" s="21" t="s">
        <v>182</v>
      </c>
      <c r="E67" s="21" t="s">
        <v>189</v>
      </c>
      <c r="F67" s="18" t="s">
        <v>190</v>
      </c>
      <c r="J67" s="23" t="s">
        <v>4383</v>
      </c>
      <c r="L67" s="23" t="s">
        <v>1670</v>
      </c>
      <c r="M67" s="23" t="s">
        <v>3186</v>
      </c>
      <c r="N67" s="22" t="s">
        <v>57</v>
      </c>
      <c r="O67" s="23" t="s">
        <v>1671</v>
      </c>
      <c r="P67" s="23" t="s">
        <v>3027</v>
      </c>
      <c r="Q67" s="22" t="s">
        <v>112</v>
      </c>
      <c r="R67" s="22" t="s">
        <v>112</v>
      </c>
    </row>
    <row r="68" spans="1:25" x14ac:dyDescent="0.3">
      <c r="A68" s="22">
        <v>67</v>
      </c>
      <c r="B68" s="22">
        <v>83</v>
      </c>
      <c r="C68" s="18" t="s">
        <v>183</v>
      </c>
      <c r="D68" s="21" t="s">
        <v>182</v>
      </c>
      <c r="E68" s="21" t="s">
        <v>191</v>
      </c>
      <c r="F68" s="18" t="s">
        <v>192</v>
      </c>
      <c r="J68" s="23" t="s">
        <v>5242</v>
      </c>
      <c r="M68" s="23" t="s">
        <v>3188</v>
      </c>
      <c r="N68" s="22" t="s">
        <v>37</v>
      </c>
    </row>
    <row r="69" spans="1:25" x14ac:dyDescent="0.3">
      <c r="A69" s="22">
        <v>68</v>
      </c>
      <c r="B69" s="22">
        <v>85</v>
      </c>
      <c r="C69" s="18" t="s">
        <v>183</v>
      </c>
      <c r="D69" s="21" t="s">
        <v>182</v>
      </c>
      <c r="E69" s="21" t="s">
        <v>193</v>
      </c>
      <c r="F69" s="18" t="s">
        <v>194</v>
      </c>
      <c r="J69" s="23" t="s">
        <v>5243</v>
      </c>
      <c r="M69" s="23" t="s">
        <v>3190</v>
      </c>
      <c r="N69" s="22" t="s">
        <v>57</v>
      </c>
      <c r="O69" s="23" t="s">
        <v>1632</v>
      </c>
    </row>
    <row r="70" spans="1:25" x14ac:dyDescent="0.3">
      <c r="A70" s="22">
        <v>69</v>
      </c>
      <c r="B70" s="22">
        <v>85</v>
      </c>
      <c r="C70" s="18" t="s">
        <v>183</v>
      </c>
      <c r="D70" s="21" t="s">
        <v>182</v>
      </c>
      <c r="E70" s="21" t="s">
        <v>195</v>
      </c>
      <c r="F70" s="18" t="s">
        <v>196</v>
      </c>
      <c r="J70" s="23" t="s">
        <v>52</v>
      </c>
      <c r="M70" s="23" t="s">
        <v>3150</v>
      </c>
      <c r="N70" s="22" t="s">
        <v>37</v>
      </c>
    </row>
    <row r="71" spans="1:25" x14ac:dyDescent="0.3">
      <c r="A71" s="22">
        <v>70</v>
      </c>
      <c r="B71" s="22">
        <v>85</v>
      </c>
      <c r="C71" s="18" t="s">
        <v>183</v>
      </c>
      <c r="D71" s="21" t="s">
        <v>182</v>
      </c>
      <c r="E71" s="21" t="s">
        <v>197</v>
      </c>
      <c r="F71" s="18" t="s">
        <v>198</v>
      </c>
      <c r="J71" s="23" t="s">
        <v>5244</v>
      </c>
      <c r="M71" s="23" t="s">
        <v>3193</v>
      </c>
      <c r="N71" s="22" t="s">
        <v>37</v>
      </c>
      <c r="X71" s="124" t="s">
        <v>9</v>
      </c>
    </row>
    <row r="72" spans="1:25" x14ac:dyDescent="0.3">
      <c r="A72" s="22">
        <v>71</v>
      </c>
      <c r="B72" s="22">
        <v>85</v>
      </c>
      <c r="C72" s="18" t="s">
        <v>183</v>
      </c>
      <c r="D72" s="21" t="s">
        <v>182</v>
      </c>
      <c r="E72" s="21" t="s">
        <v>199</v>
      </c>
      <c r="F72" s="18" t="s">
        <v>200</v>
      </c>
      <c r="G72" s="23" t="s">
        <v>1672</v>
      </c>
      <c r="H72" s="21" t="s">
        <v>1672</v>
      </c>
      <c r="I72" s="23" t="s">
        <v>1672</v>
      </c>
      <c r="J72" s="23" t="s">
        <v>5245</v>
      </c>
      <c r="M72" s="23" t="s">
        <v>3195</v>
      </c>
      <c r="N72" s="22" t="s">
        <v>57</v>
      </c>
      <c r="O72" s="23" t="s">
        <v>1668</v>
      </c>
      <c r="T72" s="62" t="s">
        <v>5884</v>
      </c>
    </row>
    <row r="73" spans="1:25" x14ac:dyDescent="0.3">
      <c r="A73" s="22">
        <v>72</v>
      </c>
      <c r="B73" s="22">
        <v>87</v>
      </c>
      <c r="C73" s="18" t="s">
        <v>183</v>
      </c>
      <c r="D73" s="21" t="s">
        <v>182</v>
      </c>
      <c r="E73" s="21" t="s">
        <v>201</v>
      </c>
      <c r="F73" s="18" t="s">
        <v>202</v>
      </c>
      <c r="J73" s="23" t="s">
        <v>5245</v>
      </c>
      <c r="L73" s="23" t="s">
        <v>1673</v>
      </c>
      <c r="M73" s="23" t="s">
        <v>3195</v>
      </c>
      <c r="N73" s="22" t="s">
        <v>57</v>
      </c>
      <c r="O73" s="23" t="s">
        <v>1668</v>
      </c>
      <c r="T73" s="62" t="s">
        <v>5885</v>
      </c>
      <c r="V73" s="107" t="s">
        <v>1674</v>
      </c>
    </row>
    <row r="74" spans="1:25" x14ac:dyDescent="0.3">
      <c r="A74" s="22">
        <v>73</v>
      </c>
      <c r="B74" s="22">
        <v>87</v>
      </c>
      <c r="C74" s="18" t="s">
        <v>183</v>
      </c>
      <c r="D74" s="21" t="s">
        <v>182</v>
      </c>
      <c r="E74" s="21" t="s">
        <v>203</v>
      </c>
      <c r="F74" s="18" t="s">
        <v>204</v>
      </c>
      <c r="J74" s="23" t="s">
        <v>5246</v>
      </c>
      <c r="K74" s="23" t="s">
        <v>5247</v>
      </c>
      <c r="L74" s="23" t="s">
        <v>1675</v>
      </c>
      <c r="M74" s="23" t="s">
        <v>3198</v>
      </c>
      <c r="N74" s="22" t="s">
        <v>89</v>
      </c>
    </row>
    <row r="75" spans="1:25" x14ac:dyDescent="0.3">
      <c r="A75" s="22">
        <v>74</v>
      </c>
      <c r="B75" s="22">
        <v>87</v>
      </c>
      <c r="C75" s="18" t="s">
        <v>183</v>
      </c>
      <c r="D75" s="21" t="s">
        <v>182</v>
      </c>
      <c r="E75" s="21" t="s">
        <v>205</v>
      </c>
      <c r="F75" s="18" t="s">
        <v>206</v>
      </c>
      <c r="G75" s="23" t="s">
        <v>1612</v>
      </c>
      <c r="H75" s="21" t="s">
        <v>1676</v>
      </c>
      <c r="J75" s="23" t="s">
        <v>207</v>
      </c>
      <c r="M75" s="23" t="s">
        <v>3200</v>
      </c>
      <c r="N75" s="22" t="s">
        <v>49</v>
      </c>
      <c r="P75" s="23" t="s">
        <v>49</v>
      </c>
      <c r="W75" s="108">
        <v>38128</v>
      </c>
      <c r="X75" s="124" t="s">
        <v>6388</v>
      </c>
    </row>
    <row r="76" spans="1:25" x14ac:dyDescent="0.3">
      <c r="A76" s="22">
        <v>75</v>
      </c>
      <c r="B76" s="22">
        <v>87</v>
      </c>
      <c r="C76" s="18" t="s">
        <v>183</v>
      </c>
      <c r="D76" s="21" t="s">
        <v>182</v>
      </c>
      <c r="E76" s="21" t="s">
        <v>208</v>
      </c>
      <c r="F76" s="18" t="s">
        <v>209</v>
      </c>
      <c r="G76" s="23" t="s">
        <v>1677</v>
      </c>
      <c r="I76" s="23" t="s">
        <v>1678</v>
      </c>
      <c r="J76" s="23" t="s">
        <v>4292</v>
      </c>
      <c r="M76" s="23" t="s">
        <v>3143</v>
      </c>
      <c r="N76" s="22" t="s">
        <v>37</v>
      </c>
      <c r="T76" s="62" t="s">
        <v>5886</v>
      </c>
    </row>
    <row r="77" spans="1:25" x14ac:dyDescent="0.3">
      <c r="A77" s="22">
        <v>76</v>
      </c>
      <c r="B77" s="22">
        <v>87</v>
      </c>
      <c r="C77" s="18" t="s">
        <v>183</v>
      </c>
      <c r="D77" s="21" t="s">
        <v>182</v>
      </c>
      <c r="E77" s="21" t="s">
        <v>211</v>
      </c>
      <c r="F77" s="18" t="s">
        <v>212</v>
      </c>
      <c r="G77" s="23" t="s">
        <v>1612</v>
      </c>
      <c r="J77" s="23" t="s">
        <v>5248</v>
      </c>
      <c r="M77" s="23" t="s">
        <v>3203</v>
      </c>
      <c r="N77" s="22" t="s">
        <v>49</v>
      </c>
      <c r="P77" s="23" t="s">
        <v>49</v>
      </c>
      <c r="W77" s="108">
        <v>40593</v>
      </c>
      <c r="X77" s="124" t="s">
        <v>6389</v>
      </c>
    </row>
    <row r="78" spans="1:25" x14ac:dyDescent="0.3">
      <c r="A78" s="22">
        <v>77</v>
      </c>
      <c r="B78" s="22">
        <v>89</v>
      </c>
      <c r="C78" s="18" t="s">
        <v>183</v>
      </c>
      <c r="D78" s="21" t="s">
        <v>182</v>
      </c>
      <c r="E78" s="21" t="s">
        <v>214</v>
      </c>
      <c r="F78" s="18" t="s">
        <v>215</v>
      </c>
      <c r="J78" s="23" t="s">
        <v>5249</v>
      </c>
      <c r="M78" s="23" t="s">
        <v>3205</v>
      </c>
      <c r="N78" s="22" t="s">
        <v>37</v>
      </c>
    </row>
    <row r="79" spans="1:25" x14ac:dyDescent="0.3">
      <c r="A79" s="22">
        <v>78</v>
      </c>
      <c r="B79" s="22">
        <v>89</v>
      </c>
      <c r="C79" s="18" t="s">
        <v>183</v>
      </c>
      <c r="D79" s="21" t="s">
        <v>182</v>
      </c>
      <c r="E79" s="21" t="s">
        <v>216</v>
      </c>
      <c r="F79" s="18" t="s">
        <v>217</v>
      </c>
      <c r="G79" s="23" t="s">
        <v>1680</v>
      </c>
      <c r="J79" s="23" t="s">
        <v>5250</v>
      </c>
      <c r="M79" s="23" t="s">
        <v>3207</v>
      </c>
      <c r="N79" s="22" t="s">
        <v>37</v>
      </c>
      <c r="S79" s="22" t="s">
        <v>1679</v>
      </c>
      <c r="V79" s="107" t="s">
        <v>1681</v>
      </c>
      <c r="X79" s="124" t="s">
        <v>9</v>
      </c>
      <c r="Y79" s="23" t="s">
        <v>4293</v>
      </c>
    </row>
    <row r="80" spans="1:25" x14ac:dyDescent="0.3">
      <c r="A80" s="22">
        <v>79</v>
      </c>
      <c r="B80" s="22">
        <v>89</v>
      </c>
      <c r="C80" s="18" t="s">
        <v>183</v>
      </c>
      <c r="D80" s="21" t="s">
        <v>182</v>
      </c>
      <c r="E80" s="21" t="s">
        <v>218</v>
      </c>
      <c r="F80" s="18" t="s">
        <v>219</v>
      </c>
      <c r="J80" s="23" t="s">
        <v>5251</v>
      </c>
      <c r="M80" s="23" t="s">
        <v>3209</v>
      </c>
      <c r="N80" s="22" t="s">
        <v>695</v>
      </c>
    </row>
    <row r="81" spans="1:25" x14ac:dyDescent="0.3">
      <c r="A81" s="22">
        <v>80</v>
      </c>
      <c r="B81" s="22">
        <v>89</v>
      </c>
      <c r="C81" s="18" t="s">
        <v>183</v>
      </c>
      <c r="D81" s="21" t="s">
        <v>182</v>
      </c>
      <c r="E81" s="21" t="s">
        <v>220</v>
      </c>
      <c r="F81" s="18" t="s">
        <v>221</v>
      </c>
      <c r="J81" s="23" t="s">
        <v>5252</v>
      </c>
      <c r="M81" s="23" t="s">
        <v>3150</v>
      </c>
      <c r="N81" s="22" t="s">
        <v>37</v>
      </c>
    </row>
    <row r="82" spans="1:25" x14ac:dyDescent="0.3">
      <c r="A82" s="22">
        <v>81</v>
      </c>
      <c r="B82" s="22">
        <v>91</v>
      </c>
      <c r="C82" s="18" t="s">
        <v>183</v>
      </c>
      <c r="D82" s="21" t="s">
        <v>182</v>
      </c>
      <c r="E82" s="21" t="s">
        <v>222</v>
      </c>
      <c r="F82" s="18" t="s">
        <v>223</v>
      </c>
      <c r="G82" s="23" t="s">
        <v>1682</v>
      </c>
      <c r="J82" s="23" t="s">
        <v>5253</v>
      </c>
      <c r="M82" s="23" t="s">
        <v>3150</v>
      </c>
      <c r="N82" s="22" t="s">
        <v>37</v>
      </c>
      <c r="S82" s="22" t="s">
        <v>1679</v>
      </c>
      <c r="V82" s="107" t="s">
        <v>4294</v>
      </c>
      <c r="Y82" s="23" t="s">
        <v>6630</v>
      </c>
    </row>
    <row r="83" spans="1:25" x14ac:dyDescent="0.3">
      <c r="A83" s="22">
        <v>82</v>
      </c>
      <c r="B83" s="22">
        <v>91</v>
      </c>
      <c r="C83" s="18" t="s">
        <v>183</v>
      </c>
      <c r="D83" s="21" t="s">
        <v>182</v>
      </c>
      <c r="E83" s="21" t="s">
        <v>224</v>
      </c>
      <c r="F83" s="18" t="s">
        <v>225</v>
      </c>
      <c r="G83" s="23" t="s">
        <v>1683</v>
      </c>
      <c r="J83" s="23" t="s">
        <v>5229</v>
      </c>
      <c r="M83" s="23" t="s">
        <v>3213</v>
      </c>
      <c r="N83" s="22" t="s">
        <v>57</v>
      </c>
      <c r="O83" s="23" t="s">
        <v>1632</v>
      </c>
      <c r="S83" s="22" t="s">
        <v>1648</v>
      </c>
      <c r="Y83" s="23" t="s">
        <v>4295</v>
      </c>
    </row>
    <row r="84" spans="1:25" x14ac:dyDescent="0.3">
      <c r="A84" s="22">
        <v>83</v>
      </c>
      <c r="B84" s="22">
        <v>91</v>
      </c>
      <c r="C84" s="18" t="s">
        <v>183</v>
      </c>
      <c r="D84" s="21" t="s">
        <v>182</v>
      </c>
      <c r="E84" s="21" t="s">
        <v>226</v>
      </c>
      <c r="F84" s="18" t="s">
        <v>227</v>
      </c>
      <c r="G84" s="23" t="s">
        <v>1683</v>
      </c>
      <c r="J84" s="23" t="s">
        <v>5254</v>
      </c>
      <c r="M84" s="23" t="s">
        <v>3215</v>
      </c>
      <c r="N84" s="22" t="s">
        <v>37</v>
      </c>
      <c r="S84" s="22" t="s">
        <v>1615</v>
      </c>
      <c r="Y84" s="23" t="s">
        <v>4296</v>
      </c>
    </row>
    <row r="85" spans="1:25" x14ac:dyDescent="0.3">
      <c r="A85" s="22">
        <v>84</v>
      </c>
      <c r="B85" s="22">
        <v>91</v>
      </c>
      <c r="C85" s="18" t="s">
        <v>183</v>
      </c>
      <c r="D85" s="21" t="s">
        <v>182</v>
      </c>
      <c r="E85" s="21" t="s">
        <v>228</v>
      </c>
      <c r="F85" s="18" t="s">
        <v>229</v>
      </c>
      <c r="J85" s="23" t="s">
        <v>5255</v>
      </c>
      <c r="K85" s="23" t="s">
        <v>5256</v>
      </c>
      <c r="L85" s="23" t="s">
        <v>1684</v>
      </c>
      <c r="M85" s="23" t="s">
        <v>3217</v>
      </c>
      <c r="N85" s="22" t="s">
        <v>89</v>
      </c>
    </row>
    <row r="86" spans="1:25" x14ac:dyDescent="0.3">
      <c r="A86" s="22">
        <v>85</v>
      </c>
      <c r="B86" s="22">
        <v>93</v>
      </c>
      <c r="C86" s="18" t="s">
        <v>183</v>
      </c>
      <c r="D86" s="21" t="s">
        <v>182</v>
      </c>
      <c r="E86" s="21" t="s">
        <v>230</v>
      </c>
      <c r="F86" s="18" t="s">
        <v>231</v>
      </c>
      <c r="G86" s="23" t="s">
        <v>1685</v>
      </c>
      <c r="J86" s="23" t="s">
        <v>5213</v>
      </c>
      <c r="L86" s="23" t="s">
        <v>1631</v>
      </c>
      <c r="M86" s="23" t="s">
        <v>3125</v>
      </c>
      <c r="N86" s="22" t="s">
        <v>57</v>
      </c>
      <c r="O86" s="23" t="s">
        <v>1632</v>
      </c>
    </row>
    <row r="87" spans="1:25" x14ac:dyDescent="0.3">
      <c r="A87" s="22">
        <v>86</v>
      </c>
      <c r="B87" s="22">
        <v>93</v>
      </c>
      <c r="C87" s="18" t="s">
        <v>183</v>
      </c>
      <c r="D87" s="21" t="s">
        <v>182</v>
      </c>
      <c r="E87" s="21" t="s">
        <v>232</v>
      </c>
      <c r="F87" s="18" t="s">
        <v>233</v>
      </c>
      <c r="J87" s="23" t="s">
        <v>5257</v>
      </c>
      <c r="M87" s="23" t="s">
        <v>8550</v>
      </c>
      <c r="N87" s="22" t="s">
        <v>89</v>
      </c>
      <c r="P87" s="23" t="s">
        <v>1686</v>
      </c>
    </row>
    <row r="88" spans="1:25" x14ac:dyDescent="0.3">
      <c r="A88" s="22">
        <v>87</v>
      </c>
      <c r="B88" s="22">
        <v>93</v>
      </c>
      <c r="C88" s="18" t="s">
        <v>183</v>
      </c>
      <c r="D88" s="21" t="s">
        <v>182</v>
      </c>
      <c r="E88" s="21" t="s">
        <v>235</v>
      </c>
      <c r="F88" s="18" t="s">
        <v>236</v>
      </c>
      <c r="G88" s="23" t="s">
        <v>237</v>
      </c>
      <c r="J88" s="23" t="s">
        <v>5258</v>
      </c>
      <c r="K88" s="23" t="s">
        <v>5259</v>
      </c>
      <c r="L88" s="23" t="s">
        <v>1687</v>
      </c>
      <c r="M88" s="23" t="s">
        <v>3221</v>
      </c>
      <c r="N88" s="22" t="s">
        <v>89</v>
      </c>
      <c r="S88" s="22" t="s">
        <v>1615</v>
      </c>
      <c r="V88" s="107" t="s">
        <v>4297</v>
      </c>
      <c r="Y88" s="23" t="s">
        <v>4298</v>
      </c>
    </row>
    <row r="89" spans="1:25" x14ac:dyDescent="0.3">
      <c r="A89" s="22">
        <v>88</v>
      </c>
      <c r="B89" s="22">
        <v>93</v>
      </c>
      <c r="C89" s="18" t="s">
        <v>183</v>
      </c>
      <c r="D89" s="21" t="s">
        <v>182</v>
      </c>
      <c r="E89" s="21" t="s">
        <v>237</v>
      </c>
      <c r="F89" s="18" t="s">
        <v>238</v>
      </c>
      <c r="J89" s="23" t="s">
        <v>5260</v>
      </c>
      <c r="K89" s="23" t="s">
        <v>5261</v>
      </c>
      <c r="L89" s="23" t="s">
        <v>1688</v>
      </c>
      <c r="M89" s="23" t="s">
        <v>3221</v>
      </c>
      <c r="N89" s="22" t="s">
        <v>89</v>
      </c>
      <c r="S89" s="22" t="s">
        <v>1648</v>
      </c>
      <c r="V89" s="107" t="s">
        <v>4299</v>
      </c>
      <c r="Y89" s="23" t="s">
        <v>4300</v>
      </c>
    </row>
    <row r="90" spans="1:25" x14ac:dyDescent="0.3">
      <c r="A90" s="22">
        <v>89</v>
      </c>
      <c r="B90" s="22">
        <v>51</v>
      </c>
      <c r="C90" s="18" t="s">
        <v>239</v>
      </c>
      <c r="D90" s="21" t="s">
        <v>5798</v>
      </c>
      <c r="E90" s="21" t="s">
        <v>240</v>
      </c>
      <c r="F90" s="18" t="s">
        <v>241</v>
      </c>
      <c r="H90" s="21" t="s">
        <v>1689</v>
      </c>
      <c r="J90" s="23" t="s">
        <v>5262</v>
      </c>
      <c r="M90" s="23" t="s">
        <v>3224</v>
      </c>
      <c r="N90" s="22" t="s">
        <v>42</v>
      </c>
      <c r="S90" s="22" t="s">
        <v>1615</v>
      </c>
      <c r="X90" s="124" t="s">
        <v>243</v>
      </c>
      <c r="Y90" s="23" t="s">
        <v>6631</v>
      </c>
    </row>
    <row r="91" spans="1:25" x14ac:dyDescent="0.3">
      <c r="A91" s="22">
        <v>90</v>
      </c>
      <c r="B91" s="22">
        <v>51</v>
      </c>
      <c r="C91" s="18" t="s">
        <v>239</v>
      </c>
      <c r="D91" s="21" t="s">
        <v>5798</v>
      </c>
      <c r="E91" s="21" t="s">
        <v>244</v>
      </c>
      <c r="F91" s="18" t="s">
        <v>245</v>
      </c>
      <c r="J91" s="23" t="s">
        <v>5263</v>
      </c>
      <c r="M91" s="23" t="s">
        <v>3226</v>
      </c>
      <c r="N91" s="22" t="s">
        <v>37</v>
      </c>
    </row>
    <row r="92" spans="1:25" x14ac:dyDescent="0.3">
      <c r="A92" s="22">
        <v>91</v>
      </c>
      <c r="B92" s="22">
        <v>51</v>
      </c>
      <c r="C92" s="18" t="s">
        <v>239</v>
      </c>
      <c r="D92" s="21" t="s">
        <v>5798</v>
      </c>
      <c r="E92" s="21" t="s">
        <v>246</v>
      </c>
      <c r="F92" s="18" t="s">
        <v>247</v>
      </c>
      <c r="G92" s="23" t="s">
        <v>1612</v>
      </c>
      <c r="J92" s="23" t="s">
        <v>5264</v>
      </c>
      <c r="M92" s="23" t="s">
        <v>3078</v>
      </c>
      <c r="N92" s="22" t="s">
        <v>49</v>
      </c>
      <c r="P92" s="23" t="s">
        <v>49</v>
      </c>
      <c r="W92" s="108">
        <v>42780</v>
      </c>
      <c r="X92" s="124" t="s">
        <v>6500</v>
      </c>
    </row>
    <row r="93" spans="1:25" x14ac:dyDescent="0.3">
      <c r="A93" s="22">
        <v>92</v>
      </c>
      <c r="B93" s="22">
        <v>53</v>
      </c>
      <c r="C93" s="18" t="s">
        <v>239</v>
      </c>
      <c r="D93" s="21" t="s">
        <v>5798</v>
      </c>
      <c r="E93" s="21" t="s">
        <v>5145</v>
      </c>
      <c r="F93" s="18" t="s">
        <v>1690</v>
      </c>
      <c r="G93" s="23" t="s">
        <v>5265</v>
      </c>
      <c r="J93" s="23" t="s">
        <v>59</v>
      </c>
      <c r="L93" s="23" t="s">
        <v>4301</v>
      </c>
      <c r="M93" s="23" t="s">
        <v>3228</v>
      </c>
      <c r="N93" s="22" t="s">
        <v>57</v>
      </c>
      <c r="Q93" s="22" t="s">
        <v>38</v>
      </c>
      <c r="R93" s="22" t="s">
        <v>58</v>
      </c>
      <c r="S93" s="22" t="s">
        <v>1648</v>
      </c>
      <c r="Y93" s="23" t="s">
        <v>5266</v>
      </c>
    </row>
    <row r="94" spans="1:25" x14ac:dyDescent="0.3">
      <c r="A94" s="22">
        <v>93</v>
      </c>
      <c r="B94" s="22">
        <v>53</v>
      </c>
      <c r="C94" s="18" t="s">
        <v>239</v>
      </c>
      <c r="D94" s="21" t="s">
        <v>5798</v>
      </c>
      <c r="E94" s="21" t="s">
        <v>3230</v>
      </c>
      <c r="F94" s="18" t="s">
        <v>248</v>
      </c>
      <c r="G94" s="23" t="s">
        <v>1691</v>
      </c>
      <c r="I94" s="23" t="s">
        <v>1692</v>
      </c>
      <c r="J94" s="23" t="s">
        <v>84</v>
      </c>
      <c r="M94" s="23" t="s">
        <v>3231</v>
      </c>
      <c r="N94" s="22" t="s">
        <v>37</v>
      </c>
      <c r="S94" s="22" t="s">
        <v>1615</v>
      </c>
      <c r="Y94" s="23" t="s">
        <v>4302</v>
      </c>
    </row>
    <row r="95" spans="1:25" x14ac:dyDescent="0.3">
      <c r="A95" s="22">
        <v>94</v>
      </c>
      <c r="B95" s="22">
        <v>53</v>
      </c>
      <c r="C95" s="18" t="s">
        <v>239</v>
      </c>
      <c r="D95" s="21" t="s">
        <v>5798</v>
      </c>
      <c r="E95" s="21" t="s">
        <v>249</v>
      </c>
      <c r="F95" s="18" t="s">
        <v>250</v>
      </c>
      <c r="I95" s="23" t="s">
        <v>1693</v>
      </c>
      <c r="J95" s="23" t="s">
        <v>84</v>
      </c>
      <c r="M95" s="23" t="s">
        <v>3233</v>
      </c>
      <c r="N95" s="22" t="s">
        <v>37</v>
      </c>
    </row>
    <row r="96" spans="1:25" x14ac:dyDescent="0.3">
      <c r="A96" s="22">
        <v>95</v>
      </c>
      <c r="B96" s="22">
        <v>53</v>
      </c>
      <c r="C96" s="18" t="s">
        <v>239</v>
      </c>
      <c r="D96" s="21" t="s">
        <v>5798</v>
      </c>
      <c r="E96" s="21" t="s">
        <v>251</v>
      </c>
      <c r="F96" s="18" t="s">
        <v>252</v>
      </c>
      <c r="G96" s="23" t="s">
        <v>1695</v>
      </c>
      <c r="J96" s="23" t="s">
        <v>5267</v>
      </c>
      <c r="M96" s="23" t="s">
        <v>3125</v>
      </c>
      <c r="N96" s="22" t="s">
        <v>253</v>
      </c>
      <c r="S96" s="22" t="s">
        <v>1694</v>
      </c>
      <c r="X96" s="124" t="s">
        <v>254</v>
      </c>
      <c r="Y96" s="23" t="s">
        <v>4303</v>
      </c>
    </row>
    <row r="97" spans="1:25" x14ac:dyDescent="0.3">
      <c r="A97" s="22">
        <v>96</v>
      </c>
      <c r="B97" s="22">
        <v>57</v>
      </c>
      <c r="C97" s="18" t="s">
        <v>239</v>
      </c>
      <c r="D97" s="21" t="s">
        <v>5798</v>
      </c>
      <c r="E97" s="21" t="s">
        <v>255</v>
      </c>
      <c r="F97" s="18" t="s">
        <v>256</v>
      </c>
      <c r="H97" s="21" t="s">
        <v>1696</v>
      </c>
      <c r="I97" s="23" t="s">
        <v>1697</v>
      </c>
      <c r="J97" s="23" t="s">
        <v>5268</v>
      </c>
      <c r="M97" s="23" t="s">
        <v>3233</v>
      </c>
      <c r="N97" s="22" t="s">
        <v>37</v>
      </c>
    </row>
    <row r="98" spans="1:25" x14ac:dyDescent="0.3">
      <c r="A98" s="22">
        <v>97</v>
      </c>
      <c r="B98" s="22">
        <v>57</v>
      </c>
      <c r="C98" s="18" t="s">
        <v>239</v>
      </c>
      <c r="D98" s="21" t="s">
        <v>5798</v>
      </c>
      <c r="E98" s="21" t="s">
        <v>257</v>
      </c>
      <c r="F98" s="18" t="s">
        <v>258</v>
      </c>
      <c r="J98" s="23" t="s">
        <v>5269</v>
      </c>
      <c r="L98" s="23" t="s">
        <v>1698</v>
      </c>
      <c r="M98" s="23" t="s">
        <v>3237</v>
      </c>
      <c r="N98" s="22" t="s">
        <v>37</v>
      </c>
    </row>
    <row r="99" spans="1:25" x14ac:dyDescent="0.3">
      <c r="A99" s="22">
        <v>98</v>
      </c>
      <c r="B99" s="22">
        <v>57</v>
      </c>
      <c r="C99" s="18" t="s">
        <v>239</v>
      </c>
      <c r="D99" s="21" t="s">
        <v>5798</v>
      </c>
      <c r="E99" s="21" t="s">
        <v>259</v>
      </c>
      <c r="F99" s="18" t="s">
        <v>260</v>
      </c>
      <c r="J99" s="23" t="s">
        <v>5270</v>
      </c>
      <c r="M99" s="23" t="s">
        <v>3239</v>
      </c>
      <c r="N99" s="22" t="s">
        <v>37</v>
      </c>
      <c r="Q99" s="22" t="s">
        <v>50</v>
      </c>
      <c r="R99" s="22" t="s">
        <v>58</v>
      </c>
    </row>
    <row r="100" spans="1:25" x14ac:dyDescent="0.3">
      <c r="A100" s="22">
        <v>99</v>
      </c>
      <c r="B100" s="22">
        <v>55</v>
      </c>
      <c r="C100" s="18" t="s">
        <v>239</v>
      </c>
      <c r="D100" s="21" t="s">
        <v>5798</v>
      </c>
      <c r="E100" s="21" t="s">
        <v>261</v>
      </c>
      <c r="F100" s="18" t="s">
        <v>262</v>
      </c>
      <c r="J100" s="23" t="s">
        <v>5245</v>
      </c>
      <c r="M100" s="23" t="s">
        <v>3241</v>
      </c>
      <c r="N100" s="22" t="s">
        <v>57</v>
      </c>
      <c r="O100" s="23" t="s">
        <v>1668</v>
      </c>
      <c r="Q100" s="22" t="s">
        <v>50</v>
      </c>
      <c r="R100" s="22" t="s">
        <v>38</v>
      </c>
    </row>
    <row r="101" spans="1:25" ht="30.6" x14ac:dyDescent="0.3">
      <c r="A101" s="22">
        <v>100</v>
      </c>
      <c r="C101" s="18" t="s">
        <v>239</v>
      </c>
      <c r="D101" s="21" t="s">
        <v>5798</v>
      </c>
      <c r="E101" s="21" t="s">
        <v>263</v>
      </c>
      <c r="F101" s="18" t="s">
        <v>264</v>
      </c>
      <c r="J101" s="23" t="s">
        <v>5271</v>
      </c>
      <c r="M101" s="109" t="s">
        <v>6501</v>
      </c>
      <c r="N101" s="22" t="s">
        <v>57</v>
      </c>
      <c r="O101" s="23" t="s">
        <v>1669</v>
      </c>
      <c r="R101" s="22" t="s">
        <v>38</v>
      </c>
      <c r="S101" s="22" t="s">
        <v>1679</v>
      </c>
      <c r="T101" s="62" t="s">
        <v>5887</v>
      </c>
      <c r="Y101" s="23" t="s">
        <v>4304</v>
      </c>
    </row>
    <row r="102" spans="1:25" x14ac:dyDescent="0.3">
      <c r="A102" s="22">
        <v>101</v>
      </c>
      <c r="B102" s="22">
        <v>55</v>
      </c>
      <c r="C102" s="18" t="s">
        <v>239</v>
      </c>
      <c r="D102" s="21" t="s">
        <v>5798</v>
      </c>
      <c r="E102" s="21" t="s">
        <v>265</v>
      </c>
      <c r="F102" s="18" t="s">
        <v>266</v>
      </c>
      <c r="J102" s="23" t="s">
        <v>5272</v>
      </c>
      <c r="L102" s="23" t="s">
        <v>1699</v>
      </c>
      <c r="M102" s="23" t="s">
        <v>3186</v>
      </c>
      <c r="N102" s="22" t="s">
        <v>57</v>
      </c>
      <c r="O102" s="23" t="s">
        <v>1671</v>
      </c>
      <c r="P102" s="23" t="s">
        <v>3017</v>
      </c>
      <c r="Q102" s="22" t="s">
        <v>112</v>
      </c>
      <c r="R102" s="22" t="s">
        <v>112</v>
      </c>
    </row>
    <row r="103" spans="1:25" x14ac:dyDescent="0.3">
      <c r="A103" s="22">
        <v>102</v>
      </c>
      <c r="B103" s="22">
        <v>57</v>
      </c>
      <c r="C103" s="18" t="s">
        <v>239</v>
      </c>
      <c r="D103" s="21" t="s">
        <v>5798</v>
      </c>
      <c r="E103" s="21" t="s">
        <v>267</v>
      </c>
      <c r="F103" s="18" t="s">
        <v>268</v>
      </c>
      <c r="J103" s="23" t="s">
        <v>5273</v>
      </c>
      <c r="L103" s="23" t="s">
        <v>1700</v>
      </c>
      <c r="M103" s="23" t="s">
        <v>3245</v>
      </c>
      <c r="N103" s="22" t="s">
        <v>57</v>
      </c>
      <c r="O103" s="23" t="s">
        <v>1701</v>
      </c>
      <c r="P103" s="23" t="s">
        <v>5274</v>
      </c>
      <c r="Q103" s="22" t="s">
        <v>112</v>
      </c>
      <c r="R103" s="22" t="s">
        <v>112</v>
      </c>
    </row>
    <row r="104" spans="1:25" x14ac:dyDescent="0.3">
      <c r="A104" s="22">
        <v>103</v>
      </c>
      <c r="B104" s="22">
        <v>57</v>
      </c>
      <c r="C104" s="18" t="s">
        <v>239</v>
      </c>
      <c r="D104" s="21" t="s">
        <v>5798</v>
      </c>
      <c r="E104" s="21" t="s">
        <v>269</v>
      </c>
      <c r="F104" s="18" t="s">
        <v>270</v>
      </c>
      <c r="J104" s="23" t="s">
        <v>5275</v>
      </c>
      <c r="L104" s="23" t="s">
        <v>1702</v>
      </c>
      <c r="M104" s="23" t="s">
        <v>3247</v>
      </c>
      <c r="N104" s="22" t="s">
        <v>57</v>
      </c>
      <c r="O104" s="23" t="s">
        <v>1703</v>
      </c>
      <c r="P104" s="23" t="s">
        <v>3017</v>
      </c>
      <c r="Q104" s="22" t="s">
        <v>112</v>
      </c>
      <c r="R104" s="22" t="s">
        <v>112</v>
      </c>
      <c r="X104" s="124" t="s">
        <v>271</v>
      </c>
    </row>
    <row r="105" spans="1:25" ht="40.799999999999997" x14ac:dyDescent="0.3">
      <c r="A105" s="22">
        <v>104</v>
      </c>
      <c r="C105" s="18" t="s">
        <v>239</v>
      </c>
      <c r="D105" s="21" t="s">
        <v>5798</v>
      </c>
      <c r="E105" s="21" t="s">
        <v>272</v>
      </c>
      <c r="F105" s="18" t="s">
        <v>273</v>
      </c>
      <c r="I105" s="109" t="s">
        <v>5126</v>
      </c>
      <c r="J105" s="23" t="s">
        <v>5229</v>
      </c>
      <c r="M105" s="109" t="s">
        <v>6502</v>
      </c>
      <c r="N105" s="22" t="s">
        <v>57</v>
      </c>
      <c r="O105" s="23" t="s">
        <v>1632</v>
      </c>
      <c r="V105" s="110" t="s">
        <v>5130</v>
      </c>
    </row>
    <row r="106" spans="1:25" ht="40.799999999999997" x14ac:dyDescent="0.3">
      <c r="A106" s="22">
        <v>105</v>
      </c>
      <c r="C106" s="18" t="s">
        <v>239</v>
      </c>
      <c r="D106" s="21" t="s">
        <v>5798</v>
      </c>
      <c r="E106" s="21" t="s">
        <v>274</v>
      </c>
      <c r="F106" s="18" t="s">
        <v>275</v>
      </c>
      <c r="I106" s="109" t="s">
        <v>5127</v>
      </c>
      <c r="J106" s="23" t="s">
        <v>5276</v>
      </c>
      <c r="M106" s="109" t="s">
        <v>6503</v>
      </c>
      <c r="N106" s="22" t="s">
        <v>57</v>
      </c>
      <c r="O106" s="23" t="s">
        <v>1632</v>
      </c>
      <c r="R106" s="22" t="s">
        <v>112</v>
      </c>
      <c r="T106" s="62" t="s">
        <v>5888</v>
      </c>
      <c r="V106" s="110" t="s">
        <v>5131</v>
      </c>
    </row>
    <row r="107" spans="1:25" x14ac:dyDescent="0.3">
      <c r="A107" s="22">
        <v>106</v>
      </c>
      <c r="B107" s="22">
        <v>61</v>
      </c>
      <c r="C107" s="18" t="s">
        <v>239</v>
      </c>
      <c r="D107" s="21" t="s">
        <v>5798</v>
      </c>
      <c r="E107" s="21" t="s">
        <v>276</v>
      </c>
      <c r="F107" s="18" t="s">
        <v>277</v>
      </c>
      <c r="G107" s="23" t="s">
        <v>1705</v>
      </c>
      <c r="J107" s="23" t="s">
        <v>5275</v>
      </c>
      <c r="L107" s="23" t="s">
        <v>1704</v>
      </c>
      <c r="M107" s="23" t="s">
        <v>3251</v>
      </c>
      <c r="N107" s="22" t="s">
        <v>57</v>
      </c>
      <c r="O107" s="23" t="s">
        <v>1703</v>
      </c>
      <c r="Q107" s="22" t="s">
        <v>58</v>
      </c>
      <c r="R107" s="22" t="s">
        <v>112</v>
      </c>
      <c r="S107" s="22" t="s">
        <v>1615</v>
      </c>
      <c r="Y107" s="23" t="s">
        <v>4305</v>
      </c>
    </row>
    <row r="108" spans="1:25" x14ac:dyDescent="0.3">
      <c r="A108" s="22">
        <v>107</v>
      </c>
      <c r="B108" s="22">
        <v>61</v>
      </c>
      <c r="C108" s="18" t="s">
        <v>239</v>
      </c>
      <c r="D108" s="21" t="s">
        <v>5798</v>
      </c>
      <c r="E108" s="21" t="s">
        <v>278</v>
      </c>
      <c r="F108" s="18" t="s">
        <v>279</v>
      </c>
      <c r="G108" s="23" t="s">
        <v>1705</v>
      </c>
      <c r="I108" s="23" t="s">
        <v>1707</v>
      </c>
      <c r="J108" s="23" t="s">
        <v>5277</v>
      </c>
      <c r="L108" s="23" t="s">
        <v>1706</v>
      </c>
      <c r="M108" s="23" t="s">
        <v>3253</v>
      </c>
      <c r="N108" s="22" t="s">
        <v>57</v>
      </c>
      <c r="O108" s="23" t="s">
        <v>1669</v>
      </c>
      <c r="P108" s="23" t="s">
        <v>3028</v>
      </c>
      <c r="Q108" s="22" t="s">
        <v>38</v>
      </c>
      <c r="R108" s="22" t="s">
        <v>38</v>
      </c>
      <c r="S108" s="22" t="s">
        <v>1648</v>
      </c>
      <c r="Y108" s="23" t="s">
        <v>4306</v>
      </c>
    </row>
    <row r="109" spans="1:25" x14ac:dyDescent="0.3">
      <c r="A109" s="22">
        <v>108</v>
      </c>
      <c r="B109" s="22">
        <v>61</v>
      </c>
      <c r="C109" s="18" t="s">
        <v>239</v>
      </c>
      <c r="D109" s="21" t="s">
        <v>5798</v>
      </c>
      <c r="E109" s="21" t="s">
        <v>280</v>
      </c>
      <c r="F109" s="18" t="s">
        <v>281</v>
      </c>
      <c r="J109" s="23" t="s">
        <v>5278</v>
      </c>
      <c r="L109" s="23" t="s">
        <v>1708</v>
      </c>
      <c r="M109" s="23" t="s">
        <v>3233</v>
      </c>
      <c r="N109" s="22" t="s">
        <v>37</v>
      </c>
    </row>
    <row r="110" spans="1:25" x14ac:dyDescent="0.3">
      <c r="A110" s="22">
        <v>109</v>
      </c>
      <c r="B110" s="22">
        <v>63</v>
      </c>
      <c r="C110" s="18" t="s">
        <v>239</v>
      </c>
      <c r="D110" s="21" t="s">
        <v>5798</v>
      </c>
      <c r="E110" s="21" t="s">
        <v>282</v>
      </c>
      <c r="F110" s="18" t="s">
        <v>283</v>
      </c>
      <c r="G110" s="23" t="s">
        <v>1709</v>
      </c>
      <c r="J110" s="23" t="s">
        <v>5229</v>
      </c>
      <c r="M110" s="23" t="s">
        <v>3256</v>
      </c>
      <c r="N110" s="22" t="s">
        <v>57</v>
      </c>
      <c r="O110" s="23" t="s">
        <v>1632</v>
      </c>
      <c r="R110" s="22" t="s">
        <v>38</v>
      </c>
      <c r="S110" s="22" t="s">
        <v>1648</v>
      </c>
      <c r="Y110" s="23" t="s">
        <v>1710</v>
      </c>
    </row>
    <row r="111" spans="1:25" x14ac:dyDescent="0.3">
      <c r="A111" s="22">
        <v>110</v>
      </c>
      <c r="B111" s="22">
        <v>63</v>
      </c>
      <c r="C111" s="18" t="s">
        <v>239</v>
      </c>
      <c r="D111" s="21" t="s">
        <v>5798</v>
      </c>
      <c r="E111" s="21" t="s">
        <v>284</v>
      </c>
      <c r="F111" s="18" t="s">
        <v>285</v>
      </c>
      <c r="J111" s="23" t="s">
        <v>84</v>
      </c>
      <c r="M111" s="23" t="s">
        <v>3258</v>
      </c>
      <c r="N111" s="22" t="s">
        <v>37</v>
      </c>
    </row>
    <row r="112" spans="1:25" x14ac:dyDescent="0.3">
      <c r="A112" s="22">
        <v>111</v>
      </c>
      <c r="B112" s="22">
        <v>63</v>
      </c>
      <c r="C112" s="18" t="s">
        <v>239</v>
      </c>
      <c r="D112" s="21" t="s">
        <v>5798</v>
      </c>
      <c r="E112" s="21" t="s">
        <v>5146</v>
      </c>
      <c r="F112" s="18" t="s">
        <v>286</v>
      </c>
      <c r="G112" s="23" t="s">
        <v>5279</v>
      </c>
      <c r="H112" s="21" t="s">
        <v>5279</v>
      </c>
      <c r="J112" s="23" t="s">
        <v>5280</v>
      </c>
      <c r="M112" s="23" t="s">
        <v>3260</v>
      </c>
      <c r="N112" s="22" t="s">
        <v>37</v>
      </c>
      <c r="Q112" s="22" t="s">
        <v>50</v>
      </c>
      <c r="R112" s="22" t="s">
        <v>38</v>
      </c>
      <c r="S112" s="22" t="s">
        <v>1615</v>
      </c>
      <c r="Y112" s="23" t="s">
        <v>5281</v>
      </c>
    </row>
    <row r="113" spans="1:25" x14ac:dyDescent="0.3">
      <c r="A113" s="22">
        <v>112</v>
      </c>
      <c r="B113" s="22">
        <v>69</v>
      </c>
      <c r="C113" s="18" t="s">
        <v>239</v>
      </c>
      <c r="D113" s="21" t="s">
        <v>5798</v>
      </c>
      <c r="E113" s="21" t="s">
        <v>287</v>
      </c>
      <c r="F113" s="18" t="s">
        <v>288</v>
      </c>
      <c r="J113" s="23" t="s">
        <v>5282</v>
      </c>
      <c r="L113" s="23" t="s">
        <v>1711</v>
      </c>
      <c r="M113" s="23" t="s">
        <v>3262</v>
      </c>
      <c r="N113" s="22" t="s">
        <v>57</v>
      </c>
      <c r="O113" s="23" t="s">
        <v>1712</v>
      </c>
      <c r="Q113" s="22" t="s">
        <v>38</v>
      </c>
      <c r="R113" s="22" t="s">
        <v>58</v>
      </c>
      <c r="V113" s="107" t="s">
        <v>1713</v>
      </c>
    </row>
    <row r="114" spans="1:25" ht="20.399999999999999" x14ac:dyDescent="0.3">
      <c r="A114" s="22">
        <v>113</v>
      </c>
      <c r="B114" s="22">
        <v>67</v>
      </c>
      <c r="C114" s="18" t="s">
        <v>239</v>
      </c>
      <c r="D114" s="21" t="s">
        <v>5798</v>
      </c>
      <c r="E114" s="21" t="s">
        <v>289</v>
      </c>
      <c r="F114" s="18" t="s">
        <v>290</v>
      </c>
      <c r="G114" s="23" t="s">
        <v>1714</v>
      </c>
      <c r="I114" s="23" t="s">
        <v>1715</v>
      </c>
      <c r="J114" s="23" t="s">
        <v>5245</v>
      </c>
      <c r="M114" s="109" t="s">
        <v>3264</v>
      </c>
      <c r="N114" s="22" t="s">
        <v>57</v>
      </c>
      <c r="O114" s="23" t="s">
        <v>1668</v>
      </c>
      <c r="Q114" s="22" t="s">
        <v>50</v>
      </c>
      <c r="R114" s="22" t="s">
        <v>38</v>
      </c>
      <c r="V114" s="107" t="s">
        <v>1716</v>
      </c>
    </row>
    <row r="115" spans="1:25" x14ac:dyDescent="0.3">
      <c r="A115" s="22">
        <v>114</v>
      </c>
      <c r="B115" s="22">
        <v>69</v>
      </c>
      <c r="C115" s="18" t="s">
        <v>239</v>
      </c>
      <c r="D115" s="21" t="s">
        <v>5798</v>
      </c>
      <c r="E115" s="21" t="s">
        <v>291</v>
      </c>
      <c r="F115" s="18" t="s">
        <v>292</v>
      </c>
      <c r="J115" s="23" t="s">
        <v>5276</v>
      </c>
      <c r="M115" s="23" t="s">
        <v>3266</v>
      </c>
      <c r="N115" s="22" t="s">
        <v>57</v>
      </c>
      <c r="O115" s="23" t="s">
        <v>1632</v>
      </c>
      <c r="V115" s="107" t="s">
        <v>1717</v>
      </c>
    </row>
    <row r="116" spans="1:25" x14ac:dyDescent="0.3">
      <c r="A116" s="22">
        <v>115</v>
      </c>
      <c r="B116" s="22">
        <v>69</v>
      </c>
      <c r="C116" s="18" t="s">
        <v>239</v>
      </c>
      <c r="D116" s="21" t="s">
        <v>5798</v>
      </c>
      <c r="E116" s="21" t="s">
        <v>293</v>
      </c>
      <c r="F116" s="18" t="s">
        <v>294</v>
      </c>
      <c r="J116" s="23" t="s">
        <v>295</v>
      </c>
      <c r="M116" s="23" t="s">
        <v>3153</v>
      </c>
      <c r="N116" s="22" t="s">
        <v>253</v>
      </c>
      <c r="V116" s="107" t="s">
        <v>1718</v>
      </c>
      <c r="X116" s="124" t="s">
        <v>296</v>
      </c>
    </row>
    <row r="117" spans="1:25" x14ac:dyDescent="0.3">
      <c r="A117" s="22">
        <v>116</v>
      </c>
      <c r="C117" s="18" t="s">
        <v>239</v>
      </c>
      <c r="D117" s="21" t="s">
        <v>5798</v>
      </c>
      <c r="E117" s="21" t="s">
        <v>297</v>
      </c>
      <c r="F117" s="18" t="s">
        <v>298</v>
      </c>
      <c r="I117" s="23" t="s">
        <v>3269</v>
      </c>
      <c r="J117" s="23" t="s">
        <v>5283</v>
      </c>
      <c r="M117" s="23" t="s">
        <v>3270</v>
      </c>
      <c r="N117" s="22" t="s">
        <v>49</v>
      </c>
      <c r="P117" s="23" t="s">
        <v>49</v>
      </c>
      <c r="V117" s="107" t="s">
        <v>4554</v>
      </c>
      <c r="W117" s="108" t="s">
        <v>4307</v>
      </c>
      <c r="X117" s="124" t="s">
        <v>6390</v>
      </c>
    </row>
    <row r="118" spans="1:25" x14ac:dyDescent="0.3">
      <c r="A118" s="22">
        <v>117</v>
      </c>
      <c r="B118" s="22">
        <v>71</v>
      </c>
      <c r="C118" s="18" t="s">
        <v>239</v>
      </c>
      <c r="D118" s="21" t="s">
        <v>5798</v>
      </c>
      <c r="E118" s="21" t="s">
        <v>299</v>
      </c>
      <c r="F118" s="18" t="s">
        <v>300</v>
      </c>
      <c r="J118" s="23" t="s">
        <v>5284</v>
      </c>
      <c r="M118" s="23" t="s">
        <v>3272</v>
      </c>
      <c r="N118" s="22" t="s">
        <v>37</v>
      </c>
      <c r="T118" s="62" t="s">
        <v>5889</v>
      </c>
    </row>
    <row r="119" spans="1:25" x14ac:dyDescent="0.3">
      <c r="A119" s="22">
        <v>118</v>
      </c>
      <c r="B119" s="22">
        <v>69</v>
      </c>
      <c r="C119" s="18" t="s">
        <v>239</v>
      </c>
      <c r="D119" s="21" t="s">
        <v>5798</v>
      </c>
      <c r="E119" s="21" t="s">
        <v>301</v>
      </c>
      <c r="F119" s="18" t="s">
        <v>302</v>
      </c>
      <c r="J119" s="23" t="s">
        <v>5285</v>
      </c>
      <c r="L119" s="23" t="s">
        <v>1719</v>
      </c>
      <c r="M119" s="23" t="s">
        <v>3274</v>
      </c>
      <c r="N119" s="22" t="s">
        <v>57</v>
      </c>
      <c r="O119" s="23" t="s">
        <v>1720</v>
      </c>
      <c r="P119" s="23" t="s">
        <v>3017</v>
      </c>
      <c r="Q119" s="22" t="s">
        <v>112</v>
      </c>
      <c r="R119" s="22" t="s">
        <v>112</v>
      </c>
      <c r="X119" s="124" t="s">
        <v>303</v>
      </c>
    </row>
    <row r="120" spans="1:25" x14ac:dyDescent="0.3">
      <c r="A120" s="22">
        <v>119</v>
      </c>
      <c r="B120" s="22">
        <v>63</v>
      </c>
      <c r="C120" s="18" t="s">
        <v>239</v>
      </c>
      <c r="D120" s="21" t="s">
        <v>5798</v>
      </c>
      <c r="E120" s="21" t="s">
        <v>304</v>
      </c>
      <c r="F120" s="18" t="s">
        <v>305</v>
      </c>
      <c r="J120" s="23" t="s">
        <v>5229</v>
      </c>
      <c r="L120" s="23" t="s">
        <v>1721</v>
      </c>
      <c r="M120" s="23" t="s">
        <v>3276</v>
      </c>
      <c r="N120" s="22" t="s">
        <v>57</v>
      </c>
      <c r="O120" s="23" t="s">
        <v>1632</v>
      </c>
      <c r="Q120" s="22" t="s">
        <v>50</v>
      </c>
      <c r="R120" s="22" t="s">
        <v>112</v>
      </c>
    </row>
    <row r="121" spans="1:25" x14ac:dyDescent="0.3">
      <c r="A121" s="22">
        <v>120</v>
      </c>
      <c r="B121" s="22">
        <v>65</v>
      </c>
      <c r="C121" s="18" t="s">
        <v>239</v>
      </c>
      <c r="D121" s="21" t="s">
        <v>5798</v>
      </c>
      <c r="E121" s="21" t="s">
        <v>306</v>
      </c>
      <c r="F121" s="18" t="s">
        <v>307</v>
      </c>
      <c r="J121" s="23" t="s">
        <v>5286</v>
      </c>
      <c r="L121" s="23" t="s">
        <v>1722</v>
      </c>
      <c r="M121" s="23" t="s">
        <v>3278</v>
      </c>
      <c r="N121" s="22" t="s">
        <v>57</v>
      </c>
      <c r="O121" s="23" t="s">
        <v>1671</v>
      </c>
      <c r="Q121" s="22" t="s">
        <v>58</v>
      </c>
      <c r="R121" s="22" t="s">
        <v>58</v>
      </c>
    </row>
    <row r="122" spans="1:25" ht="20.399999999999999" x14ac:dyDescent="0.3">
      <c r="A122" s="22">
        <v>121</v>
      </c>
      <c r="B122" s="22">
        <v>65</v>
      </c>
      <c r="C122" s="18" t="s">
        <v>239</v>
      </c>
      <c r="D122" s="21" t="s">
        <v>5798</v>
      </c>
      <c r="E122" s="21" t="s">
        <v>308</v>
      </c>
      <c r="F122" s="18" t="s">
        <v>309</v>
      </c>
      <c r="J122" s="23" t="s">
        <v>5287</v>
      </c>
      <c r="M122" s="109" t="s">
        <v>6504</v>
      </c>
      <c r="N122" s="22" t="s">
        <v>57</v>
      </c>
      <c r="O122" s="23" t="s">
        <v>1632</v>
      </c>
      <c r="Q122" s="22" t="s">
        <v>38</v>
      </c>
      <c r="R122" s="22" t="s">
        <v>58</v>
      </c>
    </row>
    <row r="123" spans="1:25" x14ac:dyDescent="0.3">
      <c r="A123" s="22">
        <v>122</v>
      </c>
      <c r="B123" s="22">
        <v>65</v>
      </c>
      <c r="C123" s="18" t="s">
        <v>239</v>
      </c>
      <c r="D123" s="21" t="s">
        <v>5798</v>
      </c>
      <c r="E123" s="21" t="s">
        <v>310</v>
      </c>
      <c r="F123" s="18" t="s">
        <v>311</v>
      </c>
      <c r="J123" s="23" t="s">
        <v>84</v>
      </c>
      <c r="M123" s="23" t="s">
        <v>3281</v>
      </c>
      <c r="N123" s="22" t="s">
        <v>37</v>
      </c>
    </row>
    <row r="124" spans="1:25" x14ac:dyDescent="0.3">
      <c r="A124" s="22">
        <v>123</v>
      </c>
      <c r="B124" s="22">
        <v>67</v>
      </c>
      <c r="C124" s="18" t="s">
        <v>239</v>
      </c>
      <c r="D124" s="21" t="s">
        <v>5798</v>
      </c>
      <c r="E124" s="21" t="s">
        <v>312</v>
      </c>
      <c r="F124" s="18" t="s">
        <v>313</v>
      </c>
      <c r="H124" s="21" t="s">
        <v>1723</v>
      </c>
      <c r="J124" s="23" t="s">
        <v>5288</v>
      </c>
      <c r="L124" s="23" t="s">
        <v>6632</v>
      </c>
      <c r="M124" s="23" t="s">
        <v>3283</v>
      </c>
      <c r="N124" s="22" t="s">
        <v>253</v>
      </c>
      <c r="Q124" s="22" t="s">
        <v>38</v>
      </c>
      <c r="R124" s="22" t="s">
        <v>58</v>
      </c>
      <c r="X124" s="124" t="s">
        <v>314</v>
      </c>
    </row>
    <row r="125" spans="1:25" x14ac:dyDescent="0.3">
      <c r="A125" s="22">
        <v>124</v>
      </c>
      <c r="B125" s="22">
        <v>67</v>
      </c>
      <c r="C125" s="18" t="s">
        <v>239</v>
      </c>
      <c r="D125" s="21" t="s">
        <v>5798</v>
      </c>
      <c r="E125" s="21" t="s">
        <v>315</v>
      </c>
      <c r="F125" s="18" t="s">
        <v>316</v>
      </c>
      <c r="J125" s="23" t="s">
        <v>5289</v>
      </c>
      <c r="M125" s="23" t="s">
        <v>3285</v>
      </c>
      <c r="N125" s="22" t="s">
        <v>37</v>
      </c>
      <c r="S125" s="22" t="s">
        <v>1638</v>
      </c>
      <c r="Y125" s="23" t="s">
        <v>4308</v>
      </c>
    </row>
    <row r="126" spans="1:25" x14ac:dyDescent="0.3">
      <c r="A126" s="22">
        <v>125</v>
      </c>
      <c r="B126" s="22">
        <v>95</v>
      </c>
      <c r="C126" s="18" t="s">
        <v>317</v>
      </c>
      <c r="D126" s="21" t="s">
        <v>5799</v>
      </c>
      <c r="E126" s="21" t="s">
        <v>328</v>
      </c>
      <c r="F126" s="18" t="s">
        <v>1729</v>
      </c>
      <c r="J126" s="23" t="s">
        <v>52</v>
      </c>
      <c r="M126" s="23" t="s">
        <v>3153</v>
      </c>
      <c r="N126" s="22" t="s">
        <v>37</v>
      </c>
      <c r="S126" s="22" t="s">
        <v>2142</v>
      </c>
      <c r="Y126" s="23" t="s">
        <v>4309</v>
      </c>
    </row>
    <row r="127" spans="1:25" x14ac:dyDescent="0.3">
      <c r="A127" s="22">
        <v>126</v>
      </c>
      <c r="B127" s="22">
        <v>95</v>
      </c>
      <c r="C127" s="18" t="s">
        <v>317</v>
      </c>
      <c r="D127" s="21" t="s">
        <v>5799</v>
      </c>
      <c r="E127" s="21" t="s">
        <v>329</v>
      </c>
      <c r="F127" s="18" t="s">
        <v>330</v>
      </c>
      <c r="H127" s="21" t="s">
        <v>1731</v>
      </c>
      <c r="J127" s="23" t="s">
        <v>5290</v>
      </c>
      <c r="L127" s="23" t="s">
        <v>1730</v>
      </c>
      <c r="M127" s="23" t="s">
        <v>3288</v>
      </c>
      <c r="N127" s="22" t="s">
        <v>57</v>
      </c>
      <c r="O127" s="23" t="s">
        <v>1712</v>
      </c>
      <c r="P127" s="23" t="s">
        <v>3017</v>
      </c>
      <c r="Q127" s="22" t="s">
        <v>158</v>
      </c>
      <c r="R127" s="22" t="s">
        <v>58</v>
      </c>
      <c r="T127" s="62" t="s">
        <v>5890</v>
      </c>
    </row>
    <row r="128" spans="1:25" x14ac:dyDescent="0.3">
      <c r="A128" s="22">
        <v>127</v>
      </c>
      <c r="B128" s="22">
        <v>95</v>
      </c>
      <c r="C128" s="18" t="s">
        <v>317</v>
      </c>
      <c r="D128" s="21" t="s">
        <v>5799</v>
      </c>
      <c r="E128" s="21" t="s">
        <v>322</v>
      </c>
      <c r="F128" s="18" t="s">
        <v>5801</v>
      </c>
      <c r="G128" s="23" t="s">
        <v>1612</v>
      </c>
      <c r="J128" s="23" t="s">
        <v>5291</v>
      </c>
      <c r="L128" s="23" t="s">
        <v>1725</v>
      </c>
      <c r="M128" s="23" t="s">
        <v>3289</v>
      </c>
      <c r="N128" s="22" t="s">
        <v>57</v>
      </c>
      <c r="O128" s="23" t="s">
        <v>1726</v>
      </c>
      <c r="Q128" s="22" t="s">
        <v>38</v>
      </c>
      <c r="R128" s="22" t="s">
        <v>58</v>
      </c>
      <c r="S128" s="22" t="s">
        <v>1834</v>
      </c>
      <c r="U128" s="62" t="s">
        <v>323</v>
      </c>
      <c r="X128" s="124" t="s">
        <v>3000</v>
      </c>
      <c r="Y128" s="23" t="s">
        <v>5891</v>
      </c>
    </row>
    <row r="129" spans="1:25" x14ac:dyDescent="0.3">
      <c r="A129" s="22">
        <v>128</v>
      </c>
      <c r="B129" s="22">
        <v>97</v>
      </c>
      <c r="C129" s="18" t="s">
        <v>317</v>
      </c>
      <c r="D129" s="21" t="s">
        <v>5799</v>
      </c>
      <c r="E129" s="21" t="s">
        <v>324</v>
      </c>
      <c r="F129" s="18" t="s">
        <v>1727</v>
      </c>
      <c r="J129" s="23" t="s">
        <v>5292</v>
      </c>
      <c r="M129" s="23" t="s">
        <v>3291</v>
      </c>
      <c r="N129" s="22" t="s">
        <v>37</v>
      </c>
      <c r="S129" s="22" t="s">
        <v>2142</v>
      </c>
      <c r="U129" s="62" t="s">
        <v>325</v>
      </c>
      <c r="Y129" s="23" t="s">
        <v>4310</v>
      </c>
    </row>
    <row r="130" spans="1:25" x14ac:dyDescent="0.3">
      <c r="A130" s="22">
        <v>129</v>
      </c>
      <c r="B130" s="22">
        <v>97</v>
      </c>
      <c r="C130" s="18" t="s">
        <v>317</v>
      </c>
      <c r="D130" s="21" t="s">
        <v>5799</v>
      </c>
      <c r="E130" s="21" t="s">
        <v>326</v>
      </c>
      <c r="F130" s="18" t="s">
        <v>1728</v>
      </c>
      <c r="J130" s="23" t="s">
        <v>5293</v>
      </c>
      <c r="M130" s="23" t="s">
        <v>3293</v>
      </c>
      <c r="N130" s="22" t="s">
        <v>37</v>
      </c>
      <c r="S130" s="22" t="s">
        <v>2142</v>
      </c>
      <c r="U130" s="62" t="s">
        <v>327</v>
      </c>
      <c r="Y130" s="23" t="s">
        <v>4310</v>
      </c>
    </row>
    <row r="131" spans="1:25" x14ac:dyDescent="0.3">
      <c r="A131" s="22">
        <v>130</v>
      </c>
      <c r="B131" s="22">
        <v>101</v>
      </c>
      <c r="C131" s="18" t="s">
        <v>317</v>
      </c>
      <c r="D131" s="21" t="s">
        <v>5799</v>
      </c>
      <c r="E131" s="21" t="s">
        <v>344</v>
      </c>
      <c r="F131" s="18" t="s">
        <v>345</v>
      </c>
      <c r="H131" s="21" t="s">
        <v>1741</v>
      </c>
      <c r="J131" s="23" t="s">
        <v>5294</v>
      </c>
      <c r="M131" s="23" t="s">
        <v>3295</v>
      </c>
      <c r="N131" s="22" t="s">
        <v>346</v>
      </c>
    </row>
    <row r="132" spans="1:25" x14ac:dyDescent="0.3">
      <c r="A132" s="22">
        <v>131</v>
      </c>
      <c r="B132" s="22">
        <v>101</v>
      </c>
      <c r="C132" s="18" t="s">
        <v>317</v>
      </c>
      <c r="D132" s="21" t="s">
        <v>5799</v>
      </c>
      <c r="E132" s="21" t="s">
        <v>347</v>
      </c>
      <c r="F132" s="18" t="s">
        <v>348</v>
      </c>
      <c r="I132" s="23" t="s">
        <v>1743</v>
      </c>
      <c r="J132" s="23" t="s">
        <v>5295</v>
      </c>
      <c r="K132" s="23" t="s">
        <v>5296</v>
      </c>
      <c r="M132" s="23" t="s">
        <v>3217</v>
      </c>
      <c r="N132" s="22" t="s">
        <v>89</v>
      </c>
    </row>
    <row r="133" spans="1:25" x14ac:dyDescent="0.3">
      <c r="A133" s="22">
        <v>132</v>
      </c>
      <c r="B133" s="22">
        <v>101</v>
      </c>
      <c r="C133" s="18" t="s">
        <v>317</v>
      </c>
      <c r="D133" s="21" t="s">
        <v>5799</v>
      </c>
      <c r="E133" s="21" t="s">
        <v>341</v>
      </c>
      <c r="F133" s="18" t="s">
        <v>342</v>
      </c>
      <c r="G133" s="23" t="s">
        <v>1740</v>
      </c>
      <c r="J133" s="23" t="s">
        <v>5297</v>
      </c>
      <c r="L133" s="23" t="s">
        <v>1739</v>
      </c>
      <c r="M133" s="23" t="s">
        <v>3298</v>
      </c>
      <c r="N133" s="22" t="s">
        <v>57</v>
      </c>
      <c r="O133" s="23" t="s">
        <v>1632</v>
      </c>
      <c r="S133" s="22" t="s">
        <v>1648</v>
      </c>
      <c r="V133" s="107" t="s">
        <v>4311</v>
      </c>
      <c r="X133" s="124" t="s">
        <v>343</v>
      </c>
      <c r="Y133" s="23" t="s">
        <v>4312</v>
      </c>
    </row>
    <row r="134" spans="1:25" x14ac:dyDescent="0.3">
      <c r="A134" s="22">
        <v>133</v>
      </c>
      <c r="B134" s="22">
        <v>97</v>
      </c>
      <c r="C134" s="18" t="s">
        <v>317</v>
      </c>
      <c r="D134" s="21" t="s">
        <v>5799</v>
      </c>
      <c r="E134" s="21" t="s">
        <v>336</v>
      </c>
      <c r="F134" s="18" t="s">
        <v>1734</v>
      </c>
      <c r="J134" s="23" t="s">
        <v>234</v>
      </c>
      <c r="M134" s="23" t="s">
        <v>3300</v>
      </c>
      <c r="N134" s="22" t="s">
        <v>37</v>
      </c>
      <c r="S134" s="22" t="s">
        <v>2142</v>
      </c>
      <c r="Y134" s="23" t="s">
        <v>6633</v>
      </c>
    </row>
    <row r="135" spans="1:25" x14ac:dyDescent="0.3">
      <c r="A135" s="22">
        <v>134</v>
      </c>
      <c r="B135" s="22">
        <v>97</v>
      </c>
      <c r="C135" s="18" t="s">
        <v>317</v>
      </c>
      <c r="D135" s="21" t="s">
        <v>5799</v>
      </c>
      <c r="E135" s="21" t="s">
        <v>335</v>
      </c>
      <c r="F135" s="18" t="s">
        <v>1733</v>
      </c>
      <c r="J135" s="23" t="s">
        <v>5298</v>
      </c>
      <c r="M135" s="23" t="s">
        <v>3302</v>
      </c>
      <c r="N135" s="22" t="s">
        <v>89</v>
      </c>
      <c r="S135" s="22" t="s">
        <v>2142</v>
      </c>
      <c r="Y135" s="23" t="s">
        <v>4313</v>
      </c>
    </row>
    <row r="136" spans="1:25" x14ac:dyDescent="0.3">
      <c r="A136" s="22">
        <v>135</v>
      </c>
      <c r="B136" s="22">
        <v>97</v>
      </c>
      <c r="C136" s="18" t="s">
        <v>317</v>
      </c>
      <c r="D136" s="21" t="s">
        <v>5799</v>
      </c>
      <c r="E136" s="21" t="s">
        <v>337</v>
      </c>
      <c r="F136" s="18" t="s">
        <v>1735</v>
      </c>
      <c r="J136" s="23" t="s">
        <v>5299</v>
      </c>
      <c r="L136" s="23" t="s">
        <v>6634</v>
      </c>
      <c r="M136" s="23" t="s">
        <v>3304</v>
      </c>
      <c r="N136" s="22" t="s">
        <v>37</v>
      </c>
      <c r="P136" s="23" t="s">
        <v>3019</v>
      </c>
      <c r="S136" s="22" t="s">
        <v>5300</v>
      </c>
      <c r="Y136" s="23" t="s">
        <v>4313</v>
      </c>
    </row>
    <row r="137" spans="1:25" x14ac:dyDescent="0.3">
      <c r="A137" s="22">
        <v>136</v>
      </c>
      <c r="B137" s="22">
        <v>95</v>
      </c>
      <c r="C137" s="18" t="s">
        <v>317</v>
      </c>
      <c r="D137" s="21" t="s">
        <v>5799</v>
      </c>
      <c r="E137" s="21" t="s">
        <v>320</v>
      </c>
      <c r="F137" s="18" t="s">
        <v>321</v>
      </c>
      <c r="J137" s="23" t="s">
        <v>52</v>
      </c>
      <c r="M137" s="23" t="s">
        <v>3306</v>
      </c>
      <c r="N137" s="22" t="s">
        <v>37</v>
      </c>
    </row>
    <row r="138" spans="1:25" x14ac:dyDescent="0.3">
      <c r="A138" s="22">
        <v>137</v>
      </c>
      <c r="B138" s="22">
        <v>95</v>
      </c>
      <c r="C138" s="18" t="s">
        <v>317</v>
      </c>
      <c r="D138" s="21" t="s">
        <v>5799</v>
      </c>
      <c r="E138" s="21" t="s">
        <v>318</v>
      </c>
      <c r="F138" s="18" t="s">
        <v>319</v>
      </c>
      <c r="J138" s="23" t="s">
        <v>5301</v>
      </c>
      <c r="L138" s="23" t="s">
        <v>1724</v>
      </c>
      <c r="M138" s="23" t="s">
        <v>3308</v>
      </c>
      <c r="N138" s="22" t="s">
        <v>63</v>
      </c>
    </row>
    <row r="139" spans="1:25" x14ac:dyDescent="0.3">
      <c r="A139" s="22">
        <v>138</v>
      </c>
      <c r="B139" s="22">
        <v>99</v>
      </c>
      <c r="C139" s="18" t="s">
        <v>317</v>
      </c>
      <c r="D139" s="21" t="s">
        <v>5799</v>
      </c>
      <c r="E139" s="21" t="s">
        <v>338</v>
      </c>
      <c r="F139" s="18" t="s">
        <v>3310</v>
      </c>
      <c r="J139" s="23" t="s">
        <v>5302</v>
      </c>
      <c r="L139" s="23" t="s">
        <v>1736</v>
      </c>
      <c r="M139" s="23" t="s">
        <v>3233</v>
      </c>
      <c r="N139" s="22" t="s">
        <v>37</v>
      </c>
      <c r="S139" s="22" t="s">
        <v>1745</v>
      </c>
      <c r="V139" s="107" t="s">
        <v>1737</v>
      </c>
      <c r="Y139" s="23" t="s">
        <v>4314</v>
      </c>
    </row>
    <row r="140" spans="1:25" x14ac:dyDescent="0.3">
      <c r="A140" s="22">
        <v>139</v>
      </c>
      <c r="B140" s="22">
        <v>99</v>
      </c>
      <c r="C140" s="18" t="s">
        <v>317</v>
      </c>
      <c r="D140" s="21" t="s">
        <v>5799</v>
      </c>
      <c r="E140" s="21" t="s">
        <v>339</v>
      </c>
      <c r="F140" s="18" t="s">
        <v>340</v>
      </c>
      <c r="J140" s="23" t="s">
        <v>5303</v>
      </c>
      <c r="K140" s="23" t="s">
        <v>5304</v>
      </c>
      <c r="L140" s="23" t="s">
        <v>1738</v>
      </c>
      <c r="M140" s="23" t="s">
        <v>3312</v>
      </c>
      <c r="N140" s="22" t="s">
        <v>37</v>
      </c>
    </row>
    <row r="141" spans="1:25" x14ac:dyDescent="0.3">
      <c r="A141" s="22">
        <v>140</v>
      </c>
      <c r="B141" s="22">
        <v>99</v>
      </c>
      <c r="C141" s="18" t="s">
        <v>317</v>
      </c>
      <c r="D141" s="21" t="s">
        <v>5799</v>
      </c>
      <c r="E141" s="21" t="s">
        <v>333</v>
      </c>
      <c r="F141" s="18" t="s">
        <v>334</v>
      </c>
      <c r="J141" s="23" t="s">
        <v>5305</v>
      </c>
      <c r="M141" s="23" t="s">
        <v>3314</v>
      </c>
      <c r="N141" s="22" t="s">
        <v>37</v>
      </c>
      <c r="S141" s="22" t="s">
        <v>1638</v>
      </c>
      <c r="Y141" s="23" t="s">
        <v>4315</v>
      </c>
    </row>
    <row r="142" spans="1:25" x14ac:dyDescent="0.3">
      <c r="A142" s="22">
        <v>141</v>
      </c>
      <c r="B142" s="22">
        <v>99</v>
      </c>
      <c r="C142" s="18" t="s">
        <v>317</v>
      </c>
      <c r="D142" s="21" t="s">
        <v>5799</v>
      </c>
      <c r="E142" s="21" t="s">
        <v>331</v>
      </c>
      <c r="F142" s="18" t="s">
        <v>332</v>
      </c>
      <c r="I142" s="23" t="s">
        <v>1732</v>
      </c>
      <c r="J142" s="23" t="s">
        <v>5229</v>
      </c>
      <c r="L142" s="23" t="s">
        <v>1653</v>
      </c>
      <c r="M142" s="23" t="s">
        <v>3316</v>
      </c>
      <c r="N142" s="22" t="s">
        <v>57</v>
      </c>
      <c r="O142" s="23" t="s">
        <v>1632</v>
      </c>
      <c r="T142" s="62" t="s">
        <v>5892</v>
      </c>
    </row>
    <row r="143" spans="1:25" x14ac:dyDescent="0.3">
      <c r="A143" s="22">
        <v>142</v>
      </c>
      <c r="B143" s="22">
        <v>103</v>
      </c>
      <c r="C143" s="18" t="s">
        <v>350</v>
      </c>
      <c r="D143" s="21" t="s">
        <v>349</v>
      </c>
      <c r="E143" s="21" t="s">
        <v>351</v>
      </c>
      <c r="F143" s="18" t="s">
        <v>352</v>
      </c>
      <c r="J143" s="23" t="s">
        <v>4316</v>
      </c>
      <c r="M143" s="23" t="s">
        <v>3318</v>
      </c>
      <c r="N143" s="22" t="s">
        <v>353</v>
      </c>
      <c r="P143" s="23" t="s">
        <v>3019</v>
      </c>
      <c r="Q143" s="22" t="s">
        <v>38</v>
      </c>
      <c r="R143" s="22" t="s">
        <v>112</v>
      </c>
      <c r="S143" s="22" t="s">
        <v>1638</v>
      </c>
      <c r="X143" s="124" t="s">
        <v>354</v>
      </c>
      <c r="Y143" s="23" t="s">
        <v>4317</v>
      </c>
    </row>
    <row r="144" spans="1:25" x14ac:dyDescent="0.3">
      <c r="A144" s="22">
        <v>143</v>
      </c>
      <c r="B144" s="22">
        <v>103</v>
      </c>
      <c r="C144" s="18" t="s">
        <v>350</v>
      </c>
      <c r="D144" s="21" t="s">
        <v>349</v>
      </c>
      <c r="E144" s="21" t="s">
        <v>355</v>
      </c>
      <c r="F144" s="18" t="s">
        <v>356</v>
      </c>
      <c r="G144" s="23" t="s">
        <v>1612</v>
      </c>
      <c r="J144" s="23" t="s">
        <v>5306</v>
      </c>
      <c r="K144" s="23" t="s">
        <v>4318</v>
      </c>
      <c r="L144" s="23" t="s">
        <v>1744</v>
      </c>
      <c r="M144" s="23" t="s">
        <v>3200</v>
      </c>
      <c r="N144" s="22" t="s">
        <v>49</v>
      </c>
      <c r="P144" s="23" t="s">
        <v>49</v>
      </c>
      <c r="S144" s="22" t="s">
        <v>1745</v>
      </c>
      <c r="U144" s="62" t="s">
        <v>1746</v>
      </c>
      <c r="V144" s="107" t="s">
        <v>1746</v>
      </c>
      <c r="W144" s="108">
        <v>39630</v>
      </c>
      <c r="X144" s="124" t="s">
        <v>6391</v>
      </c>
      <c r="Y144" s="23" t="s">
        <v>6635</v>
      </c>
    </row>
    <row r="145" spans="1:25" x14ac:dyDescent="0.3">
      <c r="A145" s="22">
        <v>144</v>
      </c>
      <c r="B145" s="22">
        <v>103</v>
      </c>
      <c r="C145" s="18" t="s">
        <v>350</v>
      </c>
      <c r="D145" s="21" t="s">
        <v>349</v>
      </c>
      <c r="E145" s="21" t="s">
        <v>3321</v>
      </c>
      <c r="F145" s="18" t="s">
        <v>3322</v>
      </c>
      <c r="G145" s="23" t="s">
        <v>1612</v>
      </c>
      <c r="J145" s="23" t="s">
        <v>5216</v>
      </c>
      <c r="L145" s="23" t="s">
        <v>4319</v>
      </c>
      <c r="M145" s="23" t="s">
        <v>3323</v>
      </c>
      <c r="N145" s="22" t="s">
        <v>49</v>
      </c>
      <c r="P145" s="23" t="s">
        <v>49</v>
      </c>
      <c r="Q145" s="22" t="s">
        <v>38</v>
      </c>
      <c r="W145" s="108">
        <v>43886</v>
      </c>
      <c r="X145" s="124" t="s">
        <v>6392</v>
      </c>
    </row>
    <row r="146" spans="1:25" x14ac:dyDescent="0.3">
      <c r="A146" s="22">
        <v>145</v>
      </c>
      <c r="B146" s="22">
        <v>49</v>
      </c>
      <c r="C146" s="18" t="s">
        <v>358</v>
      </c>
      <c r="D146" s="21" t="s">
        <v>357</v>
      </c>
      <c r="E146" s="21" t="s">
        <v>359</v>
      </c>
      <c r="F146" s="18" t="s">
        <v>360</v>
      </c>
      <c r="J146" s="23" t="s">
        <v>5307</v>
      </c>
      <c r="M146" s="23" t="s">
        <v>3325</v>
      </c>
      <c r="N146" s="22" t="s">
        <v>37</v>
      </c>
      <c r="V146" s="107" t="s">
        <v>4320</v>
      </c>
    </row>
    <row r="147" spans="1:25" x14ac:dyDescent="0.3">
      <c r="A147" s="22">
        <v>146</v>
      </c>
      <c r="B147" s="22">
        <v>49</v>
      </c>
      <c r="C147" s="18" t="s">
        <v>358</v>
      </c>
      <c r="D147" s="21" t="s">
        <v>357</v>
      </c>
      <c r="E147" s="21" t="s">
        <v>361</v>
      </c>
      <c r="F147" s="18" t="s">
        <v>362</v>
      </c>
      <c r="H147" s="21" t="s">
        <v>1747</v>
      </c>
      <c r="J147" s="23" t="s">
        <v>5308</v>
      </c>
      <c r="K147" s="23" t="s">
        <v>5309</v>
      </c>
      <c r="M147" s="23" t="s">
        <v>3083</v>
      </c>
      <c r="N147" s="22" t="s">
        <v>49</v>
      </c>
      <c r="P147" s="23" t="s">
        <v>49</v>
      </c>
      <c r="W147" s="108">
        <v>10959</v>
      </c>
      <c r="X147" s="124" t="s">
        <v>6505</v>
      </c>
    </row>
    <row r="148" spans="1:25" x14ac:dyDescent="0.3">
      <c r="A148" s="22">
        <v>147</v>
      </c>
      <c r="B148" s="22">
        <v>159</v>
      </c>
      <c r="C148" s="18" t="s">
        <v>363</v>
      </c>
      <c r="D148" s="21" t="s">
        <v>5802</v>
      </c>
      <c r="E148" s="21" t="s">
        <v>368</v>
      </c>
      <c r="F148" s="18" t="s">
        <v>369</v>
      </c>
      <c r="J148" s="23" t="s">
        <v>84</v>
      </c>
      <c r="M148" s="23" t="s">
        <v>3332</v>
      </c>
      <c r="N148" s="22" t="s">
        <v>37</v>
      </c>
      <c r="V148" s="107" t="s">
        <v>4322</v>
      </c>
    </row>
    <row r="149" spans="1:25" x14ac:dyDescent="0.3">
      <c r="A149" s="22">
        <v>148</v>
      </c>
      <c r="B149" s="22">
        <v>157</v>
      </c>
      <c r="C149" s="18" t="s">
        <v>363</v>
      </c>
      <c r="D149" s="21" t="s">
        <v>5802</v>
      </c>
      <c r="E149" s="21" t="s">
        <v>366</v>
      </c>
      <c r="F149" s="18" t="s">
        <v>367</v>
      </c>
      <c r="J149" s="23" t="s">
        <v>5311</v>
      </c>
      <c r="M149" s="23" t="s">
        <v>3330</v>
      </c>
      <c r="N149" s="22" t="s">
        <v>57</v>
      </c>
      <c r="O149" s="23" t="s">
        <v>1632</v>
      </c>
      <c r="T149" s="62" t="s">
        <v>5894</v>
      </c>
    </row>
    <row r="150" spans="1:25" x14ac:dyDescent="0.3">
      <c r="A150" s="22">
        <v>149</v>
      </c>
      <c r="B150" s="22">
        <v>157</v>
      </c>
      <c r="C150" s="18" t="s">
        <v>363</v>
      </c>
      <c r="D150" s="21" t="s">
        <v>5802</v>
      </c>
      <c r="E150" s="21" t="s">
        <v>364</v>
      </c>
      <c r="F150" s="18" t="s">
        <v>365</v>
      </c>
      <c r="G150" s="23" t="s">
        <v>1748</v>
      </c>
      <c r="H150" s="21" t="s">
        <v>1748</v>
      </c>
      <c r="J150" s="23" t="s">
        <v>5310</v>
      </c>
      <c r="M150" s="23" t="s">
        <v>3328</v>
      </c>
      <c r="N150" s="22" t="s">
        <v>37</v>
      </c>
      <c r="P150" s="23" t="s">
        <v>3019</v>
      </c>
      <c r="S150" s="22" t="s">
        <v>1615</v>
      </c>
      <c r="T150" s="62" t="s">
        <v>5893</v>
      </c>
      <c r="Y150" s="23" t="s">
        <v>4321</v>
      </c>
    </row>
    <row r="151" spans="1:25" x14ac:dyDescent="0.3">
      <c r="A151" s="22">
        <v>150</v>
      </c>
      <c r="B151" s="22">
        <v>157</v>
      </c>
      <c r="C151" s="18" t="s">
        <v>363</v>
      </c>
      <c r="D151" s="21" t="s">
        <v>5802</v>
      </c>
      <c r="E151" s="21" t="s">
        <v>1750</v>
      </c>
      <c r="F151" s="18" t="s">
        <v>370</v>
      </c>
      <c r="J151" s="23" t="s">
        <v>4377</v>
      </c>
      <c r="L151" s="23" t="s">
        <v>1749</v>
      </c>
      <c r="M151" s="23" t="s">
        <v>3334</v>
      </c>
      <c r="N151" s="22" t="s">
        <v>57</v>
      </c>
      <c r="O151" s="23" t="s">
        <v>1712</v>
      </c>
      <c r="P151" s="23" t="s">
        <v>3017</v>
      </c>
      <c r="Q151" s="22" t="s">
        <v>158</v>
      </c>
      <c r="R151" s="22" t="s">
        <v>58</v>
      </c>
      <c r="S151" s="22" t="s">
        <v>1615</v>
      </c>
      <c r="Y151" s="23" t="s">
        <v>6636</v>
      </c>
    </row>
    <row r="152" spans="1:25" x14ac:dyDescent="0.3">
      <c r="A152" s="22">
        <v>151</v>
      </c>
      <c r="B152" s="22">
        <v>129</v>
      </c>
      <c r="C152" s="18" t="s">
        <v>372</v>
      </c>
      <c r="D152" s="21" t="s">
        <v>371</v>
      </c>
      <c r="E152" s="21" t="s">
        <v>373</v>
      </c>
      <c r="F152" s="18" t="s">
        <v>374</v>
      </c>
      <c r="G152" s="23" t="s">
        <v>1752</v>
      </c>
      <c r="H152" s="21" t="s">
        <v>1752</v>
      </c>
      <c r="I152" s="23" t="s">
        <v>1752</v>
      </c>
      <c r="J152" s="23" t="s">
        <v>5312</v>
      </c>
      <c r="L152" s="23" t="s">
        <v>1751</v>
      </c>
      <c r="M152" s="23" t="s">
        <v>3336</v>
      </c>
      <c r="N152" s="22" t="s">
        <v>37</v>
      </c>
      <c r="P152" s="23" t="s">
        <v>5313</v>
      </c>
      <c r="Q152" s="22" t="s">
        <v>50</v>
      </c>
      <c r="R152" s="22" t="s">
        <v>58</v>
      </c>
      <c r="S152" s="22" t="s">
        <v>1679</v>
      </c>
      <c r="X152" s="124" t="s">
        <v>6506</v>
      </c>
      <c r="Y152" s="23" t="s">
        <v>4323</v>
      </c>
    </row>
    <row r="153" spans="1:25" x14ac:dyDescent="0.3">
      <c r="A153" s="22">
        <v>152</v>
      </c>
      <c r="B153" s="22">
        <v>129</v>
      </c>
      <c r="C153" s="18" t="s">
        <v>376</v>
      </c>
      <c r="D153" s="21" t="s">
        <v>375</v>
      </c>
      <c r="E153" s="21" t="s">
        <v>377</v>
      </c>
      <c r="F153" s="18" t="s">
        <v>378</v>
      </c>
      <c r="J153" s="23" t="s">
        <v>5314</v>
      </c>
      <c r="K153" s="23" t="s">
        <v>1753</v>
      </c>
      <c r="M153" s="23" t="s">
        <v>3338</v>
      </c>
      <c r="N153" s="22" t="s">
        <v>49</v>
      </c>
      <c r="P153" s="23" t="s">
        <v>49</v>
      </c>
      <c r="Q153" s="22" t="s">
        <v>50</v>
      </c>
      <c r="W153" s="108">
        <v>33929</v>
      </c>
      <c r="X153" s="124" t="s">
        <v>6507</v>
      </c>
    </row>
    <row r="154" spans="1:25" x14ac:dyDescent="0.3">
      <c r="A154" s="22">
        <v>153</v>
      </c>
      <c r="B154" s="22">
        <v>131</v>
      </c>
      <c r="C154" s="18" t="s">
        <v>379</v>
      </c>
      <c r="D154" s="21" t="s">
        <v>5803</v>
      </c>
      <c r="E154" s="21" t="s">
        <v>380</v>
      </c>
      <c r="F154" s="18" t="s">
        <v>381</v>
      </c>
      <c r="J154" s="23" t="s">
        <v>5895</v>
      </c>
      <c r="K154" s="23" t="s">
        <v>5315</v>
      </c>
      <c r="L154" s="23" t="s">
        <v>1754</v>
      </c>
      <c r="M154" s="23" t="s">
        <v>3340</v>
      </c>
      <c r="N154" s="22" t="s">
        <v>178</v>
      </c>
      <c r="V154" s="107" t="s">
        <v>4324</v>
      </c>
      <c r="X154" s="124" t="s">
        <v>9</v>
      </c>
    </row>
    <row r="155" spans="1:25" x14ac:dyDescent="0.3">
      <c r="A155" s="22">
        <v>154</v>
      </c>
      <c r="B155" s="22">
        <v>131</v>
      </c>
      <c r="C155" s="18" t="s">
        <v>379</v>
      </c>
      <c r="D155" s="21" t="s">
        <v>5803</v>
      </c>
      <c r="E155" s="21" t="s">
        <v>382</v>
      </c>
      <c r="F155" s="18" t="s">
        <v>383</v>
      </c>
      <c r="G155" s="23" t="s">
        <v>380</v>
      </c>
      <c r="J155" s="23" t="s">
        <v>5316</v>
      </c>
      <c r="K155" s="23" t="s">
        <v>5317</v>
      </c>
      <c r="L155" s="23" t="s">
        <v>1755</v>
      </c>
      <c r="M155" s="23" t="s">
        <v>3342</v>
      </c>
      <c r="N155" s="22" t="s">
        <v>346</v>
      </c>
      <c r="P155" s="23" t="s">
        <v>1756</v>
      </c>
      <c r="S155" s="22" t="s">
        <v>1615</v>
      </c>
      <c r="V155" s="107" t="s">
        <v>4325</v>
      </c>
      <c r="X155" s="124" t="s">
        <v>3343</v>
      </c>
      <c r="Y155" s="23" t="s">
        <v>4326</v>
      </c>
    </row>
    <row r="156" spans="1:25" x14ac:dyDescent="0.3">
      <c r="A156" s="22">
        <v>155</v>
      </c>
      <c r="B156" s="22">
        <v>131</v>
      </c>
      <c r="C156" s="18" t="s">
        <v>379</v>
      </c>
      <c r="D156" s="21" t="s">
        <v>5803</v>
      </c>
      <c r="E156" s="21" t="s">
        <v>384</v>
      </c>
      <c r="F156" s="18" t="s">
        <v>385</v>
      </c>
      <c r="J156" s="23" t="s">
        <v>5318</v>
      </c>
      <c r="K156" s="23" t="s">
        <v>5319</v>
      </c>
      <c r="L156" s="23" t="s">
        <v>1757</v>
      </c>
      <c r="M156" s="23" t="s">
        <v>8551</v>
      </c>
      <c r="N156" s="22" t="s">
        <v>89</v>
      </c>
      <c r="W156" s="108">
        <v>33305</v>
      </c>
      <c r="X156" s="124" t="s">
        <v>6393</v>
      </c>
    </row>
    <row r="157" spans="1:25" x14ac:dyDescent="0.3">
      <c r="A157" s="22">
        <v>156</v>
      </c>
      <c r="B157" s="22">
        <v>131</v>
      </c>
      <c r="C157" s="18" t="s">
        <v>387</v>
      </c>
      <c r="D157" s="21" t="s">
        <v>386</v>
      </c>
      <c r="E157" s="21" t="s">
        <v>394</v>
      </c>
      <c r="F157" s="18" t="s">
        <v>395</v>
      </c>
      <c r="H157" s="21" t="s">
        <v>1765</v>
      </c>
      <c r="J157" s="23" t="s">
        <v>5326</v>
      </c>
      <c r="K157" s="23" t="s">
        <v>5327</v>
      </c>
      <c r="L157" s="23" t="s">
        <v>1764</v>
      </c>
      <c r="M157" s="23" t="s">
        <v>3352</v>
      </c>
      <c r="N157" s="22" t="s">
        <v>89</v>
      </c>
    </row>
    <row r="158" spans="1:25" x14ac:dyDescent="0.3">
      <c r="A158" s="22">
        <v>157</v>
      </c>
      <c r="B158" s="22">
        <v>131</v>
      </c>
      <c r="C158" s="18" t="s">
        <v>387</v>
      </c>
      <c r="D158" s="21" t="s">
        <v>386</v>
      </c>
      <c r="E158" s="21" t="s">
        <v>392</v>
      </c>
      <c r="F158" s="18" t="s">
        <v>393</v>
      </c>
      <c r="G158" s="23" t="s">
        <v>1763</v>
      </c>
      <c r="J158" s="23" t="s">
        <v>5324</v>
      </c>
      <c r="K158" s="23" t="s">
        <v>5325</v>
      </c>
      <c r="L158" s="23" t="s">
        <v>1762</v>
      </c>
      <c r="M158" s="23" t="s">
        <v>3350</v>
      </c>
      <c r="N158" s="22" t="s">
        <v>89</v>
      </c>
    </row>
    <row r="159" spans="1:25" x14ac:dyDescent="0.3">
      <c r="A159" s="22">
        <v>158</v>
      </c>
      <c r="B159" s="22">
        <v>131</v>
      </c>
      <c r="C159" s="18" t="s">
        <v>387</v>
      </c>
      <c r="D159" s="21" t="s">
        <v>386</v>
      </c>
      <c r="E159" s="21" t="s">
        <v>396</v>
      </c>
      <c r="F159" s="18" t="s">
        <v>397</v>
      </c>
      <c r="J159" s="23" t="s">
        <v>5328</v>
      </c>
      <c r="K159" s="23" t="s">
        <v>5896</v>
      </c>
      <c r="M159" s="23" t="s">
        <v>3086</v>
      </c>
      <c r="N159" s="22" t="s">
        <v>49</v>
      </c>
      <c r="P159" s="23" t="s">
        <v>49</v>
      </c>
      <c r="W159" s="108">
        <v>25243</v>
      </c>
      <c r="X159" s="124" t="s">
        <v>6508</v>
      </c>
    </row>
    <row r="160" spans="1:25" x14ac:dyDescent="0.3">
      <c r="A160" s="22">
        <v>159</v>
      </c>
      <c r="B160" s="22">
        <v>133</v>
      </c>
      <c r="C160" s="18" t="s">
        <v>387</v>
      </c>
      <c r="D160" s="21" t="s">
        <v>386</v>
      </c>
      <c r="E160" s="21" t="s">
        <v>398</v>
      </c>
      <c r="F160" s="18" t="s">
        <v>399</v>
      </c>
      <c r="J160" s="23" t="s">
        <v>5329</v>
      </c>
      <c r="K160" s="23" t="s">
        <v>5900</v>
      </c>
      <c r="M160" s="23" t="s">
        <v>3355</v>
      </c>
      <c r="N160" s="22" t="s">
        <v>346</v>
      </c>
    </row>
    <row r="161" spans="1:25" x14ac:dyDescent="0.3">
      <c r="A161" s="22">
        <v>160</v>
      </c>
      <c r="C161" s="18" t="s">
        <v>387</v>
      </c>
      <c r="D161" s="21" t="s">
        <v>386</v>
      </c>
      <c r="E161" s="21" t="s">
        <v>5805</v>
      </c>
      <c r="F161" s="18" t="s">
        <v>5806</v>
      </c>
      <c r="G161" s="23" t="s">
        <v>1612</v>
      </c>
      <c r="J161" s="23" t="s">
        <v>5897</v>
      </c>
      <c r="K161" s="23" t="s">
        <v>5898</v>
      </c>
      <c r="L161" s="23" t="s">
        <v>5899</v>
      </c>
      <c r="N161" s="22" t="s">
        <v>49</v>
      </c>
      <c r="P161" s="23" t="s">
        <v>49</v>
      </c>
      <c r="W161" s="108">
        <v>44926</v>
      </c>
      <c r="X161" s="124" t="s">
        <v>8552</v>
      </c>
    </row>
    <row r="162" spans="1:25" x14ac:dyDescent="0.3">
      <c r="A162" s="22">
        <v>161</v>
      </c>
      <c r="B162" s="22">
        <v>135</v>
      </c>
      <c r="C162" s="18" t="s">
        <v>387</v>
      </c>
      <c r="D162" s="21" t="s">
        <v>386</v>
      </c>
      <c r="E162" s="21" t="s">
        <v>388</v>
      </c>
      <c r="F162" s="18" t="s">
        <v>389</v>
      </c>
      <c r="G162" s="23" t="s">
        <v>1612</v>
      </c>
      <c r="J162" s="23" t="s">
        <v>5320</v>
      </c>
      <c r="K162" s="23" t="s">
        <v>5321</v>
      </c>
      <c r="L162" s="23" t="s">
        <v>1758</v>
      </c>
      <c r="M162" s="23" t="s">
        <v>3346</v>
      </c>
      <c r="N162" s="22" t="s">
        <v>89</v>
      </c>
      <c r="Q162" s="22" t="s">
        <v>50</v>
      </c>
      <c r="W162" s="108">
        <v>36541</v>
      </c>
      <c r="X162" s="124" t="s">
        <v>6509</v>
      </c>
    </row>
    <row r="163" spans="1:25" x14ac:dyDescent="0.3">
      <c r="A163" s="22">
        <v>162</v>
      </c>
      <c r="B163" s="22">
        <v>135</v>
      </c>
      <c r="C163" s="18" t="s">
        <v>387</v>
      </c>
      <c r="D163" s="21" t="s">
        <v>386</v>
      </c>
      <c r="E163" s="21" t="s">
        <v>390</v>
      </c>
      <c r="F163" s="18" t="s">
        <v>391</v>
      </c>
      <c r="H163" s="21" t="s">
        <v>1761</v>
      </c>
      <c r="J163" s="23" t="s">
        <v>5322</v>
      </c>
      <c r="K163" s="23" t="s">
        <v>5323</v>
      </c>
      <c r="L163" s="23" t="s">
        <v>1760</v>
      </c>
      <c r="M163" s="23" t="s">
        <v>3348</v>
      </c>
      <c r="N163" s="22" t="s">
        <v>49</v>
      </c>
      <c r="P163" s="23" t="s">
        <v>49</v>
      </c>
      <c r="W163" s="108">
        <v>2212</v>
      </c>
      <c r="X163" s="124" t="s">
        <v>6510</v>
      </c>
    </row>
    <row r="164" spans="1:25" x14ac:dyDescent="0.3">
      <c r="A164" s="22">
        <v>163</v>
      </c>
      <c r="B164" s="22">
        <v>135</v>
      </c>
      <c r="C164" s="18" t="s">
        <v>387</v>
      </c>
      <c r="D164" s="21" t="s">
        <v>386</v>
      </c>
      <c r="E164" s="21" t="s">
        <v>407</v>
      </c>
      <c r="F164" s="18" t="s">
        <v>6512</v>
      </c>
      <c r="J164" s="23" t="s">
        <v>5334</v>
      </c>
      <c r="K164" s="23" t="s">
        <v>5335</v>
      </c>
      <c r="L164" s="23" t="s">
        <v>1768</v>
      </c>
      <c r="M164" s="23" t="s">
        <v>3357</v>
      </c>
      <c r="N164" s="22" t="s">
        <v>49</v>
      </c>
      <c r="P164" s="23" t="s">
        <v>49</v>
      </c>
      <c r="T164" s="62" t="s">
        <v>6637</v>
      </c>
      <c r="V164" s="107" t="s">
        <v>408</v>
      </c>
      <c r="W164" s="108" t="s">
        <v>4328</v>
      </c>
      <c r="X164" s="124" t="s">
        <v>6513</v>
      </c>
    </row>
    <row r="165" spans="1:25" x14ac:dyDescent="0.3">
      <c r="A165" s="22">
        <v>164</v>
      </c>
      <c r="C165" s="18" t="s">
        <v>387</v>
      </c>
      <c r="D165" s="21" t="s">
        <v>386</v>
      </c>
      <c r="E165" s="21" t="s">
        <v>6515</v>
      </c>
      <c r="F165" s="18" t="s">
        <v>6516</v>
      </c>
      <c r="G165" s="23" t="s">
        <v>8579</v>
      </c>
      <c r="J165" s="23" t="s">
        <v>6638</v>
      </c>
      <c r="K165" s="23" t="s">
        <v>6639</v>
      </c>
      <c r="N165" s="22" t="s">
        <v>89</v>
      </c>
      <c r="S165" s="22" t="s">
        <v>1648</v>
      </c>
      <c r="T165" s="62" t="s">
        <v>6640</v>
      </c>
      <c r="X165" s="124" t="s">
        <v>8553</v>
      </c>
      <c r="Y165" s="23" t="s">
        <v>6641</v>
      </c>
    </row>
    <row r="166" spans="1:25" x14ac:dyDescent="0.3">
      <c r="A166" s="22">
        <v>165</v>
      </c>
      <c r="B166" s="22">
        <v>133</v>
      </c>
      <c r="C166" s="18" t="s">
        <v>387</v>
      </c>
      <c r="D166" s="21" t="s">
        <v>386</v>
      </c>
      <c r="E166" s="21" t="s">
        <v>6518</v>
      </c>
      <c r="F166" s="18" t="s">
        <v>6519</v>
      </c>
      <c r="G166" s="23" t="s">
        <v>6642</v>
      </c>
      <c r="I166" s="23" t="s">
        <v>4566</v>
      </c>
      <c r="J166" s="23" t="s">
        <v>6643</v>
      </c>
      <c r="K166" s="23" t="s">
        <v>6644</v>
      </c>
      <c r="M166" s="23" t="s">
        <v>3350</v>
      </c>
      <c r="N166" s="22" t="s">
        <v>89</v>
      </c>
      <c r="S166" s="22" t="s">
        <v>1615</v>
      </c>
      <c r="T166" s="62" t="s">
        <v>6640</v>
      </c>
      <c r="V166" s="107" t="s">
        <v>404</v>
      </c>
      <c r="Y166" s="23" t="s">
        <v>6645</v>
      </c>
    </row>
    <row r="167" spans="1:25" x14ac:dyDescent="0.3">
      <c r="A167" s="22">
        <v>166</v>
      </c>
      <c r="B167" s="22">
        <v>135</v>
      </c>
      <c r="C167" s="18" t="s">
        <v>387</v>
      </c>
      <c r="D167" s="21" t="s">
        <v>386</v>
      </c>
      <c r="E167" s="21" t="s">
        <v>405</v>
      </c>
      <c r="F167" s="18" t="s">
        <v>6521</v>
      </c>
      <c r="J167" s="23" t="s">
        <v>5333</v>
      </c>
      <c r="K167" s="23" t="s">
        <v>5901</v>
      </c>
      <c r="M167" s="23" t="s">
        <v>3350</v>
      </c>
      <c r="N167" s="22" t="s">
        <v>89</v>
      </c>
      <c r="T167" s="62" t="s">
        <v>6646</v>
      </c>
      <c r="V167" s="107" t="s">
        <v>406</v>
      </c>
      <c r="X167" s="124" t="s">
        <v>9</v>
      </c>
    </row>
    <row r="168" spans="1:25" x14ac:dyDescent="0.3">
      <c r="A168" s="22">
        <v>167</v>
      </c>
      <c r="B168" s="22">
        <v>133</v>
      </c>
      <c r="C168" s="18" t="s">
        <v>387</v>
      </c>
      <c r="D168" s="21" t="s">
        <v>386</v>
      </c>
      <c r="E168" s="21" t="s">
        <v>402</v>
      </c>
      <c r="F168" s="18" t="s">
        <v>6523</v>
      </c>
      <c r="I168" s="23" t="s">
        <v>1767</v>
      </c>
      <c r="J168" s="23" t="s">
        <v>5332</v>
      </c>
      <c r="L168" s="23" t="s">
        <v>1766</v>
      </c>
      <c r="M168" s="23" t="s">
        <v>3356</v>
      </c>
      <c r="N168" s="22" t="s">
        <v>37</v>
      </c>
      <c r="Q168" s="22" t="s">
        <v>50</v>
      </c>
      <c r="R168" s="22" t="s">
        <v>38</v>
      </c>
      <c r="T168" s="62" t="s">
        <v>6647</v>
      </c>
      <c r="V168" s="107" t="s">
        <v>403</v>
      </c>
    </row>
    <row r="169" spans="1:25" x14ac:dyDescent="0.3">
      <c r="A169" s="22">
        <v>168</v>
      </c>
      <c r="B169" s="22">
        <v>133</v>
      </c>
      <c r="C169" s="18" t="s">
        <v>387</v>
      </c>
      <c r="D169" s="21" t="s">
        <v>386</v>
      </c>
      <c r="E169" s="21" t="s">
        <v>400</v>
      </c>
      <c r="F169" s="18" t="s">
        <v>6525</v>
      </c>
      <c r="J169" s="23" t="s">
        <v>5330</v>
      </c>
      <c r="K169" s="23" t="s">
        <v>5331</v>
      </c>
      <c r="M169" s="23" t="s">
        <v>3350</v>
      </c>
      <c r="N169" s="22" t="s">
        <v>89</v>
      </c>
      <c r="S169" s="22" t="s">
        <v>1648</v>
      </c>
      <c r="T169" s="62" t="s">
        <v>6648</v>
      </c>
      <c r="V169" s="107" t="s">
        <v>401</v>
      </c>
      <c r="Y169" s="23" t="s">
        <v>4327</v>
      </c>
    </row>
    <row r="170" spans="1:25" x14ac:dyDescent="0.3">
      <c r="A170" s="22">
        <v>169</v>
      </c>
      <c r="B170" s="22">
        <v>135</v>
      </c>
      <c r="C170" s="18" t="s">
        <v>410</v>
      </c>
      <c r="D170" s="21" t="s">
        <v>409</v>
      </c>
      <c r="E170" s="21" t="s">
        <v>411</v>
      </c>
      <c r="F170" s="18" t="s">
        <v>412</v>
      </c>
      <c r="J170" s="23" t="s">
        <v>5336</v>
      </c>
      <c r="L170" s="23" t="s">
        <v>1769</v>
      </c>
      <c r="M170" s="23" t="s">
        <v>3233</v>
      </c>
      <c r="N170" s="22" t="s">
        <v>37</v>
      </c>
    </row>
    <row r="171" spans="1:25" x14ac:dyDescent="0.3">
      <c r="A171" s="22">
        <v>170</v>
      </c>
      <c r="B171" s="22">
        <v>137</v>
      </c>
      <c r="C171" s="18" t="s">
        <v>414</v>
      </c>
      <c r="D171" s="21" t="s">
        <v>413</v>
      </c>
      <c r="E171" s="21" t="s">
        <v>417</v>
      </c>
      <c r="F171" s="18" t="s">
        <v>418</v>
      </c>
      <c r="J171" s="23" t="s">
        <v>5338</v>
      </c>
      <c r="K171" s="23" t="s">
        <v>5339</v>
      </c>
      <c r="L171" s="23" t="s">
        <v>1770</v>
      </c>
      <c r="M171" s="23" t="s">
        <v>3363</v>
      </c>
      <c r="N171" s="22" t="s">
        <v>37</v>
      </c>
    </row>
    <row r="172" spans="1:25" x14ac:dyDescent="0.3">
      <c r="A172" s="22">
        <v>171</v>
      </c>
      <c r="B172" s="22">
        <v>137</v>
      </c>
      <c r="C172" s="18" t="s">
        <v>414</v>
      </c>
      <c r="D172" s="21" t="s">
        <v>413</v>
      </c>
      <c r="E172" s="21" t="s">
        <v>415</v>
      </c>
      <c r="F172" s="18" t="s">
        <v>416</v>
      </c>
      <c r="J172" s="23" t="s">
        <v>5337</v>
      </c>
      <c r="L172" s="23" t="s">
        <v>6649</v>
      </c>
      <c r="M172" s="23" t="s">
        <v>3360</v>
      </c>
      <c r="N172" s="22" t="s">
        <v>37</v>
      </c>
      <c r="P172" s="23" t="s">
        <v>4329</v>
      </c>
      <c r="S172" s="22" t="s">
        <v>1638</v>
      </c>
      <c r="X172" s="124" t="s">
        <v>3361</v>
      </c>
      <c r="Y172" s="23" t="s">
        <v>4330</v>
      </c>
    </row>
    <row r="173" spans="1:25" x14ac:dyDescent="0.3">
      <c r="A173" s="22">
        <v>172</v>
      </c>
      <c r="B173" s="22">
        <v>137</v>
      </c>
      <c r="C173" s="18" t="s">
        <v>419</v>
      </c>
      <c r="D173" s="21" t="s">
        <v>5807</v>
      </c>
      <c r="E173" s="21" t="s">
        <v>420</v>
      </c>
      <c r="F173" s="18" t="s">
        <v>421</v>
      </c>
      <c r="J173" s="23" t="s">
        <v>5902</v>
      </c>
      <c r="K173" s="23" t="s">
        <v>5903</v>
      </c>
      <c r="L173" s="23" t="s">
        <v>1771</v>
      </c>
      <c r="M173" s="23" t="s">
        <v>3164</v>
      </c>
      <c r="N173" s="22" t="s">
        <v>49</v>
      </c>
      <c r="P173" s="23" t="s">
        <v>49</v>
      </c>
      <c r="Q173" s="22" t="s">
        <v>38</v>
      </c>
      <c r="R173" s="22" t="s">
        <v>38</v>
      </c>
      <c r="W173" s="108">
        <v>30070</v>
      </c>
      <c r="X173" s="124" t="s">
        <v>6394</v>
      </c>
    </row>
    <row r="174" spans="1:25" x14ac:dyDescent="0.3">
      <c r="A174" s="22">
        <v>173</v>
      </c>
      <c r="B174" s="22">
        <v>137</v>
      </c>
      <c r="C174" s="18" t="s">
        <v>419</v>
      </c>
      <c r="D174" s="21" t="s">
        <v>5807</v>
      </c>
      <c r="E174" s="21" t="s">
        <v>2956</v>
      </c>
      <c r="F174" s="18" t="s">
        <v>423</v>
      </c>
      <c r="H174" s="21" t="s">
        <v>422</v>
      </c>
      <c r="J174" s="23" t="s">
        <v>5904</v>
      </c>
      <c r="K174" s="23" t="s">
        <v>5905</v>
      </c>
      <c r="M174" s="23" t="s">
        <v>3350</v>
      </c>
      <c r="N174" s="22" t="s">
        <v>89</v>
      </c>
      <c r="S174" s="22" t="s">
        <v>1615</v>
      </c>
      <c r="V174" s="107" t="s">
        <v>4331</v>
      </c>
      <c r="Y174" s="23" t="s">
        <v>4332</v>
      </c>
    </row>
    <row r="175" spans="1:25" x14ac:dyDescent="0.3">
      <c r="A175" s="22">
        <v>174</v>
      </c>
      <c r="B175" s="22">
        <v>139</v>
      </c>
      <c r="C175" s="18" t="s">
        <v>419</v>
      </c>
      <c r="D175" s="21" t="s">
        <v>5807</v>
      </c>
      <c r="E175" s="21" t="s">
        <v>424</v>
      </c>
      <c r="F175" s="18" t="s">
        <v>425</v>
      </c>
      <c r="J175" s="23" t="s">
        <v>5906</v>
      </c>
      <c r="K175" s="23" t="s">
        <v>5907</v>
      </c>
      <c r="L175" s="23" t="s">
        <v>1772</v>
      </c>
      <c r="M175" s="23" t="s">
        <v>3367</v>
      </c>
      <c r="N175" s="22" t="s">
        <v>89</v>
      </c>
      <c r="P175" s="23" t="s">
        <v>3019</v>
      </c>
    </row>
    <row r="176" spans="1:25" x14ac:dyDescent="0.3">
      <c r="A176" s="22">
        <v>175</v>
      </c>
      <c r="B176" s="22">
        <v>139</v>
      </c>
      <c r="C176" s="18" t="s">
        <v>419</v>
      </c>
      <c r="D176" s="21" t="s">
        <v>5807</v>
      </c>
      <c r="E176" s="21" t="s">
        <v>426</v>
      </c>
      <c r="F176" s="18" t="s">
        <v>427</v>
      </c>
      <c r="J176" s="23" t="s">
        <v>5908</v>
      </c>
      <c r="K176" s="23" t="s">
        <v>5909</v>
      </c>
      <c r="L176" s="23" t="s">
        <v>1773</v>
      </c>
      <c r="M176" s="23" t="s">
        <v>3369</v>
      </c>
      <c r="N176" s="22" t="s">
        <v>89</v>
      </c>
      <c r="Q176" s="22" t="s">
        <v>58</v>
      </c>
      <c r="R176" s="22" t="s">
        <v>58</v>
      </c>
      <c r="S176" s="22" t="s">
        <v>1615</v>
      </c>
      <c r="Y176" s="23" t="s">
        <v>4333</v>
      </c>
    </row>
    <row r="177" spans="1:24" x14ac:dyDescent="0.3">
      <c r="A177" s="22">
        <v>176</v>
      </c>
      <c r="B177" s="22">
        <v>139</v>
      </c>
      <c r="C177" s="18" t="s">
        <v>419</v>
      </c>
      <c r="D177" s="21" t="s">
        <v>5807</v>
      </c>
      <c r="E177" s="21" t="s">
        <v>428</v>
      </c>
      <c r="F177" s="18" t="s">
        <v>429</v>
      </c>
      <c r="J177" s="23" t="s">
        <v>5910</v>
      </c>
      <c r="K177" s="23" t="s">
        <v>5911</v>
      </c>
      <c r="M177" s="23" t="s">
        <v>3371</v>
      </c>
      <c r="N177" s="22" t="s">
        <v>89</v>
      </c>
      <c r="Q177" s="22" t="s">
        <v>50</v>
      </c>
      <c r="R177" s="22" t="s">
        <v>186</v>
      </c>
    </row>
    <row r="178" spans="1:24" x14ac:dyDescent="0.3">
      <c r="A178" s="22">
        <v>177</v>
      </c>
      <c r="B178" s="22">
        <v>139</v>
      </c>
      <c r="C178" s="18" t="s">
        <v>419</v>
      </c>
      <c r="D178" s="21" t="s">
        <v>5807</v>
      </c>
      <c r="E178" s="21" t="s">
        <v>430</v>
      </c>
      <c r="F178" s="18" t="s">
        <v>431</v>
      </c>
      <c r="J178" s="23" t="s">
        <v>5912</v>
      </c>
      <c r="K178" s="23" t="s">
        <v>5913</v>
      </c>
      <c r="M178" s="23" t="s">
        <v>3371</v>
      </c>
      <c r="N178" s="22" t="s">
        <v>89</v>
      </c>
      <c r="Q178" s="22" t="s">
        <v>50</v>
      </c>
      <c r="X178" s="124" t="s">
        <v>9</v>
      </c>
    </row>
    <row r="179" spans="1:24" x14ac:dyDescent="0.3">
      <c r="A179" s="22">
        <v>178</v>
      </c>
      <c r="B179" s="22">
        <v>139</v>
      </c>
      <c r="C179" s="18" t="s">
        <v>419</v>
      </c>
      <c r="D179" s="21" t="s">
        <v>5807</v>
      </c>
      <c r="E179" s="21" t="s">
        <v>432</v>
      </c>
      <c r="F179" s="18" t="s">
        <v>433</v>
      </c>
      <c r="J179" s="23" t="s">
        <v>5914</v>
      </c>
      <c r="K179" s="23" t="s">
        <v>5915</v>
      </c>
      <c r="M179" s="23" t="s">
        <v>3371</v>
      </c>
      <c r="N179" s="22" t="s">
        <v>89</v>
      </c>
      <c r="Q179" s="22" t="s">
        <v>50</v>
      </c>
      <c r="R179" s="22" t="s">
        <v>38</v>
      </c>
    </row>
    <row r="180" spans="1:24" x14ac:dyDescent="0.3">
      <c r="A180" s="22">
        <v>179</v>
      </c>
      <c r="B180" s="22">
        <v>147</v>
      </c>
      <c r="C180" s="18" t="s">
        <v>419</v>
      </c>
      <c r="D180" s="21" t="s">
        <v>5807</v>
      </c>
      <c r="E180" s="21" t="s">
        <v>462</v>
      </c>
      <c r="F180" s="18" t="s">
        <v>463</v>
      </c>
      <c r="J180" s="23" t="s">
        <v>5946</v>
      </c>
      <c r="K180" s="23" t="s">
        <v>5947</v>
      </c>
      <c r="L180" s="23" t="s">
        <v>1784</v>
      </c>
      <c r="M180" s="23" t="s">
        <v>3396</v>
      </c>
      <c r="N180" s="22" t="s">
        <v>89</v>
      </c>
      <c r="Q180" s="22" t="s">
        <v>50</v>
      </c>
      <c r="R180" s="22" t="s">
        <v>38</v>
      </c>
    </row>
    <row r="181" spans="1:24" x14ac:dyDescent="0.3">
      <c r="A181" s="22">
        <v>180</v>
      </c>
      <c r="B181" s="22">
        <v>147</v>
      </c>
      <c r="C181" s="18" t="s">
        <v>419</v>
      </c>
      <c r="D181" s="21" t="s">
        <v>5807</v>
      </c>
      <c r="E181" s="21" t="s">
        <v>464</v>
      </c>
      <c r="F181" s="18" t="s">
        <v>465</v>
      </c>
      <c r="G181" s="23" t="s">
        <v>1612</v>
      </c>
      <c r="J181" s="23" t="s">
        <v>5948</v>
      </c>
      <c r="K181" s="23" t="s">
        <v>5949</v>
      </c>
      <c r="L181" s="23" t="s">
        <v>1785</v>
      </c>
      <c r="M181" s="23" t="s">
        <v>3083</v>
      </c>
      <c r="N181" s="22" t="s">
        <v>49</v>
      </c>
      <c r="P181" s="23" t="s">
        <v>49</v>
      </c>
      <c r="W181" s="108">
        <v>39454</v>
      </c>
      <c r="X181" s="124" t="s">
        <v>6397</v>
      </c>
    </row>
    <row r="182" spans="1:24" x14ac:dyDescent="0.3">
      <c r="A182" s="22">
        <v>181</v>
      </c>
      <c r="B182" s="22">
        <v>151</v>
      </c>
      <c r="C182" s="18" t="s">
        <v>419</v>
      </c>
      <c r="D182" s="21" t="s">
        <v>5807</v>
      </c>
      <c r="E182" s="21" t="s">
        <v>468</v>
      </c>
      <c r="F182" s="18" t="s">
        <v>469</v>
      </c>
      <c r="J182" s="23" t="s">
        <v>5952</v>
      </c>
      <c r="K182" s="23" t="s">
        <v>5953</v>
      </c>
      <c r="L182" s="23" t="s">
        <v>1788</v>
      </c>
      <c r="M182" s="23" t="s">
        <v>3086</v>
      </c>
      <c r="N182" s="22" t="s">
        <v>49</v>
      </c>
      <c r="P182" s="23" t="s">
        <v>49</v>
      </c>
      <c r="W182" s="108">
        <v>11285</v>
      </c>
      <c r="X182" s="124" t="s">
        <v>6399</v>
      </c>
    </row>
    <row r="183" spans="1:24" x14ac:dyDescent="0.3">
      <c r="A183" s="22">
        <v>182</v>
      </c>
      <c r="B183" s="22">
        <v>147</v>
      </c>
      <c r="C183" s="18" t="s">
        <v>419</v>
      </c>
      <c r="D183" s="21" t="s">
        <v>5807</v>
      </c>
      <c r="E183" s="21" t="s">
        <v>3399</v>
      </c>
      <c r="F183" s="18" t="s">
        <v>3400</v>
      </c>
      <c r="G183" s="23" t="s">
        <v>1612</v>
      </c>
      <c r="J183" s="23" t="s">
        <v>5950</v>
      </c>
      <c r="K183" s="23" t="s">
        <v>5951</v>
      </c>
      <c r="L183" s="23" t="s">
        <v>4337</v>
      </c>
      <c r="M183" s="23" t="s">
        <v>3078</v>
      </c>
      <c r="N183" s="22" t="s">
        <v>49</v>
      </c>
      <c r="P183" s="23" t="s">
        <v>49</v>
      </c>
      <c r="W183" s="108">
        <v>43902</v>
      </c>
      <c r="X183" s="124" t="s">
        <v>6398</v>
      </c>
    </row>
    <row r="184" spans="1:24" x14ac:dyDescent="0.3">
      <c r="A184" s="22">
        <v>183</v>
      </c>
      <c r="B184" s="22">
        <v>149</v>
      </c>
      <c r="C184" s="18" t="s">
        <v>419</v>
      </c>
      <c r="D184" s="21" t="s">
        <v>5807</v>
      </c>
      <c r="E184" s="21" t="s">
        <v>466</v>
      </c>
      <c r="F184" s="18" t="s">
        <v>467</v>
      </c>
      <c r="J184" s="23" t="s">
        <v>5342</v>
      </c>
      <c r="L184" s="23" t="s">
        <v>1786</v>
      </c>
      <c r="M184" s="23" t="s">
        <v>3402</v>
      </c>
      <c r="N184" s="22" t="s">
        <v>57</v>
      </c>
      <c r="O184" s="23" t="s">
        <v>1632</v>
      </c>
      <c r="X184" s="124" t="s">
        <v>3001</v>
      </c>
    </row>
    <row r="185" spans="1:24" x14ac:dyDescent="0.3">
      <c r="A185" s="22">
        <v>184</v>
      </c>
      <c r="B185" s="22">
        <v>149</v>
      </c>
      <c r="C185" s="18" t="s">
        <v>419</v>
      </c>
      <c r="D185" s="21" t="s">
        <v>5807</v>
      </c>
      <c r="E185" s="21" t="s">
        <v>474</v>
      </c>
      <c r="F185" s="18" t="s">
        <v>475</v>
      </c>
      <c r="J185" s="23" t="s">
        <v>5958</v>
      </c>
      <c r="K185" s="23" t="s">
        <v>5959</v>
      </c>
      <c r="L185" s="23" t="s">
        <v>1792</v>
      </c>
      <c r="M185" s="23" t="s">
        <v>3350</v>
      </c>
      <c r="N185" s="22" t="s">
        <v>89</v>
      </c>
    </row>
    <row r="186" spans="1:24" x14ac:dyDescent="0.3">
      <c r="A186" s="22">
        <v>185</v>
      </c>
      <c r="B186" s="22">
        <v>149</v>
      </c>
      <c r="C186" s="18" t="s">
        <v>419</v>
      </c>
      <c r="D186" s="21" t="s">
        <v>5807</v>
      </c>
      <c r="E186" s="21" t="s">
        <v>472</v>
      </c>
      <c r="F186" s="18" t="s">
        <v>473</v>
      </c>
      <c r="G186" s="23" t="s">
        <v>1791</v>
      </c>
      <c r="I186" s="23" t="s">
        <v>1791</v>
      </c>
      <c r="J186" s="23" t="s">
        <v>5956</v>
      </c>
      <c r="K186" s="23" t="s">
        <v>5957</v>
      </c>
      <c r="L186" s="23" t="s">
        <v>1790</v>
      </c>
      <c r="M186" s="23" t="s">
        <v>3406</v>
      </c>
      <c r="N186" s="22" t="s">
        <v>49</v>
      </c>
      <c r="P186" s="23" t="s">
        <v>49</v>
      </c>
      <c r="W186" s="108">
        <v>3925</v>
      </c>
      <c r="X186" s="124" t="s">
        <v>6401</v>
      </c>
    </row>
    <row r="187" spans="1:24" x14ac:dyDescent="0.3">
      <c r="A187" s="22">
        <v>186</v>
      </c>
      <c r="B187" s="22">
        <v>149</v>
      </c>
      <c r="C187" s="18" t="s">
        <v>419</v>
      </c>
      <c r="D187" s="21" t="s">
        <v>5807</v>
      </c>
      <c r="E187" s="21" t="s">
        <v>470</v>
      </c>
      <c r="F187" s="18" t="s">
        <v>471</v>
      </c>
      <c r="G187" s="23" t="s">
        <v>3011</v>
      </c>
      <c r="J187" s="23" t="s">
        <v>5954</v>
      </c>
      <c r="K187" s="23" t="s">
        <v>5955</v>
      </c>
      <c r="L187" s="23" t="s">
        <v>1789</v>
      </c>
      <c r="M187" s="23" t="s">
        <v>3083</v>
      </c>
      <c r="N187" s="22" t="s">
        <v>49</v>
      </c>
      <c r="P187" s="23" t="s">
        <v>49</v>
      </c>
      <c r="W187" s="108">
        <v>34688</v>
      </c>
      <c r="X187" s="124" t="s">
        <v>6400</v>
      </c>
    </row>
    <row r="188" spans="1:24" x14ac:dyDescent="0.3">
      <c r="A188" s="22">
        <v>187</v>
      </c>
      <c r="B188" s="22">
        <v>151</v>
      </c>
      <c r="C188" s="18" t="s">
        <v>419</v>
      </c>
      <c r="D188" s="21" t="s">
        <v>5807</v>
      </c>
      <c r="E188" s="21" t="s">
        <v>476</v>
      </c>
      <c r="F188" s="18" t="s">
        <v>477</v>
      </c>
      <c r="J188" s="23" t="s">
        <v>5960</v>
      </c>
      <c r="K188" s="23" t="s">
        <v>5961</v>
      </c>
      <c r="M188" s="23" t="s">
        <v>3409</v>
      </c>
      <c r="N188" s="22" t="s">
        <v>89</v>
      </c>
    </row>
    <row r="189" spans="1:24" x14ac:dyDescent="0.3">
      <c r="A189" s="22">
        <v>188</v>
      </c>
      <c r="B189" s="22">
        <v>151</v>
      </c>
      <c r="C189" s="18" t="s">
        <v>419</v>
      </c>
      <c r="D189" s="21" t="s">
        <v>5807</v>
      </c>
      <c r="E189" s="21" t="s">
        <v>482</v>
      </c>
      <c r="F189" s="18" t="s">
        <v>483</v>
      </c>
      <c r="J189" s="23" t="s">
        <v>5966</v>
      </c>
      <c r="K189" s="23" t="s">
        <v>5967</v>
      </c>
      <c r="L189" s="23" t="s">
        <v>1794</v>
      </c>
      <c r="M189" s="23" t="s">
        <v>3414</v>
      </c>
      <c r="N189" s="22" t="s">
        <v>49</v>
      </c>
      <c r="P189" s="23" t="s">
        <v>49</v>
      </c>
      <c r="T189" s="62" t="s">
        <v>5968</v>
      </c>
      <c r="W189" s="108">
        <v>29926</v>
      </c>
      <c r="X189" s="124" t="s">
        <v>6526</v>
      </c>
    </row>
    <row r="190" spans="1:24" x14ac:dyDescent="0.3">
      <c r="A190" s="22">
        <v>189</v>
      </c>
      <c r="B190" s="22">
        <v>151</v>
      </c>
      <c r="C190" s="18" t="s">
        <v>419</v>
      </c>
      <c r="D190" s="21" t="s">
        <v>5807</v>
      </c>
      <c r="E190" s="21" t="s">
        <v>480</v>
      </c>
      <c r="F190" s="18" t="s">
        <v>481</v>
      </c>
      <c r="J190" s="23" t="s">
        <v>5964</v>
      </c>
      <c r="K190" s="23" t="s">
        <v>5965</v>
      </c>
      <c r="L190" s="23" t="s">
        <v>1794</v>
      </c>
      <c r="M190" s="23" t="s">
        <v>3412</v>
      </c>
      <c r="N190" s="22" t="s">
        <v>89</v>
      </c>
    </row>
    <row r="191" spans="1:24" x14ac:dyDescent="0.3">
      <c r="A191" s="22">
        <v>190</v>
      </c>
      <c r="B191" s="22">
        <v>151</v>
      </c>
      <c r="C191" s="18" t="s">
        <v>419</v>
      </c>
      <c r="D191" s="21" t="s">
        <v>5807</v>
      </c>
      <c r="E191" s="21" t="s">
        <v>478</v>
      </c>
      <c r="F191" s="18" t="s">
        <v>479</v>
      </c>
      <c r="J191" s="23" t="s">
        <v>5962</v>
      </c>
      <c r="K191" s="23" t="s">
        <v>5963</v>
      </c>
      <c r="L191" s="23" t="s">
        <v>1793</v>
      </c>
      <c r="M191" s="23" t="s">
        <v>3381</v>
      </c>
      <c r="N191" s="22" t="s">
        <v>89</v>
      </c>
    </row>
    <row r="192" spans="1:24" x14ac:dyDescent="0.3">
      <c r="A192" s="22">
        <v>191</v>
      </c>
      <c r="B192" s="22">
        <v>153</v>
      </c>
      <c r="C192" s="18" t="s">
        <v>419</v>
      </c>
      <c r="D192" s="21" t="s">
        <v>5807</v>
      </c>
      <c r="E192" s="21" t="s">
        <v>484</v>
      </c>
      <c r="F192" s="18" t="s">
        <v>485</v>
      </c>
      <c r="J192" s="23" t="s">
        <v>5969</v>
      </c>
      <c r="K192" s="23" t="s">
        <v>5970</v>
      </c>
      <c r="L192" s="23" t="s">
        <v>1795</v>
      </c>
      <c r="M192" s="23" t="s">
        <v>3416</v>
      </c>
      <c r="N192" s="22" t="s">
        <v>89</v>
      </c>
    </row>
    <row r="193" spans="1:25" x14ac:dyDescent="0.3">
      <c r="A193" s="22">
        <v>192</v>
      </c>
      <c r="B193" s="22">
        <v>155</v>
      </c>
      <c r="C193" s="18" t="s">
        <v>419</v>
      </c>
      <c r="D193" s="21" t="s">
        <v>5807</v>
      </c>
      <c r="E193" s="21" t="s">
        <v>486</v>
      </c>
      <c r="F193" s="18" t="s">
        <v>487</v>
      </c>
      <c r="J193" s="23" t="s">
        <v>5971</v>
      </c>
      <c r="K193" s="23" t="s">
        <v>5972</v>
      </c>
      <c r="L193" s="23" t="s">
        <v>1796</v>
      </c>
      <c r="M193" s="23" t="s">
        <v>3418</v>
      </c>
      <c r="N193" s="22" t="s">
        <v>89</v>
      </c>
    </row>
    <row r="194" spans="1:25" x14ac:dyDescent="0.3">
      <c r="A194" s="22">
        <v>193</v>
      </c>
      <c r="B194" s="22">
        <v>153</v>
      </c>
      <c r="C194" s="18" t="s">
        <v>419</v>
      </c>
      <c r="D194" s="21" t="s">
        <v>5807</v>
      </c>
      <c r="E194" s="21" t="s">
        <v>488</v>
      </c>
      <c r="F194" s="18" t="s">
        <v>489</v>
      </c>
      <c r="H194" s="21" t="s">
        <v>1799</v>
      </c>
      <c r="J194" s="23" t="s">
        <v>5973</v>
      </c>
      <c r="K194" s="23" t="s">
        <v>5974</v>
      </c>
      <c r="L194" s="23" t="s">
        <v>1797</v>
      </c>
      <c r="M194" s="23" t="s">
        <v>3350</v>
      </c>
      <c r="N194" s="22" t="s">
        <v>89</v>
      </c>
      <c r="Q194" s="22" t="s">
        <v>50</v>
      </c>
      <c r="S194" s="22" t="s">
        <v>1798</v>
      </c>
      <c r="X194" s="124" t="s">
        <v>9</v>
      </c>
      <c r="Y194" s="23" t="s">
        <v>4338</v>
      </c>
    </row>
    <row r="195" spans="1:25" x14ac:dyDescent="0.3">
      <c r="A195" s="22">
        <v>194</v>
      </c>
      <c r="B195" s="22">
        <v>155</v>
      </c>
      <c r="C195" s="18" t="s">
        <v>419</v>
      </c>
      <c r="D195" s="21" t="s">
        <v>5807</v>
      </c>
      <c r="E195" s="21" t="s">
        <v>492</v>
      </c>
      <c r="F195" s="18" t="s">
        <v>493</v>
      </c>
      <c r="J195" s="23" t="s">
        <v>5977</v>
      </c>
      <c r="K195" s="23" t="s">
        <v>5978</v>
      </c>
      <c r="L195" s="23" t="s">
        <v>1800</v>
      </c>
      <c r="M195" s="23" t="s">
        <v>3388</v>
      </c>
      <c r="N195" s="22" t="s">
        <v>89</v>
      </c>
    </row>
    <row r="196" spans="1:25" x14ac:dyDescent="0.3">
      <c r="A196" s="22">
        <v>195</v>
      </c>
      <c r="B196" s="22">
        <v>155</v>
      </c>
      <c r="C196" s="18" t="s">
        <v>419</v>
      </c>
      <c r="D196" s="21" t="s">
        <v>5807</v>
      </c>
      <c r="E196" s="21" t="s">
        <v>494</v>
      </c>
      <c r="F196" s="18" t="s">
        <v>495</v>
      </c>
      <c r="J196" s="23" t="s">
        <v>5979</v>
      </c>
      <c r="K196" s="23" t="s">
        <v>5980</v>
      </c>
      <c r="L196" s="23" t="s">
        <v>1801</v>
      </c>
      <c r="M196" s="23" t="s">
        <v>3350</v>
      </c>
      <c r="N196" s="22" t="s">
        <v>89</v>
      </c>
    </row>
    <row r="197" spans="1:25" x14ac:dyDescent="0.3">
      <c r="A197" s="22">
        <v>196</v>
      </c>
      <c r="B197" s="22">
        <v>153</v>
      </c>
      <c r="C197" s="18" t="s">
        <v>419</v>
      </c>
      <c r="D197" s="21" t="s">
        <v>5807</v>
      </c>
      <c r="E197" s="21" t="s">
        <v>490</v>
      </c>
      <c r="F197" s="18" t="s">
        <v>491</v>
      </c>
      <c r="J197" s="23" t="s">
        <v>5975</v>
      </c>
      <c r="K197" s="23" t="s">
        <v>5976</v>
      </c>
      <c r="M197" s="23" t="s">
        <v>3350</v>
      </c>
      <c r="N197" s="22" t="s">
        <v>89</v>
      </c>
    </row>
    <row r="198" spans="1:25" x14ac:dyDescent="0.3">
      <c r="A198" s="22">
        <v>197</v>
      </c>
      <c r="B198" s="22">
        <v>155</v>
      </c>
      <c r="C198" s="18" t="s">
        <v>419</v>
      </c>
      <c r="D198" s="21" t="s">
        <v>5807</v>
      </c>
      <c r="E198" s="21" t="s">
        <v>500</v>
      </c>
      <c r="F198" s="18" t="s">
        <v>501</v>
      </c>
      <c r="I198" s="23" t="s">
        <v>1805</v>
      </c>
      <c r="J198" s="23" t="s">
        <v>5985</v>
      </c>
      <c r="K198" s="23" t="s">
        <v>5986</v>
      </c>
      <c r="L198" s="23" t="s">
        <v>1804</v>
      </c>
      <c r="M198" s="23" t="s">
        <v>8554</v>
      </c>
      <c r="N198" s="22" t="s">
        <v>49</v>
      </c>
      <c r="P198" s="23" t="s">
        <v>49</v>
      </c>
      <c r="Q198" s="22" t="s">
        <v>58</v>
      </c>
      <c r="R198" s="22" t="s">
        <v>58</v>
      </c>
      <c r="W198" s="108">
        <v>2512</v>
      </c>
      <c r="X198" s="124" t="s">
        <v>6527</v>
      </c>
    </row>
    <row r="199" spans="1:25" x14ac:dyDescent="0.3">
      <c r="A199" s="22">
        <v>198</v>
      </c>
      <c r="B199" s="22">
        <v>153</v>
      </c>
      <c r="C199" s="18" t="s">
        <v>419</v>
      </c>
      <c r="D199" s="21" t="s">
        <v>5807</v>
      </c>
      <c r="E199" s="21" t="s">
        <v>496</v>
      </c>
      <c r="F199" s="18" t="s">
        <v>497</v>
      </c>
      <c r="J199" s="23" t="s">
        <v>5981</v>
      </c>
      <c r="K199" s="23" t="s">
        <v>5982</v>
      </c>
      <c r="L199" s="23" t="s">
        <v>1802</v>
      </c>
      <c r="M199" s="23" t="s">
        <v>3424</v>
      </c>
      <c r="N199" s="22" t="s">
        <v>49</v>
      </c>
      <c r="P199" s="23" t="s">
        <v>49</v>
      </c>
      <c r="R199" s="22" t="s">
        <v>58</v>
      </c>
      <c r="W199" s="108">
        <v>31833</v>
      </c>
      <c r="X199" s="124" t="s">
        <v>6402</v>
      </c>
    </row>
    <row r="200" spans="1:25" x14ac:dyDescent="0.3">
      <c r="A200" s="22">
        <v>199</v>
      </c>
      <c r="B200" s="22">
        <v>155</v>
      </c>
      <c r="C200" s="18" t="s">
        <v>419</v>
      </c>
      <c r="D200" s="21" t="s">
        <v>5807</v>
      </c>
      <c r="E200" s="21" t="s">
        <v>498</v>
      </c>
      <c r="F200" s="18" t="s">
        <v>499</v>
      </c>
      <c r="J200" s="23" t="s">
        <v>5983</v>
      </c>
      <c r="K200" s="23" t="s">
        <v>5984</v>
      </c>
      <c r="L200" s="23" t="s">
        <v>1803</v>
      </c>
      <c r="M200" s="23" t="s">
        <v>3409</v>
      </c>
      <c r="N200" s="22" t="s">
        <v>89</v>
      </c>
    </row>
    <row r="201" spans="1:25" x14ac:dyDescent="0.3">
      <c r="A201" s="22">
        <v>200</v>
      </c>
      <c r="B201" s="22">
        <v>141</v>
      </c>
      <c r="C201" s="18" t="s">
        <v>419</v>
      </c>
      <c r="D201" s="21" t="s">
        <v>5807</v>
      </c>
      <c r="E201" s="21" t="s">
        <v>434</v>
      </c>
      <c r="F201" s="18" t="s">
        <v>435</v>
      </c>
      <c r="J201" s="23" t="s">
        <v>5916</v>
      </c>
      <c r="K201" s="23" t="s">
        <v>5917</v>
      </c>
      <c r="M201" s="23" t="s">
        <v>3371</v>
      </c>
      <c r="N201" s="22" t="s">
        <v>89</v>
      </c>
    </row>
    <row r="202" spans="1:25" x14ac:dyDescent="0.3">
      <c r="A202" s="22">
        <v>201</v>
      </c>
      <c r="B202" s="22">
        <v>141</v>
      </c>
      <c r="C202" s="18" t="s">
        <v>419</v>
      </c>
      <c r="D202" s="21" t="s">
        <v>5807</v>
      </c>
      <c r="E202" s="21" t="s">
        <v>436</v>
      </c>
      <c r="F202" s="18" t="s">
        <v>437</v>
      </c>
      <c r="J202" s="23" t="s">
        <v>5918</v>
      </c>
      <c r="K202" s="23" t="s">
        <v>5919</v>
      </c>
      <c r="L202" s="23" t="s">
        <v>1774</v>
      </c>
      <c r="M202" s="23" t="s">
        <v>3376</v>
      </c>
      <c r="N202" s="22" t="s">
        <v>89</v>
      </c>
      <c r="Q202" s="22" t="s">
        <v>58</v>
      </c>
      <c r="R202" s="22" t="s">
        <v>58</v>
      </c>
    </row>
    <row r="203" spans="1:25" x14ac:dyDescent="0.3">
      <c r="A203" s="22">
        <v>202</v>
      </c>
      <c r="B203" s="22">
        <v>141</v>
      </c>
      <c r="C203" s="18" t="s">
        <v>419</v>
      </c>
      <c r="D203" s="21" t="s">
        <v>5807</v>
      </c>
      <c r="E203" s="21" t="s">
        <v>438</v>
      </c>
      <c r="F203" s="18" t="s">
        <v>439</v>
      </c>
      <c r="J203" s="23" t="s">
        <v>5920</v>
      </c>
      <c r="K203" s="23" t="s">
        <v>5921</v>
      </c>
      <c r="M203" s="23" t="s">
        <v>3376</v>
      </c>
      <c r="N203" s="22" t="s">
        <v>89</v>
      </c>
      <c r="Q203" s="22" t="s">
        <v>50</v>
      </c>
    </row>
    <row r="204" spans="1:25" x14ac:dyDescent="0.3">
      <c r="A204" s="22">
        <v>203</v>
      </c>
      <c r="B204" s="22">
        <v>141</v>
      </c>
      <c r="C204" s="18" t="s">
        <v>419</v>
      </c>
      <c r="D204" s="21" t="s">
        <v>5807</v>
      </c>
      <c r="E204" s="21" t="s">
        <v>440</v>
      </c>
      <c r="F204" s="18" t="s">
        <v>441</v>
      </c>
      <c r="J204" s="23" t="s">
        <v>5922</v>
      </c>
      <c r="K204" s="23" t="s">
        <v>5923</v>
      </c>
      <c r="L204" s="23" t="s">
        <v>1775</v>
      </c>
      <c r="M204" s="23" t="s">
        <v>3379</v>
      </c>
      <c r="N204" s="22" t="s">
        <v>89</v>
      </c>
      <c r="S204" s="22" t="s">
        <v>1745</v>
      </c>
      <c r="T204" s="62" t="s">
        <v>5924</v>
      </c>
      <c r="Y204" s="23" t="s">
        <v>4334</v>
      </c>
    </row>
    <row r="205" spans="1:25" x14ac:dyDescent="0.3">
      <c r="A205" s="22">
        <v>204</v>
      </c>
      <c r="B205" s="22">
        <v>141</v>
      </c>
      <c r="C205" s="18" t="s">
        <v>419</v>
      </c>
      <c r="D205" s="21" t="s">
        <v>5807</v>
      </c>
      <c r="E205" s="21" t="s">
        <v>442</v>
      </c>
      <c r="F205" s="18" t="s">
        <v>443</v>
      </c>
      <c r="J205" s="23" t="s">
        <v>5925</v>
      </c>
      <c r="K205" s="23" t="s">
        <v>5926</v>
      </c>
      <c r="M205" s="23" t="s">
        <v>3381</v>
      </c>
      <c r="N205" s="22" t="s">
        <v>89</v>
      </c>
      <c r="S205" s="22" t="s">
        <v>1745</v>
      </c>
      <c r="T205" s="62" t="s">
        <v>5927</v>
      </c>
      <c r="Y205" s="23" t="s">
        <v>4335</v>
      </c>
    </row>
    <row r="206" spans="1:25" x14ac:dyDescent="0.3">
      <c r="A206" s="22">
        <v>205</v>
      </c>
      <c r="B206" s="22">
        <v>143</v>
      </c>
      <c r="C206" s="18" t="s">
        <v>419</v>
      </c>
      <c r="D206" s="21" t="s">
        <v>5807</v>
      </c>
      <c r="E206" s="21" t="s">
        <v>444</v>
      </c>
      <c r="F206" s="18" t="s">
        <v>445</v>
      </c>
      <c r="J206" s="23" t="s">
        <v>5928</v>
      </c>
      <c r="K206" s="23" t="s">
        <v>5929</v>
      </c>
      <c r="L206" s="23" t="s">
        <v>1776</v>
      </c>
      <c r="M206" s="23" t="s">
        <v>3381</v>
      </c>
      <c r="N206" s="22" t="s">
        <v>89</v>
      </c>
    </row>
    <row r="207" spans="1:25" x14ac:dyDescent="0.3">
      <c r="A207" s="22">
        <v>206</v>
      </c>
      <c r="B207" s="22">
        <v>143</v>
      </c>
      <c r="C207" s="18" t="s">
        <v>419</v>
      </c>
      <c r="D207" s="21" t="s">
        <v>5807</v>
      </c>
      <c r="E207" s="21" t="s">
        <v>446</v>
      </c>
      <c r="F207" s="18" t="s">
        <v>447</v>
      </c>
      <c r="J207" s="23" t="s">
        <v>5930</v>
      </c>
      <c r="K207" s="23" t="s">
        <v>5931</v>
      </c>
      <c r="L207" s="23" t="s">
        <v>1777</v>
      </c>
      <c r="M207" s="23" t="s">
        <v>3381</v>
      </c>
      <c r="N207" s="22" t="s">
        <v>89</v>
      </c>
      <c r="Q207" s="22" t="s">
        <v>50</v>
      </c>
    </row>
    <row r="208" spans="1:25" x14ac:dyDescent="0.3">
      <c r="A208" s="22">
        <v>207</v>
      </c>
      <c r="B208" s="22">
        <v>143</v>
      </c>
      <c r="C208" s="18" t="s">
        <v>419</v>
      </c>
      <c r="D208" s="21" t="s">
        <v>5807</v>
      </c>
      <c r="E208" s="21" t="s">
        <v>448</v>
      </c>
      <c r="F208" s="18" t="s">
        <v>449</v>
      </c>
      <c r="J208" s="23" t="s">
        <v>5932</v>
      </c>
      <c r="K208" s="23" t="s">
        <v>5933</v>
      </c>
      <c r="L208" s="23" t="s">
        <v>1778</v>
      </c>
      <c r="M208" s="23" t="s">
        <v>3385</v>
      </c>
      <c r="N208" s="22" t="s">
        <v>89</v>
      </c>
      <c r="W208" s="108">
        <v>2594</v>
      </c>
      <c r="X208" s="124" t="s">
        <v>6395</v>
      </c>
    </row>
    <row r="209" spans="1:25" x14ac:dyDescent="0.3">
      <c r="A209" s="22">
        <v>208</v>
      </c>
      <c r="B209" s="22">
        <v>143</v>
      </c>
      <c r="C209" s="18" t="s">
        <v>419</v>
      </c>
      <c r="D209" s="21" t="s">
        <v>5807</v>
      </c>
      <c r="E209" s="21" t="s">
        <v>450</v>
      </c>
      <c r="F209" s="18" t="s">
        <v>451</v>
      </c>
      <c r="J209" s="23" t="s">
        <v>5934</v>
      </c>
      <c r="K209" s="23" t="s">
        <v>5935</v>
      </c>
      <c r="L209" s="23" t="s">
        <v>1779</v>
      </c>
      <c r="M209" s="23" t="s">
        <v>3350</v>
      </c>
      <c r="N209" s="22" t="s">
        <v>89</v>
      </c>
    </row>
    <row r="210" spans="1:25" x14ac:dyDescent="0.3">
      <c r="A210" s="22">
        <v>209</v>
      </c>
      <c r="B210" s="22">
        <v>145</v>
      </c>
      <c r="C210" s="18" t="s">
        <v>419</v>
      </c>
      <c r="D210" s="21" t="s">
        <v>5807</v>
      </c>
      <c r="E210" s="21" t="s">
        <v>452</v>
      </c>
      <c r="F210" s="18" t="s">
        <v>453</v>
      </c>
      <c r="G210" s="23" t="s">
        <v>1781</v>
      </c>
      <c r="J210" s="23" t="s">
        <v>5936</v>
      </c>
      <c r="K210" s="23" t="s">
        <v>5937</v>
      </c>
      <c r="L210" s="23" t="s">
        <v>1780</v>
      </c>
      <c r="M210" s="23" t="s">
        <v>3388</v>
      </c>
      <c r="N210" s="22" t="s">
        <v>89</v>
      </c>
      <c r="Q210" s="22" t="s">
        <v>50</v>
      </c>
    </row>
    <row r="211" spans="1:25" x14ac:dyDescent="0.3">
      <c r="A211" s="22">
        <v>210</v>
      </c>
      <c r="B211" s="22">
        <v>145</v>
      </c>
      <c r="C211" s="18" t="s">
        <v>419</v>
      </c>
      <c r="D211" s="21" t="s">
        <v>5807</v>
      </c>
      <c r="E211" s="21" t="s">
        <v>454</v>
      </c>
      <c r="F211" s="18" t="s">
        <v>455</v>
      </c>
      <c r="J211" s="23" t="s">
        <v>5938</v>
      </c>
      <c r="K211" s="23" t="s">
        <v>5939</v>
      </c>
      <c r="M211" s="23" t="s">
        <v>3390</v>
      </c>
      <c r="N211" s="22" t="s">
        <v>89</v>
      </c>
    </row>
    <row r="212" spans="1:25" x14ac:dyDescent="0.3">
      <c r="A212" s="22">
        <v>211</v>
      </c>
      <c r="B212" s="22">
        <v>145</v>
      </c>
      <c r="C212" s="18" t="s">
        <v>419</v>
      </c>
      <c r="D212" s="21" t="s">
        <v>5807</v>
      </c>
      <c r="E212" s="21" t="s">
        <v>456</v>
      </c>
      <c r="F212" s="18" t="s">
        <v>457</v>
      </c>
      <c r="J212" s="23" t="s">
        <v>5940</v>
      </c>
      <c r="K212" s="23" t="s">
        <v>5941</v>
      </c>
      <c r="M212" s="23" t="s">
        <v>8555</v>
      </c>
      <c r="N212" s="22" t="s">
        <v>89</v>
      </c>
      <c r="W212" s="108">
        <v>32203</v>
      </c>
      <c r="X212" s="124" t="s">
        <v>6528</v>
      </c>
    </row>
    <row r="213" spans="1:25" x14ac:dyDescent="0.3">
      <c r="A213" s="22">
        <v>212</v>
      </c>
      <c r="B213" s="22">
        <v>145</v>
      </c>
      <c r="C213" s="18" t="s">
        <v>419</v>
      </c>
      <c r="D213" s="21" t="s">
        <v>5807</v>
      </c>
      <c r="E213" s="21" t="s">
        <v>458</v>
      </c>
      <c r="F213" s="18" t="s">
        <v>459</v>
      </c>
      <c r="J213" s="23" t="s">
        <v>5942</v>
      </c>
      <c r="K213" s="23" t="s">
        <v>5943</v>
      </c>
      <c r="L213" s="23" t="s">
        <v>1782</v>
      </c>
      <c r="M213" s="23" t="s">
        <v>8556</v>
      </c>
      <c r="N213" s="22" t="s">
        <v>49</v>
      </c>
      <c r="P213" s="23" t="s">
        <v>49</v>
      </c>
      <c r="W213" s="108" t="s">
        <v>4336</v>
      </c>
      <c r="X213" s="124" t="s">
        <v>6529</v>
      </c>
    </row>
    <row r="214" spans="1:25" x14ac:dyDescent="0.3">
      <c r="A214" s="22">
        <v>213</v>
      </c>
      <c r="B214" s="22">
        <v>147</v>
      </c>
      <c r="C214" s="18" t="s">
        <v>419</v>
      </c>
      <c r="D214" s="21" t="s">
        <v>5807</v>
      </c>
      <c r="E214" s="21" t="s">
        <v>460</v>
      </c>
      <c r="F214" s="18" t="s">
        <v>461</v>
      </c>
      <c r="G214" s="23" t="s">
        <v>1612</v>
      </c>
      <c r="J214" s="23" t="s">
        <v>5944</v>
      </c>
      <c r="K214" s="23" t="s">
        <v>5945</v>
      </c>
      <c r="L214" s="23" t="s">
        <v>1783</v>
      </c>
      <c r="M214" s="23" t="s">
        <v>3083</v>
      </c>
      <c r="N214" s="22" t="s">
        <v>49</v>
      </c>
      <c r="P214" s="23" t="s">
        <v>49</v>
      </c>
      <c r="W214" s="108">
        <v>41557</v>
      </c>
      <c r="X214" s="124" t="s">
        <v>6396</v>
      </c>
    </row>
    <row r="215" spans="1:25" x14ac:dyDescent="0.3">
      <c r="A215" s="22">
        <v>214</v>
      </c>
      <c r="B215" s="22">
        <v>159</v>
      </c>
      <c r="C215" s="18" t="s">
        <v>502</v>
      </c>
      <c r="D215" s="21" t="s">
        <v>5808</v>
      </c>
      <c r="E215" s="21" t="s">
        <v>503</v>
      </c>
      <c r="F215" s="18" t="s">
        <v>504</v>
      </c>
      <c r="J215" s="23" t="s">
        <v>5987</v>
      </c>
      <c r="K215" s="23" t="s">
        <v>5988</v>
      </c>
      <c r="L215" s="23" t="s">
        <v>1806</v>
      </c>
      <c r="M215" s="23" t="s">
        <v>3428</v>
      </c>
      <c r="N215" s="22" t="s">
        <v>346</v>
      </c>
    </row>
    <row r="216" spans="1:25" x14ac:dyDescent="0.3">
      <c r="A216" s="22">
        <v>215</v>
      </c>
      <c r="B216" s="22">
        <v>161</v>
      </c>
      <c r="C216" s="18" t="s">
        <v>505</v>
      </c>
      <c r="D216" s="21" t="s">
        <v>5809</v>
      </c>
      <c r="E216" s="21" t="s">
        <v>510</v>
      </c>
      <c r="F216" s="18" t="s">
        <v>511</v>
      </c>
      <c r="G216" s="23" t="s">
        <v>1612</v>
      </c>
      <c r="I216" s="23" t="s">
        <v>1808</v>
      </c>
      <c r="J216" s="23" t="s">
        <v>5344</v>
      </c>
      <c r="K216" s="23" t="s">
        <v>5345</v>
      </c>
      <c r="M216" s="23" t="s">
        <v>3434</v>
      </c>
      <c r="N216" s="22" t="s">
        <v>49</v>
      </c>
      <c r="P216" s="23" t="s">
        <v>49</v>
      </c>
      <c r="S216" s="22" t="s">
        <v>1807</v>
      </c>
      <c r="W216" s="108">
        <v>38281</v>
      </c>
      <c r="X216" s="124" t="s">
        <v>6403</v>
      </c>
      <c r="Y216" s="23" t="s">
        <v>4339</v>
      </c>
    </row>
    <row r="217" spans="1:25" x14ac:dyDescent="0.3">
      <c r="A217" s="22">
        <v>216</v>
      </c>
      <c r="B217" s="22">
        <v>159</v>
      </c>
      <c r="C217" s="18" t="s">
        <v>505</v>
      </c>
      <c r="D217" s="21" t="s">
        <v>5809</v>
      </c>
      <c r="E217" s="21" t="s">
        <v>506</v>
      </c>
      <c r="F217" s="18" t="s">
        <v>507</v>
      </c>
      <c r="J217" s="23" t="s">
        <v>5989</v>
      </c>
      <c r="M217" s="23" t="s">
        <v>3430</v>
      </c>
      <c r="N217" s="22" t="s">
        <v>37</v>
      </c>
      <c r="R217" s="22" t="s">
        <v>38</v>
      </c>
    </row>
    <row r="218" spans="1:25" x14ac:dyDescent="0.3">
      <c r="A218" s="22">
        <v>217</v>
      </c>
      <c r="B218" s="22">
        <v>159</v>
      </c>
      <c r="C218" s="18" t="s">
        <v>505</v>
      </c>
      <c r="D218" s="21" t="s">
        <v>5809</v>
      </c>
      <c r="E218" s="21" t="s">
        <v>508</v>
      </c>
      <c r="F218" s="18" t="s">
        <v>509</v>
      </c>
      <c r="J218" s="23" t="s">
        <v>5343</v>
      </c>
      <c r="M218" s="23" t="s">
        <v>3432</v>
      </c>
      <c r="N218" s="22" t="s">
        <v>37</v>
      </c>
      <c r="R218" s="22" t="s">
        <v>58</v>
      </c>
    </row>
    <row r="219" spans="1:25" x14ac:dyDescent="0.3">
      <c r="A219" s="22">
        <v>218</v>
      </c>
      <c r="B219" s="22">
        <v>165</v>
      </c>
      <c r="C219" s="18" t="s">
        <v>505</v>
      </c>
      <c r="D219" s="21" t="s">
        <v>5809</v>
      </c>
      <c r="E219" s="21" t="s">
        <v>539</v>
      </c>
      <c r="F219" s="18" t="s">
        <v>540</v>
      </c>
      <c r="J219" s="23" t="s">
        <v>5368</v>
      </c>
      <c r="K219" s="23" t="s">
        <v>5369</v>
      </c>
      <c r="L219" s="23" t="s">
        <v>1824</v>
      </c>
      <c r="M219" s="23" t="s">
        <v>8557</v>
      </c>
      <c r="N219" s="22" t="s">
        <v>49</v>
      </c>
      <c r="P219" s="23" t="s">
        <v>49</v>
      </c>
      <c r="Q219" s="22" t="s">
        <v>38</v>
      </c>
      <c r="T219" s="62" t="s">
        <v>6003</v>
      </c>
      <c r="W219" s="108">
        <v>30803</v>
      </c>
      <c r="X219" s="124" t="s">
        <v>6530</v>
      </c>
    </row>
    <row r="220" spans="1:25" x14ac:dyDescent="0.3">
      <c r="A220" s="22">
        <v>219</v>
      </c>
      <c r="B220" s="22">
        <v>165</v>
      </c>
      <c r="C220" s="18" t="s">
        <v>505</v>
      </c>
      <c r="D220" s="21" t="s">
        <v>5809</v>
      </c>
      <c r="E220" s="21" t="s">
        <v>543</v>
      </c>
      <c r="F220" s="18" t="s">
        <v>544</v>
      </c>
      <c r="J220" s="23" t="s">
        <v>5371</v>
      </c>
      <c r="M220" s="23" t="s">
        <v>3460</v>
      </c>
      <c r="N220" s="22" t="s">
        <v>346</v>
      </c>
      <c r="R220" s="22" t="s">
        <v>38</v>
      </c>
      <c r="T220" s="62" t="s">
        <v>6005</v>
      </c>
    </row>
    <row r="221" spans="1:25" x14ac:dyDescent="0.3">
      <c r="A221" s="22">
        <v>220</v>
      </c>
      <c r="B221" s="22">
        <v>165</v>
      </c>
      <c r="C221" s="18" t="s">
        <v>505</v>
      </c>
      <c r="D221" s="21" t="s">
        <v>5809</v>
      </c>
      <c r="E221" s="21" t="s">
        <v>541</v>
      </c>
      <c r="F221" s="18" t="s">
        <v>542</v>
      </c>
      <c r="J221" s="23" t="s">
        <v>5370</v>
      </c>
      <c r="M221" s="23" t="s">
        <v>6474</v>
      </c>
      <c r="N221" s="22" t="s">
        <v>346</v>
      </c>
      <c r="R221" s="22" t="s">
        <v>186</v>
      </c>
      <c r="T221" s="62" t="s">
        <v>6004</v>
      </c>
    </row>
    <row r="222" spans="1:25" x14ac:dyDescent="0.3">
      <c r="A222" s="22">
        <v>221</v>
      </c>
      <c r="B222" s="22">
        <v>167</v>
      </c>
      <c r="C222" s="18" t="s">
        <v>505</v>
      </c>
      <c r="D222" s="21" t="s">
        <v>5809</v>
      </c>
      <c r="E222" s="21" t="s">
        <v>537</v>
      </c>
      <c r="F222" s="18" t="s">
        <v>538</v>
      </c>
      <c r="J222" s="23" t="s">
        <v>6001</v>
      </c>
      <c r="M222" s="23" t="s">
        <v>3456</v>
      </c>
      <c r="N222" s="22" t="s">
        <v>89</v>
      </c>
      <c r="T222" s="62" t="s">
        <v>6002</v>
      </c>
    </row>
    <row r="223" spans="1:25" x14ac:dyDescent="0.3">
      <c r="A223" s="22">
        <v>222</v>
      </c>
      <c r="B223" s="22">
        <v>167</v>
      </c>
      <c r="C223" s="18" t="s">
        <v>505</v>
      </c>
      <c r="D223" s="21" t="s">
        <v>5809</v>
      </c>
      <c r="E223" s="21" t="s">
        <v>529</v>
      </c>
      <c r="F223" s="18" t="s">
        <v>530</v>
      </c>
      <c r="I223" s="23" t="s">
        <v>1820</v>
      </c>
      <c r="J223" s="23" t="s">
        <v>5993</v>
      </c>
      <c r="K223" s="23" t="s">
        <v>5365</v>
      </c>
      <c r="M223" s="23" t="s">
        <v>3450</v>
      </c>
      <c r="N223" s="22" t="s">
        <v>89</v>
      </c>
      <c r="X223" s="124" t="s">
        <v>9</v>
      </c>
      <c r="Y223" s="23" t="s">
        <v>4343</v>
      </c>
    </row>
    <row r="224" spans="1:25" x14ac:dyDescent="0.3">
      <c r="A224" s="22">
        <v>223</v>
      </c>
      <c r="B224" s="22">
        <v>167</v>
      </c>
      <c r="C224" s="18" t="s">
        <v>505</v>
      </c>
      <c r="D224" s="21" t="s">
        <v>5809</v>
      </c>
      <c r="E224" s="21" t="s">
        <v>531</v>
      </c>
      <c r="F224" s="18" t="s">
        <v>532</v>
      </c>
      <c r="J224" s="23" t="s">
        <v>5994</v>
      </c>
      <c r="K224" s="23" t="s">
        <v>5366</v>
      </c>
      <c r="L224" s="23" t="s">
        <v>1821</v>
      </c>
      <c r="M224" s="23" t="s">
        <v>8558</v>
      </c>
      <c r="N224" s="22" t="s">
        <v>89</v>
      </c>
      <c r="W224" s="108">
        <v>11327</v>
      </c>
      <c r="X224" s="124" t="s">
        <v>6412</v>
      </c>
    </row>
    <row r="225" spans="1:25" x14ac:dyDescent="0.3">
      <c r="A225" s="22">
        <v>224</v>
      </c>
      <c r="B225" s="22">
        <v>167</v>
      </c>
      <c r="C225" s="18" t="s">
        <v>505</v>
      </c>
      <c r="D225" s="21" t="s">
        <v>5809</v>
      </c>
      <c r="E225" s="21" t="s">
        <v>551</v>
      </c>
      <c r="F225" s="18" t="s">
        <v>552</v>
      </c>
      <c r="J225" s="23" t="s">
        <v>5375</v>
      </c>
      <c r="K225" s="23" t="s">
        <v>5376</v>
      </c>
      <c r="M225" s="23" t="s">
        <v>3467</v>
      </c>
      <c r="N225" s="22" t="s">
        <v>89</v>
      </c>
      <c r="T225" s="62" t="s">
        <v>6007</v>
      </c>
    </row>
    <row r="226" spans="1:25" x14ac:dyDescent="0.3">
      <c r="A226" s="22">
        <v>225</v>
      </c>
      <c r="B226" s="22">
        <v>167</v>
      </c>
      <c r="C226" s="18" t="s">
        <v>505</v>
      </c>
      <c r="D226" s="21" t="s">
        <v>5809</v>
      </c>
      <c r="E226" s="21" t="s">
        <v>553</v>
      </c>
      <c r="F226" s="18" t="s">
        <v>554</v>
      </c>
      <c r="J226" s="23" t="s">
        <v>5377</v>
      </c>
      <c r="K226" s="23" t="s">
        <v>5378</v>
      </c>
      <c r="L226" s="23" t="s">
        <v>1826</v>
      </c>
      <c r="M226" s="23" t="s">
        <v>3465</v>
      </c>
      <c r="N226" s="22" t="s">
        <v>89</v>
      </c>
      <c r="X226" s="124" t="s">
        <v>9</v>
      </c>
    </row>
    <row r="227" spans="1:25" x14ac:dyDescent="0.3">
      <c r="A227" s="22">
        <v>226</v>
      </c>
      <c r="B227" s="22">
        <v>169</v>
      </c>
      <c r="C227" s="18" t="s">
        <v>505</v>
      </c>
      <c r="D227" s="21" t="s">
        <v>5809</v>
      </c>
      <c r="E227" s="21" t="s">
        <v>549</v>
      </c>
      <c r="F227" s="18" t="s">
        <v>550</v>
      </c>
      <c r="J227" s="23" t="s">
        <v>5373</v>
      </c>
      <c r="K227" s="23" t="s">
        <v>5374</v>
      </c>
      <c r="M227" s="23" t="s">
        <v>3465</v>
      </c>
      <c r="N227" s="22" t="s">
        <v>89</v>
      </c>
      <c r="X227" s="124" t="s">
        <v>9</v>
      </c>
    </row>
    <row r="228" spans="1:25" x14ac:dyDescent="0.3">
      <c r="A228" s="22">
        <v>227</v>
      </c>
      <c r="B228" s="22">
        <v>169</v>
      </c>
      <c r="C228" s="18" t="s">
        <v>505</v>
      </c>
      <c r="D228" s="21" t="s">
        <v>5809</v>
      </c>
      <c r="E228" s="21" t="s">
        <v>547</v>
      </c>
      <c r="F228" s="18" t="s">
        <v>548</v>
      </c>
      <c r="J228" s="23" t="s">
        <v>6006</v>
      </c>
      <c r="K228" s="23" t="s">
        <v>1825</v>
      </c>
      <c r="M228" s="23" t="s">
        <v>6475</v>
      </c>
      <c r="N228" s="22" t="s">
        <v>37</v>
      </c>
      <c r="X228" s="124" t="s">
        <v>9</v>
      </c>
    </row>
    <row r="229" spans="1:25" x14ac:dyDescent="0.3">
      <c r="A229" s="22">
        <v>228</v>
      </c>
      <c r="B229" s="22">
        <v>169</v>
      </c>
      <c r="C229" s="18" t="s">
        <v>505</v>
      </c>
      <c r="D229" s="21" t="s">
        <v>5809</v>
      </c>
      <c r="E229" s="21" t="s">
        <v>545</v>
      </c>
      <c r="F229" s="18" t="s">
        <v>546</v>
      </c>
      <c r="J229" s="23" t="s">
        <v>5372</v>
      </c>
      <c r="M229" s="23" t="s">
        <v>3462</v>
      </c>
      <c r="N229" s="22" t="s">
        <v>178</v>
      </c>
    </row>
    <row r="230" spans="1:25" x14ac:dyDescent="0.3">
      <c r="A230" s="22">
        <v>229</v>
      </c>
      <c r="C230" s="18" t="s">
        <v>505</v>
      </c>
      <c r="D230" s="21" t="s">
        <v>5809</v>
      </c>
      <c r="E230" s="21" t="s">
        <v>5811</v>
      </c>
      <c r="F230" s="18" t="s">
        <v>5812</v>
      </c>
      <c r="G230" s="23" t="s">
        <v>1612</v>
      </c>
      <c r="J230" s="23" t="s">
        <v>5997</v>
      </c>
      <c r="K230" s="23" t="s">
        <v>5998</v>
      </c>
      <c r="N230" s="22" t="s">
        <v>49</v>
      </c>
      <c r="P230" s="23" t="s">
        <v>49</v>
      </c>
      <c r="W230" s="108">
        <v>44641</v>
      </c>
      <c r="X230" s="124" t="s">
        <v>6413</v>
      </c>
    </row>
    <row r="231" spans="1:25" x14ac:dyDescent="0.3">
      <c r="A231" s="22">
        <v>230</v>
      </c>
      <c r="B231" s="22">
        <v>169</v>
      </c>
      <c r="C231" s="18" t="s">
        <v>505</v>
      </c>
      <c r="D231" s="21" t="s">
        <v>5809</v>
      </c>
      <c r="E231" s="21" t="s">
        <v>533</v>
      </c>
      <c r="F231" s="18" t="s">
        <v>534</v>
      </c>
      <c r="G231" s="23" t="s">
        <v>1822</v>
      </c>
      <c r="H231" s="21" t="s">
        <v>1822</v>
      </c>
      <c r="J231" s="23" t="s">
        <v>5995</v>
      </c>
      <c r="M231" s="23" t="s">
        <v>6473</v>
      </c>
      <c r="N231" s="22" t="s">
        <v>346</v>
      </c>
      <c r="R231" s="22" t="s">
        <v>38</v>
      </c>
      <c r="S231" s="22" t="s">
        <v>1615</v>
      </c>
      <c r="T231" s="62" t="s">
        <v>5996</v>
      </c>
      <c r="Y231" s="23" t="s">
        <v>4344</v>
      </c>
    </row>
    <row r="232" spans="1:25" x14ac:dyDescent="0.3">
      <c r="A232" s="22">
        <v>231</v>
      </c>
      <c r="B232" s="22">
        <v>169</v>
      </c>
      <c r="C232" s="18" t="s">
        <v>505</v>
      </c>
      <c r="D232" s="21" t="s">
        <v>5809</v>
      </c>
      <c r="E232" s="21" t="s">
        <v>535</v>
      </c>
      <c r="F232" s="18" t="s">
        <v>536</v>
      </c>
      <c r="J232" s="23" t="s">
        <v>5999</v>
      </c>
      <c r="K232" s="23" t="s">
        <v>5367</v>
      </c>
      <c r="L232" s="23" t="s">
        <v>1823</v>
      </c>
      <c r="M232" s="23" t="s">
        <v>3454</v>
      </c>
      <c r="N232" s="22" t="s">
        <v>49</v>
      </c>
      <c r="P232" s="23" t="s">
        <v>49</v>
      </c>
      <c r="Q232" s="22" t="s">
        <v>112</v>
      </c>
      <c r="R232" s="22" t="s">
        <v>112</v>
      </c>
      <c r="T232" s="62" t="s">
        <v>6000</v>
      </c>
      <c r="W232" s="108" t="s">
        <v>4345</v>
      </c>
      <c r="X232" s="124" t="s">
        <v>6531</v>
      </c>
    </row>
    <row r="233" spans="1:25" x14ac:dyDescent="0.3">
      <c r="A233" s="22">
        <v>232</v>
      </c>
      <c r="C233" s="18" t="s">
        <v>505</v>
      </c>
      <c r="D233" s="21" t="s">
        <v>5809</v>
      </c>
      <c r="E233" s="21" t="s">
        <v>5148</v>
      </c>
      <c r="F233" s="18" t="s">
        <v>5149</v>
      </c>
      <c r="G233" s="23" t="s">
        <v>1612</v>
      </c>
      <c r="J233" s="23" t="s">
        <v>5350</v>
      </c>
      <c r="K233" s="23" t="s">
        <v>5351</v>
      </c>
      <c r="L233" s="23" t="s">
        <v>5352</v>
      </c>
      <c r="N233" s="22" t="s">
        <v>49</v>
      </c>
      <c r="P233" s="23" t="s">
        <v>49</v>
      </c>
      <c r="W233" s="108">
        <v>44446</v>
      </c>
      <c r="X233" s="124" t="s">
        <v>6405</v>
      </c>
    </row>
    <row r="234" spans="1:25" x14ac:dyDescent="0.3">
      <c r="A234" s="22">
        <v>233</v>
      </c>
      <c r="B234" s="22">
        <v>161</v>
      </c>
      <c r="C234" s="18" t="s">
        <v>505</v>
      </c>
      <c r="D234" s="21" t="s">
        <v>5809</v>
      </c>
      <c r="E234" s="21" t="s">
        <v>514</v>
      </c>
      <c r="F234" s="18" t="s">
        <v>1812</v>
      </c>
      <c r="G234" s="23" t="s">
        <v>1612</v>
      </c>
      <c r="J234" s="23" t="s">
        <v>5348</v>
      </c>
      <c r="K234" s="23" t="s">
        <v>5349</v>
      </c>
      <c r="L234" s="23" t="s">
        <v>1811</v>
      </c>
      <c r="M234" s="23" t="s">
        <v>3392</v>
      </c>
      <c r="N234" s="22" t="s">
        <v>49</v>
      </c>
      <c r="P234" s="23" t="s">
        <v>49</v>
      </c>
      <c r="Q234" s="22" t="s">
        <v>38</v>
      </c>
      <c r="S234" s="22" t="s">
        <v>1679</v>
      </c>
      <c r="W234" s="108">
        <v>42013</v>
      </c>
      <c r="X234" s="124" t="s">
        <v>6404</v>
      </c>
      <c r="Y234" s="23" t="s">
        <v>6650</v>
      </c>
    </row>
    <row r="235" spans="1:25" x14ac:dyDescent="0.3">
      <c r="A235" s="22">
        <v>234</v>
      </c>
      <c r="B235" s="22">
        <v>161</v>
      </c>
      <c r="C235" s="18" t="s">
        <v>505</v>
      </c>
      <c r="D235" s="21" t="s">
        <v>5809</v>
      </c>
      <c r="E235" s="21" t="s">
        <v>512</v>
      </c>
      <c r="F235" s="18" t="s">
        <v>513</v>
      </c>
      <c r="J235" s="23" t="s">
        <v>5346</v>
      </c>
      <c r="K235" s="23" t="s">
        <v>5347</v>
      </c>
      <c r="L235" s="23" t="s">
        <v>1809</v>
      </c>
      <c r="M235" s="23" t="s">
        <v>3436</v>
      </c>
      <c r="N235" s="22" t="s">
        <v>89</v>
      </c>
      <c r="S235" s="22" t="s">
        <v>1615</v>
      </c>
      <c r="V235" s="107" t="s">
        <v>1810</v>
      </c>
      <c r="Y235" s="23" t="s">
        <v>4340</v>
      </c>
    </row>
    <row r="236" spans="1:25" x14ac:dyDescent="0.3">
      <c r="A236" s="22">
        <v>235</v>
      </c>
      <c r="B236" s="22">
        <v>161</v>
      </c>
      <c r="C236" s="18" t="s">
        <v>505</v>
      </c>
      <c r="D236" s="21" t="s">
        <v>5809</v>
      </c>
      <c r="E236" s="21" t="s">
        <v>515</v>
      </c>
      <c r="F236" s="18" t="s">
        <v>516</v>
      </c>
      <c r="G236" s="23" t="s">
        <v>1612</v>
      </c>
      <c r="J236" s="23" t="s">
        <v>5990</v>
      </c>
      <c r="M236" s="23" t="s">
        <v>3083</v>
      </c>
      <c r="N236" s="22" t="s">
        <v>49</v>
      </c>
      <c r="P236" s="23" t="s">
        <v>49</v>
      </c>
      <c r="V236" s="107" t="s">
        <v>1813</v>
      </c>
      <c r="W236" s="108">
        <v>41309</v>
      </c>
      <c r="X236" s="124" t="s">
        <v>8559</v>
      </c>
    </row>
    <row r="237" spans="1:25" x14ac:dyDescent="0.3">
      <c r="A237" s="22">
        <v>236</v>
      </c>
      <c r="B237" s="22">
        <v>161</v>
      </c>
      <c r="C237" s="18" t="s">
        <v>505</v>
      </c>
      <c r="D237" s="21" t="s">
        <v>5809</v>
      </c>
      <c r="E237" s="21" t="s">
        <v>517</v>
      </c>
      <c r="F237" s="18" t="s">
        <v>518</v>
      </c>
      <c r="G237" s="23" t="s">
        <v>1612</v>
      </c>
      <c r="J237" s="23" t="s">
        <v>5353</v>
      </c>
      <c r="K237" s="23" t="s">
        <v>5991</v>
      </c>
      <c r="L237" s="23" t="s">
        <v>1814</v>
      </c>
      <c r="M237" s="23" t="s">
        <v>3439</v>
      </c>
      <c r="N237" s="22" t="s">
        <v>49</v>
      </c>
      <c r="P237" s="23" t="s">
        <v>49</v>
      </c>
      <c r="V237" s="107" t="s">
        <v>1815</v>
      </c>
      <c r="W237" s="108">
        <v>41741</v>
      </c>
      <c r="X237" s="124" t="s">
        <v>6406</v>
      </c>
    </row>
    <row r="238" spans="1:25" x14ac:dyDescent="0.3">
      <c r="A238" s="22">
        <v>237</v>
      </c>
      <c r="B238" s="22">
        <v>163</v>
      </c>
      <c r="C238" s="18" t="s">
        <v>505</v>
      </c>
      <c r="D238" s="21" t="s">
        <v>5809</v>
      </c>
      <c r="E238" s="21" t="s">
        <v>519</v>
      </c>
      <c r="F238" s="18" t="s">
        <v>520</v>
      </c>
      <c r="J238" s="23" t="s">
        <v>5354</v>
      </c>
      <c r="K238" s="23" t="s">
        <v>5355</v>
      </c>
      <c r="L238" s="23" t="s">
        <v>1816</v>
      </c>
      <c r="M238" s="23" t="s">
        <v>3441</v>
      </c>
      <c r="N238" s="22" t="s">
        <v>89</v>
      </c>
      <c r="W238" s="108">
        <v>33298</v>
      </c>
      <c r="X238" s="124" t="s">
        <v>6407</v>
      </c>
    </row>
    <row r="239" spans="1:25" x14ac:dyDescent="0.3">
      <c r="A239" s="22">
        <v>238</v>
      </c>
      <c r="B239" s="22">
        <v>163</v>
      </c>
      <c r="C239" s="18" t="s">
        <v>505</v>
      </c>
      <c r="D239" s="21" t="s">
        <v>5809</v>
      </c>
      <c r="E239" s="21" t="s">
        <v>5150</v>
      </c>
      <c r="F239" s="18" t="s">
        <v>522</v>
      </c>
      <c r="G239" s="23" t="s">
        <v>1612</v>
      </c>
      <c r="I239" s="23" t="s">
        <v>521</v>
      </c>
      <c r="J239" s="23" t="s">
        <v>5356</v>
      </c>
      <c r="K239" s="23" t="s">
        <v>5357</v>
      </c>
      <c r="M239" s="23" t="s">
        <v>3083</v>
      </c>
      <c r="N239" s="22" t="s">
        <v>49</v>
      </c>
      <c r="P239" s="23" t="s">
        <v>49</v>
      </c>
      <c r="S239" s="22" t="s">
        <v>1615</v>
      </c>
      <c r="W239" s="108">
        <v>41637</v>
      </c>
      <c r="X239" s="124" t="s">
        <v>6408</v>
      </c>
      <c r="Y239" s="23" t="s">
        <v>5358</v>
      </c>
    </row>
    <row r="240" spans="1:25" x14ac:dyDescent="0.3">
      <c r="A240" s="22">
        <v>239</v>
      </c>
      <c r="C240" s="18" t="s">
        <v>505</v>
      </c>
      <c r="D240" s="21" t="s">
        <v>5809</v>
      </c>
      <c r="E240" s="21" t="s">
        <v>523</v>
      </c>
      <c r="F240" s="18" t="s">
        <v>524</v>
      </c>
      <c r="G240" s="23" t="s">
        <v>1817</v>
      </c>
      <c r="J240" s="23" t="s">
        <v>5359</v>
      </c>
      <c r="K240" s="23" t="s">
        <v>5360</v>
      </c>
      <c r="M240" s="23" t="s">
        <v>3083</v>
      </c>
      <c r="N240" s="22" t="s">
        <v>49</v>
      </c>
      <c r="P240" s="23" t="s">
        <v>49</v>
      </c>
      <c r="S240" s="22" t="s">
        <v>1679</v>
      </c>
      <c r="T240" s="62" t="s">
        <v>1818</v>
      </c>
      <c r="W240" s="108" t="s">
        <v>4341</v>
      </c>
      <c r="X240" s="124" t="s">
        <v>6409</v>
      </c>
      <c r="Y240" s="23" t="s">
        <v>4342</v>
      </c>
    </row>
    <row r="241" spans="1:25" x14ac:dyDescent="0.3">
      <c r="A241" s="22">
        <v>240</v>
      </c>
      <c r="B241" s="22">
        <v>163</v>
      </c>
      <c r="C241" s="18" t="s">
        <v>505</v>
      </c>
      <c r="D241" s="21" t="s">
        <v>5809</v>
      </c>
      <c r="E241" s="21" t="s">
        <v>527</v>
      </c>
      <c r="F241" s="18" t="s">
        <v>528</v>
      </c>
      <c r="G241" s="23" t="s">
        <v>1612</v>
      </c>
      <c r="J241" s="23" t="s">
        <v>5363</v>
      </c>
      <c r="K241" s="23" t="s">
        <v>5364</v>
      </c>
      <c r="M241" s="23" t="s">
        <v>3448</v>
      </c>
      <c r="N241" s="22" t="s">
        <v>49</v>
      </c>
      <c r="P241" s="23" t="s">
        <v>49</v>
      </c>
      <c r="S241" s="22" t="s">
        <v>1679</v>
      </c>
      <c r="W241" s="108">
        <v>39473</v>
      </c>
      <c r="X241" s="124" t="s">
        <v>6411</v>
      </c>
      <c r="Y241" s="23" t="s">
        <v>6651</v>
      </c>
    </row>
    <row r="242" spans="1:25" x14ac:dyDescent="0.3">
      <c r="A242" s="22">
        <v>241</v>
      </c>
      <c r="B242" s="22">
        <v>165</v>
      </c>
      <c r="C242" s="18" t="s">
        <v>505</v>
      </c>
      <c r="D242" s="21" t="s">
        <v>5809</v>
      </c>
      <c r="E242" s="21" t="s">
        <v>525</v>
      </c>
      <c r="F242" s="18" t="s">
        <v>526</v>
      </c>
      <c r="J242" s="23" t="s">
        <v>5361</v>
      </c>
      <c r="K242" s="23" t="s">
        <v>5362</v>
      </c>
      <c r="L242" s="23" t="s">
        <v>1819</v>
      </c>
      <c r="M242" s="23" t="s">
        <v>3446</v>
      </c>
      <c r="N242" s="22" t="s">
        <v>49</v>
      </c>
      <c r="P242" s="23" t="s">
        <v>49</v>
      </c>
      <c r="W242" s="108">
        <v>33548</v>
      </c>
      <c r="X242" s="124" t="s">
        <v>6410</v>
      </c>
    </row>
    <row r="243" spans="1:25" x14ac:dyDescent="0.3">
      <c r="A243" s="22">
        <v>242</v>
      </c>
      <c r="B243" s="22">
        <v>171</v>
      </c>
      <c r="C243" s="18" t="s">
        <v>556</v>
      </c>
      <c r="D243" s="21" t="s">
        <v>555</v>
      </c>
      <c r="E243" s="21" t="s">
        <v>561</v>
      </c>
      <c r="F243" s="18" t="s">
        <v>562</v>
      </c>
      <c r="G243" s="23" t="s">
        <v>1612</v>
      </c>
      <c r="J243" s="23" t="s">
        <v>6010</v>
      </c>
      <c r="K243" s="23" t="s">
        <v>5381</v>
      </c>
      <c r="M243" s="23" t="s">
        <v>3473</v>
      </c>
      <c r="N243" s="22" t="s">
        <v>49</v>
      </c>
      <c r="P243" s="23" t="s">
        <v>49</v>
      </c>
      <c r="W243" s="108">
        <v>40632</v>
      </c>
      <c r="X243" s="124" t="s">
        <v>6533</v>
      </c>
    </row>
    <row r="244" spans="1:25" x14ac:dyDescent="0.3">
      <c r="A244" s="22">
        <v>243</v>
      </c>
      <c r="B244" s="22">
        <v>171</v>
      </c>
      <c r="C244" s="18" t="s">
        <v>556</v>
      </c>
      <c r="D244" s="21" t="s">
        <v>555</v>
      </c>
      <c r="E244" s="21" t="s">
        <v>559</v>
      </c>
      <c r="F244" s="18" t="s">
        <v>560</v>
      </c>
      <c r="I244" s="23" t="s">
        <v>1828</v>
      </c>
      <c r="J244" s="23" t="s">
        <v>6009</v>
      </c>
      <c r="K244" s="23" t="s">
        <v>5380</v>
      </c>
      <c r="L244" s="23" t="s">
        <v>1827</v>
      </c>
      <c r="M244" s="23" t="s">
        <v>3083</v>
      </c>
      <c r="N244" s="22" t="s">
        <v>49</v>
      </c>
      <c r="P244" s="23" t="s">
        <v>49</v>
      </c>
      <c r="S244" s="22" t="s">
        <v>1615</v>
      </c>
      <c r="W244" s="108">
        <v>41731</v>
      </c>
      <c r="X244" s="124" t="s">
        <v>6415</v>
      </c>
      <c r="Y244" s="23" t="s">
        <v>4347</v>
      </c>
    </row>
    <row r="245" spans="1:25" x14ac:dyDescent="0.3">
      <c r="A245" s="22">
        <v>244</v>
      </c>
      <c r="B245" s="22">
        <v>173</v>
      </c>
      <c r="C245" s="18" t="s">
        <v>556</v>
      </c>
      <c r="D245" s="21" t="s">
        <v>555</v>
      </c>
      <c r="E245" s="21" t="s">
        <v>557</v>
      </c>
      <c r="F245" s="18" t="s">
        <v>558</v>
      </c>
      <c r="J245" s="23" t="s">
        <v>6008</v>
      </c>
      <c r="K245" s="23" t="s">
        <v>5379</v>
      </c>
      <c r="L245" s="23" t="s">
        <v>1827</v>
      </c>
      <c r="M245" s="23" t="s">
        <v>3470</v>
      </c>
      <c r="N245" s="22" t="s">
        <v>89</v>
      </c>
      <c r="S245" s="22" t="s">
        <v>1615</v>
      </c>
      <c r="W245" s="108">
        <v>22480</v>
      </c>
      <c r="X245" s="124" t="s">
        <v>6414</v>
      </c>
      <c r="Y245" s="23" t="s">
        <v>4346</v>
      </c>
    </row>
    <row r="246" spans="1:25" x14ac:dyDescent="0.3">
      <c r="A246" s="22">
        <v>245</v>
      </c>
      <c r="B246" s="22">
        <v>51</v>
      </c>
      <c r="C246" s="18" t="s">
        <v>564</v>
      </c>
      <c r="D246" s="21" t="s">
        <v>563</v>
      </c>
      <c r="E246" s="21" t="s">
        <v>565</v>
      </c>
      <c r="F246" s="18" t="s">
        <v>566</v>
      </c>
      <c r="J246" s="23" t="s">
        <v>6011</v>
      </c>
      <c r="K246" s="23" t="s">
        <v>5382</v>
      </c>
      <c r="M246" s="23" t="s">
        <v>3475</v>
      </c>
      <c r="N246" s="22" t="s">
        <v>49</v>
      </c>
      <c r="P246" s="23" t="s">
        <v>49</v>
      </c>
      <c r="W246" s="108">
        <v>10735</v>
      </c>
      <c r="X246" s="124" t="s">
        <v>6534</v>
      </c>
    </row>
    <row r="247" spans="1:25" x14ac:dyDescent="0.3">
      <c r="A247" s="22">
        <v>246</v>
      </c>
      <c r="B247" s="22">
        <v>51</v>
      </c>
      <c r="C247" s="18" t="s">
        <v>564</v>
      </c>
      <c r="D247" s="21" t="s">
        <v>563</v>
      </c>
      <c r="E247" s="21" t="s">
        <v>567</v>
      </c>
      <c r="F247" s="18" t="s">
        <v>568</v>
      </c>
      <c r="J247" s="23" t="s">
        <v>5383</v>
      </c>
      <c r="K247" s="23" t="s">
        <v>5384</v>
      </c>
      <c r="M247" s="23" t="s">
        <v>3477</v>
      </c>
      <c r="N247" s="22" t="s">
        <v>49</v>
      </c>
      <c r="P247" s="23" t="s">
        <v>49</v>
      </c>
      <c r="W247" s="108">
        <v>10658</v>
      </c>
      <c r="X247" s="124" t="s">
        <v>6535</v>
      </c>
    </row>
    <row r="248" spans="1:25" x14ac:dyDescent="0.3">
      <c r="A248" s="22">
        <v>247</v>
      </c>
      <c r="B248" s="22">
        <v>107</v>
      </c>
      <c r="C248" s="18" t="s">
        <v>570</v>
      </c>
      <c r="D248" s="21" t="s">
        <v>569</v>
      </c>
      <c r="E248" s="21" t="s">
        <v>571</v>
      </c>
      <c r="F248" s="18" t="s">
        <v>572</v>
      </c>
      <c r="G248" s="23" t="s">
        <v>1612</v>
      </c>
      <c r="J248" s="23" t="s">
        <v>5385</v>
      </c>
      <c r="K248" s="23" t="s">
        <v>5386</v>
      </c>
      <c r="L248" s="23" t="s">
        <v>1829</v>
      </c>
      <c r="M248" s="23" t="s">
        <v>3083</v>
      </c>
      <c r="N248" s="22" t="s">
        <v>49</v>
      </c>
      <c r="P248" s="23" t="s">
        <v>49</v>
      </c>
      <c r="Q248" s="22" t="s">
        <v>50</v>
      </c>
      <c r="R248" s="22" t="s">
        <v>186</v>
      </c>
      <c r="W248" s="108">
        <v>41649</v>
      </c>
      <c r="X248" s="124" t="s">
        <v>6416</v>
      </c>
    </row>
    <row r="249" spans="1:25" x14ac:dyDescent="0.3">
      <c r="A249" s="22">
        <v>248</v>
      </c>
      <c r="B249" s="22">
        <v>105</v>
      </c>
      <c r="C249" s="18" t="s">
        <v>574</v>
      </c>
      <c r="D249" s="21" t="s">
        <v>573</v>
      </c>
      <c r="E249" s="21" t="s">
        <v>575</v>
      </c>
      <c r="F249" s="18" t="s">
        <v>1831</v>
      </c>
      <c r="G249" s="23" t="s">
        <v>1612</v>
      </c>
      <c r="J249" s="23" t="s">
        <v>5387</v>
      </c>
      <c r="K249" s="23" t="s">
        <v>5388</v>
      </c>
      <c r="L249" s="23" t="s">
        <v>1830</v>
      </c>
      <c r="M249" s="23" t="s">
        <v>3479</v>
      </c>
      <c r="N249" s="22" t="s">
        <v>49</v>
      </c>
      <c r="P249" s="23" t="s">
        <v>49</v>
      </c>
      <c r="Q249" s="22" t="s">
        <v>50</v>
      </c>
      <c r="R249" s="22" t="s">
        <v>186</v>
      </c>
      <c r="S249" s="22" t="s">
        <v>1745</v>
      </c>
      <c r="W249" s="108">
        <v>41405</v>
      </c>
      <c r="X249" s="124" t="s">
        <v>8560</v>
      </c>
      <c r="Y249" s="23" t="s">
        <v>5389</v>
      </c>
    </row>
    <row r="250" spans="1:25" x14ac:dyDescent="0.3">
      <c r="A250" s="22">
        <v>249</v>
      </c>
      <c r="B250" s="22">
        <v>105</v>
      </c>
      <c r="C250" s="18" t="s">
        <v>574</v>
      </c>
      <c r="D250" s="21" t="s">
        <v>573</v>
      </c>
      <c r="E250" s="21" t="s">
        <v>576</v>
      </c>
      <c r="F250" s="18" t="s">
        <v>1832</v>
      </c>
      <c r="G250" s="23" t="s">
        <v>1612</v>
      </c>
      <c r="J250" s="23" t="s">
        <v>5390</v>
      </c>
      <c r="K250" s="23" t="s">
        <v>5391</v>
      </c>
      <c r="M250" s="23" t="s">
        <v>3479</v>
      </c>
      <c r="N250" s="22" t="s">
        <v>49</v>
      </c>
      <c r="P250" s="23" t="s">
        <v>49</v>
      </c>
      <c r="Q250" s="22" t="s">
        <v>38</v>
      </c>
      <c r="S250" s="22" t="s">
        <v>1745</v>
      </c>
      <c r="W250" s="108">
        <v>38091</v>
      </c>
      <c r="X250" s="124" t="s">
        <v>6536</v>
      </c>
      <c r="Y250" s="23" t="s">
        <v>5392</v>
      </c>
    </row>
    <row r="251" spans="1:25" x14ac:dyDescent="0.3">
      <c r="A251" s="22">
        <v>250</v>
      </c>
      <c r="B251" s="22">
        <v>107</v>
      </c>
      <c r="C251" s="18" t="s">
        <v>577</v>
      </c>
      <c r="D251" s="21" t="s">
        <v>5813</v>
      </c>
      <c r="E251" s="21" t="s">
        <v>578</v>
      </c>
      <c r="F251" s="18" t="s">
        <v>579</v>
      </c>
      <c r="J251" s="23" t="s">
        <v>6012</v>
      </c>
      <c r="K251" s="23" t="s">
        <v>5393</v>
      </c>
      <c r="M251" s="23" t="s">
        <v>3083</v>
      </c>
      <c r="N251" s="22" t="s">
        <v>49</v>
      </c>
      <c r="P251" s="23" t="s">
        <v>49</v>
      </c>
      <c r="W251" s="108">
        <v>27309</v>
      </c>
      <c r="X251" s="124" t="s">
        <v>6417</v>
      </c>
    </row>
    <row r="252" spans="1:25" x14ac:dyDescent="0.3">
      <c r="A252" s="22">
        <v>251</v>
      </c>
      <c r="B252" s="22">
        <v>107</v>
      </c>
      <c r="C252" s="18" t="s">
        <v>577</v>
      </c>
      <c r="D252" s="21" t="s">
        <v>5813</v>
      </c>
      <c r="E252" s="21" t="s">
        <v>580</v>
      </c>
      <c r="F252" s="18" t="s">
        <v>581</v>
      </c>
      <c r="G252" s="23" t="s">
        <v>1835</v>
      </c>
      <c r="J252" s="23" t="s">
        <v>5394</v>
      </c>
      <c r="K252" s="23" t="s">
        <v>5395</v>
      </c>
      <c r="L252" s="23" t="s">
        <v>1833</v>
      </c>
      <c r="M252" s="23" t="s">
        <v>3482</v>
      </c>
      <c r="N252" s="22" t="s">
        <v>49</v>
      </c>
      <c r="P252" s="23" t="s">
        <v>49</v>
      </c>
      <c r="Q252" s="22" t="s">
        <v>58</v>
      </c>
      <c r="R252" s="22" t="s">
        <v>38</v>
      </c>
      <c r="S252" s="22" t="s">
        <v>1834</v>
      </c>
      <c r="W252" s="108">
        <v>22345</v>
      </c>
      <c r="X252" s="124" t="s">
        <v>6418</v>
      </c>
      <c r="Y252" s="23" t="s">
        <v>4348</v>
      </c>
    </row>
    <row r="253" spans="1:25" x14ac:dyDescent="0.3">
      <c r="A253" s="22">
        <v>252</v>
      </c>
      <c r="B253" s="22">
        <v>107</v>
      </c>
      <c r="C253" s="18" t="s">
        <v>577</v>
      </c>
      <c r="D253" s="21" t="s">
        <v>5813</v>
      </c>
      <c r="E253" s="21" t="s">
        <v>3484</v>
      </c>
      <c r="F253" s="18" t="s">
        <v>3485</v>
      </c>
      <c r="G253" s="23" t="s">
        <v>1612</v>
      </c>
      <c r="J253" s="23" t="s">
        <v>6013</v>
      </c>
      <c r="K253" s="23" t="s">
        <v>6014</v>
      </c>
      <c r="L253" s="23" t="s">
        <v>4349</v>
      </c>
      <c r="M253" s="23" t="s">
        <v>3074</v>
      </c>
      <c r="N253" s="22" t="s">
        <v>49</v>
      </c>
      <c r="P253" s="23" t="s">
        <v>49</v>
      </c>
      <c r="W253" s="108">
        <v>43881</v>
      </c>
      <c r="X253" s="124" t="s">
        <v>6419</v>
      </c>
    </row>
    <row r="254" spans="1:25" x14ac:dyDescent="0.3">
      <c r="A254" s="22">
        <v>253</v>
      </c>
      <c r="B254" s="22">
        <v>107</v>
      </c>
      <c r="C254" s="18" t="s">
        <v>577</v>
      </c>
      <c r="D254" s="21" t="s">
        <v>5813</v>
      </c>
      <c r="E254" s="21" t="s">
        <v>582</v>
      </c>
      <c r="F254" s="18" t="s">
        <v>583</v>
      </c>
      <c r="J254" s="23" t="s">
        <v>5396</v>
      </c>
      <c r="K254" s="23" t="s">
        <v>5397</v>
      </c>
      <c r="L254" s="23" t="s">
        <v>1836</v>
      </c>
      <c r="M254" s="23" t="s">
        <v>3083</v>
      </c>
      <c r="N254" s="22" t="s">
        <v>49</v>
      </c>
      <c r="P254" s="23" t="s">
        <v>49</v>
      </c>
      <c r="W254" s="108">
        <v>13109</v>
      </c>
      <c r="X254" s="124" t="s">
        <v>6420</v>
      </c>
    </row>
    <row r="255" spans="1:25" x14ac:dyDescent="0.3">
      <c r="A255" s="22">
        <v>254</v>
      </c>
      <c r="B255" s="22">
        <v>109</v>
      </c>
      <c r="C255" s="18" t="s">
        <v>577</v>
      </c>
      <c r="D255" s="21" t="s">
        <v>5813</v>
      </c>
      <c r="E255" s="21" t="s">
        <v>584</v>
      </c>
      <c r="F255" s="18" t="s">
        <v>585</v>
      </c>
      <c r="J255" s="23" t="s">
        <v>5398</v>
      </c>
      <c r="K255" s="23" t="s">
        <v>5399</v>
      </c>
      <c r="M255" s="23" t="s">
        <v>3488</v>
      </c>
      <c r="N255" s="22" t="s">
        <v>49</v>
      </c>
      <c r="P255" s="23" t="s">
        <v>49</v>
      </c>
      <c r="Q255" s="22" t="s">
        <v>50</v>
      </c>
      <c r="R255" s="22" t="s">
        <v>186</v>
      </c>
      <c r="T255" s="62" t="s">
        <v>6015</v>
      </c>
      <c r="W255" s="108">
        <v>9641</v>
      </c>
      <c r="X255" s="124" t="s">
        <v>6421</v>
      </c>
    </row>
    <row r="256" spans="1:25" x14ac:dyDescent="0.3">
      <c r="A256" s="22">
        <v>255</v>
      </c>
      <c r="B256" s="22">
        <v>109</v>
      </c>
      <c r="C256" s="18" t="s">
        <v>577</v>
      </c>
      <c r="D256" s="21" t="s">
        <v>5813</v>
      </c>
      <c r="E256" s="21" t="s">
        <v>586</v>
      </c>
      <c r="F256" s="18" t="s">
        <v>587</v>
      </c>
      <c r="J256" s="23" t="s">
        <v>6016</v>
      </c>
      <c r="K256" s="23" t="s">
        <v>5400</v>
      </c>
      <c r="L256" s="23" t="s">
        <v>1837</v>
      </c>
      <c r="M256" s="23" t="s">
        <v>3490</v>
      </c>
      <c r="N256" s="22" t="s">
        <v>89</v>
      </c>
      <c r="Q256" s="22" t="s">
        <v>50</v>
      </c>
    </row>
    <row r="257" spans="1:25" x14ac:dyDescent="0.3">
      <c r="A257" s="22">
        <v>256</v>
      </c>
      <c r="B257" s="22">
        <v>109</v>
      </c>
      <c r="C257" s="18" t="s">
        <v>577</v>
      </c>
      <c r="D257" s="21" t="s">
        <v>5813</v>
      </c>
      <c r="E257" s="21" t="s">
        <v>588</v>
      </c>
      <c r="F257" s="18" t="s">
        <v>589</v>
      </c>
      <c r="J257" s="23" t="s">
        <v>6017</v>
      </c>
      <c r="K257" s="23" t="s">
        <v>5401</v>
      </c>
      <c r="M257" s="23" t="s">
        <v>3490</v>
      </c>
      <c r="N257" s="22" t="s">
        <v>89</v>
      </c>
      <c r="S257" s="22" t="s">
        <v>1638</v>
      </c>
      <c r="Y257" s="23" t="s">
        <v>4350</v>
      </c>
    </row>
    <row r="258" spans="1:25" x14ac:dyDescent="0.3">
      <c r="A258" s="22">
        <v>257</v>
      </c>
      <c r="B258" s="22">
        <v>109</v>
      </c>
      <c r="C258" s="18" t="s">
        <v>577</v>
      </c>
      <c r="D258" s="21" t="s">
        <v>5813</v>
      </c>
      <c r="E258" s="21" t="s">
        <v>590</v>
      </c>
      <c r="F258" s="18" t="s">
        <v>591</v>
      </c>
      <c r="G258" s="23" t="s">
        <v>1612</v>
      </c>
      <c r="J258" s="23" t="s">
        <v>5402</v>
      </c>
      <c r="K258" s="23" t="s">
        <v>5403</v>
      </c>
      <c r="L258" s="23" t="s">
        <v>1838</v>
      </c>
      <c r="M258" s="23" t="s">
        <v>3493</v>
      </c>
      <c r="N258" s="22" t="s">
        <v>49</v>
      </c>
      <c r="P258" s="23" t="s">
        <v>49</v>
      </c>
      <c r="W258" s="108">
        <v>36578</v>
      </c>
      <c r="X258" s="124" t="s">
        <v>6537</v>
      </c>
    </row>
    <row r="259" spans="1:25" x14ac:dyDescent="0.3">
      <c r="A259" s="22">
        <v>258</v>
      </c>
      <c r="B259" s="22">
        <v>109</v>
      </c>
      <c r="C259" s="18" t="s">
        <v>577</v>
      </c>
      <c r="D259" s="21" t="s">
        <v>5813</v>
      </c>
      <c r="E259" s="21" t="s">
        <v>592</v>
      </c>
      <c r="F259" s="18" t="s">
        <v>593</v>
      </c>
      <c r="J259" s="23" t="s">
        <v>6018</v>
      </c>
      <c r="K259" s="23" t="s">
        <v>5404</v>
      </c>
      <c r="L259" s="23" t="s">
        <v>1839</v>
      </c>
      <c r="M259" s="23" t="s">
        <v>3495</v>
      </c>
      <c r="N259" s="22" t="s">
        <v>49</v>
      </c>
      <c r="P259" s="23" t="s">
        <v>49</v>
      </c>
      <c r="W259" s="108">
        <v>31833</v>
      </c>
      <c r="X259" s="124" t="s">
        <v>6538</v>
      </c>
    </row>
    <row r="260" spans="1:25" x14ac:dyDescent="0.3">
      <c r="A260" s="22">
        <v>259</v>
      </c>
      <c r="B260" s="22">
        <v>111</v>
      </c>
      <c r="C260" s="18" t="s">
        <v>595</v>
      </c>
      <c r="D260" s="21" t="s">
        <v>594</v>
      </c>
      <c r="E260" s="21" t="s">
        <v>5814</v>
      </c>
      <c r="F260" s="18" t="s">
        <v>598</v>
      </c>
      <c r="I260" s="23" t="s">
        <v>1841</v>
      </c>
      <c r="J260" s="23" t="s">
        <v>52</v>
      </c>
      <c r="M260" s="23" t="s">
        <v>3498</v>
      </c>
      <c r="N260" s="22" t="s">
        <v>37</v>
      </c>
      <c r="P260" s="23" t="s">
        <v>3019</v>
      </c>
      <c r="Q260" s="22" t="s">
        <v>38</v>
      </c>
      <c r="R260" s="22" t="s">
        <v>186</v>
      </c>
      <c r="S260" s="22" t="s">
        <v>1615</v>
      </c>
      <c r="X260" s="124" t="s">
        <v>6539</v>
      </c>
      <c r="Y260" s="23" t="s">
        <v>6019</v>
      </c>
    </row>
    <row r="261" spans="1:25" x14ac:dyDescent="0.3">
      <c r="A261" s="22">
        <v>260</v>
      </c>
      <c r="B261" s="22">
        <v>111</v>
      </c>
      <c r="C261" s="18" t="s">
        <v>595</v>
      </c>
      <c r="D261" s="21" t="s">
        <v>594</v>
      </c>
      <c r="E261" s="21" t="s">
        <v>596</v>
      </c>
      <c r="F261" s="18" t="s">
        <v>597</v>
      </c>
      <c r="G261" s="23" t="s">
        <v>1612</v>
      </c>
      <c r="J261" s="23" t="s">
        <v>5405</v>
      </c>
      <c r="K261" s="23" t="s">
        <v>4351</v>
      </c>
      <c r="L261" s="23" t="s">
        <v>1840</v>
      </c>
      <c r="M261" s="23" t="s">
        <v>3083</v>
      </c>
      <c r="N261" s="22" t="s">
        <v>49</v>
      </c>
      <c r="P261" s="23" t="s">
        <v>49</v>
      </c>
      <c r="W261" s="108">
        <v>43460</v>
      </c>
      <c r="X261" s="124" t="s">
        <v>6422</v>
      </c>
    </row>
    <row r="262" spans="1:25" x14ac:dyDescent="0.3">
      <c r="A262" s="22">
        <v>261</v>
      </c>
      <c r="B262" s="22">
        <v>111</v>
      </c>
      <c r="C262" s="18" t="s">
        <v>595</v>
      </c>
      <c r="D262" s="21" t="s">
        <v>594</v>
      </c>
      <c r="E262" s="21" t="s">
        <v>599</v>
      </c>
      <c r="F262" s="18" t="s">
        <v>600</v>
      </c>
      <c r="G262" s="23" t="s">
        <v>1612</v>
      </c>
      <c r="J262" s="23" t="s">
        <v>5407</v>
      </c>
      <c r="K262" s="23" t="s">
        <v>1620</v>
      </c>
      <c r="L262" s="23" t="s">
        <v>1842</v>
      </c>
      <c r="M262" s="23" t="s">
        <v>3083</v>
      </c>
      <c r="N262" s="22" t="s">
        <v>49</v>
      </c>
      <c r="P262" s="23" t="s">
        <v>49</v>
      </c>
      <c r="Q262" s="22" t="s">
        <v>58</v>
      </c>
      <c r="R262" s="22" t="s">
        <v>58</v>
      </c>
      <c r="W262" s="108">
        <v>35535</v>
      </c>
      <c r="X262" s="124" t="s">
        <v>6423</v>
      </c>
    </row>
    <row r="263" spans="1:25" x14ac:dyDescent="0.3">
      <c r="A263" s="22">
        <v>262</v>
      </c>
      <c r="B263" s="22">
        <v>125</v>
      </c>
      <c r="C263" s="18" t="s">
        <v>602</v>
      </c>
      <c r="D263" s="21" t="s">
        <v>601</v>
      </c>
      <c r="E263" s="21" t="s">
        <v>607</v>
      </c>
      <c r="F263" s="18" t="s">
        <v>608</v>
      </c>
      <c r="J263" s="23" t="s">
        <v>5411</v>
      </c>
      <c r="K263" s="23" t="s">
        <v>5412</v>
      </c>
      <c r="M263" s="23" t="s">
        <v>3501</v>
      </c>
      <c r="N263" s="22" t="s">
        <v>89</v>
      </c>
    </row>
    <row r="264" spans="1:25" x14ac:dyDescent="0.3">
      <c r="A264" s="22">
        <v>263</v>
      </c>
      <c r="B264" s="22">
        <v>125</v>
      </c>
      <c r="C264" s="18" t="s">
        <v>602</v>
      </c>
      <c r="D264" s="21" t="s">
        <v>601</v>
      </c>
      <c r="E264" s="21" t="s">
        <v>605</v>
      </c>
      <c r="F264" s="18" t="s">
        <v>606</v>
      </c>
      <c r="J264" s="23" t="s">
        <v>6020</v>
      </c>
      <c r="K264" s="23" t="s">
        <v>5410</v>
      </c>
      <c r="M264" s="23" t="s">
        <v>3503</v>
      </c>
      <c r="N264" s="22" t="s">
        <v>89</v>
      </c>
      <c r="X264" s="124" t="s">
        <v>6540</v>
      </c>
    </row>
    <row r="265" spans="1:25" x14ac:dyDescent="0.3">
      <c r="A265" s="22">
        <v>264</v>
      </c>
      <c r="B265" s="22">
        <v>125</v>
      </c>
      <c r="C265" s="18" t="s">
        <v>602</v>
      </c>
      <c r="D265" s="21" t="s">
        <v>601</v>
      </c>
      <c r="E265" s="21" t="s">
        <v>1845</v>
      </c>
      <c r="F265" s="18" t="s">
        <v>604</v>
      </c>
      <c r="G265" s="23" t="s">
        <v>1612</v>
      </c>
      <c r="H265" s="21" t="s">
        <v>603</v>
      </c>
      <c r="J265" s="23" t="s">
        <v>5408</v>
      </c>
      <c r="K265" s="23" t="s">
        <v>5409</v>
      </c>
      <c r="L265" s="23" t="s">
        <v>1843</v>
      </c>
      <c r="M265" s="23" t="s">
        <v>6476</v>
      </c>
      <c r="N265" s="22" t="s">
        <v>89</v>
      </c>
      <c r="P265" s="23" t="s">
        <v>1844</v>
      </c>
      <c r="Q265" s="22" t="s">
        <v>112</v>
      </c>
      <c r="R265" s="22" t="s">
        <v>112</v>
      </c>
      <c r="X265" s="124" t="s">
        <v>3002</v>
      </c>
    </row>
    <row r="266" spans="1:25" x14ac:dyDescent="0.3">
      <c r="A266" s="22">
        <v>265</v>
      </c>
      <c r="B266" s="22">
        <v>127</v>
      </c>
      <c r="C266" s="18" t="s">
        <v>609</v>
      </c>
      <c r="D266" s="21" t="s">
        <v>5815</v>
      </c>
      <c r="E266" s="21" t="s">
        <v>612</v>
      </c>
      <c r="F266" s="18" t="s">
        <v>613</v>
      </c>
      <c r="J266" s="23" t="s">
        <v>5413</v>
      </c>
      <c r="K266" s="23" t="s">
        <v>5414</v>
      </c>
      <c r="M266" s="23" t="s">
        <v>3507</v>
      </c>
      <c r="N266" s="22" t="s">
        <v>37</v>
      </c>
    </row>
    <row r="267" spans="1:25" x14ac:dyDescent="0.3">
      <c r="A267" s="22">
        <v>266</v>
      </c>
      <c r="B267" s="22">
        <v>127</v>
      </c>
      <c r="C267" s="18" t="s">
        <v>609</v>
      </c>
      <c r="D267" s="21" t="s">
        <v>5815</v>
      </c>
      <c r="E267" s="21" t="s">
        <v>614</v>
      </c>
      <c r="F267" s="18" t="s">
        <v>615</v>
      </c>
      <c r="J267" s="23" t="s">
        <v>6022</v>
      </c>
      <c r="K267" s="23" t="s">
        <v>5415</v>
      </c>
      <c r="M267" s="23" t="s">
        <v>6478</v>
      </c>
      <c r="N267" s="22" t="s">
        <v>346</v>
      </c>
      <c r="R267" s="22" t="s">
        <v>58</v>
      </c>
    </row>
    <row r="268" spans="1:25" x14ac:dyDescent="0.3">
      <c r="A268" s="22">
        <v>267</v>
      </c>
      <c r="B268" s="22">
        <v>127</v>
      </c>
      <c r="C268" s="18" t="s">
        <v>609</v>
      </c>
      <c r="D268" s="21" t="s">
        <v>5815</v>
      </c>
      <c r="E268" s="21" t="s">
        <v>610</v>
      </c>
      <c r="F268" s="18" t="s">
        <v>611</v>
      </c>
      <c r="J268" s="23" t="s">
        <v>6021</v>
      </c>
      <c r="M268" s="23" t="s">
        <v>6477</v>
      </c>
      <c r="N268" s="22" t="s">
        <v>37</v>
      </c>
      <c r="P268" s="23" t="s">
        <v>4352</v>
      </c>
      <c r="R268" s="22" t="s">
        <v>112</v>
      </c>
      <c r="X268" s="124" t="s">
        <v>8561</v>
      </c>
    </row>
    <row r="269" spans="1:25" x14ac:dyDescent="0.3">
      <c r="A269" s="22">
        <v>268</v>
      </c>
      <c r="B269" s="22">
        <v>129</v>
      </c>
      <c r="C269" s="18" t="s">
        <v>619</v>
      </c>
      <c r="D269" s="21" t="s">
        <v>5816</v>
      </c>
      <c r="E269" s="21" t="s">
        <v>620</v>
      </c>
      <c r="F269" s="18" t="s">
        <v>621</v>
      </c>
      <c r="G269" s="23" t="s">
        <v>1847</v>
      </c>
      <c r="J269" s="23" t="s">
        <v>5416</v>
      </c>
      <c r="L269" s="23" t="s">
        <v>1846</v>
      </c>
      <c r="M269" s="23" t="s">
        <v>3510</v>
      </c>
      <c r="N269" s="22" t="s">
        <v>37</v>
      </c>
      <c r="P269" s="23" t="s">
        <v>3019</v>
      </c>
      <c r="Q269" s="22" t="s">
        <v>50</v>
      </c>
      <c r="R269" s="22" t="s">
        <v>38</v>
      </c>
      <c r="S269" s="22" t="s">
        <v>1615</v>
      </c>
      <c r="X269" s="124" t="s">
        <v>6541</v>
      </c>
      <c r="Y269" s="23" t="s">
        <v>4353</v>
      </c>
    </row>
    <row r="270" spans="1:25" x14ac:dyDescent="0.3">
      <c r="A270" s="22">
        <v>269</v>
      </c>
      <c r="C270" s="18" t="s">
        <v>616</v>
      </c>
      <c r="D270" s="21" t="s">
        <v>5817</v>
      </c>
      <c r="E270" s="21" t="s">
        <v>5819</v>
      </c>
      <c r="F270" s="18" t="s">
        <v>5820</v>
      </c>
      <c r="G270" s="23" t="s">
        <v>1612</v>
      </c>
      <c r="J270" s="23" t="s">
        <v>6023</v>
      </c>
      <c r="L270" s="23" t="s">
        <v>6024</v>
      </c>
      <c r="N270" s="22" t="s">
        <v>49</v>
      </c>
      <c r="P270" s="23" t="s">
        <v>49</v>
      </c>
      <c r="W270" s="108">
        <v>44567</v>
      </c>
      <c r="X270" s="124" t="s">
        <v>6424</v>
      </c>
    </row>
    <row r="271" spans="1:25" x14ac:dyDescent="0.3">
      <c r="A271" s="22">
        <v>270</v>
      </c>
      <c r="B271" s="22">
        <v>129</v>
      </c>
      <c r="C271" s="18" t="s">
        <v>616</v>
      </c>
      <c r="D271" s="21" t="s">
        <v>5817</v>
      </c>
      <c r="E271" s="21" t="s">
        <v>617</v>
      </c>
      <c r="F271" s="18" t="s">
        <v>618</v>
      </c>
      <c r="J271" s="23" t="s">
        <v>6025</v>
      </c>
      <c r="M271" s="23" t="s">
        <v>3512</v>
      </c>
      <c r="N271" s="22" t="s">
        <v>89</v>
      </c>
      <c r="Y271" s="23" t="s">
        <v>4354</v>
      </c>
    </row>
    <row r="272" spans="1:25" x14ac:dyDescent="0.3">
      <c r="A272" s="22">
        <v>271</v>
      </c>
      <c r="B272" s="22">
        <v>111</v>
      </c>
      <c r="C272" s="18" t="s">
        <v>622</v>
      </c>
      <c r="D272" s="21" t="s">
        <v>5821</v>
      </c>
      <c r="E272" s="21" t="s">
        <v>623</v>
      </c>
      <c r="F272" s="18" t="s">
        <v>624</v>
      </c>
      <c r="J272" s="23" t="s">
        <v>5417</v>
      </c>
      <c r="L272" s="23" t="s">
        <v>1848</v>
      </c>
      <c r="M272" s="23" t="s">
        <v>3514</v>
      </c>
      <c r="N272" s="22" t="s">
        <v>49</v>
      </c>
      <c r="P272" s="23" t="s">
        <v>49</v>
      </c>
      <c r="Q272" s="22" t="s">
        <v>50</v>
      </c>
      <c r="R272" s="22" t="s">
        <v>186</v>
      </c>
      <c r="W272" s="108">
        <v>1446</v>
      </c>
      <c r="X272" s="124" t="s">
        <v>6425</v>
      </c>
    </row>
    <row r="273" spans="1:25" x14ac:dyDescent="0.3">
      <c r="A273" s="22">
        <v>272</v>
      </c>
      <c r="B273" s="22">
        <v>113</v>
      </c>
      <c r="C273" s="18" t="s">
        <v>622</v>
      </c>
      <c r="D273" s="21" t="s">
        <v>5821</v>
      </c>
      <c r="E273" s="21" t="s">
        <v>625</v>
      </c>
      <c r="F273" s="18" t="s">
        <v>626</v>
      </c>
      <c r="J273" s="23" t="s">
        <v>6026</v>
      </c>
      <c r="L273" s="23" t="s">
        <v>1849</v>
      </c>
      <c r="M273" s="23" t="s">
        <v>3516</v>
      </c>
      <c r="N273" s="22" t="s">
        <v>37</v>
      </c>
      <c r="P273" s="23" t="s">
        <v>3029</v>
      </c>
      <c r="X273" s="124" t="s">
        <v>6542</v>
      </c>
    </row>
    <row r="274" spans="1:25" x14ac:dyDescent="0.3">
      <c r="A274" s="22">
        <v>273</v>
      </c>
      <c r="B274" s="22">
        <v>111</v>
      </c>
      <c r="C274" s="18" t="s">
        <v>622</v>
      </c>
      <c r="D274" s="21" t="s">
        <v>5821</v>
      </c>
      <c r="E274" s="21" t="s">
        <v>627</v>
      </c>
      <c r="F274" s="18" t="s">
        <v>628</v>
      </c>
      <c r="G274" s="23" t="s">
        <v>1612</v>
      </c>
      <c r="J274" s="23" t="s">
        <v>5418</v>
      </c>
      <c r="M274" s="23" t="s">
        <v>3081</v>
      </c>
      <c r="N274" s="22" t="s">
        <v>49</v>
      </c>
      <c r="P274" s="23" t="s">
        <v>49</v>
      </c>
      <c r="W274" s="108">
        <v>39446</v>
      </c>
      <c r="X274" s="124" t="s">
        <v>6543</v>
      </c>
    </row>
    <row r="275" spans="1:25" x14ac:dyDescent="0.3">
      <c r="A275" s="22">
        <v>274</v>
      </c>
      <c r="B275" s="22">
        <v>111</v>
      </c>
      <c r="C275" s="18" t="s">
        <v>622</v>
      </c>
      <c r="D275" s="21" t="s">
        <v>5821</v>
      </c>
      <c r="E275" s="21" t="s">
        <v>629</v>
      </c>
      <c r="F275" s="18" t="s">
        <v>630</v>
      </c>
      <c r="J275" s="23" t="s">
        <v>5419</v>
      </c>
      <c r="K275" s="23" t="s">
        <v>5420</v>
      </c>
      <c r="L275" s="23" t="s">
        <v>1850</v>
      </c>
      <c r="M275" s="23" t="s">
        <v>3519</v>
      </c>
      <c r="N275" s="22" t="s">
        <v>89</v>
      </c>
      <c r="Q275" s="22" t="s">
        <v>58</v>
      </c>
      <c r="R275" s="22" t="s">
        <v>58</v>
      </c>
      <c r="W275" s="108">
        <v>1828</v>
      </c>
      <c r="X275" s="124" t="s">
        <v>6426</v>
      </c>
    </row>
    <row r="276" spans="1:25" x14ac:dyDescent="0.3">
      <c r="A276" s="22">
        <v>275</v>
      </c>
      <c r="B276" s="22">
        <v>113</v>
      </c>
      <c r="C276" s="18" t="s">
        <v>631</v>
      </c>
      <c r="D276" s="21" t="s">
        <v>5822</v>
      </c>
      <c r="E276" s="21" t="s">
        <v>632</v>
      </c>
      <c r="F276" s="18" t="s">
        <v>633</v>
      </c>
      <c r="G276" s="23" t="s">
        <v>1851</v>
      </c>
      <c r="H276" s="21" t="s">
        <v>1851</v>
      </c>
      <c r="J276" s="23" t="s">
        <v>5218</v>
      </c>
      <c r="K276" s="23" t="s">
        <v>1629</v>
      </c>
      <c r="M276" s="23" t="s">
        <v>8562</v>
      </c>
      <c r="N276" s="22" t="s">
        <v>49</v>
      </c>
      <c r="P276" s="23" t="s">
        <v>49</v>
      </c>
      <c r="W276" s="108">
        <v>1898</v>
      </c>
      <c r="X276" s="124" t="s">
        <v>6544</v>
      </c>
    </row>
    <row r="277" spans="1:25" x14ac:dyDescent="0.3">
      <c r="A277" s="22">
        <v>276</v>
      </c>
      <c r="B277" s="22">
        <v>115</v>
      </c>
      <c r="C277" s="18" t="s">
        <v>631</v>
      </c>
      <c r="D277" s="21" t="s">
        <v>5822</v>
      </c>
      <c r="E277" s="21" t="s">
        <v>640</v>
      </c>
      <c r="F277" s="18" t="s">
        <v>1856</v>
      </c>
      <c r="J277" s="23" t="s">
        <v>52</v>
      </c>
      <c r="M277" s="23" t="s">
        <v>3526</v>
      </c>
      <c r="N277" s="22" t="s">
        <v>37</v>
      </c>
      <c r="S277" s="22" t="s">
        <v>1745</v>
      </c>
      <c r="X277" s="124" t="s">
        <v>9</v>
      </c>
      <c r="Y277" s="23" t="s">
        <v>4355</v>
      </c>
    </row>
    <row r="278" spans="1:25" x14ac:dyDescent="0.3">
      <c r="A278" s="22">
        <v>277</v>
      </c>
      <c r="B278" s="22">
        <v>113</v>
      </c>
      <c r="C278" s="18" t="s">
        <v>631</v>
      </c>
      <c r="D278" s="21" t="s">
        <v>5822</v>
      </c>
      <c r="E278" s="21" t="s">
        <v>638</v>
      </c>
      <c r="F278" s="18" t="s">
        <v>639</v>
      </c>
      <c r="J278" s="23" t="s">
        <v>5423</v>
      </c>
      <c r="L278" s="23" t="s">
        <v>1855</v>
      </c>
      <c r="M278" s="23" t="s">
        <v>3150</v>
      </c>
      <c r="N278" s="22" t="s">
        <v>37</v>
      </c>
    </row>
    <row r="279" spans="1:25" x14ac:dyDescent="0.3">
      <c r="A279" s="22">
        <v>278</v>
      </c>
      <c r="B279" s="22">
        <v>113</v>
      </c>
      <c r="C279" s="18" t="s">
        <v>631</v>
      </c>
      <c r="D279" s="21" t="s">
        <v>5822</v>
      </c>
      <c r="E279" s="21" t="s">
        <v>636</v>
      </c>
      <c r="F279" s="18" t="s">
        <v>637</v>
      </c>
      <c r="G279" s="23" t="s">
        <v>1854</v>
      </c>
      <c r="H279" s="21" t="s">
        <v>1854</v>
      </c>
      <c r="I279" s="23" t="s">
        <v>1854</v>
      </c>
      <c r="J279" s="23" t="s">
        <v>5207</v>
      </c>
      <c r="K279" s="23" t="s">
        <v>5422</v>
      </c>
      <c r="L279" s="23" t="s">
        <v>1853</v>
      </c>
      <c r="M279" s="23" t="s">
        <v>3523</v>
      </c>
      <c r="N279" s="22" t="s">
        <v>89</v>
      </c>
      <c r="P279" s="23" t="s">
        <v>1650</v>
      </c>
      <c r="X279" s="124" t="s">
        <v>6427</v>
      </c>
    </row>
    <row r="280" spans="1:25" x14ac:dyDescent="0.3">
      <c r="A280" s="22">
        <v>279</v>
      </c>
      <c r="B280" s="22">
        <v>113</v>
      </c>
      <c r="C280" s="18" t="s">
        <v>631</v>
      </c>
      <c r="D280" s="21" t="s">
        <v>5822</v>
      </c>
      <c r="E280" s="21" t="s">
        <v>634</v>
      </c>
      <c r="F280" s="18" t="s">
        <v>635</v>
      </c>
      <c r="J280" s="23" t="s">
        <v>6027</v>
      </c>
      <c r="K280" s="23" t="s">
        <v>5421</v>
      </c>
      <c r="L280" s="23" t="s">
        <v>1852</v>
      </c>
      <c r="M280" s="23" t="s">
        <v>3150</v>
      </c>
      <c r="N280" s="22" t="s">
        <v>37</v>
      </c>
    </row>
    <row r="281" spans="1:25" x14ac:dyDescent="0.3">
      <c r="A281" s="22">
        <v>280</v>
      </c>
      <c r="B281" s="22">
        <v>115</v>
      </c>
      <c r="C281" s="18" t="s">
        <v>631</v>
      </c>
      <c r="D281" s="21" t="s">
        <v>5822</v>
      </c>
      <c r="E281" s="21" t="s">
        <v>645</v>
      </c>
      <c r="F281" s="18" t="s">
        <v>646</v>
      </c>
      <c r="J281" s="23" t="s">
        <v>647</v>
      </c>
      <c r="M281" s="23" t="s">
        <v>3532</v>
      </c>
      <c r="N281" s="22" t="s">
        <v>37</v>
      </c>
      <c r="X281" s="124" t="s">
        <v>3533</v>
      </c>
    </row>
    <row r="282" spans="1:25" x14ac:dyDescent="0.3">
      <c r="A282" s="22">
        <v>281</v>
      </c>
      <c r="B282" s="22">
        <v>117</v>
      </c>
      <c r="C282" s="18" t="s">
        <v>631</v>
      </c>
      <c r="D282" s="21" t="s">
        <v>5822</v>
      </c>
      <c r="E282" s="21" t="s">
        <v>1860</v>
      </c>
      <c r="F282" s="18" t="s">
        <v>648</v>
      </c>
      <c r="G282" s="23" t="s">
        <v>1859</v>
      </c>
      <c r="I282" s="23" t="s">
        <v>1861</v>
      </c>
      <c r="J282" s="23" t="s">
        <v>213</v>
      </c>
      <c r="M282" s="23" t="s">
        <v>3150</v>
      </c>
      <c r="N282" s="22" t="s">
        <v>37</v>
      </c>
      <c r="S282" s="22" t="s">
        <v>1615</v>
      </c>
      <c r="Y282" s="23" t="s">
        <v>4356</v>
      </c>
    </row>
    <row r="283" spans="1:25" x14ac:dyDescent="0.3">
      <c r="A283" s="22">
        <v>282</v>
      </c>
      <c r="B283" s="22">
        <v>115</v>
      </c>
      <c r="C283" s="18" t="s">
        <v>631</v>
      </c>
      <c r="D283" s="21" t="s">
        <v>5822</v>
      </c>
      <c r="E283" s="21" t="s">
        <v>643</v>
      </c>
      <c r="F283" s="18" t="s">
        <v>644</v>
      </c>
      <c r="I283" s="23" t="s">
        <v>1858</v>
      </c>
      <c r="J283" s="23" t="s">
        <v>5426</v>
      </c>
      <c r="K283" s="23" t="s">
        <v>5427</v>
      </c>
      <c r="L283" s="23" t="s">
        <v>6652</v>
      </c>
      <c r="M283" s="23" t="s">
        <v>3530</v>
      </c>
      <c r="N283" s="22" t="s">
        <v>37</v>
      </c>
    </row>
    <row r="284" spans="1:25" x14ac:dyDescent="0.3">
      <c r="A284" s="22">
        <v>283</v>
      </c>
      <c r="B284" s="22">
        <v>115</v>
      </c>
      <c r="C284" s="18" t="s">
        <v>631</v>
      </c>
      <c r="D284" s="21" t="s">
        <v>5822</v>
      </c>
      <c r="E284" s="21" t="s">
        <v>641</v>
      </c>
      <c r="F284" s="18" t="s">
        <v>642</v>
      </c>
      <c r="J284" s="23" t="s">
        <v>5424</v>
      </c>
      <c r="K284" s="23" t="s">
        <v>5425</v>
      </c>
      <c r="L284" s="23" t="s">
        <v>1857</v>
      </c>
      <c r="M284" s="23" t="s">
        <v>3528</v>
      </c>
      <c r="N284" s="22" t="s">
        <v>89</v>
      </c>
      <c r="Q284" s="22" t="s">
        <v>58</v>
      </c>
      <c r="R284" s="22" t="s">
        <v>58</v>
      </c>
    </row>
    <row r="285" spans="1:25" x14ac:dyDescent="0.3">
      <c r="A285" s="22">
        <v>284</v>
      </c>
      <c r="B285" s="22">
        <v>121</v>
      </c>
      <c r="C285" s="18" t="s">
        <v>631</v>
      </c>
      <c r="D285" s="21" t="s">
        <v>5822</v>
      </c>
      <c r="E285" s="21" t="s">
        <v>670</v>
      </c>
      <c r="F285" s="18" t="s">
        <v>671</v>
      </c>
      <c r="G285" s="23" t="s">
        <v>1870</v>
      </c>
      <c r="I285" s="23" t="s">
        <v>1871</v>
      </c>
      <c r="J285" s="23" t="s">
        <v>5435</v>
      </c>
      <c r="M285" s="23" t="s">
        <v>3551</v>
      </c>
      <c r="N285" s="22" t="s">
        <v>37</v>
      </c>
    </row>
    <row r="286" spans="1:25" x14ac:dyDescent="0.3">
      <c r="A286" s="22">
        <v>285</v>
      </c>
      <c r="B286" s="22">
        <v>121</v>
      </c>
      <c r="C286" s="18" t="s">
        <v>631</v>
      </c>
      <c r="D286" s="21" t="s">
        <v>5822</v>
      </c>
      <c r="E286" s="21" t="s">
        <v>672</v>
      </c>
      <c r="F286" s="18" t="s">
        <v>673</v>
      </c>
      <c r="J286" s="23" t="s">
        <v>5436</v>
      </c>
      <c r="K286" s="23" t="s">
        <v>5437</v>
      </c>
      <c r="L286" s="23" t="s">
        <v>1872</v>
      </c>
      <c r="M286" s="23" t="s">
        <v>3553</v>
      </c>
      <c r="N286" s="22" t="s">
        <v>89</v>
      </c>
      <c r="Q286" s="22" t="s">
        <v>38</v>
      </c>
      <c r="R286" s="22" t="s">
        <v>38</v>
      </c>
    </row>
    <row r="287" spans="1:25" x14ac:dyDescent="0.3">
      <c r="A287" s="22">
        <v>286</v>
      </c>
      <c r="B287" s="22">
        <v>121</v>
      </c>
      <c r="C287" s="18" t="s">
        <v>631</v>
      </c>
      <c r="D287" s="21" t="s">
        <v>5822</v>
      </c>
      <c r="E287" s="21" t="s">
        <v>667</v>
      </c>
      <c r="F287" s="18" t="s">
        <v>668</v>
      </c>
      <c r="J287" s="23" t="s">
        <v>5298</v>
      </c>
      <c r="M287" s="23" t="s">
        <v>8563</v>
      </c>
      <c r="N287" s="22" t="s">
        <v>346</v>
      </c>
      <c r="X287" s="124" t="s">
        <v>669</v>
      </c>
    </row>
    <row r="288" spans="1:25" x14ac:dyDescent="0.3">
      <c r="A288" s="22">
        <v>287</v>
      </c>
      <c r="B288" s="22">
        <v>117</v>
      </c>
      <c r="C288" s="18" t="s">
        <v>631</v>
      </c>
      <c r="D288" s="21" t="s">
        <v>5822</v>
      </c>
      <c r="E288" s="21" t="s">
        <v>649</v>
      </c>
      <c r="F288" s="18" t="s">
        <v>650</v>
      </c>
      <c r="G288" s="23" t="s">
        <v>1862</v>
      </c>
      <c r="J288" s="23" t="s">
        <v>5428</v>
      </c>
      <c r="M288" s="23" t="s">
        <v>3532</v>
      </c>
      <c r="N288" s="22" t="s">
        <v>346</v>
      </c>
      <c r="T288" s="62" t="s">
        <v>6028</v>
      </c>
      <c r="V288" s="107" t="s">
        <v>4357</v>
      </c>
    </row>
    <row r="289" spans="1:25" x14ac:dyDescent="0.3">
      <c r="A289" s="22">
        <v>288</v>
      </c>
      <c r="B289" s="22">
        <v>117</v>
      </c>
      <c r="C289" s="18" t="s">
        <v>631</v>
      </c>
      <c r="D289" s="21" t="s">
        <v>5822</v>
      </c>
      <c r="E289" s="21" t="s">
        <v>651</v>
      </c>
      <c r="F289" s="18" t="s">
        <v>652</v>
      </c>
      <c r="J289" s="23" t="s">
        <v>5429</v>
      </c>
      <c r="K289" s="23" t="s">
        <v>5430</v>
      </c>
      <c r="L289" s="23" t="s">
        <v>1863</v>
      </c>
      <c r="M289" s="23" t="s">
        <v>3537</v>
      </c>
      <c r="N289" s="22" t="s">
        <v>89</v>
      </c>
      <c r="W289" s="108">
        <v>1849</v>
      </c>
      <c r="X289" s="124" t="s">
        <v>6428</v>
      </c>
    </row>
    <row r="290" spans="1:25" x14ac:dyDescent="0.3">
      <c r="A290" s="22">
        <v>289</v>
      </c>
      <c r="B290" s="22">
        <v>117</v>
      </c>
      <c r="C290" s="18" t="s">
        <v>631</v>
      </c>
      <c r="D290" s="21" t="s">
        <v>5822</v>
      </c>
      <c r="E290" s="21" t="s">
        <v>653</v>
      </c>
      <c r="F290" s="18" t="s">
        <v>654</v>
      </c>
      <c r="J290" s="23" t="s">
        <v>5431</v>
      </c>
      <c r="M290" s="23" t="s">
        <v>3539</v>
      </c>
      <c r="N290" s="22" t="s">
        <v>37</v>
      </c>
    </row>
    <row r="291" spans="1:25" x14ac:dyDescent="0.3">
      <c r="A291" s="22">
        <v>290</v>
      </c>
      <c r="B291" s="22">
        <v>121</v>
      </c>
      <c r="C291" s="18" t="s">
        <v>631</v>
      </c>
      <c r="D291" s="21" t="s">
        <v>5822</v>
      </c>
      <c r="E291" s="21" t="s">
        <v>1865</v>
      </c>
      <c r="F291" s="18" t="s">
        <v>655</v>
      </c>
      <c r="G291" s="23" t="s">
        <v>1864</v>
      </c>
      <c r="J291" s="23" t="s">
        <v>4358</v>
      </c>
      <c r="L291" s="23" t="s">
        <v>6029</v>
      </c>
      <c r="M291" s="23" t="s">
        <v>3532</v>
      </c>
      <c r="N291" s="22" t="s">
        <v>346</v>
      </c>
      <c r="S291" s="22" t="s">
        <v>1648</v>
      </c>
      <c r="T291" s="62" t="s">
        <v>2955</v>
      </c>
      <c r="V291" s="107" t="s">
        <v>4359</v>
      </c>
      <c r="Y291" s="23" t="s">
        <v>4360</v>
      </c>
    </row>
    <row r="292" spans="1:25" x14ac:dyDescent="0.3">
      <c r="A292" s="22">
        <v>291</v>
      </c>
      <c r="B292" s="22">
        <v>119</v>
      </c>
      <c r="C292" s="18" t="s">
        <v>631</v>
      </c>
      <c r="D292" s="21" t="s">
        <v>5822</v>
      </c>
      <c r="E292" s="21" t="s">
        <v>662</v>
      </c>
      <c r="F292" s="18" t="s">
        <v>663</v>
      </c>
      <c r="I292" s="23" t="s">
        <v>1868</v>
      </c>
      <c r="J292" s="23" t="s">
        <v>5434</v>
      </c>
      <c r="M292" s="23" t="s">
        <v>3546</v>
      </c>
      <c r="N292" s="22" t="s">
        <v>346</v>
      </c>
      <c r="S292" s="22" t="s">
        <v>1867</v>
      </c>
      <c r="T292" s="62" t="s">
        <v>6030</v>
      </c>
      <c r="X292" s="124" t="s">
        <v>664</v>
      </c>
      <c r="Y292" s="23" t="s">
        <v>4361</v>
      </c>
    </row>
    <row r="293" spans="1:25" x14ac:dyDescent="0.3">
      <c r="A293" s="22">
        <v>292</v>
      </c>
      <c r="B293" s="22">
        <v>119</v>
      </c>
      <c r="C293" s="18" t="s">
        <v>631</v>
      </c>
      <c r="D293" s="21" t="s">
        <v>5822</v>
      </c>
      <c r="E293" s="21" t="s">
        <v>6545</v>
      </c>
      <c r="F293" s="18" t="s">
        <v>666</v>
      </c>
      <c r="I293" s="23" t="s">
        <v>665</v>
      </c>
      <c r="J293" s="23" t="s">
        <v>6653</v>
      </c>
      <c r="K293" s="23" t="s">
        <v>6654</v>
      </c>
      <c r="L293" s="23" t="s">
        <v>6655</v>
      </c>
      <c r="M293" s="23" t="s">
        <v>3546</v>
      </c>
      <c r="N293" s="22" t="s">
        <v>346</v>
      </c>
      <c r="S293" s="22" t="s">
        <v>1615</v>
      </c>
      <c r="T293" s="62" t="s">
        <v>6031</v>
      </c>
      <c r="X293" s="124" t="s">
        <v>3548</v>
      </c>
      <c r="Y293" s="23" t="s">
        <v>6656</v>
      </c>
    </row>
    <row r="294" spans="1:25" x14ac:dyDescent="0.3">
      <c r="A294" s="22">
        <v>293</v>
      </c>
      <c r="B294" s="22">
        <v>119</v>
      </c>
      <c r="C294" s="18" t="s">
        <v>631</v>
      </c>
      <c r="D294" s="21" t="s">
        <v>5822</v>
      </c>
      <c r="E294" s="21" t="s">
        <v>656</v>
      </c>
      <c r="F294" s="18" t="s">
        <v>657</v>
      </c>
      <c r="H294" s="21" t="s">
        <v>1866</v>
      </c>
      <c r="J294" s="23" t="s">
        <v>5310</v>
      </c>
      <c r="M294" s="23" t="s">
        <v>3388</v>
      </c>
      <c r="N294" s="22" t="s">
        <v>89</v>
      </c>
    </row>
    <row r="295" spans="1:25" x14ac:dyDescent="0.3">
      <c r="A295" s="22">
        <v>294</v>
      </c>
      <c r="B295" s="22">
        <v>119</v>
      </c>
      <c r="C295" s="18" t="s">
        <v>631</v>
      </c>
      <c r="D295" s="21" t="s">
        <v>5822</v>
      </c>
      <c r="E295" s="21" t="s">
        <v>660</v>
      </c>
      <c r="F295" s="18" t="s">
        <v>661</v>
      </c>
      <c r="J295" s="23" t="s">
        <v>5433</v>
      </c>
      <c r="M295" s="23" t="s">
        <v>3125</v>
      </c>
      <c r="N295" s="22" t="s">
        <v>37</v>
      </c>
    </row>
    <row r="296" spans="1:25" x14ac:dyDescent="0.3">
      <c r="A296" s="22">
        <v>295</v>
      </c>
      <c r="B296" s="22">
        <v>119</v>
      </c>
      <c r="C296" s="18" t="s">
        <v>631</v>
      </c>
      <c r="D296" s="21" t="s">
        <v>5822</v>
      </c>
      <c r="E296" s="21" t="s">
        <v>658</v>
      </c>
      <c r="F296" s="18" t="s">
        <v>659</v>
      </c>
      <c r="J296" s="23" t="s">
        <v>5432</v>
      </c>
      <c r="L296" s="23" t="s">
        <v>6657</v>
      </c>
      <c r="M296" s="23" t="s">
        <v>3543</v>
      </c>
      <c r="N296" s="22" t="s">
        <v>37</v>
      </c>
      <c r="S296" s="22" t="s">
        <v>1638</v>
      </c>
      <c r="Y296" s="23" t="s">
        <v>6658</v>
      </c>
    </row>
    <row r="297" spans="1:25" x14ac:dyDescent="0.3">
      <c r="A297" s="22">
        <v>296</v>
      </c>
      <c r="B297" s="22">
        <v>123</v>
      </c>
      <c r="C297" s="18" t="s">
        <v>675</v>
      </c>
      <c r="D297" s="21" t="s">
        <v>674</v>
      </c>
      <c r="E297" s="21" t="s">
        <v>676</v>
      </c>
      <c r="F297" s="18" t="s">
        <v>677</v>
      </c>
      <c r="J297" s="23" t="s">
        <v>5438</v>
      </c>
      <c r="L297" s="23" t="s">
        <v>1873</v>
      </c>
      <c r="M297" s="23" t="s">
        <v>3555</v>
      </c>
      <c r="N297" s="22" t="s">
        <v>353</v>
      </c>
      <c r="P297" s="23" t="s">
        <v>3019</v>
      </c>
      <c r="Q297" s="22" t="s">
        <v>50</v>
      </c>
      <c r="R297" s="22" t="s">
        <v>186</v>
      </c>
      <c r="X297" s="124" t="s">
        <v>3556</v>
      </c>
    </row>
    <row r="298" spans="1:25" x14ac:dyDescent="0.3">
      <c r="A298" s="22">
        <v>297</v>
      </c>
      <c r="B298" s="22">
        <v>123</v>
      </c>
      <c r="C298" s="18" t="s">
        <v>675</v>
      </c>
      <c r="D298" s="21" t="s">
        <v>674</v>
      </c>
      <c r="E298" s="21" t="s">
        <v>678</v>
      </c>
      <c r="F298" s="18" t="s">
        <v>679</v>
      </c>
      <c r="G298" s="23" t="s">
        <v>1612</v>
      </c>
      <c r="J298" s="23" t="s">
        <v>5439</v>
      </c>
      <c r="K298" s="23" t="s">
        <v>5440</v>
      </c>
      <c r="L298" s="23" t="s">
        <v>1874</v>
      </c>
      <c r="M298" s="23" t="s">
        <v>3558</v>
      </c>
      <c r="N298" s="22" t="s">
        <v>49</v>
      </c>
      <c r="P298" s="23" t="s">
        <v>49</v>
      </c>
      <c r="Q298" s="22" t="s">
        <v>50</v>
      </c>
      <c r="R298" s="22" t="s">
        <v>38</v>
      </c>
      <c r="W298" s="108">
        <v>39827</v>
      </c>
      <c r="X298" s="124" t="s">
        <v>6429</v>
      </c>
    </row>
    <row r="299" spans="1:25" x14ac:dyDescent="0.3">
      <c r="A299" s="22">
        <v>298</v>
      </c>
      <c r="B299" s="22">
        <v>123</v>
      </c>
      <c r="C299" s="18" t="s">
        <v>675</v>
      </c>
      <c r="D299" s="21" t="s">
        <v>674</v>
      </c>
      <c r="E299" s="21" t="s">
        <v>680</v>
      </c>
      <c r="F299" s="18" t="s">
        <v>681</v>
      </c>
      <c r="G299" s="23" t="s">
        <v>1612</v>
      </c>
      <c r="J299" s="23" t="s">
        <v>5441</v>
      </c>
      <c r="K299" s="23" t="s">
        <v>5442</v>
      </c>
      <c r="L299" s="23" t="s">
        <v>1875</v>
      </c>
      <c r="M299" s="23" t="s">
        <v>3439</v>
      </c>
      <c r="N299" s="22" t="s">
        <v>49</v>
      </c>
      <c r="P299" s="23" t="s">
        <v>49</v>
      </c>
      <c r="W299" s="108">
        <v>42620</v>
      </c>
      <c r="X299" s="124" t="s">
        <v>6430</v>
      </c>
    </row>
    <row r="300" spans="1:25" x14ac:dyDescent="0.3">
      <c r="A300" s="22">
        <v>299</v>
      </c>
      <c r="B300" s="22">
        <v>185</v>
      </c>
      <c r="C300" s="18" t="s">
        <v>683</v>
      </c>
      <c r="D300" s="21" t="s">
        <v>682</v>
      </c>
      <c r="E300" s="21" t="s">
        <v>1876</v>
      </c>
      <c r="F300" s="18" t="s">
        <v>685</v>
      </c>
      <c r="I300" s="23" t="s">
        <v>684</v>
      </c>
      <c r="J300" s="23" t="s">
        <v>242</v>
      </c>
      <c r="M300" s="23" t="s">
        <v>3561</v>
      </c>
      <c r="N300" s="22" t="s">
        <v>178</v>
      </c>
      <c r="S300" s="22" t="s">
        <v>1615</v>
      </c>
      <c r="V300" s="107" t="s">
        <v>4362</v>
      </c>
      <c r="X300" s="124" t="s">
        <v>6546</v>
      </c>
      <c r="Y300" s="23" t="s">
        <v>6032</v>
      </c>
    </row>
    <row r="301" spans="1:25" x14ac:dyDescent="0.3">
      <c r="A301" s="22">
        <v>300</v>
      </c>
      <c r="B301" s="22">
        <v>185</v>
      </c>
      <c r="C301" s="18" t="s">
        <v>686</v>
      </c>
      <c r="D301" s="21" t="s">
        <v>5823</v>
      </c>
      <c r="E301" s="21" t="s">
        <v>687</v>
      </c>
      <c r="F301" s="18" t="s">
        <v>688</v>
      </c>
      <c r="G301" s="23" t="s">
        <v>1877</v>
      </c>
      <c r="J301" s="23" t="s">
        <v>5406</v>
      </c>
      <c r="M301" s="23" t="s">
        <v>3563</v>
      </c>
      <c r="N301" s="22" t="s">
        <v>37</v>
      </c>
    </row>
    <row r="302" spans="1:25" ht="40.799999999999997" x14ac:dyDescent="0.3">
      <c r="A302" s="22">
        <v>301</v>
      </c>
      <c r="B302" s="22">
        <v>185</v>
      </c>
      <c r="C302" s="18" t="s">
        <v>686</v>
      </c>
      <c r="D302" s="21" t="s">
        <v>5823</v>
      </c>
      <c r="E302" s="21" t="s">
        <v>689</v>
      </c>
      <c r="F302" s="18" t="s">
        <v>690</v>
      </c>
      <c r="G302" s="23" t="s">
        <v>1878</v>
      </c>
      <c r="H302" s="21" t="s">
        <v>1879</v>
      </c>
      <c r="I302" s="23" t="s">
        <v>1879</v>
      </c>
      <c r="J302" s="23" t="s">
        <v>5443</v>
      </c>
      <c r="M302" s="109" t="s">
        <v>6547</v>
      </c>
      <c r="N302" s="22" t="s">
        <v>346</v>
      </c>
    </row>
    <row r="303" spans="1:25" x14ac:dyDescent="0.3">
      <c r="A303" s="22">
        <v>302</v>
      </c>
      <c r="B303" s="22">
        <v>187</v>
      </c>
      <c r="C303" s="18" t="s">
        <v>686</v>
      </c>
      <c r="D303" s="21" t="s">
        <v>5823</v>
      </c>
      <c r="E303" s="21" t="s">
        <v>691</v>
      </c>
      <c r="F303" s="18" t="s">
        <v>692</v>
      </c>
      <c r="J303" s="23" t="s">
        <v>5229</v>
      </c>
      <c r="M303" s="23" t="s">
        <v>3566</v>
      </c>
      <c r="N303" s="22" t="s">
        <v>57</v>
      </c>
      <c r="O303" s="23" t="s">
        <v>1632</v>
      </c>
      <c r="S303" s="22" t="s">
        <v>1648</v>
      </c>
      <c r="Y303" s="23" t="s">
        <v>4363</v>
      </c>
    </row>
    <row r="304" spans="1:25" x14ac:dyDescent="0.3">
      <c r="A304" s="22">
        <v>303</v>
      </c>
      <c r="B304" s="22">
        <v>187</v>
      </c>
      <c r="C304" s="18" t="s">
        <v>686</v>
      </c>
      <c r="D304" s="21" t="s">
        <v>5823</v>
      </c>
      <c r="E304" s="21" t="s">
        <v>693</v>
      </c>
      <c r="F304" s="18" t="s">
        <v>694</v>
      </c>
      <c r="J304" s="23" t="s">
        <v>52</v>
      </c>
      <c r="M304" s="23" t="s">
        <v>3568</v>
      </c>
      <c r="N304" s="22" t="s">
        <v>37</v>
      </c>
    </row>
    <row r="305" spans="1:25" x14ac:dyDescent="0.3">
      <c r="A305" s="22">
        <v>304</v>
      </c>
      <c r="B305" s="22">
        <v>189</v>
      </c>
      <c r="C305" s="18" t="s">
        <v>686</v>
      </c>
      <c r="D305" s="21" t="s">
        <v>5823</v>
      </c>
      <c r="E305" s="21" t="s">
        <v>696</v>
      </c>
      <c r="F305" s="18" t="s">
        <v>697</v>
      </c>
      <c r="G305" s="23" t="s">
        <v>1612</v>
      </c>
      <c r="J305" s="23" t="s">
        <v>5444</v>
      </c>
      <c r="K305" s="23" t="s">
        <v>1880</v>
      </c>
      <c r="L305" s="23" t="s">
        <v>1881</v>
      </c>
      <c r="M305" s="23" t="s">
        <v>3078</v>
      </c>
      <c r="N305" s="22" t="s">
        <v>49</v>
      </c>
      <c r="P305" s="23" t="s">
        <v>49</v>
      </c>
      <c r="Q305" s="22" t="s">
        <v>50</v>
      </c>
      <c r="R305" s="22" t="s">
        <v>186</v>
      </c>
      <c r="W305" s="108">
        <v>37507</v>
      </c>
      <c r="X305" s="124" t="s">
        <v>6431</v>
      </c>
    </row>
    <row r="306" spans="1:25" x14ac:dyDescent="0.3">
      <c r="A306" s="22">
        <v>305</v>
      </c>
      <c r="B306" s="22">
        <v>187</v>
      </c>
      <c r="C306" s="18" t="s">
        <v>686</v>
      </c>
      <c r="D306" s="21" t="s">
        <v>5823</v>
      </c>
      <c r="E306" s="21" t="s">
        <v>698</v>
      </c>
      <c r="F306" s="18" t="s">
        <v>699</v>
      </c>
      <c r="J306" s="23" t="s">
        <v>84</v>
      </c>
      <c r="M306" s="23" t="s">
        <v>3571</v>
      </c>
      <c r="N306" s="22" t="s">
        <v>37</v>
      </c>
    </row>
    <row r="307" spans="1:25" x14ac:dyDescent="0.3">
      <c r="A307" s="22">
        <v>306</v>
      </c>
      <c r="B307" s="22">
        <v>189</v>
      </c>
      <c r="C307" s="18" t="s">
        <v>686</v>
      </c>
      <c r="D307" s="21" t="s">
        <v>5823</v>
      </c>
      <c r="E307" s="21" t="s">
        <v>700</v>
      </c>
      <c r="F307" s="18" t="s">
        <v>701</v>
      </c>
      <c r="G307" s="23" t="s">
        <v>1882</v>
      </c>
      <c r="J307" s="23" t="s">
        <v>5229</v>
      </c>
      <c r="L307" s="23" t="s">
        <v>1883</v>
      </c>
      <c r="M307" s="23" t="s">
        <v>3573</v>
      </c>
      <c r="N307" s="22" t="s">
        <v>57</v>
      </c>
      <c r="O307" s="23" t="s">
        <v>1632</v>
      </c>
    </row>
    <row r="308" spans="1:25" x14ac:dyDescent="0.3">
      <c r="A308" s="22">
        <v>307</v>
      </c>
      <c r="B308" s="22">
        <v>189</v>
      </c>
      <c r="C308" s="18" t="s">
        <v>686</v>
      </c>
      <c r="D308" s="21" t="s">
        <v>5823</v>
      </c>
      <c r="E308" s="21" t="s">
        <v>702</v>
      </c>
      <c r="F308" s="18" t="s">
        <v>703</v>
      </c>
      <c r="J308" s="23" t="s">
        <v>5445</v>
      </c>
      <c r="L308" s="23" t="s">
        <v>1884</v>
      </c>
      <c r="M308" s="23" t="s">
        <v>3575</v>
      </c>
      <c r="N308" s="22" t="s">
        <v>57</v>
      </c>
      <c r="O308" s="23" t="s">
        <v>1632</v>
      </c>
      <c r="Q308" s="22" t="s">
        <v>112</v>
      </c>
      <c r="R308" s="22" t="s">
        <v>112</v>
      </c>
      <c r="S308" s="22" t="s">
        <v>1834</v>
      </c>
      <c r="Y308" s="23" t="s">
        <v>4364</v>
      </c>
    </row>
    <row r="309" spans="1:25" x14ac:dyDescent="0.3">
      <c r="A309" s="22">
        <v>308</v>
      </c>
      <c r="B309" s="22">
        <v>191</v>
      </c>
      <c r="C309" s="18" t="s">
        <v>686</v>
      </c>
      <c r="D309" s="21" t="s">
        <v>5823</v>
      </c>
      <c r="E309" s="21" t="s">
        <v>708</v>
      </c>
      <c r="F309" s="18" t="s">
        <v>709</v>
      </c>
      <c r="G309" s="23" t="s">
        <v>706</v>
      </c>
      <c r="I309" s="23" t="s">
        <v>1888</v>
      </c>
      <c r="J309" s="23" t="s">
        <v>5447</v>
      </c>
      <c r="L309" s="23" t="s">
        <v>1887</v>
      </c>
      <c r="M309" s="23" t="s">
        <v>3581</v>
      </c>
      <c r="N309" s="22" t="s">
        <v>57</v>
      </c>
      <c r="O309" s="23" t="s">
        <v>1632</v>
      </c>
      <c r="Q309" s="22" t="s">
        <v>58</v>
      </c>
      <c r="R309" s="22" t="s">
        <v>58</v>
      </c>
      <c r="S309" s="22" t="s">
        <v>1648</v>
      </c>
      <c r="Y309" s="23" t="s">
        <v>4366</v>
      </c>
    </row>
    <row r="310" spans="1:25" x14ac:dyDescent="0.3">
      <c r="A310" s="22">
        <v>309</v>
      </c>
      <c r="B310" s="22">
        <v>189</v>
      </c>
      <c r="C310" s="18" t="s">
        <v>686</v>
      </c>
      <c r="D310" s="21" t="s">
        <v>5823</v>
      </c>
      <c r="E310" s="21" t="s">
        <v>706</v>
      </c>
      <c r="F310" s="18" t="s">
        <v>707</v>
      </c>
      <c r="I310" s="23" t="s">
        <v>1886</v>
      </c>
      <c r="J310" s="23" t="s">
        <v>5446</v>
      </c>
      <c r="L310" s="23" t="s">
        <v>1885</v>
      </c>
      <c r="M310" s="23" t="s">
        <v>3579</v>
      </c>
      <c r="N310" s="22" t="s">
        <v>57</v>
      </c>
      <c r="O310" s="23" t="s">
        <v>1712</v>
      </c>
      <c r="Q310" s="22" t="s">
        <v>58</v>
      </c>
      <c r="R310" s="22" t="s">
        <v>38</v>
      </c>
      <c r="T310" s="62" t="s">
        <v>6034</v>
      </c>
    </row>
    <row r="311" spans="1:25" x14ac:dyDescent="0.3">
      <c r="A311" s="22">
        <v>310</v>
      </c>
      <c r="B311" s="22">
        <v>191</v>
      </c>
      <c r="C311" s="18" t="s">
        <v>686</v>
      </c>
      <c r="D311" s="21" t="s">
        <v>5823</v>
      </c>
      <c r="E311" s="21" t="s">
        <v>704</v>
      </c>
      <c r="F311" s="18" t="s">
        <v>705</v>
      </c>
      <c r="J311" s="23" t="s">
        <v>4365</v>
      </c>
      <c r="M311" s="23" t="s">
        <v>3577</v>
      </c>
      <c r="N311" s="22" t="s">
        <v>37</v>
      </c>
      <c r="T311" s="62" t="s">
        <v>6033</v>
      </c>
    </row>
    <row r="312" spans="1:25" x14ac:dyDescent="0.3">
      <c r="A312" s="22">
        <v>311</v>
      </c>
      <c r="B312" s="22">
        <v>191</v>
      </c>
      <c r="C312" s="18" t="s">
        <v>686</v>
      </c>
      <c r="D312" s="21" t="s">
        <v>5823</v>
      </c>
      <c r="E312" s="21" t="s">
        <v>710</v>
      </c>
      <c r="F312" s="18" t="s">
        <v>711</v>
      </c>
      <c r="J312" s="23" t="s">
        <v>5448</v>
      </c>
      <c r="M312" s="23" t="s">
        <v>3583</v>
      </c>
      <c r="N312" s="22" t="s">
        <v>37</v>
      </c>
      <c r="Q312" s="22" t="s">
        <v>50</v>
      </c>
      <c r="S312" s="22" t="s">
        <v>1615</v>
      </c>
      <c r="T312" s="62" t="s">
        <v>6035</v>
      </c>
      <c r="Y312" s="23" t="s">
        <v>4367</v>
      </c>
    </row>
    <row r="313" spans="1:25" x14ac:dyDescent="0.3">
      <c r="A313" s="22">
        <v>312</v>
      </c>
      <c r="B313" s="22">
        <v>195</v>
      </c>
      <c r="C313" s="18" t="s">
        <v>686</v>
      </c>
      <c r="D313" s="21" t="s">
        <v>5823</v>
      </c>
      <c r="E313" s="21" t="s">
        <v>712</v>
      </c>
      <c r="F313" s="18" t="s">
        <v>713</v>
      </c>
      <c r="J313" s="23" t="s">
        <v>84</v>
      </c>
      <c r="M313" s="23" t="s">
        <v>3585</v>
      </c>
      <c r="N313" s="22" t="s">
        <v>37</v>
      </c>
    </row>
    <row r="314" spans="1:25" x14ac:dyDescent="0.3">
      <c r="A314" s="22">
        <v>313</v>
      </c>
      <c r="B314" s="22">
        <v>193</v>
      </c>
      <c r="C314" s="18" t="s">
        <v>686</v>
      </c>
      <c r="D314" s="21" t="s">
        <v>5823</v>
      </c>
      <c r="E314" s="21" t="s">
        <v>2957</v>
      </c>
      <c r="F314" s="18" t="s">
        <v>2958</v>
      </c>
      <c r="G314" s="23" t="s">
        <v>1612</v>
      </c>
      <c r="J314" s="23" t="s">
        <v>5449</v>
      </c>
      <c r="M314" s="23" t="s">
        <v>3078</v>
      </c>
      <c r="N314" s="22" t="s">
        <v>49</v>
      </c>
      <c r="P314" s="23" t="s">
        <v>49</v>
      </c>
      <c r="W314" s="108">
        <v>43798</v>
      </c>
      <c r="X314" s="124" t="s">
        <v>8564</v>
      </c>
    </row>
    <row r="315" spans="1:25" x14ac:dyDescent="0.3">
      <c r="A315" s="22">
        <v>314</v>
      </c>
      <c r="B315" s="22">
        <v>195</v>
      </c>
      <c r="C315" s="18" t="s">
        <v>686</v>
      </c>
      <c r="D315" s="21" t="s">
        <v>5823</v>
      </c>
      <c r="E315" s="21" t="s">
        <v>714</v>
      </c>
      <c r="F315" s="18" t="s">
        <v>715</v>
      </c>
      <c r="G315" s="23" t="s">
        <v>1891</v>
      </c>
      <c r="J315" s="23" t="s">
        <v>5450</v>
      </c>
      <c r="K315" s="23" t="s">
        <v>5451</v>
      </c>
      <c r="L315" s="23" t="s">
        <v>1890</v>
      </c>
      <c r="M315" s="23" t="s">
        <v>3588</v>
      </c>
      <c r="N315" s="22" t="s">
        <v>89</v>
      </c>
    </row>
    <row r="316" spans="1:25" x14ac:dyDescent="0.3">
      <c r="A316" s="22">
        <v>315</v>
      </c>
      <c r="B316" s="22">
        <v>195</v>
      </c>
      <c r="C316" s="18" t="s">
        <v>686</v>
      </c>
      <c r="D316" s="21" t="s">
        <v>5823</v>
      </c>
      <c r="E316" s="21" t="s">
        <v>716</v>
      </c>
      <c r="F316" s="18" t="s">
        <v>717</v>
      </c>
      <c r="J316" s="23" t="s">
        <v>5452</v>
      </c>
      <c r="K316" s="23" t="s">
        <v>1889</v>
      </c>
      <c r="M316" s="23" t="s">
        <v>3590</v>
      </c>
      <c r="N316" s="22" t="s">
        <v>89</v>
      </c>
    </row>
    <row r="317" spans="1:25" x14ac:dyDescent="0.3">
      <c r="A317" s="22">
        <v>316</v>
      </c>
      <c r="B317" s="22">
        <v>195</v>
      </c>
      <c r="C317" s="18" t="s">
        <v>686</v>
      </c>
      <c r="D317" s="21" t="s">
        <v>5823</v>
      </c>
      <c r="E317" s="21" t="s">
        <v>718</v>
      </c>
      <c r="F317" s="18" t="s">
        <v>719</v>
      </c>
      <c r="J317" s="23" t="s">
        <v>84</v>
      </c>
      <c r="M317" s="23" t="s">
        <v>3176</v>
      </c>
      <c r="N317" s="22" t="s">
        <v>37</v>
      </c>
    </row>
    <row r="318" spans="1:25" x14ac:dyDescent="0.3">
      <c r="A318" s="22">
        <v>317</v>
      </c>
      <c r="B318" s="22">
        <v>197</v>
      </c>
      <c r="C318" s="18" t="s">
        <v>686</v>
      </c>
      <c r="D318" s="21" t="s">
        <v>5823</v>
      </c>
      <c r="E318" s="21" t="s">
        <v>720</v>
      </c>
      <c r="F318" s="18" t="s">
        <v>721</v>
      </c>
      <c r="G318" s="23" t="s">
        <v>1612</v>
      </c>
      <c r="J318" s="23" t="s">
        <v>5218</v>
      </c>
      <c r="K318" s="23" t="s">
        <v>1892</v>
      </c>
      <c r="M318" s="23" t="s">
        <v>3078</v>
      </c>
      <c r="N318" s="22" t="s">
        <v>49</v>
      </c>
      <c r="P318" s="23" t="s">
        <v>49</v>
      </c>
      <c r="W318" s="108">
        <v>43411</v>
      </c>
      <c r="X318" s="124" t="s">
        <v>6548</v>
      </c>
    </row>
    <row r="319" spans="1:25" x14ac:dyDescent="0.3">
      <c r="A319" s="22">
        <v>318</v>
      </c>
      <c r="B319" s="22">
        <v>193</v>
      </c>
      <c r="C319" s="18" t="s">
        <v>686</v>
      </c>
      <c r="D319" s="21" t="s">
        <v>5823</v>
      </c>
      <c r="E319" s="21" t="s">
        <v>722</v>
      </c>
      <c r="F319" s="18" t="s">
        <v>723</v>
      </c>
      <c r="J319" s="23" t="s">
        <v>5453</v>
      </c>
      <c r="K319" s="23" t="s">
        <v>5454</v>
      </c>
      <c r="L319" s="23" t="s">
        <v>1872</v>
      </c>
      <c r="M319" s="23" t="s">
        <v>3371</v>
      </c>
      <c r="N319" s="22" t="s">
        <v>89</v>
      </c>
    </row>
    <row r="320" spans="1:25" x14ac:dyDescent="0.3">
      <c r="A320" s="22">
        <v>319</v>
      </c>
      <c r="B320" s="22">
        <v>193</v>
      </c>
      <c r="C320" s="18" t="s">
        <v>686</v>
      </c>
      <c r="D320" s="21" t="s">
        <v>5823</v>
      </c>
      <c r="E320" s="21" t="s">
        <v>724</v>
      </c>
      <c r="F320" s="18" t="s">
        <v>725</v>
      </c>
      <c r="J320" s="23" t="s">
        <v>5455</v>
      </c>
      <c r="K320" s="23" t="s">
        <v>5456</v>
      </c>
      <c r="L320" s="23" t="s">
        <v>1893</v>
      </c>
      <c r="M320" s="23" t="s">
        <v>3595</v>
      </c>
      <c r="N320" s="22" t="s">
        <v>346</v>
      </c>
    </row>
    <row r="321" spans="1:25" x14ac:dyDescent="0.3">
      <c r="A321" s="22">
        <v>320</v>
      </c>
      <c r="B321" s="22">
        <v>199</v>
      </c>
      <c r="C321" s="18" t="s">
        <v>686</v>
      </c>
      <c r="D321" s="21" t="s">
        <v>5823</v>
      </c>
      <c r="E321" s="21" t="s">
        <v>726</v>
      </c>
      <c r="F321" s="18" t="s">
        <v>727</v>
      </c>
      <c r="J321" s="23" t="s">
        <v>5298</v>
      </c>
      <c r="M321" s="23" t="s">
        <v>3086</v>
      </c>
      <c r="N321" s="22" t="s">
        <v>89</v>
      </c>
      <c r="W321" s="108">
        <v>2892</v>
      </c>
      <c r="X321" s="124" t="s">
        <v>6549</v>
      </c>
    </row>
    <row r="322" spans="1:25" x14ac:dyDescent="0.3">
      <c r="A322" s="22">
        <v>321</v>
      </c>
      <c r="B322" s="22">
        <v>197</v>
      </c>
      <c r="C322" s="18" t="s">
        <v>686</v>
      </c>
      <c r="D322" s="21" t="s">
        <v>5823</v>
      </c>
      <c r="E322" s="21" t="s">
        <v>728</v>
      </c>
      <c r="F322" s="18" t="s">
        <v>729</v>
      </c>
      <c r="J322" s="23" t="s">
        <v>5457</v>
      </c>
      <c r="M322" s="23" t="s">
        <v>3125</v>
      </c>
      <c r="N322" s="22" t="s">
        <v>37</v>
      </c>
    </row>
    <row r="323" spans="1:25" x14ac:dyDescent="0.3">
      <c r="A323" s="22">
        <v>322</v>
      </c>
      <c r="B323" s="22">
        <v>197</v>
      </c>
      <c r="C323" s="18" t="s">
        <v>686</v>
      </c>
      <c r="D323" s="21" t="s">
        <v>5823</v>
      </c>
      <c r="E323" s="21" t="s">
        <v>730</v>
      </c>
      <c r="F323" s="18" t="s">
        <v>6551</v>
      </c>
      <c r="J323" s="23" t="s">
        <v>5458</v>
      </c>
      <c r="L323" s="23" t="s">
        <v>1894</v>
      </c>
      <c r="M323" s="23" t="s">
        <v>3125</v>
      </c>
      <c r="N323" s="22" t="s">
        <v>37</v>
      </c>
      <c r="S323" s="22" t="s">
        <v>1745</v>
      </c>
      <c r="V323" s="107" t="s">
        <v>731</v>
      </c>
      <c r="Y323" s="23" t="s">
        <v>6659</v>
      </c>
    </row>
    <row r="324" spans="1:25" x14ac:dyDescent="0.3">
      <c r="A324" s="22">
        <v>323</v>
      </c>
      <c r="B324" s="22">
        <v>197</v>
      </c>
      <c r="C324" s="18" t="s">
        <v>686</v>
      </c>
      <c r="D324" s="21" t="s">
        <v>5823</v>
      </c>
      <c r="E324" s="21" t="s">
        <v>732</v>
      </c>
      <c r="F324" s="18" t="s">
        <v>1897</v>
      </c>
      <c r="H324" s="21" t="s">
        <v>1896</v>
      </c>
      <c r="J324" s="23" t="s">
        <v>5459</v>
      </c>
      <c r="L324" s="23" t="s">
        <v>1895</v>
      </c>
      <c r="M324" s="23" t="s">
        <v>3598</v>
      </c>
      <c r="N324" s="22" t="s">
        <v>37</v>
      </c>
      <c r="Q324" s="22" t="s">
        <v>50</v>
      </c>
      <c r="R324" s="22" t="s">
        <v>38</v>
      </c>
      <c r="S324" s="22" t="s">
        <v>1745</v>
      </c>
      <c r="T324" s="62" t="s">
        <v>6036</v>
      </c>
      <c r="Y324" s="23" t="s">
        <v>6660</v>
      </c>
    </row>
    <row r="325" spans="1:25" x14ac:dyDescent="0.3">
      <c r="A325" s="22">
        <v>324</v>
      </c>
      <c r="B325" s="22">
        <v>199</v>
      </c>
      <c r="C325" s="18" t="s">
        <v>686</v>
      </c>
      <c r="D325" s="21" t="s">
        <v>5823</v>
      </c>
      <c r="E325" s="21" t="s">
        <v>733</v>
      </c>
      <c r="F325" s="18" t="s">
        <v>734</v>
      </c>
      <c r="H325" s="21" t="s">
        <v>1899</v>
      </c>
      <c r="J325" s="23" t="s">
        <v>5460</v>
      </c>
      <c r="K325" s="23" t="s">
        <v>5461</v>
      </c>
      <c r="L325" s="23" t="s">
        <v>1898</v>
      </c>
      <c r="M325" s="23" t="s">
        <v>3588</v>
      </c>
      <c r="N325" s="22" t="s">
        <v>89</v>
      </c>
      <c r="X325" s="124" t="s">
        <v>9</v>
      </c>
    </row>
    <row r="326" spans="1:25" x14ac:dyDescent="0.3">
      <c r="A326" s="22">
        <v>325</v>
      </c>
      <c r="B326" s="22">
        <v>199</v>
      </c>
      <c r="C326" s="18" t="s">
        <v>686</v>
      </c>
      <c r="D326" s="21" t="s">
        <v>5823</v>
      </c>
      <c r="E326" s="21" t="s">
        <v>735</v>
      </c>
      <c r="F326" s="18" t="s">
        <v>736</v>
      </c>
      <c r="G326" s="23" t="s">
        <v>1900</v>
      </c>
      <c r="I326" s="23" t="s">
        <v>1901</v>
      </c>
      <c r="J326" s="23" t="s">
        <v>4368</v>
      </c>
      <c r="M326" s="23" t="s">
        <v>3601</v>
      </c>
      <c r="N326" s="22" t="s">
        <v>695</v>
      </c>
      <c r="S326" s="22" t="s">
        <v>1648</v>
      </c>
      <c r="X326" s="124" t="s">
        <v>8565</v>
      </c>
      <c r="Y326" s="23" t="s">
        <v>4369</v>
      </c>
    </row>
    <row r="327" spans="1:25" x14ac:dyDescent="0.3">
      <c r="A327" s="22">
        <v>326</v>
      </c>
      <c r="B327" s="22">
        <v>173</v>
      </c>
      <c r="C327" s="18" t="s">
        <v>738</v>
      </c>
      <c r="D327" s="21" t="s">
        <v>737</v>
      </c>
      <c r="E327" s="21" t="s">
        <v>739</v>
      </c>
      <c r="F327" s="18" t="s">
        <v>740</v>
      </c>
      <c r="G327" s="23" t="s">
        <v>1902</v>
      </c>
      <c r="H327" s="21" t="s">
        <v>1903</v>
      </c>
      <c r="J327" s="23" t="s">
        <v>5462</v>
      </c>
      <c r="M327" s="23" t="s">
        <v>3125</v>
      </c>
      <c r="N327" s="22" t="s">
        <v>37</v>
      </c>
      <c r="S327" s="22" t="s">
        <v>1648</v>
      </c>
      <c r="Y327" s="23" t="s">
        <v>5463</v>
      </c>
    </row>
    <row r="328" spans="1:25" x14ac:dyDescent="0.3">
      <c r="A328" s="22">
        <v>327</v>
      </c>
      <c r="B328" s="22">
        <v>173</v>
      </c>
      <c r="C328" s="18" t="s">
        <v>742</v>
      </c>
      <c r="D328" s="21" t="s">
        <v>741</v>
      </c>
      <c r="E328" s="21" t="s">
        <v>772</v>
      </c>
      <c r="F328" s="18" t="s">
        <v>773</v>
      </c>
      <c r="G328" s="23" t="s">
        <v>770</v>
      </c>
      <c r="J328" s="23" t="s">
        <v>4370</v>
      </c>
      <c r="M328" s="23" t="s">
        <v>3604</v>
      </c>
      <c r="N328" s="22" t="s">
        <v>346</v>
      </c>
      <c r="S328" s="22" t="s">
        <v>1648</v>
      </c>
      <c r="Y328" s="23" t="s">
        <v>4371</v>
      </c>
    </row>
    <row r="329" spans="1:25" x14ac:dyDescent="0.3">
      <c r="A329" s="22">
        <v>328</v>
      </c>
      <c r="B329" s="22">
        <v>173</v>
      </c>
      <c r="C329" s="18" t="s">
        <v>742</v>
      </c>
      <c r="D329" s="21" t="s">
        <v>741</v>
      </c>
      <c r="E329" s="21" t="s">
        <v>1918</v>
      </c>
      <c r="F329" s="18" t="s">
        <v>771</v>
      </c>
      <c r="J329" s="23" t="s">
        <v>5464</v>
      </c>
      <c r="K329" s="23" t="s">
        <v>2342</v>
      </c>
      <c r="M329" s="23" t="s">
        <v>3606</v>
      </c>
      <c r="N329" s="22" t="s">
        <v>37</v>
      </c>
      <c r="S329" s="22" t="s">
        <v>1615</v>
      </c>
      <c r="Y329" s="23" t="s">
        <v>6037</v>
      </c>
    </row>
    <row r="330" spans="1:25" x14ac:dyDescent="0.3">
      <c r="A330" s="22">
        <v>329</v>
      </c>
      <c r="B330" s="22">
        <v>175</v>
      </c>
      <c r="C330" s="18" t="s">
        <v>742</v>
      </c>
      <c r="D330" s="21" t="s">
        <v>741</v>
      </c>
      <c r="E330" s="21" t="s">
        <v>774</v>
      </c>
      <c r="F330" s="18" t="s">
        <v>775</v>
      </c>
      <c r="G330" s="23" t="s">
        <v>770</v>
      </c>
      <c r="J330" s="23" t="s">
        <v>5465</v>
      </c>
      <c r="L330" s="23" t="s">
        <v>1919</v>
      </c>
      <c r="M330" s="23" t="s">
        <v>3608</v>
      </c>
      <c r="N330" s="22" t="s">
        <v>253</v>
      </c>
      <c r="Q330" s="22" t="s">
        <v>50</v>
      </c>
      <c r="R330" s="22" t="s">
        <v>38</v>
      </c>
      <c r="S330" s="22" t="s">
        <v>1648</v>
      </c>
      <c r="X330" s="124" t="s">
        <v>3003</v>
      </c>
      <c r="Y330" s="23" t="s">
        <v>4372</v>
      </c>
    </row>
    <row r="331" spans="1:25" x14ac:dyDescent="0.3">
      <c r="A331" s="22">
        <v>330</v>
      </c>
      <c r="B331" s="22">
        <v>175</v>
      </c>
      <c r="C331" s="18" t="s">
        <v>742</v>
      </c>
      <c r="D331" s="21" t="s">
        <v>741</v>
      </c>
      <c r="E331" s="21" t="s">
        <v>1922</v>
      </c>
      <c r="F331" s="18" t="s">
        <v>776</v>
      </c>
      <c r="G331" s="23" t="s">
        <v>1921</v>
      </c>
      <c r="J331" s="23" t="s">
        <v>4373</v>
      </c>
      <c r="M331" s="23" t="s">
        <v>3610</v>
      </c>
      <c r="N331" s="22" t="s">
        <v>57</v>
      </c>
      <c r="O331" s="23" t="s">
        <v>1632</v>
      </c>
      <c r="S331" s="22" t="s">
        <v>1920</v>
      </c>
      <c r="Y331" s="23" t="s">
        <v>6038</v>
      </c>
    </row>
    <row r="332" spans="1:25" x14ac:dyDescent="0.3">
      <c r="A332" s="22">
        <v>331</v>
      </c>
      <c r="B332" s="22">
        <v>175</v>
      </c>
      <c r="C332" s="18" t="s">
        <v>742</v>
      </c>
      <c r="D332" s="21" t="s">
        <v>741</v>
      </c>
      <c r="E332" s="21" t="s">
        <v>1924</v>
      </c>
      <c r="F332" s="18" t="s">
        <v>777</v>
      </c>
      <c r="G332" s="23" t="s">
        <v>1921</v>
      </c>
      <c r="J332" s="23" t="s">
        <v>4374</v>
      </c>
      <c r="L332" s="23" t="s">
        <v>1923</v>
      </c>
      <c r="M332" s="23" t="s">
        <v>3612</v>
      </c>
      <c r="N332" s="22" t="s">
        <v>57</v>
      </c>
      <c r="O332" s="23" t="s">
        <v>1669</v>
      </c>
      <c r="Q332" s="22" t="s">
        <v>50</v>
      </c>
      <c r="R332" s="22" t="s">
        <v>38</v>
      </c>
      <c r="S332" s="22" t="s">
        <v>6039</v>
      </c>
      <c r="Y332" s="23" t="s">
        <v>6040</v>
      </c>
    </row>
    <row r="333" spans="1:25" x14ac:dyDescent="0.3">
      <c r="A333" s="22">
        <v>332</v>
      </c>
      <c r="B333" s="22">
        <v>175</v>
      </c>
      <c r="C333" s="18" t="s">
        <v>742</v>
      </c>
      <c r="D333" s="21" t="s">
        <v>741</v>
      </c>
      <c r="E333" s="21" t="s">
        <v>1935</v>
      </c>
      <c r="F333" s="18" t="s">
        <v>782</v>
      </c>
      <c r="G333" s="23" t="s">
        <v>1612</v>
      </c>
      <c r="J333" s="23" t="s">
        <v>5466</v>
      </c>
      <c r="L333" s="23" t="s">
        <v>1933</v>
      </c>
      <c r="M333" s="23" t="s">
        <v>3614</v>
      </c>
      <c r="N333" s="22" t="s">
        <v>57</v>
      </c>
      <c r="O333" s="23" t="s">
        <v>1934</v>
      </c>
      <c r="Q333" s="22" t="s">
        <v>58</v>
      </c>
      <c r="R333" s="22" t="s">
        <v>58</v>
      </c>
      <c r="S333" s="22" t="s">
        <v>6041</v>
      </c>
      <c r="X333" s="124" t="s">
        <v>3004</v>
      </c>
      <c r="Y333" s="23" t="s">
        <v>6042</v>
      </c>
    </row>
    <row r="334" spans="1:25" x14ac:dyDescent="0.3">
      <c r="A334" s="22">
        <v>333</v>
      </c>
      <c r="B334" s="22">
        <v>177</v>
      </c>
      <c r="C334" s="18" t="s">
        <v>742</v>
      </c>
      <c r="D334" s="21" t="s">
        <v>741</v>
      </c>
      <c r="E334" s="21" t="s">
        <v>1938</v>
      </c>
      <c r="F334" s="18" t="s">
        <v>783</v>
      </c>
      <c r="G334" s="23" t="s">
        <v>1921</v>
      </c>
      <c r="J334" s="23" t="s">
        <v>5467</v>
      </c>
      <c r="L334" s="23" t="s">
        <v>1936</v>
      </c>
      <c r="M334" s="23" t="s">
        <v>3616</v>
      </c>
      <c r="N334" s="22" t="s">
        <v>57</v>
      </c>
      <c r="O334" s="23" t="s">
        <v>1937</v>
      </c>
      <c r="Q334" s="22" t="s">
        <v>38</v>
      </c>
      <c r="R334" s="22" t="s">
        <v>38</v>
      </c>
      <c r="S334" s="22" t="s">
        <v>1694</v>
      </c>
      <c r="Y334" s="23" t="s">
        <v>6043</v>
      </c>
    </row>
    <row r="335" spans="1:25" x14ac:dyDescent="0.3">
      <c r="A335" s="22">
        <v>334</v>
      </c>
      <c r="B335" s="22">
        <v>177</v>
      </c>
      <c r="C335" s="18" t="s">
        <v>742</v>
      </c>
      <c r="D335" s="21" t="s">
        <v>741</v>
      </c>
      <c r="E335" s="21" t="s">
        <v>1932</v>
      </c>
      <c r="F335" s="18" t="s">
        <v>780</v>
      </c>
      <c r="G335" s="23" t="s">
        <v>1612</v>
      </c>
      <c r="J335" s="23" t="s">
        <v>781</v>
      </c>
      <c r="L335" s="23" t="s">
        <v>1929</v>
      </c>
      <c r="M335" s="23" t="s">
        <v>3618</v>
      </c>
      <c r="N335" s="22" t="s">
        <v>57</v>
      </c>
      <c r="O335" s="23" t="s">
        <v>1930</v>
      </c>
      <c r="Q335" s="22" t="s">
        <v>58</v>
      </c>
      <c r="R335" s="22" t="s">
        <v>58</v>
      </c>
      <c r="S335" s="22" t="s">
        <v>6041</v>
      </c>
      <c r="X335" s="124" t="s">
        <v>3004</v>
      </c>
      <c r="Y335" s="23" t="s">
        <v>6042</v>
      </c>
    </row>
    <row r="336" spans="1:25" x14ac:dyDescent="0.3">
      <c r="A336" s="22">
        <v>335</v>
      </c>
      <c r="B336" s="22">
        <v>177</v>
      </c>
      <c r="C336" s="18" t="s">
        <v>742</v>
      </c>
      <c r="D336" s="21" t="s">
        <v>741</v>
      </c>
      <c r="E336" s="21" t="s">
        <v>1928</v>
      </c>
      <c r="F336" s="18" t="s">
        <v>779</v>
      </c>
      <c r="G336" s="23" t="s">
        <v>1921</v>
      </c>
      <c r="J336" s="23" t="s">
        <v>5468</v>
      </c>
      <c r="M336" s="23" t="s">
        <v>3620</v>
      </c>
      <c r="N336" s="22" t="s">
        <v>57</v>
      </c>
      <c r="O336" s="23" t="s">
        <v>1927</v>
      </c>
      <c r="Q336" s="22" t="s">
        <v>58</v>
      </c>
      <c r="R336" s="22" t="s">
        <v>58</v>
      </c>
      <c r="S336" s="22" t="s">
        <v>1694</v>
      </c>
      <c r="Y336" s="23" t="s">
        <v>6044</v>
      </c>
    </row>
    <row r="337" spans="1:25" x14ac:dyDescent="0.3">
      <c r="A337" s="22">
        <v>336</v>
      </c>
      <c r="B337" s="22">
        <v>177</v>
      </c>
      <c r="C337" s="18" t="s">
        <v>742</v>
      </c>
      <c r="D337" s="21" t="s">
        <v>741</v>
      </c>
      <c r="E337" s="21" t="s">
        <v>1926</v>
      </c>
      <c r="F337" s="18" t="s">
        <v>778</v>
      </c>
      <c r="G337" s="23" t="s">
        <v>1921</v>
      </c>
      <c r="J337" s="23" t="s">
        <v>4375</v>
      </c>
      <c r="L337" s="23" t="s">
        <v>1925</v>
      </c>
      <c r="M337" s="23" t="s">
        <v>3278</v>
      </c>
      <c r="N337" s="22" t="s">
        <v>57</v>
      </c>
      <c r="O337" s="23" t="s">
        <v>1671</v>
      </c>
      <c r="Q337" s="22" t="s">
        <v>38</v>
      </c>
      <c r="R337" s="22" t="s">
        <v>38</v>
      </c>
      <c r="S337" s="22" t="s">
        <v>1694</v>
      </c>
      <c r="Y337" s="23" t="s">
        <v>6045</v>
      </c>
    </row>
    <row r="338" spans="1:25" x14ac:dyDescent="0.3">
      <c r="A338" s="22">
        <v>337</v>
      </c>
      <c r="B338" s="22">
        <v>179</v>
      </c>
      <c r="C338" s="18" t="s">
        <v>742</v>
      </c>
      <c r="D338" s="21" t="s">
        <v>741</v>
      </c>
      <c r="E338" s="21" t="s">
        <v>743</v>
      </c>
      <c r="F338" s="18" t="s">
        <v>744</v>
      </c>
      <c r="J338" s="23" t="s">
        <v>5469</v>
      </c>
      <c r="L338" s="23" t="s">
        <v>1904</v>
      </c>
      <c r="M338" s="23" t="s">
        <v>3623</v>
      </c>
      <c r="N338" s="22" t="s">
        <v>57</v>
      </c>
      <c r="O338" s="23" t="s">
        <v>1669</v>
      </c>
      <c r="Q338" s="22" t="s">
        <v>38</v>
      </c>
      <c r="R338" s="22" t="s">
        <v>58</v>
      </c>
      <c r="S338" s="22" t="s">
        <v>1905</v>
      </c>
      <c r="T338" s="62" t="s">
        <v>6046</v>
      </c>
      <c r="Y338" s="23" t="s">
        <v>6047</v>
      </c>
    </row>
    <row r="339" spans="1:25" x14ac:dyDescent="0.3">
      <c r="A339" s="22">
        <v>338</v>
      </c>
      <c r="B339" s="22">
        <v>181</v>
      </c>
      <c r="C339" s="18" t="s">
        <v>742</v>
      </c>
      <c r="D339" s="21" t="s">
        <v>741</v>
      </c>
      <c r="E339" s="21" t="s">
        <v>753</v>
      </c>
      <c r="F339" s="18" t="s">
        <v>754</v>
      </c>
      <c r="I339" s="23" t="s">
        <v>1915</v>
      </c>
      <c r="J339" s="23" t="s">
        <v>5470</v>
      </c>
      <c r="L339" s="23" t="s">
        <v>1913</v>
      </c>
      <c r="M339" s="23" t="s">
        <v>3625</v>
      </c>
      <c r="N339" s="22" t="s">
        <v>57</v>
      </c>
      <c r="O339" s="23" t="s">
        <v>1914</v>
      </c>
      <c r="Q339" s="22" t="s">
        <v>50</v>
      </c>
    </row>
    <row r="340" spans="1:25" x14ac:dyDescent="0.3">
      <c r="A340" s="22">
        <v>339</v>
      </c>
      <c r="B340" s="22">
        <v>181</v>
      </c>
      <c r="C340" s="18" t="s">
        <v>742</v>
      </c>
      <c r="D340" s="21" t="s">
        <v>741</v>
      </c>
      <c r="E340" s="21" t="s">
        <v>755</v>
      </c>
      <c r="F340" s="18" t="s">
        <v>756</v>
      </c>
      <c r="I340" s="23" t="s">
        <v>1916</v>
      </c>
      <c r="J340" s="23" t="s">
        <v>5282</v>
      </c>
      <c r="L340" s="23" t="s">
        <v>1711</v>
      </c>
      <c r="M340" s="23" t="s">
        <v>3627</v>
      </c>
      <c r="N340" s="22" t="s">
        <v>57</v>
      </c>
      <c r="O340" s="23" t="s">
        <v>1712</v>
      </c>
      <c r="Q340" s="22" t="s">
        <v>50</v>
      </c>
      <c r="R340" s="22" t="s">
        <v>38</v>
      </c>
    </row>
    <row r="341" spans="1:25" x14ac:dyDescent="0.3">
      <c r="A341" s="22">
        <v>340</v>
      </c>
      <c r="B341" s="22">
        <v>181</v>
      </c>
      <c r="C341" s="18" t="s">
        <v>742</v>
      </c>
      <c r="D341" s="21" t="s">
        <v>741</v>
      </c>
      <c r="E341" s="21" t="s">
        <v>757</v>
      </c>
      <c r="F341" s="18" t="s">
        <v>758</v>
      </c>
      <c r="J341" s="23" t="s">
        <v>5471</v>
      </c>
      <c r="L341" s="23" t="s">
        <v>1917</v>
      </c>
      <c r="M341" s="23" t="s">
        <v>3629</v>
      </c>
      <c r="N341" s="22" t="s">
        <v>57</v>
      </c>
      <c r="O341" s="23" t="s">
        <v>1671</v>
      </c>
      <c r="Q341" s="22" t="s">
        <v>50</v>
      </c>
      <c r="R341" s="22" t="s">
        <v>38</v>
      </c>
    </row>
    <row r="342" spans="1:25" x14ac:dyDescent="0.3">
      <c r="A342" s="22">
        <v>341</v>
      </c>
      <c r="B342" s="22">
        <v>181</v>
      </c>
      <c r="C342" s="18" t="s">
        <v>742</v>
      </c>
      <c r="D342" s="21" t="s">
        <v>741</v>
      </c>
      <c r="E342" s="21" t="s">
        <v>759</v>
      </c>
      <c r="F342" s="18" t="s">
        <v>760</v>
      </c>
      <c r="G342" s="23" t="s">
        <v>1612</v>
      </c>
      <c r="J342" s="23" t="s">
        <v>234</v>
      </c>
      <c r="M342" s="23" t="s">
        <v>3631</v>
      </c>
      <c r="N342" s="22" t="s">
        <v>49</v>
      </c>
      <c r="P342" s="23" t="s">
        <v>49</v>
      </c>
      <c r="W342" s="108">
        <v>42685</v>
      </c>
      <c r="X342" s="124" t="s">
        <v>6432</v>
      </c>
    </row>
    <row r="343" spans="1:25" x14ac:dyDescent="0.3">
      <c r="A343" s="22">
        <v>342</v>
      </c>
      <c r="B343" s="22">
        <v>181</v>
      </c>
      <c r="C343" s="18" t="s">
        <v>742</v>
      </c>
      <c r="D343" s="21" t="s">
        <v>741</v>
      </c>
      <c r="E343" s="21" t="s">
        <v>764</v>
      </c>
      <c r="F343" s="18" t="s">
        <v>765</v>
      </c>
      <c r="J343" s="23" t="s">
        <v>5472</v>
      </c>
      <c r="M343" s="23" t="s">
        <v>3633</v>
      </c>
      <c r="N343" s="22" t="s">
        <v>37</v>
      </c>
      <c r="Q343" s="22" t="s">
        <v>50</v>
      </c>
      <c r="R343" s="22" t="s">
        <v>186</v>
      </c>
    </row>
    <row r="344" spans="1:25" x14ac:dyDescent="0.3">
      <c r="A344" s="22">
        <v>343</v>
      </c>
      <c r="B344" s="22">
        <v>183</v>
      </c>
      <c r="C344" s="18" t="s">
        <v>742</v>
      </c>
      <c r="D344" s="21" t="s">
        <v>741</v>
      </c>
      <c r="E344" s="21" t="s">
        <v>761</v>
      </c>
      <c r="F344" s="18" t="s">
        <v>762</v>
      </c>
      <c r="J344" s="23" t="s">
        <v>59</v>
      </c>
      <c r="M344" s="23" t="s">
        <v>3635</v>
      </c>
      <c r="N344" s="22" t="s">
        <v>253</v>
      </c>
      <c r="Q344" s="22" t="s">
        <v>50</v>
      </c>
      <c r="R344" s="22" t="s">
        <v>38</v>
      </c>
      <c r="X344" s="124" t="s">
        <v>763</v>
      </c>
    </row>
    <row r="345" spans="1:25" x14ac:dyDescent="0.3">
      <c r="A345" s="22">
        <v>344</v>
      </c>
      <c r="B345" s="22">
        <v>179</v>
      </c>
      <c r="C345" s="18" t="s">
        <v>742</v>
      </c>
      <c r="D345" s="21" t="s">
        <v>741</v>
      </c>
      <c r="E345" s="21" t="s">
        <v>747</v>
      </c>
      <c r="F345" s="18" t="s">
        <v>748</v>
      </c>
      <c r="I345" s="23" t="s">
        <v>1909</v>
      </c>
      <c r="J345" s="23" t="s">
        <v>5473</v>
      </c>
      <c r="L345" s="23" t="s">
        <v>1907</v>
      </c>
      <c r="M345" s="23" t="s">
        <v>3637</v>
      </c>
      <c r="N345" s="22" t="s">
        <v>57</v>
      </c>
      <c r="O345" s="23" t="s">
        <v>1668</v>
      </c>
      <c r="T345" s="62" t="s">
        <v>6048</v>
      </c>
    </row>
    <row r="346" spans="1:25" x14ac:dyDescent="0.3">
      <c r="A346" s="22">
        <v>345</v>
      </c>
      <c r="B346" s="22">
        <v>179</v>
      </c>
      <c r="C346" s="18" t="s">
        <v>742</v>
      </c>
      <c r="D346" s="21" t="s">
        <v>741</v>
      </c>
      <c r="E346" s="21" t="s">
        <v>751</v>
      </c>
      <c r="F346" s="18" t="s">
        <v>752</v>
      </c>
      <c r="G346" s="23" t="s">
        <v>1908</v>
      </c>
      <c r="I346" s="23" t="s">
        <v>1912</v>
      </c>
      <c r="J346" s="23" t="s">
        <v>5474</v>
      </c>
      <c r="L346" s="23" t="s">
        <v>1911</v>
      </c>
      <c r="M346" s="23" t="s">
        <v>3639</v>
      </c>
      <c r="N346" s="22" t="s">
        <v>57</v>
      </c>
      <c r="O346" s="23" t="s">
        <v>1701</v>
      </c>
      <c r="Q346" s="22" t="s">
        <v>38</v>
      </c>
      <c r="R346" s="22" t="s">
        <v>38</v>
      </c>
      <c r="S346" s="22" t="s">
        <v>1648</v>
      </c>
      <c r="Y346" s="23" t="s">
        <v>4379</v>
      </c>
    </row>
    <row r="347" spans="1:25" x14ac:dyDescent="0.3">
      <c r="A347" s="22">
        <v>346</v>
      </c>
      <c r="B347" s="22">
        <v>179</v>
      </c>
      <c r="C347" s="18" t="s">
        <v>742</v>
      </c>
      <c r="D347" s="21" t="s">
        <v>741</v>
      </c>
      <c r="E347" s="21" t="s">
        <v>749</v>
      </c>
      <c r="F347" s="18" t="s">
        <v>750</v>
      </c>
      <c r="G347" s="23" t="s">
        <v>1908</v>
      </c>
      <c r="I347" s="23" t="s">
        <v>1910</v>
      </c>
      <c r="J347" s="23" t="s">
        <v>5475</v>
      </c>
      <c r="L347" s="23" t="s">
        <v>5476</v>
      </c>
      <c r="M347" s="23" t="s">
        <v>3641</v>
      </c>
      <c r="N347" s="22" t="s">
        <v>57</v>
      </c>
      <c r="O347" s="23" t="s">
        <v>1669</v>
      </c>
      <c r="S347" s="22" t="s">
        <v>1648</v>
      </c>
      <c r="Y347" s="23" t="s">
        <v>4380</v>
      </c>
    </row>
    <row r="348" spans="1:25" x14ac:dyDescent="0.3">
      <c r="A348" s="22">
        <v>347</v>
      </c>
      <c r="B348" s="22">
        <v>179</v>
      </c>
      <c r="C348" s="18" t="s">
        <v>742</v>
      </c>
      <c r="D348" s="21" t="s">
        <v>741</v>
      </c>
      <c r="E348" s="21" t="s">
        <v>745</v>
      </c>
      <c r="F348" s="18" t="s">
        <v>746</v>
      </c>
      <c r="J348" s="23" t="s">
        <v>5223</v>
      </c>
      <c r="L348" s="23" t="s">
        <v>1906</v>
      </c>
      <c r="M348" s="23" t="s">
        <v>3134</v>
      </c>
      <c r="N348" s="22" t="s">
        <v>57</v>
      </c>
      <c r="O348" s="23" t="s">
        <v>1610</v>
      </c>
      <c r="Q348" s="22" t="s">
        <v>50</v>
      </c>
      <c r="R348" s="22" t="s">
        <v>58</v>
      </c>
    </row>
    <row r="349" spans="1:25" x14ac:dyDescent="0.3">
      <c r="A349" s="22">
        <v>348</v>
      </c>
      <c r="B349" s="22">
        <v>183</v>
      </c>
      <c r="C349" s="18" t="s">
        <v>742</v>
      </c>
      <c r="D349" s="21" t="s">
        <v>741</v>
      </c>
      <c r="E349" s="21" t="s">
        <v>784</v>
      </c>
      <c r="F349" s="18" t="s">
        <v>785</v>
      </c>
      <c r="J349" s="23" t="s">
        <v>786</v>
      </c>
      <c r="M349" s="23" t="s">
        <v>3644</v>
      </c>
      <c r="N349" s="22" t="s">
        <v>49</v>
      </c>
      <c r="P349" s="23" t="s">
        <v>49</v>
      </c>
      <c r="W349" s="108">
        <v>10226</v>
      </c>
      <c r="X349" s="124" t="s">
        <v>6433</v>
      </c>
    </row>
    <row r="350" spans="1:25" x14ac:dyDescent="0.3">
      <c r="A350" s="22">
        <v>349</v>
      </c>
      <c r="B350" s="22">
        <v>183</v>
      </c>
      <c r="C350" s="18" t="s">
        <v>742</v>
      </c>
      <c r="D350" s="21" t="s">
        <v>741</v>
      </c>
      <c r="E350" s="21" t="s">
        <v>766</v>
      </c>
      <c r="F350" s="18" t="s">
        <v>5825</v>
      </c>
      <c r="J350" s="23" t="s">
        <v>5477</v>
      </c>
      <c r="M350" s="23" t="s">
        <v>3645</v>
      </c>
      <c r="N350" s="22" t="s">
        <v>57</v>
      </c>
      <c r="O350" s="23" t="s">
        <v>1632</v>
      </c>
      <c r="Q350" s="22" t="s">
        <v>38</v>
      </c>
      <c r="R350" s="22" t="s">
        <v>58</v>
      </c>
      <c r="S350" s="22" t="s">
        <v>2142</v>
      </c>
      <c r="V350" s="107" t="s">
        <v>767</v>
      </c>
      <c r="Y350" s="23" t="s">
        <v>6049</v>
      </c>
    </row>
    <row r="351" spans="1:25" x14ac:dyDescent="0.3">
      <c r="A351" s="22">
        <v>350</v>
      </c>
      <c r="B351" s="22">
        <v>183</v>
      </c>
      <c r="C351" s="18" t="s">
        <v>742</v>
      </c>
      <c r="D351" s="21" t="s">
        <v>741</v>
      </c>
      <c r="E351" s="21" t="s">
        <v>768</v>
      </c>
      <c r="F351" s="18" t="s">
        <v>769</v>
      </c>
      <c r="J351" s="23" t="s">
        <v>5478</v>
      </c>
      <c r="M351" s="23" t="s">
        <v>3647</v>
      </c>
      <c r="N351" s="22" t="s">
        <v>37</v>
      </c>
    </row>
    <row r="352" spans="1:25" x14ac:dyDescent="0.3">
      <c r="A352" s="22">
        <v>351</v>
      </c>
      <c r="B352" s="22">
        <v>201</v>
      </c>
      <c r="C352" s="18" t="s">
        <v>788</v>
      </c>
      <c r="D352" s="21" t="s">
        <v>787</v>
      </c>
      <c r="E352" s="21" t="s">
        <v>789</v>
      </c>
      <c r="F352" s="18" t="s">
        <v>790</v>
      </c>
      <c r="J352" s="23" t="s">
        <v>5477</v>
      </c>
      <c r="M352" s="23" t="s">
        <v>3649</v>
      </c>
      <c r="N352" s="22" t="s">
        <v>57</v>
      </c>
      <c r="O352" s="23" t="s">
        <v>1632</v>
      </c>
    </row>
    <row r="353" spans="1:25" x14ac:dyDescent="0.3">
      <c r="A353" s="22">
        <v>352</v>
      </c>
      <c r="B353" s="22">
        <v>205</v>
      </c>
      <c r="C353" s="18" t="s">
        <v>792</v>
      </c>
      <c r="D353" s="21" t="s">
        <v>791</v>
      </c>
      <c r="E353" s="21" t="s">
        <v>793</v>
      </c>
      <c r="F353" s="18" t="s">
        <v>794</v>
      </c>
      <c r="G353" s="23" t="s">
        <v>1939</v>
      </c>
      <c r="J353" s="23" t="s">
        <v>5479</v>
      </c>
      <c r="M353" s="23" t="s">
        <v>3651</v>
      </c>
      <c r="N353" s="22" t="s">
        <v>89</v>
      </c>
      <c r="V353" s="107" t="s">
        <v>4381</v>
      </c>
      <c r="W353" s="108">
        <v>22628</v>
      </c>
      <c r="X353" s="124" t="s">
        <v>6434</v>
      </c>
    </row>
    <row r="354" spans="1:25" ht="20.399999999999999" x14ac:dyDescent="0.3">
      <c r="A354" s="22">
        <v>353</v>
      </c>
      <c r="C354" s="18" t="s">
        <v>796</v>
      </c>
      <c r="D354" s="21" t="s">
        <v>795</v>
      </c>
      <c r="E354" s="21" t="s">
        <v>797</v>
      </c>
      <c r="F354" s="18" t="s">
        <v>798</v>
      </c>
      <c r="I354" s="109" t="s">
        <v>4758</v>
      </c>
      <c r="J354" s="23" t="s">
        <v>5477</v>
      </c>
      <c r="M354" s="109" t="s">
        <v>3653</v>
      </c>
      <c r="N354" s="22" t="s">
        <v>57</v>
      </c>
      <c r="O354" s="23" t="s">
        <v>1632</v>
      </c>
      <c r="R354" s="22" t="s">
        <v>58</v>
      </c>
      <c r="V354" s="110" t="s">
        <v>5132</v>
      </c>
    </row>
    <row r="355" spans="1:25" x14ac:dyDescent="0.3">
      <c r="A355" s="22">
        <v>354</v>
      </c>
      <c r="B355" s="22">
        <v>201</v>
      </c>
      <c r="C355" s="18" t="s">
        <v>796</v>
      </c>
      <c r="D355" s="21" t="s">
        <v>795</v>
      </c>
      <c r="E355" s="21" t="s">
        <v>799</v>
      </c>
      <c r="F355" s="18" t="s">
        <v>800</v>
      </c>
      <c r="J355" s="23" t="s">
        <v>5480</v>
      </c>
      <c r="L355" s="23" t="s">
        <v>1941</v>
      </c>
      <c r="M355" s="23" t="s">
        <v>3655</v>
      </c>
      <c r="N355" s="22" t="s">
        <v>57</v>
      </c>
      <c r="O355" s="23" t="s">
        <v>1647</v>
      </c>
      <c r="Q355" s="22" t="s">
        <v>38</v>
      </c>
      <c r="R355" s="22" t="s">
        <v>38</v>
      </c>
    </row>
    <row r="356" spans="1:25" x14ac:dyDescent="0.3">
      <c r="A356" s="22">
        <v>355</v>
      </c>
      <c r="B356" s="22">
        <v>201</v>
      </c>
      <c r="C356" s="18" t="s">
        <v>796</v>
      </c>
      <c r="D356" s="21" t="s">
        <v>795</v>
      </c>
      <c r="E356" s="21" t="s">
        <v>801</v>
      </c>
      <c r="F356" s="18" t="s">
        <v>802</v>
      </c>
      <c r="J356" s="23" t="s">
        <v>5467</v>
      </c>
      <c r="L356" s="23" t="s">
        <v>1942</v>
      </c>
      <c r="M356" s="23" t="s">
        <v>3657</v>
      </c>
      <c r="N356" s="22" t="s">
        <v>57</v>
      </c>
      <c r="O356" s="23" t="s">
        <v>1937</v>
      </c>
      <c r="Q356" s="22" t="s">
        <v>112</v>
      </c>
      <c r="R356" s="22" t="s">
        <v>112</v>
      </c>
    </row>
    <row r="357" spans="1:25" x14ac:dyDescent="0.3">
      <c r="A357" s="22">
        <v>356</v>
      </c>
      <c r="B357" s="22">
        <v>203</v>
      </c>
      <c r="C357" s="18" t="s">
        <v>796</v>
      </c>
      <c r="D357" s="21" t="s">
        <v>795</v>
      </c>
      <c r="E357" s="21" t="s">
        <v>803</v>
      </c>
      <c r="F357" s="18" t="s">
        <v>804</v>
      </c>
      <c r="H357" s="21" t="s">
        <v>1944</v>
      </c>
      <c r="I357" s="23" t="s">
        <v>1945</v>
      </c>
      <c r="J357" s="23" t="s">
        <v>5481</v>
      </c>
      <c r="L357" s="23" t="s">
        <v>1943</v>
      </c>
      <c r="M357" s="23" t="s">
        <v>3659</v>
      </c>
      <c r="N357" s="22" t="s">
        <v>57</v>
      </c>
      <c r="O357" s="23" t="s">
        <v>1701</v>
      </c>
      <c r="P357" s="23" t="s">
        <v>3030</v>
      </c>
      <c r="Q357" s="22" t="s">
        <v>112</v>
      </c>
      <c r="R357" s="22" t="s">
        <v>112</v>
      </c>
      <c r="X357" s="124" t="s">
        <v>9</v>
      </c>
    </row>
    <row r="358" spans="1:25" x14ac:dyDescent="0.3">
      <c r="A358" s="22">
        <v>357</v>
      </c>
      <c r="B358" s="22">
        <v>201</v>
      </c>
      <c r="C358" s="18" t="s">
        <v>796</v>
      </c>
      <c r="D358" s="21" t="s">
        <v>795</v>
      </c>
      <c r="E358" s="21" t="s">
        <v>805</v>
      </c>
      <c r="F358" s="18" t="s">
        <v>806</v>
      </c>
      <c r="J358" s="23" t="s">
        <v>5482</v>
      </c>
      <c r="L358" s="23" t="s">
        <v>1946</v>
      </c>
      <c r="M358" s="23" t="s">
        <v>3661</v>
      </c>
      <c r="N358" s="22" t="s">
        <v>57</v>
      </c>
      <c r="O358" s="23" t="s">
        <v>1669</v>
      </c>
      <c r="Q358" s="22" t="s">
        <v>50</v>
      </c>
      <c r="R358" s="22" t="s">
        <v>38</v>
      </c>
      <c r="X358" s="124" t="s">
        <v>9</v>
      </c>
    </row>
    <row r="359" spans="1:25" x14ac:dyDescent="0.3">
      <c r="A359" s="22">
        <v>358</v>
      </c>
      <c r="B359" s="22">
        <v>203</v>
      </c>
      <c r="C359" s="18" t="s">
        <v>796</v>
      </c>
      <c r="D359" s="21" t="s">
        <v>795</v>
      </c>
      <c r="E359" s="21" t="s">
        <v>807</v>
      </c>
      <c r="F359" s="18" t="s">
        <v>808</v>
      </c>
      <c r="G359" s="23" t="s">
        <v>1948</v>
      </c>
      <c r="J359" s="23" t="s">
        <v>5245</v>
      </c>
      <c r="L359" s="23" t="s">
        <v>1947</v>
      </c>
      <c r="M359" s="23" t="s">
        <v>3663</v>
      </c>
      <c r="N359" s="22" t="s">
        <v>57</v>
      </c>
      <c r="O359" s="23" t="s">
        <v>1668</v>
      </c>
      <c r="R359" s="22" t="s">
        <v>38</v>
      </c>
      <c r="S359" s="22" t="s">
        <v>1648</v>
      </c>
      <c r="Y359" s="23" t="s">
        <v>4382</v>
      </c>
    </row>
    <row r="360" spans="1:25" x14ac:dyDescent="0.3">
      <c r="A360" s="22">
        <v>359</v>
      </c>
      <c r="B360" s="22">
        <v>203</v>
      </c>
      <c r="C360" s="18" t="s">
        <v>796</v>
      </c>
      <c r="D360" s="21" t="s">
        <v>795</v>
      </c>
      <c r="E360" s="21" t="s">
        <v>810</v>
      </c>
      <c r="F360" s="18" t="s">
        <v>811</v>
      </c>
      <c r="G360" s="23" t="s">
        <v>1948</v>
      </c>
      <c r="J360" s="23" t="s">
        <v>4383</v>
      </c>
      <c r="L360" s="23" t="s">
        <v>1949</v>
      </c>
      <c r="M360" s="23" t="s">
        <v>3665</v>
      </c>
      <c r="N360" s="22" t="s">
        <v>57</v>
      </c>
      <c r="O360" s="23" t="s">
        <v>1671</v>
      </c>
      <c r="Q360" s="22" t="s">
        <v>58</v>
      </c>
      <c r="R360" s="22" t="s">
        <v>58</v>
      </c>
      <c r="S360" s="22" t="s">
        <v>1648</v>
      </c>
      <c r="Y360" s="23" t="s">
        <v>4384</v>
      </c>
    </row>
    <row r="361" spans="1:25" x14ac:dyDescent="0.3">
      <c r="A361" s="22">
        <v>360</v>
      </c>
      <c r="B361" s="22">
        <v>203</v>
      </c>
      <c r="C361" s="18" t="s">
        <v>796</v>
      </c>
      <c r="D361" s="21" t="s">
        <v>795</v>
      </c>
      <c r="E361" s="21" t="s">
        <v>812</v>
      </c>
      <c r="F361" s="18" t="s">
        <v>813</v>
      </c>
      <c r="G361" s="23" t="s">
        <v>1948</v>
      </c>
      <c r="J361" s="23" t="s">
        <v>5483</v>
      </c>
      <c r="M361" s="23" t="s">
        <v>3612</v>
      </c>
      <c r="N361" s="22" t="s">
        <v>57</v>
      </c>
      <c r="O361" s="23" t="s">
        <v>1669</v>
      </c>
      <c r="R361" s="22" t="s">
        <v>58</v>
      </c>
      <c r="S361" s="22" t="s">
        <v>1648</v>
      </c>
      <c r="V361" s="107" t="s">
        <v>4385</v>
      </c>
      <c r="Y361" s="23" t="s">
        <v>4386</v>
      </c>
    </row>
    <row r="362" spans="1:25" x14ac:dyDescent="0.3">
      <c r="A362" s="22">
        <v>361</v>
      </c>
      <c r="B362" s="22">
        <v>203</v>
      </c>
      <c r="C362" s="18" t="s">
        <v>796</v>
      </c>
      <c r="D362" s="21" t="s">
        <v>795</v>
      </c>
      <c r="E362" s="21" t="s">
        <v>814</v>
      </c>
      <c r="F362" s="18" t="s">
        <v>815</v>
      </c>
      <c r="G362" s="23" t="s">
        <v>1948</v>
      </c>
      <c r="J362" s="23" t="s">
        <v>5484</v>
      </c>
      <c r="L362" s="23" t="s">
        <v>1950</v>
      </c>
      <c r="M362" s="23" t="s">
        <v>3668</v>
      </c>
      <c r="N362" s="22" t="s">
        <v>57</v>
      </c>
      <c r="O362" s="23" t="s">
        <v>1669</v>
      </c>
      <c r="R362" s="22" t="s">
        <v>58</v>
      </c>
      <c r="S362" s="22" t="s">
        <v>1648</v>
      </c>
      <c r="V362" s="107" t="s">
        <v>4387</v>
      </c>
      <c r="Y362" s="23" t="s">
        <v>4388</v>
      </c>
    </row>
    <row r="363" spans="1:25" x14ac:dyDescent="0.3">
      <c r="A363" s="22">
        <v>362</v>
      </c>
      <c r="B363" s="22">
        <v>203</v>
      </c>
      <c r="C363" s="18" t="s">
        <v>796</v>
      </c>
      <c r="D363" s="21" t="s">
        <v>795</v>
      </c>
      <c r="E363" s="21" t="s">
        <v>816</v>
      </c>
      <c r="F363" s="18" t="s">
        <v>817</v>
      </c>
      <c r="G363" s="23" t="s">
        <v>1948</v>
      </c>
      <c r="J363" s="23" t="s">
        <v>5485</v>
      </c>
      <c r="M363" s="23" t="s">
        <v>3670</v>
      </c>
      <c r="N363" s="22" t="s">
        <v>57</v>
      </c>
      <c r="O363" s="23" t="s">
        <v>1701</v>
      </c>
      <c r="Q363" s="22" t="s">
        <v>58</v>
      </c>
      <c r="R363" s="22" t="s">
        <v>112</v>
      </c>
      <c r="S363" s="22" t="s">
        <v>1615</v>
      </c>
      <c r="Y363" s="23" t="s">
        <v>1951</v>
      </c>
    </row>
    <row r="364" spans="1:25" x14ac:dyDescent="0.3">
      <c r="A364" s="22">
        <v>363</v>
      </c>
      <c r="B364" s="22">
        <v>205</v>
      </c>
      <c r="C364" s="18" t="s">
        <v>819</v>
      </c>
      <c r="D364" s="21" t="s">
        <v>818</v>
      </c>
      <c r="E364" s="21" t="s">
        <v>820</v>
      </c>
      <c r="F364" s="18" t="s">
        <v>821</v>
      </c>
      <c r="G364" s="23" t="s">
        <v>1952</v>
      </c>
      <c r="H364" s="21" t="s">
        <v>1952</v>
      </c>
      <c r="J364" s="23" t="s">
        <v>5486</v>
      </c>
      <c r="M364" s="23" t="s">
        <v>3672</v>
      </c>
      <c r="N364" s="22" t="s">
        <v>37</v>
      </c>
    </row>
    <row r="365" spans="1:25" ht="20.399999999999999" x14ac:dyDescent="0.3">
      <c r="A365" s="22">
        <v>364</v>
      </c>
      <c r="B365" s="22">
        <v>211</v>
      </c>
      <c r="C365" s="18" t="s">
        <v>823</v>
      </c>
      <c r="D365" s="21" t="s">
        <v>822</v>
      </c>
      <c r="E365" s="21" t="s">
        <v>824</v>
      </c>
      <c r="F365" s="18" t="s">
        <v>825</v>
      </c>
      <c r="H365" s="21" t="s">
        <v>1953</v>
      </c>
      <c r="I365" s="23" t="s">
        <v>1953</v>
      </c>
      <c r="J365" s="23" t="s">
        <v>5487</v>
      </c>
      <c r="M365" s="109" t="s">
        <v>3674</v>
      </c>
      <c r="N365" s="22" t="s">
        <v>57</v>
      </c>
      <c r="O365" s="23" t="s">
        <v>1632</v>
      </c>
    </row>
    <row r="366" spans="1:25" x14ac:dyDescent="0.3">
      <c r="A366" s="22">
        <v>365</v>
      </c>
      <c r="B366" s="22">
        <v>213</v>
      </c>
      <c r="C366" s="18" t="s">
        <v>823</v>
      </c>
      <c r="D366" s="21" t="s">
        <v>822</v>
      </c>
      <c r="E366" s="21" t="s">
        <v>1957</v>
      </c>
      <c r="F366" s="18" t="s">
        <v>826</v>
      </c>
      <c r="G366" s="23" t="s">
        <v>1955</v>
      </c>
      <c r="H366" s="21" t="s">
        <v>1956</v>
      </c>
      <c r="I366" s="23" t="s">
        <v>1956</v>
      </c>
      <c r="J366" s="23" t="s">
        <v>5488</v>
      </c>
      <c r="L366" s="23" t="s">
        <v>1954</v>
      </c>
      <c r="M366" s="23" t="s">
        <v>3676</v>
      </c>
      <c r="N366" s="22" t="s">
        <v>57</v>
      </c>
      <c r="O366" s="23" t="s">
        <v>1914</v>
      </c>
      <c r="Q366" s="22" t="s">
        <v>38</v>
      </c>
      <c r="R366" s="22" t="s">
        <v>38</v>
      </c>
    </row>
    <row r="367" spans="1:25" x14ac:dyDescent="0.3">
      <c r="A367" s="22">
        <v>366</v>
      </c>
      <c r="B367" s="22">
        <v>211</v>
      </c>
      <c r="C367" s="18" t="s">
        <v>823</v>
      </c>
      <c r="D367" s="21" t="s">
        <v>822</v>
      </c>
      <c r="E367" s="21" t="s">
        <v>827</v>
      </c>
      <c r="F367" s="18" t="s">
        <v>828</v>
      </c>
      <c r="J367" s="23" t="s">
        <v>84</v>
      </c>
      <c r="M367" s="23" t="s">
        <v>3678</v>
      </c>
      <c r="N367" s="22" t="s">
        <v>37</v>
      </c>
      <c r="T367" s="62" t="s">
        <v>6050</v>
      </c>
    </row>
    <row r="368" spans="1:25" x14ac:dyDescent="0.3">
      <c r="A368" s="22">
        <v>367</v>
      </c>
      <c r="B368" s="22">
        <v>211</v>
      </c>
      <c r="C368" s="18" t="s">
        <v>823</v>
      </c>
      <c r="D368" s="21" t="s">
        <v>822</v>
      </c>
      <c r="E368" s="21" t="s">
        <v>829</v>
      </c>
      <c r="F368" s="18" t="s">
        <v>830</v>
      </c>
      <c r="J368" s="23" t="s">
        <v>5489</v>
      </c>
      <c r="M368" s="23" t="s">
        <v>3680</v>
      </c>
      <c r="N368" s="22" t="s">
        <v>346</v>
      </c>
    </row>
    <row r="369" spans="1:25" x14ac:dyDescent="0.3">
      <c r="A369" s="22">
        <v>368</v>
      </c>
      <c r="B369" s="22">
        <v>211</v>
      </c>
      <c r="C369" s="18" t="s">
        <v>823</v>
      </c>
      <c r="D369" s="21" t="s">
        <v>822</v>
      </c>
      <c r="E369" s="21" t="s">
        <v>4389</v>
      </c>
      <c r="F369" s="18" t="s">
        <v>1958</v>
      </c>
      <c r="G369" s="23" t="s">
        <v>831</v>
      </c>
      <c r="I369" s="23" t="s">
        <v>831</v>
      </c>
      <c r="J369" s="23" t="s">
        <v>5276</v>
      </c>
      <c r="L369" s="23" t="s">
        <v>1631</v>
      </c>
      <c r="M369" s="23" t="s">
        <v>3681</v>
      </c>
      <c r="N369" s="22" t="s">
        <v>37</v>
      </c>
      <c r="S369" s="22" t="s">
        <v>1648</v>
      </c>
      <c r="Y369" s="23" t="s">
        <v>6051</v>
      </c>
    </row>
    <row r="370" spans="1:25" x14ac:dyDescent="0.3">
      <c r="A370" s="22">
        <v>369</v>
      </c>
      <c r="B370" s="22">
        <v>211</v>
      </c>
      <c r="C370" s="18" t="s">
        <v>823</v>
      </c>
      <c r="D370" s="21" t="s">
        <v>822</v>
      </c>
      <c r="E370" s="21" t="s">
        <v>832</v>
      </c>
      <c r="F370" s="18" t="s">
        <v>833</v>
      </c>
      <c r="J370" s="23" t="s">
        <v>4390</v>
      </c>
      <c r="K370" s="23" t="s">
        <v>5490</v>
      </c>
      <c r="L370" s="23" t="s">
        <v>1959</v>
      </c>
      <c r="M370" s="23" t="s">
        <v>3683</v>
      </c>
      <c r="N370" s="22" t="s">
        <v>37</v>
      </c>
      <c r="P370" s="23" t="s">
        <v>3019</v>
      </c>
    </row>
    <row r="371" spans="1:25" x14ac:dyDescent="0.3">
      <c r="A371" s="22">
        <v>370</v>
      </c>
      <c r="B371" s="22">
        <v>213</v>
      </c>
      <c r="C371" s="18" t="s">
        <v>823</v>
      </c>
      <c r="D371" s="21" t="s">
        <v>822</v>
      </c>
      <c r="E371" s="21" t="s">
        <v>1960</v>
      </c>
      <c r="F371" s="18" t="s">
        <v>835</v>
      </c>
      <c r="H371" s="21" t="s">
        <v>834</v>
      </c>
      <c r="I371" s="23" t="s">
        <v>834</v>
      </c>
      <c r="J371" s="23" t="s">
        <v>5491</v>
      </c>
      <c r="M371" s="23" t="s">
        <v>3685</v>
      </c>
      <c r="N371" s="22" t="s">
        <v>57</v>
      </c>
      <c r="O371" s="23" t="s">
        <v>1632</v>
      </c>
      <c r="Q371" s="22" t="s">
        <v>38</v>
      </c>
      <c r="R371" s="22" t="s">
        <v>38</v>
      </c>
      <c r="T371" s="62" t="s">
        <v>6052</v>
      </c>
    </row>
    <row r="372" spans="1:25" x14ac:dyDescent="0.3">
      <c r="A372" s="22">
        <v>371</v>
      </c>
      <c r="B372" s="22">
        <v>213</v>
      </c>
      <c r="C372" s="18" t="s">
        <v>823</v>
      </c>
      <c r="D372" s="21" t="s">
        <v>822</v>
      </c>
      <c r="E372" s="21" t="s">
        <v>836</v>
      </c>
      <c r="F372" s="18" t="s">
        <v>837</v>
      </c>
      <c r="G372" s="23" t="s">
        <v>1962</v>
      </c>
      <c r="J372" s="23" t="s">
        <v>4391</v>
      </c>
      <c r="M372" s="23" t="s">
        <v>3233</v>
      </c>
      <c r="N372" s="22" t="s">
        <v>37</v>
      </c>
      <c r="S372" s="22" t="s">
        <v>1961</v>
      </c>
      <c r="T372" s="62" t="s">
        <v>6053</v>
      </c>
      <c r="Y372" s="23" t="s">
        <v>4392</v>
      </c>
    </row>
    <row r="373" spans="1:25" x14ac:dyDescent="0.3">
      <c r="A373" s="22">
        <v>372</v>
      </c>
      <c r="B373" s="22">
        <v>213</v>
      </c>
      <c r="C373" s="18" t="s">
        <v>823</v>
      </c>
      <c r="D373" s="21" t="s">
        <v>822</v>
      </c>
      <c r="E373" s="21" t="s">
        <v>838</v>
      </c>
      <c r="F373" s="18" t="s">
        <v>839</v>
      </c>
      <c r="G373" s="23" t="s">
        <v>1612</v>
      </c>
      <c r="J373" s="23" t="s">
        <v>5492</v>
      </c>
      <c r="K373" s="23" t="s">
        <v>5493</v>
      </c>
      <c r="M373" s="23" t="s">
        <v>3439</v>
      </c>
      <c r="N373" s="22" t="s">
        <v>49</v>
      </c>
      <c r="P373" s="23" t="s">
        <v>49</v>
      </c>
      <c r="W373" s="108">
        <v>42621</v>
      </c>
      <c r="X373" s="124" t="s">
        <v>6435</v>
      </c>
    </row>
    <row r="374" spans="1:25" x14ac:dyDescent="0.3">
      <c r="A374" s="22">
        <v>373</v>
      </c>
      <c r="B374" s="22">
        <v>209</v>
      </c>
      <c r="C374" s="18" t="s">
        <v>823</v>
      </c>
      <c r="D374" s="21" t="s">
        <v>822</v>
      </c>
      <c r="E374" s="21" t="s">
        <v>840</v>
      </c>
      <c r="F374" s="18" t="s">
        <v>841</v>
      </c>
      <c r="J374" s="23" t="s">
        <v>52</v>
      </c>
      <c r="M374" s="23" t="s">
        <v>3689</v>
      </c>
      <c r="N374" s="22" t="s">
        <v>37</v>
      </c>
      <c r="X374" s="124" t="s">
        <v>9</v>
      </c>
    </row>
    <row r="375" spans="1:25" x14ac:dyDescent="0.3">
      <c r="A375" s="22">
        <v>374</v>
      </c>
      <c r="B375" s="22">
        <v>209</v>
      </c>
      <c r="C375" s="18" t="s">
        <v>823</v>
      </c>
      <c r="D375" s="21" t="s">
        <v>822</v>
      </c>
      <c r="E375" s="21" t="s">
        <v>842</v>
      </c>
      <c r="F375" s="18" t="s">
        <v>843</v>
      </c>
      <c r="J375" s="23" t="s">
        <v>5494</v>
      </c>
      <c r="M375" s="23" t="s">
        <v>3691</v>
      </c>
      <c r="N375" s="22" t="s">
        <v>89</v>
      </c>
    </row>
    <row r="376" spans="1:25" x14ac:dyDescent="0.3">
      <c r="A376" s="22">
        <v>375</v>
      </c>
      <c r="B376" s="22">
        <v>207</v>
      </c>
      <c r="C376" s="18" t="s">
        <v>823</v>
      </c>
      <c r="D376" s="21" t="s">
        <v>822</v>
      </c>
      <c r="E376" s="21" t="s">
        <v>6554</v>
      </c>
      <c r="F376" s="18" t="s">
        <v>1963</v>
      </c>
      <c r="G376" s="23" t="s">
        <v>6661</v>
      </c>
      <c r="I376" s="23" t="s">
        <v>6555</v>
      </c>
      <c r="J376" s="23" t="s">
        <v>6662</v>
      </c>
      <c r="M376" s="23" t="s">
        <v>3692</v>
      </c>
      <c r="N376" s="22" t="s">
        <v>37</v>
      </c>
      <c r="S376" s="22" t="s">
        <v>1648</v>
      </c>
      <c r="T376" s="62" t="s">
        <v>6054</v>
      </c>
      <c r="V376" s="107" t="s">
        <v>844</v>
      </c>
      <c r="Y376" s="23" t="s">
        <v>6663</v>
      </c>
    </row>
    <row r="377" spans="1:25" ht="20.399999999999999" x14ac:dyDescent="0.3">
      <c r="A377" s="22">
        <v>376</v>
      </c>
      <c r="C377" s="18" t="s">
        <v>823</v>
      </c>
      <c r="D377" s="21" t="s">
        <v>822</v>
      </c>
      <c r="E377" s="21" t="s">
        <v>845</v>
      </c>
      <c r="F377" s="18" t="s">
        <v>846</v>
      </c>
      <c r="I377" s="109" t="s">
        <v>4759</v>
      </c>
      <c r="J377" s="23" t="s">
        <v>5477</v>
      </c>
      <c r="M377" s="109" t="s">
        <v>5154</v>
      </c>
      <c r="N377" s="22" t="s">
        <v>57</v>
      </c>
      <c r="O377" s="23" t="s">
        <v>1632</v>
      </c>
      <c r="R377" s="22" t="s">
        <v>38</v>
      </c>
      <c r="V377" s="110" t="s">
        <v>5133</v>
      </c>
    </row>
    <row r="378" spans="1:25" x14ac:dyDescent="0.3">
      <c r="A378" s="22">
        <v>377</v>
      </c>
      <c r="B378" s="22">
        <v>207</v>
      </c>
      <c r="C378" s="18" t="s">
        <v>823</v>
      </c>
      <c r="D378" s="21" t="s">
        <v>822</v>
      </c>
      <c r="E378" s="21" t="s">
        <v>847</v>
      </c>
      <c r="F378" s="18" t="s">
        <v>848</v>
      </c>
      <c r="G378" s="23" t="s">
        <v>1966</v>
      </c>
      <c r="J378" s="23" t="s">
        <v>5495</v>
      </c>
      <c r="L378" s="23" t="s">
        <v>1965</v>
      </c>
      <c r="M378" s="23" t="s">
        <v>3695</v>
      </c>
      <c r="N378" s="22" t="s">
        <v>57</v>
      </c>
      <c r="O378" s="23" t="s">
        <v>1632</v>
      </c>
      <c r="R378" s="22" t="s">
        <v>186</v>
      </c>
      <c r="S378" s="22" t="s">
        <v>1648</v>
      </c>
      <c r="Y378" s="23" t="s">
        <v>4393</v>
      </c>
    </row>
    <row r="379" spans="1:25" ht="30.6" x14ac:dyDescent="0.3">
      <c r="A379" s="22">
        <v>378</v>
      </c>
      <c r="C379" s="18" t="s">
        <v>823</v>
      </c>
      <c r="D379" s="21" t="s">
        <v>822</v>
      </c>
      <c r="E379" s="21" t="s">
        <v>849</v>
      </c>
      <c r="F379" s="18" t="s">
        <v>850</v>
      </c>
      <c r="I379" s="109" t="s">
        <v>4760</v>
      </c>
      <c r="J379" s="23" t="s">
        <v>5496</v>
      </c>
      <c r="M379" s="109" t="s">
        <v>3697</v>
      </c>
      <c r="N379" s="22" t="s">
        <v>57</v>
      </c>
      <c r="O379" s="23" t="s">
        <v>1632</v>
      </c>
      <c r="R379" s="22" t="s">
        <v>112</v>
      </c>
      <c r="S379" s="22" t="s">
        <v>1679</v>
      </c>
      <c r="T379" s="62" t="s">
        <v>6055</v>
      </c>
      <c r="V379" s="110" t="s">
        <v>5134</v>
      </c>
      <c r="Y379" s="23" t="s">
        <v>4394</v>
      </c>
    </row>
    <row r="380" spans="1:25" x14ac:dyDescent="0.3">
      <c r="A380" s="22">
        <v>379</v>
      </c>
      <c r="B380" s="22">
        <v>209</v>
      </c>
      <c r="C380" s="18" t="s">
        <v>823</v>
      </c>
      <c r="D380" s="21" t="s">
        <v>822</v>
      </c>
      <c r="E380" s="21" t="s">
        <v>851</v>
      </c>
      <c r="F380" s="18" t="s">
        <v>852</v>
      </c>
      <c r="G380" s="23" t="s">
        <v>1969</v>
      </c>
      <c r="J380" s="23" t="s">
        <v>4395</v>
      </c>
      <c r="L380" s="23" t="s">
        <v>1968</v>
      </c>
      <c r="M380" s="23" t="s">
        <v>3699</v>
      </c>
      <c r="N380" s="22" t="s">
        <v>57</v>
      </c>
      <c r="O380" s="23" t="s">
        <v>1669</v>
      </c>
      <c r="Q380" s="22" t="s">
        <v>50</v>
      </c>
      <c r="R380" s="22" t="s">
        <v>38</v>
      </c>
    </row>
    <row r="381" spans="1:25" x14ac:dyDescent="0.3">
      <c r="A381" s="22">
        <v>380</v>
      </c>
      <c r="B381" s="22">
        <v>209</v>
      </c>
      <c r="C381" s="18" t="s">
        <v>823</v>
      </c>
      <c r="D381" s="21" t="s">
        <v>822</v>
      </c>
      <c r="E381" s="21" t="s">
        <v>853</v>
      </c>
      <c r="F381" s="18" t="s">
        <v>854</v>
      </c>
      <c r="G381" s="23" t="s">
        <v>1969</v>
      </c>
      <c r="J381" s="23" t="s">
        <v>4396</v>
      </c>
      <c r="L381" s="23" t="s">
        <v>1970</v>
      </c>
      <c r="M381" s="23" t="s">
        <v>3701</v>
      </c>
      <c r="N381" s="22" t="s">
        <v>57</v>
      </c>
      <c r="O381" s="23" t="s">
        <v>1669</v>
      </c>
      <c r="Q381" s="22" t="s">
        <v>50</v>
      </c>
      <c r="R381" s="22" t="s">
        <v>38</v>
      </c>
      <c r="S381" s="22" t="s">
        <v>1648</v>
      </c>
      <c r="T381" s="62" t="s">
        <v>6056</v>
      </c>
      <c r="Y381" s="23" t="s">
        <v>4397</v>
      </c>
    </row>
    <row r="382" spans="1:25" x14ac:dyDescent="0.3">
      <c r="A382" s="22">
        <v>381</v>
      </c>
      <c r="B382" s="22">
        <v>205</v>
      </c>
      <c r="C382" s="18" t="s">
        <v>856</v>
      </c>
      <c r="D382" s="21" t="s">
        <v>855</v>
      </c>
      <c r="E382" s="21" t="s">
        <v>857</v>
      </c>
      <c r="F382" s="18" t="s">
        <v>858</v>
      </c>
      <c r="J382" s="23" t="s">
        <v>5497</v>
      </c>
      <c r="K382" s="23" t="s">
        <v>1971</v>
      </c>
      <c r="L382" s="23" t="s">
        <v>1972</v>
      </c>
      <c r="M382" s="23" t="s">
        <v>3125</v>
      </c>
      <c r="N382" s="22" t="s">
        <v>37</v>
      </c>
      <c r="S382" s="22" t="s">
        <v>1638</v>
      </c>
      <c r="Y382" s="23" t="s">
        <v>4398</v>
      </c>
    </row>
    <row r="383" spans="1:25" x14ac:dyDescent="0.3">
      <c r="A383" s="22">
        <v>382</v>
      </c>
      <c r="B383" s="22">
        <v>205</v>
      </c>
      <c r="C383" s="18" t="s">
        <v>856</v>
      </c>
      <c r="D383" s="21" t="s">
        <v>855</v>
      </c>
      <c r="E383" s="21" t="s">
        <v>1973</v>
      </c>
      <c r="F383" s="18" t="s">
        <v>1974</v>
      </c>
      <c r="G383" s="23" t="s">
        <v>5787</v>
      </c>
      <c r="J383" s="23" t="s">
        <v>5213</v>
      </c>
      <c r="L383" s="23" t="s">
        <v>1631</v>
      </c>
      <c r="M383" s="23" t="s">
        <v>3125</v>
      </c>
      <c r="N383" s="22" t="s">
        <v>37</v>
      </c>
      <c r="S383" s="22" t="s">
        <v>1648</v>
      </c>
      <c r="Y383" s="23" t="s">
        <v>6057</v>
      </c>
    </row>
    <row r="384" spans="1:25" x14ac:dyDescent="0.3">
      <c r="A384" s="22">
        <v>383</v>
      </c>
      <c r="B384" s="22">
        <v>215</v>
      </c>
      <c r="C384" s="18" t="s">
        <v>860</v>
      </c>
      <c r="D384" s="21" t="s">
        <v>859</v>
      </c>
      <c r="E384" s="21" t="s">
        <v>861</v>
      </c>
      <c r="F384" s="18" t="s">
        <v>862</v>
      </c>
      <c r="J384" s="23" t="s">
        <v>84</v>
      </c>
      <c r="M384" s="23" t="s">
        <v>3681</v>
      </c>
      <c r="N384" s="22" t="s">
        <v>37</v>
      </c>
    </row>
    <row r="385" spans="1:25" x14ac:dyDescent="0.3">
      <c r="A385" s="22">
        <v>384</v>
      </c>
      <c r="C385" s="18" t="s">
        <v>864</v>
      </c>
      <c r="D385" s="21" t="s">
        <v>863</v>
      </c>
      <c r="E385" s="21" t="s">
        <v>6557</v>
      </c>
      <c r="F385" s="18" t="s">
        <v>6558</v>
      </c>
      <c r="G385" s="23" t="s">
        <v>1612</v>
      </c>
      <c r="J385" s="23" t="s">
        <v>5218</v>
      </c>
      <c r="K385" s="23" t="s">
        <v>6664</v>
      </c>
      <c r="N385" s="22" t="s">
        <v>49</v>
      </c>
      <c r="P385" s="23" t="s">
        <v>49</v>
      </c>
      <c r="W385" s="108">
        <v>45206</v>
      </c>
      <c r="X385" s="124" t="s">
        <v>6559</v>
      </c>
    </row>
    <row r="386" spans="1:25" x14ac:dyDescent="0.3">
      <c r="A386" s="22">
        <v>385</v>
      </c>
      <c r="B386" s="22">
        <v>219</v>
      </c>
      <c r="C386" s="18" t="s">
        <v>864</v>
      </c>
      <c r="D386" s="21" t="s">
        <v>863</v>
      </c>
      <c r="E386" s="21" t="s">
        <v>865</v>
      </c>
      <c r="F386" s="18" t="s">
        <v>866</v>
      </c>
      <c r="J386" s="23" t="s">
        <v>5276</v>
      </c>
      <c r="M386" s="23" t="s">
        <v>3681</v>
      </c>
      <c r="N386" s="22" t="s">
        <v>57</v>
      </c>
      <c r="O386" s="23" t="s">
        <v>1632</v>
      </c>
      <c r="V386" s="107" t="s">
        <v>1975</v>
      </c>
    </row>
    <row r="387" spans="1:25" x14ac:dyDescent="0.3">
      <c r="A387" s="22">
        <v>386</v>
      </c>
      <c r="B387" s="22">
        <v>219</v>
      </c>
      <c r="C387" s="18" t="s">
        <v>864</v>
      </c>
      <c r="D387" s="21" t="s">
        <v>863</v>
      </c>
      <c r="E387" s="21" t="s">
        <v>867</v>
      </c>
      <c r="F387" s="18" t="s">
        <v>868</v>
      </c>
      <c r="G387" s="23" t="s">
        <v>865</v>
      </c>
      <c r="J387" s="23" t="s">
        <v>5467</v>
      </c>
      <c r="L387" s="23" t="s">
        <v>1976</v>
      </c>
      <c r="M387" s="23" t="s">
        <v>3706</v>
      </c>
      <c r="N387" s="22" t="s">
        <v>57</v>
      </c>
      <c r="O387" s="23" t="s">
        <v>1937</v>
      </c>
      <c r="Q387" s="22" t="s">
        <v>38</v>
      </c>
      <c r="R387" s="22" t="s">
        <v>38</v>
      </c>
      <c r="S387" s="22" t="s">
        <v>1977</v>
      </c>
      <c r="V387" s="107" t="s">
        <v>1978</v>
      </c>
      <c r="Y387" s="23" t="s">
        <v>4399</v>
      </c>
    </row>
    <row r="388" spans="1:25" x14ac:dyDescent="0.3">
      <c r="A388" s="22">
        <v>387</v>
      </c>
      <c r="B388" s="22">
        <v>219</v>
      </c>
      <c r="C388" s="18" t="s">
        <v>864</v>
      </c>
      <c r="D388" s="21" t="s">
        <v>863</v>
      </c>
      <c r="E388" s="21" t="s">
        <v>869</v>
      </c>
      <c r="F388" s="18" t="s">
        <v>870</v>
      </c>
      <c r="J388" s="23" t="s">
        <v>84</v>
      </c>
      <c r="M388" s="23" t="s">
        <v>3325</v>
      </c>
      <c r="N388" s="22" t="s">
        <v>37</v>
      </c>
    </row>
    <row r="389" spans="1:25" x14ac:dyDescent="0.3">
      <c r="A389" s="22">
        <v>388</v>
      </c>
      <c r="B389" s="22">
        <v>217</v>
      </c>
      <c r="C389" s="18" t="s">
        <v>864</v>
      </c>
      <c r="D389" s="21" t="s">
        <v>863</v>
      </c>
      <c r="E389" s="21" t="s">
        <v>871</v>
      </c>
      <c r="F389" s="18" t="s">
        <v>872</v>
      </c>
      <c r="G389" s="23" t="s">
        <v>1980</v>
      </c>
      <c r="J389" s="23" t="s">
        <v>5498</v>
      </c>
      <c r="L389" s="23" t="s">
        <v>1979</v>
      </c>
      <c r="M389" s="23" t="s">
        <v>3709</v>
      </c>
      <c r="N389" s="22" t="s">
        <v>57</v>
      </c>
      <c r="O389" s="23" t="s">
        <v>1647</v>
      </c>
      <c r="Q389" s="22" t="s">
        <v>50</v>
      </c>
      <c r="R389" s="22" t="s">
        <v>186</v>
      </c>
      <c r="S389" s="22" t="s">
        <v>1648</v>
      </c>
      <c r="Y389" s="23" t="s">
        <v>4400</v>
      </c>
    </row>
    <row r="390" spans="1:25" x14ac:dyDescent="0.3">
      <c r="A390" s="22">
        <v>389</v>
      </c>
      <c r="B390" s="22">
        <v>215</v>
      </c>
      <c r="C390" s="18" t="s">
        <v>864</v>
      </c>
      <c r="D390" s="21" t="s">
        <v>863</v>
      </c>
      <c r="E390" s="21" t="s">
        <v>873</v>
      </c>
      <c r="F390" s="18" t="s">
        <v>874</v>
      </c>
      <c r="G390" s="23" t="s">
        <v>1981</v>
      </c>
      <c r="J390" s="23" t="s">
        <v>5499</v>
      </c>
      <c r="M390" s="23" t="s">
        <v>3711</v>
      </c>
      <c r="N390" s="22" t="s">
        <v>57</v>
      </c>
      <c r="O390" s="23" t="s">
        <v>1669</v>
      </c>
      <c r="S390" s="22" t="s">
        <v>1615</v>
      </c>
      <c r="Y390" s="23" t="s">
        <v>4401</v>
      </c>
    </row>
    <row r="391" spans="1:25" x14ac:dyDescent="0.3">
      <c r="A391" s="22">
        <v>390</v>
      </c>
      <c r="B391" s="22">
        <v>215</v>
      </c>
      <c r="C391" s="18" t="s">
        <v>864</v>
      </c>
      <c r="D391" s="21" t="s">
        <v>863</v>
      </c>
      <c r="E391" s="21" t="s">
        <v>876</v>
      </c>
      <c r="F391" s="18" t="s">
        <v>877</v>
      </c>
      <c r="G391" s="23" t="s">
        <v>1981</v>
      </c>
      <c r="J391" s="23" t="s">
        <v>5245</v>
      </c>
      <c r="L391" s="23" t="s">
        <v>1982</v>
      </c>
      <c r="M391" s="23" t="s">
        <v>3713</v>
      </c>
      <c r="N391" s="22" t="s">
        <v>57</v>
      </c>
      <c r="O391" s="23" t="s">
        <v>1668</v>
      </c>
      <c r="S391" s="22" t="s">
        <v>1648</v>
      </c>
      <c r="Y391" s="23" t="s">
        <v>4402</v>
      </c>
    </row>
    <row r="392" spans="1:25" x14ac:dyDescent="0.3">
      <c r="A392" s="22">
        <v>391</v>
      </c>
      <c r="B392" s="22">
        <v>217</v>
      </c>
      <c r="C392" s="18" t="s">
        <v>864</v>
      </c>
      <c r="D392" s="21" t="s">
        <v>863</v>
      </c>
      <c r="E392" s="21" t="s">
        <v>878</v>
      </c>
      <c r="F392" s="18" t="s">
        <v>879</v>
      </c>
      <c r="G392" s="23" t="s">
        <v>1981</v>
      </c>
      <c r="J392" s="23" t="s">
        <v>5485</v>
      </c>
      <c r="L392" s="23" t="s">
        <v>1983</v>
      </c>
      <c r="M392" s="23" t="s">
        <v>3715</v>
      </c>
      <c r="N392" s="22" t="s">
        <v>57</v>
      </c>
      <c r="O392" s="23" t="s">
        <v>1701</v>
      </c>
      <c r="Q392" s="22" t="s">
        <v>58</v>
      </c>
      <c r="R392" s="22" t="s">
        <v>58</v>
      </c>
      <c r="S392" s="22" t="s">
        <v>1648</v>
      </c>
      <c r="Y392" s="23" t="s">
        <v>4403</v>
      </c>
    </row>
    <row r="393" spans="1:25" x14ac:dyDescent="0.3">
      <c r="A393" s="22">
        <v>392</v>
      </c>
      <c r="B393" s="22">
        <v>215</v>
      </c>
      <c r="C393" s="18" t="s">
        <v>864</v>
      </c>
      <c r="D393" s="21" t="s">
        <v>863</v>
      </c>
      <c r="E393" s="21" t="s">
        <v>880</v>
      </c>
      <c r="F393" s="18" t="s">
        <v>881</v>
      </c>
      <c r="G393" s="23" t="s">
        <v>1981</v>
      </c>
      <c r="J393" s="23" t="s">
        <v>5480</v>
      </c>
      <c r="L393" s="23" t="s">
        <v>1984</v>
      </c>
      <c r="M393" s="23" t="s">
        <v>3717</v>
      </c>
      <c r="N393" s="22" t="s">
        <v>57</v>
      </c>
      <c r="O393" s="23" t="s">
        <v>1610</v>
      </c>
      <c r="Q393" s="22" t="s">
        <v>58</v>
      </c>
      <c r="R393" s="22" t="s">
        <v>58</v>
      </c>
      <c r="S393" s="22" t="s">
        <v>1648</v>
      </c>
      <c r="Y393" s="23" t="s">
        <v>4404</v>
      </c>
    </row>
    <row r="394" spans="1:25" x14ac:dyDescent="0.3">
      <c r="A394" s="22">
        <v>393</v>
      </c>
      <c r="B394" s="22">
        <v>217</v>
      </c>
      <c r="C394" s="18" t="s">
        <v>864</v>
      </c>
      <c r="D394" s="21" t="s">
        <v>863</v>
      </c>
      <c r="E394" s="21" t="s">
        <v>1985</v>
      </c>
      <c r="F394" s="18" t="s">
        <v>883</v>
      </c>
      <c r="G394" s="23" t="s">
        <v>882</v>
      </c>
      <c r="J394" s="23" t="s">
        <v>5245</v>
      </c>
      <c r="M394" s="23" t="s">
        <v>3663</v>
      </c>
      <c r="N394" s="22" t="s">
        <v>57</v>
      </c>
      <c r="O394" s="23" t="s">
        <v>1632</v>
      </c>
      <c r="Q394" s="22" t="s">
        <v>50</v>
      </c>
      <c r="S394" s="22" t="s">
        <v>1615</v>
      </c>
      <c r="Y394" s="23" t="s">
        <v>5500</v>
      </c>
    </row>
    <row r="395" spans="1:25" x14ac:dyDescent="0.3">
      <c r="A395" s="22">
        <v>394</v>
      </c>
      <c r="B395" s="22">
        <v>217</v>
      </c>
      <c r="C395" s="18" t="s">
        <v>864</v>
      </c>
      <c r="D395" s="21" t="s">
        <v>863</v>
      </c>
      <c r="E395" s="21" t="s">
        <v>2599</v>
      </c>
      <c r="F395" s="18" t="s">
        <v>2600</v>
      </c>
      <c r="G395" s="23" t="s">
        <v>882</v>
      </c>
      <c r="J395" s="23" t="s">
        <v>5501</v>
      </c>
      <c r="L395" s="23" t="s">
        <v>5502</v>
      </c>
      <c r="M395" s="23" t="s">
        <v>4606</v>
      </c>
      <c r="N395" s="22" t="s">
        <v>57</v>
      </c>
      <c r="O395" s="23" t="s">
        <v>5503</v>
      </c>
      <c r="Q395" s="22" t="s">
        <v>50</v>
      </c>
      <c r="S395" s="22" t="s">
        <v>1648</v>
      </c>
      <c r="Y395" s="23" t="s">
        <v>5504</v>
      </c>
    </row>
    <row r="396" spans="1:25" x14ac:dyDescent="0.3">
      <c r="A396" s="22">
        <v>395</v>
      </c>
      <c r="B396" s="22">
        <v>217</v>
      </c>
      <c r="C396" s="18" t="s">
        <v>864</v>
      </c>
      <c r="D396" s="21" t="s">
        <v>863</v>
      </c>
      <c r="E396" s="21" t="s">
        <v>884</v>
      </c>
      <c r="F396" s="18" t="s">
        <v>885</v>
      </c>
      <c r="J396" s="23" t="s">
        <v>84</v>
      </c>
      <c r="M396" s="23" t="s">
        <v>3720</v>
      </c>
      <c r="N396" s="22" t="s">
        <v>37</v>
      </c>
      <c r="Q396" s="22" t="s">
        <v>38</v>
      </c>
      <c r="R396" s="22" t="s">
        <v>38</v>
      </c>
    </row>
    <row r="397" spans="1:25" x14ac:dyDescent="0.3">
      <c r="A397" s="22">
        <v>396</v>
      </c>
      <c r="B397" s="22">
        <v>221</v>
      </c>
      <c r="C397" s="18" t="s">
        <v>886</v>
      </c>
      <c r="D397" s="21" t="s">
        <v>5826</v>
      </c>
      <c r="E397" s="21" t="s">
        <v>887</v>
      </c>
      <c r="F397" s="18" t="s">
        <v>888</v>
      </c>
      <c r="J397" s="23" t="s">
        <v>5276</v>
      </c>
      <c r="M397" s="23" t="s">
        <v>3722</v>
      </c>
      <c r="N397" s="22" t="s">
        <v>57</v>
      </c>
      <c r="O397" s="23" t="s">
        <v>1632</v>
      </c>
    </row>
    <row r="398" spans="1:25" x14ac:dyDescent="0.3">
      <c r="A398" s="22">
        <v>397</v>
      </c>
      <c r="B398" s="22">
        <v>221</v>
      </c>
      <c r="C398" s="18" t="s">
        <v>886</v>
      </c>
      <c r="D398" s="21" t="s">
        <v>5826</v>
      </c>
      <c r="E398" s="21" t="s">
        <v>889</v>
      </c>
      <c r="F398" s="18" t="s">
        <v>890</v>
      </c>
      <c r="G398" s="23" t="s">
        <v>1986</v>
      </c>
      <c r="H398" s="21" t="s">
        <v>1986</v>
      </c>
      <c r="J398" s="23" t="s">
        <v>5505</v>
      </c>
      <c r="K398" s="23" t="s">
        <v>1759</v>
      </c>
      <c r="M398" s="23" t="s">
        <v>3724</v>
      </c>
      <c r="N398" s="22" t="s">
        <v>89</v>
      </c>
    </row>
    <row r="399" spans="1:25" x14ac:dyDescent="0.3">
      <c r="A399" s="22">
        <v>398</v>
      </c>
      <c r="B399" s="22">
        <v>221</v>
      </c>
      <c r="C399" s="18" t="s">
        <v>886</v>
      </c>
      <c r="D399" s="21" t="s">
        <v>5826</v>
      </c>
      <c r="E399" s="21" t="s">
        <v>891</v>
      </c>
      <c r="F399" s="18" t="s">
        <v>892</v>
      </c>
      <c r="G399" s="23" t="s">
        <v>1612</v>
      </c>
      <c r="J399" s="23" t="s">
        <v>5506</v>
      </c>
      <c r="M399" s="23" t="s">
        <v>8566</v>
      </c>
      <c r="N399" s="22" t="s">
        <v>37</v>
      </c>
      <c r="P399" s="23" t="s">
        <v>5507</v>
      </c>
      <c r="W399" s="108">
        <v>42635</v>
      </c>
      <c r="X399" s="124" t="s">
        <v>6436</v>
      </c>
    </row>
    <row r="400" spans="1:25" x14ac:dyDescent="0.3">
      <c r="A400" s="22">
        <v>399</v>
      </c>
      <c r="B400" s="22">
        <v>221</v>
      </c>
      <c r="C400" s="18" t="s">
        <v>886</v>
      </c>
      <c r="D400" s="21" t="s">
        <v>5826</v>
      </c>
      <c r="E400" s="21" t="s">
        <v>893</v>
      </c>
      <c r="F400" s="18" t="s">
        <v>894</v>
      </c>
      <c r="G400" s="23" t="s">
        <v>1612</v>
      </c>
      <c r="J400" s="23" t="s">
        <v>5221</v>
      </c>
      <c r="K400" s="23" t="s">
        <v>4405</v>
      </c>
      <c r="L400" s="23" t="s">
        <v>1987</v>
      </c>
      <c r="M400" s="23" t="s">
        <v>3083</v>
      </c>
      <c r="N400" s="22" t="s">
        <v>49</v>
      </c>
      <c r="P400" s="23" t="s">
        <v>49</v>
      </c>
      <c r="W400" s="108">
        <v>41944</v>
      </c>
      <c r="X400" s="124" t="s">
        <v>6437</v>
      </c>
    </row>
    <row r="401" spans="1:25" x14ac:dyDescent="0.3">
      <c r="A401" s="22">
        <v>400</v>
      </c>
      <c r="B401" s="22">
        <v>221</v>
      </c>
      <c r="C401" s="18" t="s">
        <v>886</v>
      </c>
      <c r="D401" s="21" t="s">
        <v>5826</v>
      </c>
      <c r="E401" s="21" t="s">
        <v>895</v>
      </c>
      <c r="F401" s="18" t="s">
        <v>896</v>
      </c>
      <c r="J401" s="23" t="s">
        <v>5200</v>
      </c>
      <c r="K401" s="23" t="s">
        <v>1988</v>
      </c>
      <c r="M401" s="23" t="s">
        <v>3728</v>
      </c>
      <c r="N401" s="22" t="s">
        <v>49</v>
      </c>
      <c r="P401" s="23" t="s">
        <v>49</v>
      </c>
      <c r="W401" s="108">
        <v>10560</v>
      </c>
      <c r="X401" s="124" t="s">
        <v>6438</v>
      </c>
    </row>
    <row r="402" spans="1:25" x14ac:dyDescent="0.3">
      <c r="A402" s="22">
        <v>401</v>
      </c>
      <c r="B402" s="22">
        <v>223</v>
      </c>
      <c r="C402" s="18" t="s">
        <v>886</v>
      </c>
      <c r="D402" s="21" t="s">
        <v>5826</v>
      </c>
      <c r="E402" s="21" t="s">
        <v>897</v>
      </c>
      <c r="F402" s="18" t="s">
        <v>898</v>
      </c>
      <c r="G402" s="23" t="s">
        <v>1612</v>
      </c>
      <c r="J402" s="23" t="s">
        <v>5218</v>
      </c>
      <c r="K402" s="23" t="s">
        <v>1989</v>
      </c>
      <c r="M402" s="23" t="s">
        <v>3730</v>
      </c>
      <c r="N402" s="22" t="s">
        <v>49</v>
      </c>
      <c r="P402" s="23" t="s">
        <v>49</v>
      </c>
      <c r="W402" s="108">
        <v>36452</v>
      </c>
      <c r="X402" s="124" t="s">
        <v>6560</v>
      </c>
    </row>
    <row r="403" spans="1:25" x14ac:dyDescent="0.3">
      <c r="A403" s="22">
        <v>402</v>
      </c>
      <c r="B403" s="22">
        <v>223</v>
      </c>
      <c r="C403" s="18" t="s">
        <v>886</v>
      </c>
      <c r="D403" s="21" t="s">
        <v>5826</v>
      </c>
      <c r="E403" s="21" t="s">
        <v>899</v>
      </c>
      <c r="F403" s="18" t="s">
        <v>900</v>
      </c>
      <c r="J403" s="23" t="s">
        <v>5508</v>
      </c>
      <c r="L403" s="23" t="s">
        <v>1990</v>
      </c>
      <c r="M403" s="23" t="s">
        <v>3732</v>
      </c>
      <c r="N403" s="22" t="s">
        <v>37</v>
      </c>
      <c r="S403" s="22" t="s">
        <v>1638</v>
      </c>
      <c r="X403" s="124" t="s">
        <v>6561</v>
      </c>
      <c r="Y403" s="23" t="s">
        <v>4406</v>
      </c>
    </row>
    <row r="404" spans="1:25" x14ac:dyDescent="0.3">
      <c r="A404" s="22">
        <v>403</v>
      </c>
      <c r="B404" s="22">
        <v>223</v>
      </c>
      <c r="C404" s="18" t="s">
        <v>886</v>
      </c>
      <c r="D404" s="21" t="s">
        <v>5826</v>
      </c>
      <c r="E404" s="21" t="s">
        <v>901</v>
      </c>
      <c r="F404" s="18" t="s">
        <v>902</v>
      </c>
      <c r="J404" s="23" t="s">
        <v>242</v>
      </c>
      <c r="M404" s="23" t="s">
        <v>3734</v>
      </c>
      <c r="N404" s="22" t="s">
        <v>346</v>
      </c>
    </row>
    <row r="405" spans="1:25" x14ac:dyDescent="0.3">
      <c r="A405" s="22">
        <v>404</v>
      </c>
      <c r="B405" s="22">
        <v>223</v>
      </c>
      <c r="C405" s="18" t="s">
        <v>904</v>
      </c>
      <c r="D405" s="21" t="s">
        <v>903</v>
      </c>
      <c r="E405" s="21" t="s">
        <v>905</v>
      </c>
      <c r="F405" s="18" t="s">
        <v>906</v>
      </c>
      <c r="G405" s="23" t="s">
        <v>1992</v>
      </c>
      <c r="H405" s="21" t="s">
        <v>1992</v>
      </c>
      <c r="I405" s="23" t="s">
        <v>1992</v>
      </c>
      <c r="J405" s="23" t="s">
        <v>5509</v>
      </c>
      <c r="L405" s="23" t="s">
        <v>1991</v>
      </c>
      <c r="M405" s="23" t="s">
        <v>3736</v>
      </c>
      <c r="N405" s="22" t="s">
        <v>57</v>
      </c>
      <c r="O405" s="23" t="s">
        <v>1632</v>
      </c>
      <c r="P405" s="23" t="s">
        <v>3031</v>
      </c>
      <c r="Q405" s="22" t="s">
        <v>112</v>
      </c>
      <c r="R405" s="22" t="s">
        <v>112</v>
      </c>
      <c r="S405" s="22" t="s">
        <v>1615</v>
      </c>
      <c r="Y405" s="23" t="s">
        <v>4407</v>
      </c>
    </row>
    <row r="406" spans="1:25" x14ac:dyDescent="0.3">
      <c r="A406" s="22">
        <v>405</v>
      </c>
      <c r="B406" s="22">
        <v>227</v>
      </c>
      <c r="C406" s="18" t="s">
        <v>908</v>
      </c>
      <c r="D406" s="21" t="s">
        <v>907</v>
      </c>
      <c r="E406" s="21" t="s">
        <v>909</v>
      </c>
      <c r="F406" s="18" t="s">
        <v>910</v>
      </c>
      <c r="G406" s="23" t="s">
        <v>1994</v>
      </c>
      <c r="H406" s="21" t="s">
        <v>1995</v>
      </c>
      <c r="I406" s="23" t="s">
        <v>1995</v>
      </c>
      <c r="J406" s="23" t="s">
        <v>5470</v>
      </c>
      <c r="L406" s="23" t="s">
        <v>1993</v>
      </c>
      <c r="M406" s="23" t="s">
        <v>3676</v>
      </c>
      <c r="N406" s="22" t="s">
        <v>57</v>
      </c>
      <c r="O406" s="23" t="s">
        <v>1914</v>
      </c>
      <c r="Q406" s="22" t="s">
        <v>50</v>
      </c>
      <c r="R406" s="22" t="s">
        <v>38</v>
      </c>
      <c r="S406" s="22" t="s">
        <v>1648</v>
      </c>
      <c r="Y406" s="23" t="s">
        <v>4408</v>
      </c>
    </row>
    <row r="407" spans="1:25" x14ac:dyDescent="0.3">
      <c r="A407" s="22">
        <v>406</v>
      </c>
      <c r="B407" s="22">
        <v>227</v>
      </c>
      <c r="C407" s="18" t="s">
        <v>908</v>
      </c>
      <c r="D407" s="21" t="s">
        <v>907</v>
      </c>
      <c r="E407" s="21" t="s">
        <v>911</v>
      </c>
      <c r="F407" s="18" t="s">
        <v>912</v>
      </c>
      <c r="G407" s="23" t="s">
        <v>1994</v>
      </c>
      <c r="H407" s="21" t="s">
        <v>1997</v>
      </c>
      <c r="I407" s="23" t="s">
        <v>1994</v>
      </c>
      <c r="J407" s="23" t="s">
        <v>5510</v>
      </c>
      <c r="L407" s="23" t="s">
        <v>1996</v>
      </c>
      <c r="M407" s="23" t="s">
        <v>3739</v>
      </c>
      <c r="N407" s="22" t="s">
        <v>57</v>
      </c>
      <c r="O407" s="23" t="s">
        <v>1712</v>
      </c>
      <c r="Q407" s="22" t="s">
        <v>50</v>
      </c>
      <c r="R407" s="22" t="s">
        <v>58</v>
      </c>
    </row>
    <row r="408" spans="1:25" x14ac:dyDescent="0.3">
      <c r="A408" s="22">
        <v>407</v>
      </c>
      <c r="B408" s="22">
        <v>227</v>
      </c>
      <c r="C408" s="18" t="s">
        <v>908</v>
      </c>
      <c r="D408" s="21" t="s">
        <v>907</v>
      </c>
      <c r="E408" s="21" t="s">
        <v>913</v>
      </c>
      <c r="F408" s="18" t="s">
        <v>914</v>
      </c>
      <c r="G408" s="23" t="s">
        <v>1999</v>
      </c>
      <c r="H408" s="21" t="s">
        <v>1999</v>
      </c>
      <c r="I408" s="23" t="s">
        <v>1999</v>
      </c>
      <c r="J408" s="23" t="s">
        <v>5480</v>
      </c>
      <c r="L408" s="23" t="s">
        <v>1998</v>
      </c>
      <c r="M408" s="23" t="s">
        <v>3741</v>
      </c>
      <c r="N408" s="22" t="s">
        <v>57</v>
      </c>
      <c r="O408" s="23" t="s">
        <v>1647</v>
      </c>
      <c r="Q408" s="22" t="s">
        <v>38</v>
      </c>
      <c r="R408" s="22" t="s">
        <v>38</v>
      </c>
    </row>
    <row r="409" spans="1:25" x14ac:dyDescent="0.3">
      <c r="A409" s="22">
        <v>408</v>
      </c>
      <c r="B409" s="22">
        <v>227</v>
      </c>
      <c r="C409" s="18" t="s">
        <v>908</v>
      </c>
      <c r="D409" s="21" t="s">
        <v>907</v>
      </c>
      <c r="E409" s="21" t="s">
        <v>915</v>
      </c>
      <c r="F409" s="18" t="s">
        <v>916</v>
      </c>
      <c r="G409" s="23" t="s">
        <v>2001</v>
      </c>
      <c r="H409" s="21" t="s">
        <v>2002</v>
      </c>
      <c r="I409" s="23" t="s">
        <v>2002</v>
      </c>
      <c r="J409" s="23" t="s">
        <v>4378</v>
      </c>
      <c r="L409" s="23" t="s">
        <v>2000</v>
      </c>
      <c r="M409" s="23" t="s">
        <v>3743</v>
      </c>
      <c r="N409" s="22" t="s">
        <v>57</v>
      </c>
      <c r="O409" s="23" t="s">
        <v>1671</v>
      </c>
      <c r="Q409" s="22" t="s">
        <v>38</v>
      </c>
      <c r="R409" s="22" t="s">
        <v>58</v>
      </c>
      <c r="S409" s="22" t="s">
        <v>1648</v>
      </c>
      <c r="Y409" s="23" t="s">
        <v>4409</v>
      </c>
    </row>
    <row r="410" spans="1:25" x14ac:dyDescent="0.3">
      <c r="A410" s="22">
        <v>409</v>
      </c>
      <c r="B410" s="22">
        <v>227</v>
      </c>
      <c r="C410" s="18" t="s">
        <v>908</v>
      </c>
      <c r="D410" s="21" t="s">
        <v>907</v>
      </c>
      <c r="E410" s="21" t="s">
        <v>917</v>
      </c>
      <c r="F410" s="18" t="s">
        <v>918</v>
      </c>
      <c r="G410" s="23" t="s">
        <v>2004</v>
      </c>
      <c r="H410" s="21" t="s">
        <v>2004</v>
      </c>
      <c r="I410" s="23" t="s">
        <v>2005</v>
      </c>
      <c r="J410" s="23" t="s">
        <v>5467</v>
      </c>
      <c r="L410" s="23" t="s">
        <v>2003</v>
      </c>
      <c r="M410" s="23" t="s">
        <v>3745</v>
      </c>
      <c r="N410" s="22" t="s">
        <v>57</v>
      </c>
      <c r="O410" s="23" t="s">
        <v>1937</v>
      </c>
      <c r="P410" s="23" t="s">
        <v>4410</v>
      </c>
      <c r="Q410" s="22" t="s">
        <v>112</v>
      </c>
      <c r="R410" s="22" t="s">
        <v>112</v>
      </c>
    </row>
    <row r="411" spans="1:25" x14ac:dyDescent="0.3">
      <c r="A411" s="22">
        <v>410</v>
      </c>
      <c r="B411" s="22">
        <v>229</v>
      </c>
      <c r="C411" s="18" t="s">
        <v>908</v>
      </c>
      <c r="D411" s="21" t="s">
        <v>907</v>
      </c>
      <c r="E411" s="21" t="s">
        <v>919</v>
      </c>
      <c r="F411" s="18" t="s">
        <v>920</v>
      </c>
      <c r="G411" s="23" t="s">
        <v>2007</v>
      </c>
      <c r="H411" s="21" t="s">
        <v>2007</v>
      </c>
      <c r="I411" s="23" t="s">
        <v>2007</v>
      </c>
      <c r="J411" s="23" t="s">
        <v>4377</v>
      </c>
      <c r="L411" s="23" t="s">
        <v>2006</v>
      </c>
      <c r="M411" s="23" t="s">
        <v>3747</v>
      </c>
      <c r="N411" s="22" t="s">
        <v>57</v>
      </c>
      <c r="O411" s="23" t="s">
        <v>1668</v>
      </c>
      <c r="Q411" s="22" t="s">
        <v>58</v>
      </c>
      <c r="R411" s="22" t="s">
        <v>112</v>
      </c>
    </row>
    <row r="412" spans="1:25" x14ac:dyDescent="0.3">
      <c r="A412" s="22">
        <v>411</v>
      </c>
      <c r="B412" s="22">
        <v>229</v>
      </c>
      <c r="C412" s="18" t="s">
        <v>908</v>
      </c>
      <c r="D412" s="21" t="s">
        <v>907</v>
      </c>
      <c r="E412" s="21" t="s">
        <v>921</v>
      </c>
      <c r="F412" s="18" t="s">
        <v>922</v>
      </c>
      <c r="G412" s="23" t="s">
        <v>2001</v>
      </c>
      <c r="H412" s="21" t="s">
        <v>2001</v>
      </c>
      <c r="I412" s="23" t="s">
        <v>2001</v>
      </c>
      <c r="J412" s="23" t="s">
        <v>5511</v>
      </c>
      <c r="M412" s="23" t="s">
        <v>3749</v>
      </c>
      <c r="N412" s="22" t="s">
        <v>57</v>
      </c>
      <c r="O412" s="23" t="s">
        <v>1632</v>
      </c>
      <c r="R412" s="22" t="s">
        <v>186</v>
      </c>
    </row>
    <row r="413" spans="1:25" x14ac:dyDescent="0.3">
      <c r="A413" s="22">
        <v>412</v>
      </c>
      <c r="B413" s="22">
        <v>229</v>
      </c>
      <c r="C413" s="18" t="s">
        <v>908</v>
      </c>
      <c r="D413" s="21" t="s">
        <v>907</v>
      </c>
      <c r="E413" s="21" t="s">
        <v>923</v>
      </c>
      <c r="F413" s="18" t="s">
        <v>924</v>
      </c>
      <c r="J413" s="23" t="s">
        <v>5512</v>
      </c>
      <c r="M413" s="23" t="s">
        <v>3751</v>
      </c>
      <c r="N413" s="22" t="s">
        <v>37</v>
      </c>
      <c r="P413" s="23" t="s">
        <v>3019</v>
      </c>
      <c r="X413" s="124" t="s">
        <v>3752</v>
      </c>
    </row>
    <row r="414" spans="1:25" x14ac:dyDescent="0.3">
      <c r="A414" s="22">
        <v>413</v>
      </c>
      <c r="B414" s="22">
        <v>229</v>
      </c>
      <c r="C414" s="18" t="s">
        <v>908</v>
      </c>
      <c r="D414" s="21" t="s">
        <v>907</v>
      </c>
      <c r="E414" s="21" t="s">
        <v>925</v>
      </c>
      <c r="F414" s="18" t="s">
        <v>926</v>
      </c>
      <c r="J414" s="23" t="s">
        <v>6058</v>
      </c>
      <c r="M414" s="23" t="s">
        <v>3754</v>
      </c>
      <c r="N414" s="22" t="s">
        <v>253</v>
      </c>
      <c r="Q414" s="22" t="s">
        <v>50</v>
      </c>
      <c r="R414" s="22" t="s">
        <v>112</v>
      </c>
      <c r="X414" s="124" t="s">
        <v>927</v>
      </c>
    </row>
    <row r="415" spans="1:25" ht="51" x14ac:dyDescent="0.3">
      <c r="A415" s="22">
        <v>414</v>
      </c>
      <c r="B415" s="22">
        <v>231</v>
      </c>
      <c r="C415" s="18" t="s">
        <v>908</v>
      </c>
      <c r="D415" s="21" t="s">
        <v>907</v>
      </c>
      <c r="E415" s="21" t="s">
        <v>928</v>
      </c>
      <c r="F415" s="18" t="s">
        <v>5158</v>
      </c>
      <c r="J415" s="23" t="s">
        <v>59</v>
      </c>
      <c r="M415" s="23" t="s">
        <v>3755</v>
      </c>
      <c r="N415" s="22" t="s">
        <v>37</v>
      </c>
      <c r="P415" s="23" t="s">
        <v>6059</v>
      </c>
      <c r="R415" s="22" t="s">
        <v>112</v>
      </c>
      <c r="S415" s="22" t="s">
        <v>1648</v>
      </c>
      <c r="X415" s="130" t="s">
        <v>8567</v>
      </c>
      <c r="Y415" s="23" t="s">
        <v>5513</v>
      </c>
    </row>
    <row r="416" spans="1:25" x14ac:dyDescent="0.3">
      <c r="A416" s="22">
        <v>415</v>
      </c>
      <c r="B416" s="22">
        <v>231</v>
      </c>
      <c r="C416" s="18" t="s">
        <v>908</v>
      </c>
      <c r="D416" s="21" t="s">
        <v>907</v>
      </c>
      <c r="E416" s="21" t="s">
        <v>929</v>
      </c>
      <c r="F416" s="18" t="s">
        <v>930</v>
      </c>
      <c r="G416" s="23" t="s">
        <v>1612</v>
      </c>
      <c r="J416" s="23" t="s">
        <v>931</v>
      </c>
      <c r="M416" s="23" t="s">
        <v>3757</v>
      </c>
      <c r="N416" s="22" t="s">
        <v>42</v>
      </c>
      <c r="X416" s="124" t="s">
        <v>3758</v>
      </c>
    </row>
    <row r="417" spans="1:25" x14ac:dyDescent="0.3">
      <c r="A417" s="22">
        <v>416</v>
      </c>
      <c r="B417" s="22">
        <v>225</v>
      </c>
      <c r="C417" s="18" t="s">
        <v>908</v>
      </c>
      <c r="D417" s="21" t="s">
        <v>907</v>
      </c>
      <c r="E417" s="21" t="s">
        <v>932</v>
      </c>
      <c r="F417" s="18" t="s">
        <v>5160</v>
      </c>
      <c r="J417" s="23" t="s">
        <v>5488</v>
      </c>
      <c r="L417" s="23" t="s">
        <v>2008</v>
      </c>
      <c r="M417" s="23" t="s">
        <v>3360</v>
      </c>
      <c r="N417" s="22" t="s">
        <v>57</v>
      </c>
      <c r="O417" s="23" t="s">
        <v>1914</v>
      </c>
      <c r="Q417" s="22" t="s">
        <v>50</v>
      </c>
      <c r="R417" s="22" t="s">
        <v>38</v>
      </c>
      <c r="S417" s="22" t="s">
        <v>2142</v>
      </c>
      <c r="V417" s="107" t="s">
        <v>933</v>
      </c>
      <c r="Y417" s="23" t="s">
        <v>6060</v>
      </c>
    </row>
    <row r="418" spans="1:25" x14ac:dyDescent="0.3">
      <c r="A418" s="22">
        <v>417</v>
      </c>
      <c r="B418" s="22">
        <v>225</v>
      </c>
      <c r="C418" s="18" t="s">
        <v>908</v>
      </c>
      <c r="D418" s="21" t="s">
        <v>907</v>
      </c>
      <c r="E418" s="21" t="s">
        <v>934</v>
      </c>
      <c r="F418" s="18" t="s">
        <v>935</v>
      </c>
      <c r="J418" s="23" t="s">
        <v>5477</v>
      </c>
      <c r="M418" s="23" t="s">
        <v>3649</v>
      </c>
      <c r="N418" s="22" t="s">
        <v>57</v>
      </c>
      <c r="O418" s="23" t="s">
        <v>1632</v>
      </c>
    </row>
    <row r="419" spans="1:25" x14ac:dyDescent="0.3">
      <c r="A419" s="22">
        <v>418</v>
      </c>
      <c r="B419" s="22">
        <v>225</v>
      </c>
      <c r="C419" s="18" t="s">
        <v>908</v>
      </c>
      <c r="D419" s="21" t="s">
        <v>907</v>
      </c>
      <c r="E419" s="21" t="s">
        <v>2010</v>
      </c>
      <c r="F419" s="18" t="s">
        <v>936</v>
      </c>
      <c r="G419" s="23" t="s">
        <v>2009</v>
      </c>
      <c r="J419" s="23" t="s">
        <v>5229</v>
      </c>
      <c r="M419" s="23" t="s">
        <v>4608</v>
      </c>
      <c r="N419" s="22" t="s">
        <v>57</v>
      </c>
      <c r="O419" s="23" t="s">
        <v>1632</v>
      </c>
      <c r="R419" s="22" t="s">
        <v>112</v>
      </c>
    </row>
    <row r="420" spans="1:25" x14ac:dyDescent="0.3">
      <c r="A420" s="22">
        <v>419</v>
      </c>
      <c r="B420" s="22">
        <v>225</v>
      </c>
      <c r="C420" s="18" t="s">
        <v>908</v>
      </c>
      <c r="D420" s="21" t="s">
        <v>907</v>
      </c>
      <c r="E420" s="21" t="s">
        <v>937</v>
      </c>
      <c r="F420" s="18" t="s">
        <v>938</v>
      </c>
      <c r="G420" s="23" t="s">
        <v>1612</v>
      </c>
      <c r="J420" s="23" t="s">
        <v>5514</v>
      </c>
      <c r="L420" s="23" t="s">
        <v>2011</v>
      </c>
      <c r="M420" s="23" t="s">
        <v>3762</v>
      </c>
      <c r="N420" s="22" t="s">
        <v>57</v>
      </c>
      <c r="O420" s="23" t="s">
        <v>1934</v>
      </c>
      <c r="Q420" s="22" t="s">
        <v>253</v>
      </c>
      <c r="S420" s="22" t="s">
        <v>1931</v>
      </c>
      <c r="V420" s="107" t="s">
        <v>4411</v>
      </c>
      <c r="X420" s="124" t="s">
        <v>3005</v>
      </c>
      <c r="Y420" s="23" t="s">
        <v>4412</v>
      </c>
    </row>
    <row r="421" spans="1:25" x14ac:dyDescent="0.3">
      <c r="A421" s="22">
        <v>420</v>
      </c>
      <c r="B421" s="22">
        <v>225</v>
      </c>
      <c r="C421" s="18" t="s">
        <v>908</v>
      </c>
      <c r="D421" s="21" t="s">
        <v>907</v>
      </c>
      <c r="E421" s="21" t="s">
        <v>5828</v>
      </c>
      <c r="F421" s="18" t="s">
        <v>5829</v>
      </c>
      <c r="G421" s="23" t="s">
        <v>1612</v>
      </c>
      <c r="J421" s="23" t="s">
        <v>5467</v>
      </c>
      <c r="L421" s="23" t="s">
        <v>6665</v>
      </c>
      <c r="M421" s="23" t="s">
        <v>4609</v>
      </c>
      <c r="N421" s="22" t="s">
        <v>57</v>
      </c>
      <c r="O421" s="23" t="s">
        <v>1937</v>
      </c>
      <c r="S421" s="22" t="s">
        <v>1648</v>
      </c>
      <c r="V421" s="107" t="s">
        <v>4610</v>
      </c>
      <c r="Y421" s="23" t="s">
        <v>6061</v>
      </c>
    </row>
    <row r="422" spans="1:25" x14ac:dyDescent="0.3">
      <c r="A422" s="22">
        <v>421</v>
      </c>
      <c r="B422" s="22">
        <v>235</v>
      </c>
      <c r="C422" s="18" t="s">
        <v>939</v>
      </c>
      <c r="D422" s="21" t="s">
        <v>5830</v>
      </c>
      <c r="E422" s="21" t="s">
        <v>942</v>
      </c>
      <c r="F422" s="18" t="s">
        <v>943</v>
      </c>
      <c r="G422" s="23" t="s">
        <v>940</v>
      </c>
      <c r="I422" s="23" t="s">
        <v>2014</v>
      </c>
      <c r="J422" s="23" t="s">
        <v>5484</v>
      </c>
      <c r="L422" s="23" t="s">
        <v>2013</v>
      </c>
      <c r="M422" s="23" t="s">
        <v>3764</v>
      </c>
      <c r="N422" s="22" t="s">
        <v>57</v>
      </c>
      <c r="O422" s="23" t="s">
        <v>1669</v>
      </c>
      <c r="Q422" s="22" t="s">
        <v>38</v>
      </c>
      <c r="R422" s="22" t="s">
        <v>38</v>
      </c>
    </row>
    <row r="423" spans="1:25" x14ac:dyDescent="0.3">
      <c r="A423" s="22">
        <v>422</v>
      </c>
      <c r="B423" s="22">
        <v>235</v>
      </c>
      <c r="C423" s="18" t="s">
        <v>939</v>
      </c>
      <c r="D423" s="21" t="s">
        <v>5830</v>
      </c>
      <c r="E423" s="21" t="s">
        <v>940</v>
      </c>
      <c r="F423" s="18" t="s">
        <v>941</v>
      </c>
      <c r="I423" s="23" t="s">
        <v>2012</v>
      </c>
      <c r="J423" s="23" t="s">
        <v>5483</v>
      </c>
      <c r="L423" s="23" t="s">
        <v>6666</v>
      </c>
      <c r="M423" s="23" t="s">
        <v>3766</v>
      </c>
      <c r="N423" s="22" t="s">
        <v>57</v>
      </c>
      <c r="O423" s="23" t="s">
        <v>1669</v>
      </c>
      <c r="Q423" s="22" t="s">
        <v>38</v>
      </c>
      <c r="R423" s="22" t="s">
        <v>38</v>
      </c>
      <c r="T423" s="62" t="s">
        <v>6062</v>
      </c>
    </row>
    <row r="424" spans="1:25" x14ac:dyDescent="0.3">
      <c r="A424" s="22">
        <v>423</v>
      </c>
      <c r="B424" s="22">
        <v>233</v>
      </c>
      <c r="C424" s="18" t="s">
        <v>945</v>
      </c>
      <c r="D424" s="21" t="s">
        <v>944</v>
      </c>
      <c r="E424" s="21" t="s">
        <v>946</v>
      </c>
      <c r="F424" s="18" t="s">
        <v>947</v>
      </c>
      <c r="J424" s="23" t="s">
        <v>5282</v>
      </c>
      <c r="L424" s="23" t="s">
        <v>2015</v>
      </c>
      <c r="M424" s="23" t="s">
        <v>3288</v>
      </c>
      <c r="N424" s="22" t="s">
        <v>57</v>
      </c>
      <c r="O424" s="23" t="s">
        <v>1712</v>
      </c>
      <c r="Q424" s="22" t="s">
        <v>50</v>
      </c>
      <c r="R424" s="22" t="s">
        <v>38</v>
      </c>
      <c r="T424" s="62" t="s">
        <v>6063</v>
      </c>
    </row>
    <row r="425" spans="1:25" x14ac:dyDescent="0.3">
      <c r="A425" s="22">
        <v>424</v>
      </c>
      <c r="B425" s="22">
        <v>233</v>
      </c>
      <c r="C425" s="18" t="s">
        <v>945</v>
      </c>
      <c r="D425" s="21" t="s">
        <v>944</v>
      </c>
      <c r="E425" s="21" t="s">
        <v>948</v>
      </c>
      <c r="F425" s="18" t="s">
        <v>949</v>
      </c>
      <c r="G425" s="23" t="s">
        <v>2016</v>
      </c>
      <c r="J425" s="23" t="s">
        <v>5515</v>
      </c>
      <c r="M425" s="23" t="s">
        <v>3125</v>
      </c>
      <c r="N425" s="22" t="s">
        <v>253</v>
      </c>
      <c r="S425" s="22" t="s">
        <v>1869</v>
      </c>
      <c r="T425" s="62" t="s">
        <v>6064</v>
      </c>
      <c r="X425" s="124" t="s">
        <v>8568</v>
      </c>
      <c r="Y425" s="23" t="s">
        <v>6667</v>
      </c>
    </row>
    <row r="426" spans="1:25" x14ac:dyDescent="0.3">
      <c r="A426" s="22">
        <v>425</v>
      </c>
      <c r="B426" s="22">
        <v>233</v>
      </c>
      <c r="C426" s="18" t="s">
        <v>945</v>
      </c>
      <c r="D426" s="21" t="s">
        <v>944</v>
      </c>
      <c r="E426" s="21" t="s">
        <v>955</v>
      </c>
      <c r="F426" s="18" t="s">
        <v>956</v>
      </c>
      <c r="J426" s="23" t="s">
        <v>5516</v>
      </c>
      <c r="K426" s="23" t="s">
        <v>5517</v>
      </c>
      <c r="L426" s="23" t="s">
        <v>2020</v>
      </c>
      <c r="M426" s="23" t="s">
        <v>3770</v>
      </c>
      <c r="N426" s="22" t="s">
        <v>49</v>
      </c>
      <c r="P426" s="23" t="s">
        <v>49</v>
      </c>
      <c r="W426" s="108" t="s">
        <v>4413</v>
      </c>
      <c r="X426" s="124" t="s">
        <v>6439</v>
      </c>
    </row>
    <row r="427" spans="1:25" ht="20.399999999999999" x14ac:dyDescent="0.3">
      <c r="A427" s="22">
        <v>426</v>
      </c>
      <c r="C427" s="18" t="s">
        <v>945</v>
      </c>
      <c r="D427" s="21" t="s">
        <v>944</v>
      </c>
      <c r="E427" s="21" t="s">
        <v>2017</v>
      </c>
      <c r="F427" s="18" t="s">
        <v>950</v>
      </c>
      <c r="J427" s="23" t="s">
        <v>6668</v>
      </c>
      <c r="M427" s="109" t="s">
        <v>8569</v>
      </c>
      <c r="N427" s="22" t="s">
        <v>37</v>
      </c>
      <c r="S427" s="22" t="s">
        <v>6669</v>
      </c>
      <c r="Y427" s="23" t="s">
        <v>6670</v>
      </c>
    </row>
    <row r="428" spans="1:25" x14ac:dyDescent="0.3">
      <c r="A428" s="22">
        <v>427</v>
      </c>
      <c r="B428" s="22">
        <v>233</v>
      </c>
      <c r="C428" s="18" t="s">
        <v>945</v>
      </c>
      <c r="D428" s="21" t="s">
        <v>944</v>
      </c>
      <c r="E428" s="21" t="s">
        <v>953</v>
      </c>
      <c r="F428" s="18" t="s">
        <v>954</v>
      </c>
      <c r="G428" s="23" t="s">
        <v>1612</v>
      </c>
      <c r="J428" s="23" t="s">
        <v>5518</v>
      </c>
      <c r="K428" s="23" t="s">
        <v>5519</v>
      </c>
      <c r="L428" s="23" t="s">
        <v>2019</v>
      </c>
      <c r="M428" s="23" t="s">
        <v>3164</v>
      </c>
      <c r="N428" s="22" t="s">
        <v>49</v>
      </c>
      <c r="P428" s="23" t="s">
        <v>49</v>
      </c>
      <c r="Q428" s="22" t="s">
        <v>38</v>
      </c>
      <c r="R428" s="22" t="s">
        <v>38</v>
      </c>
      <c r="W428" s="108">
        <v>41547</v>
      </c>
      <c r="X428" s="124" t="s">
        <v>6440</v>
      </c>
    </row>
    <row r="429" spans="1:25" x14ac:dyDescent="0.3">
      <c r="A429" s="22">
        <v>428</v>
      </c>
      <c r="B429" s="22">
        <v>235</v>
      </c>
      <c r="C429" s="18" t="s">
        <v>945</v>
      </c>
      <c r="D429" s="21" t="s">
        <v>944</v>
      </c>
      <c r="E429" s="21" t="s">
        <v>951</v>
      </c>
      <c r="F429" s="18" t="s">
        <v>952</v>
      </c>
      <c r="G429" s="23" t="s">
        <v>2018</v>
      </c>
      <c r="J429" s="23" t="s">
        <v>875</v>
      </c>
      <c r="M429" s="23" t="s">
        <v>3774</v>
      </c>
      <c r="N429" s="22" t="s">
        <v>57</v>
      </c>
      <c r="O429" s="23" t="s">
        <v>1669</v>
      </c>
      <c r="Q429" s="22" t="s">
        <v>38</v>
      </c>
      <c r="R429" s="22" t="s">
        <v>38</v>
      </c>
    </row>
    <row r="430" spans="1:25" x14ac:dyDescent="0.3">
      <c r="A430" s="22">
        <v>429</v>
      </c>
      <c r="B430" s="22">
        <v>235</v>
      </c>
      <c r="C430" s="18" t="s">
        <v>958</v>
      </c>
      <c r="D430" s="21" t="s">
        <v>957</v>
      </c>
      <c r="E430" s="21" t="s">
        <v>959</v>
      </c>
      <c r="F430" s="18" t="s">
        <v>960</v>
      </c>
      <c r="G430" s="23" t="s">
        <v>2021</v>
      </c>
      <c r="J430" s="23" t="s">
        <v>5520</v>
      </c>
      <c r="M430" s="23" t="s">
        <v>3233</v>
      </c>
      <c r="N430" s="22" t="s">
        <v>37</v>
      </c>
    </row>
    <row r="431" spans="1:25" x14ac:dyDescent="0.3">
      <c r="A431" s="22">
        <v>430</v>
      </c>
      <c r="B431" s="22">
        <v>245</v>
      </c>
      <c r="C431" s="18" t="s">
        <v>961</v>
      </c>
      <c r="D431" s="21" t="s">
        <v>5831</v>
      </c>
      <c r="E431" s="21" t="s">
        <v>962</v>
      </c>
      <c r="F431" s="18" t="s">
        <v>963</v>
      </c>
      <c r="J431" s="23" t="s">
        <v>5521</v>
      </c>
      <c r="M431" s="23" t="s">
        <v>3233</v>
      </c>
      <c r="N431" s="22" t="s">
        <v>37</v>
      </c>
      <c r="S431" s="22" t="s">
        <v>1679</v>
      </c>
      <c r="Y431" s="23" t="s">
        <v>5522</v>
      </c>
    </row>
    <row r="432" spans="1:25" x14ac:dyDescent="0.3">
      <c r="A432" s="22">
        <v>431</v>
      </c>
      <c r="B432" s="22">
        <v>247</v>
      </c>
      <c r="C432" s="18" t="s">
        <v>965</v>
      </c>
      <c r="D432" s="21" t="s">
        <v>964</v>
      </c>
      <c r="E432" s="21" t="s">
        <v>966</v>
      </c>
      <c r="F432" s="18" t="s">
        <v>967</v>
      </c>
      <c r="J432" s="23" t="s">
        <v>84</v>
      </c>
      <c r="M432" s="23" t="s">
        <v>3778</v>
      </c>
      <c r="N432" s="22" t="s">
        <v>37</v>
      </c>
    </row>
    <row r="433" spans="1:25" x14ac:dyDescent="0.3">
      <c r="A433" s="22">
        <v>432</v>
      </c>
      <c r="B433" s="22">
        <v>241</v>
      </c>
      <c r="C433" s="18" t="s">
        <v>969</v>
      </c>
      <c r="D433" s="21" t="s">
        <v>968</v>
      </c>
      <c r="E433" s="21" t="s">
        <v>970</v>
      </c>
      <c r="F433" s="18" t="s">
        <v>971</v>
      </c>
      <c r="G433" s="23" t="s">
        <v>2022</v>
      </c>
      <c r="J433" s="23" t="s">
        <v>5523</v>
      </c>
      <c r="M433" s="23" t="s">
        <v>3780</v>
      </c>
      <c r="N433" s="22" t="s">
        <v>37</v>
      </c>
      <c r="Q433" s="22" t="s">
        <v>50</v>
      </c>
      <c r="R433" s="22" t="s">
        <v>38</v>
      </c>
    </row>
    <row r="434" spans="1:25" x14ac:dyDescent="0.3">
      <c r="A434" s="22">
        <v>433</v>
      </c>
      <c r="B434" s="22">
        <v>241</v>
      </c>
      <c r="C434" s="18" t="s">
        <v>969</v>
      </c>
      <c r="D434" s="21" t="s">
        <v>968</v>
      </c>
      <c r="E434" s="21" t="s">
        <v>972</v>
      </c>
      <c r="F434" s="18" t="s">
        <v>973</v>
      </c>
      <c r="J434" s="23" t="s">
        <v>974</v>
      </c>
      <c r="M434" s="23" t="s">
        <v>3782</v>
      </c>
      <c r="N434" s="22" t="s">
        <v>37</v>
      </c>
      <c r="S434" s="22" t="s">
        <v>1648</v>
      </c>
      <c r="V434" s="107" t="s">
        <v>2023</v>
      </c>
      <c r="Y434" s="23" t="s">
        <v>2024</v>
      </c>
    </row>
    <row r="435" spans="1:25" x14ac:dyDescent="0.3">
      <c r="A435" s="22">
        <v>434</v>
      </c>
      <c r="B435" s="22">
        <v>241</v>
      </c>
      <c r="C435" s="18" t="s">
        <v>969</v>
      </c>
      <c r="D435" s="21" t="s">
        <v>968</v>
      </c>
      <c r="E435" s="21" t="s">
        <v>975</v>
      </c>
      <c r="F435" s="18" t="s">
        <v>976</v>
      </c>
      <c r="J435" s="23" t="s">
        <v>5524</v>
      </c>
      <c r="K435" s="23" t="s">
        <v>5525</v>
      </c>
      <c r="L435" s="23" t="s">
        <v>2025</v>
      </c>
      <c r="M435" s="23" t="s">
        <v>3784</v>
      </c>
      <c r="N435" s="22" t="s">
        <v>89</v>
      </c>
    </row>
    <row r="436" spans="1:25" ht="20.399999999999999" x14ac:dyDescent="0.3">
      <c r="A436" s="22">
        <v>435</v>
      </c>
      <c r="B436" s="22">
        <v>241</v>
      </c>
      <c r="C436" s="18" t="s">
        <v>969</v>
      </c>
      <c r="D436" s="21" t="s">
        <v>968</v>
      </c>
      <c r="E436" s="21" t="s">
        <v>977</v>
      </c>
      <c r="F436" s="18" t="s">
        <v>978</v>
      </c>
      <c r="I436" s="109" t="s">
        <v>5128</v>
      </c>
      <c r="J436" s="23" t="s">
        <v>5526</v>
      </c>
      <c r="M436" s="23" t="s">
        <v>3786</v>
      </c>
      <c r="N436" s="22" t="s">
        <v>37</v>
      </c>
      <c r="V436" s="110" t="s">
        <v>5135</v>
      </c>
    </row>
    <row r="437" spans="1:25" x14ac:dyDescent="0.3">
      <c r="A437" s="22">
        <v>436</v>
      </c>
      <c r="B437" s="22">
        <v>243</v>
      </c>
      <c r="C437" s="18" t="s">
        <v>969</v>
      </c>
      <c r="D437" s="21" t="s">
        <v>968</v>
      </c>
      <c r="E437" s="21" t="s">
        <v>979</v>
      </c>
      <c r="F437" s="18" t="s">
        <v>980</v>
      </c>
      <c r="J437" s="23" t="s">
        <v>5488</v>
      </c>
      <c r="L437" s="23" t="s">
        <v>2026</v>
      </c>
      <c r="M437" s="23" t="s">
        <v>3788</v>
      </c>
      <c r="N437" s="22" t="s">
        <v>57</v>
      </c>
      <c r="O437" s="23" t="s">
        <v>1914</v>
      </c>
      <c r="R437" s="22" t="s">
        <v>38</v>
      </c>
    </row>
    <row r="438" spans="1:25" x14ac:dyDescent="0.3">
      <c r="A438" s="22">
        <v>437</v>
      </c>
      <c r="B438" s="22">
        <v>243</v>
      </c>
      <c r="C438" s="18" t="s">
        <v>969</v>
      </c>
      <c r="D438" s="21" t="s">
        <v>968</v>
      </c>
      <c r="E438" s="21" t="s">
        <v>981</v>
      </c>
      <c r="F438" s="18" t="s">
        <v>982</v>
      </c>
      <c r="I438" s="23" t="s">
        <v>2028</v>
      </c>
      <c r="J438" s="23" t="s">
        <v>5527</v>
      </c>
      <c r="L438" s="23" t="s">
        <v>2027</v>
      </c>
      <c r="M438" s="23" t="s">
        <v>3790</v>
      </c>
      <c r="N438" s="22" t="s">
        <v>57</v>
      </c>
      <c r="O438" s="23" t="s">
        <v>1701</v>
      </c>
      <c r="Q438" s="22" t="s">
        <v>38</v>
      </c>
      <c r="R438" s="22" t="s">
        <v>38</v>
      </c>
      <c r="U438" s="62" t="s">
        <v>2029</v>
      </c>
    </row>
    <row r="439" spans="1:25" x14ac:dyDescent="0.3">
      <c r="A439" s="22">
        <v>438</v>
      </c>
      <c r="B439" s="22">
        <v>243</v>
      </c>
      <c r="C439" s="18" t="s">
        <v>969</v>
      </c>
      <c r="D439" s="21" t="s">
        <v>968</v>
      </c>
      <c r="E439" s="21" t="s">
        <v>983</v>
      </c>
      <c r="F439" s="18" t="s">
        <v>984</v>
      </c>
      <c r="I439" s="23" t="s">
        <v>2030</v>
      </c>
      <c r="J439" s="23" t="s">
        <v>5528</v>
      </c>
      <c r="M439" s="23" t="s">
        <v>3792</v>
      </c>
      <c r="N439" s="22" t="s">
        <v>57</v>
      </c>
      <c r="O439" s="23" t="s">
        <v>1632</v>
      </c>
      <c r="U439" s="62" t="s">
        <v>2031</v>
      </c>
    </row>
    <row r="440" spans="1:25" x14ac:dyDescent="0.3">
      <c r="A440" s="22">
        <v>439</v>
      </c>
      <c r="B440" s="22">
        <v>243</v>
      </c>
      <c r="C440" s="18" t="s">
        <v>969</v>
      </c>
      <c r="D440" s="21" t="s">
        <v>968</v>
      </c>
      <c r="E440" s="21" t="s">
        <v>2033</v>
      </c>
      <c r="F440" s="18" t="s">
        <v>986</v>
      </c>
      <c r="G440" s="23" t="s">
        <v>2032</v>
      </c>
      <c r="H440" s="21" t="s">
        <v>985</v>
      </c>
      <c r="J440" s="23" t="s">
        <v>5529</v>
      </c>
      <c r="M440" s="23" t="s">
        <v>3794</v>
      </c>
      <c r="N440" s="22" t="s">
        <v>57</v>
      </c>
      <c r="O440" s="23" t="s">
        <v>1632</v>
      </c>
      <c r="Q440" s="22" t="s">
        <v>38</v>
      </c>
      <c r="R440" s="22" t="s">
        <v>38</v>
      </c>
    </row>
    <row r="441" spans="1:25" ht="20.399999999999999" x14ac:dyDescent="0.3">
      <c r="A441" s="22">
        <v>440</v>
      </c>
      <c r="C441" s="18" t="s">
        <v>969</v>
      </c>
      <c r="D441" s="21" t="s">
        <v>968</v>
      </c>
      <c r="E441" s="21" t="s">
        <v>987</v>
      </c>
      <c r="F441" s="18" t="s">
        <v>988</v>
      </c>
      <c r="I441" s="109" t="s">
        <v>4761</v>
      </c>
      <c r="J441" s="23" t="s">
        <v>5477</v>
      </c>
      <c r="M441" s="109" t="s">
        <v>3796</v>
      </c>
      <c r="N441" s="22" t="s">
        <v>57</v>
      </c>
      <c r="O441" s="23" t="s">
        <v>1632</v>
      </c>
      <c r="V441" s="110" t="s">
        <v>5136</v>
      </c>
    </row>
    <row r="442" spans="1:25" x14ac:dyDescent="0.3">
      <c r="A442" s="22">
        <v>441</v>
      </c>
      <c r="B442" s="22">
        <v>245</v>
      </c>
      <c r="C442" s="18" t="s">
        <v>969</v>
      </c>
      <c r="D442" s="21" t="s">
        <v>968</v>
      </c>
      <c r="E442" s="21" t="s">
        <v>989</v>
      </c>
      <c r="F442" s="18" t="s">
        <v>990</v>
      </c>
      <c r="J442" s="23" t="s">
        <v>4414</v>
      </c>
      <c r="M442" s="23" t="s">
        <v>3233</v>
      </c>
      <c r="N442" s="22" t="s">
        <v>37</v>
      </c>
    </row>
    <row r="443" spans="1:25" x14ac:dyDescent="0.3">
      <c r="A443" s="22">
        <v>442</v>
      </c>
      <c r="B443" s="22">
        <v>245</v>
      </c>
      <c r="C443" s="18" t="s">
        <v>969</v>
      </c>
      <c r="D443" s="21" t="s">
        <v>968</v>
      </c>
      <c r="E443" s="21" t="s">
        <v>991</v>
      </c>
      <c r="F443" s="18" t="s">
        <v>992</v>
      </c>
      <c r="G443" s="23" t="s">
        <v>1612</v>
      </c>
      <c r="J443" s="23" t="s">
        <v>4415</v>
      </c>
      <c r="M443" s="23" t="s">
        <v>3799</v>
      </c>
      <c r="N443" s="22" t="s">
        <v>49</v>
      </c>
      <c r="P443" s="23" t="s">
        <v>49</v>
      </c>
      <c r="S443" s="22" t="s">
        <v>1745</v>
      </c>
      <c r="W443" s="108">
        <v>38333</v>
      </c>
      <c r="X443" s="124" t="s">
        <v>6441</v>
      </c>
      <c r="Y443" s="23" t="s">
        <v>4416</v>
      </c>
    </row>
    <row r="444" spans="1:25" x14ac:dyDescent="0.3">
      <c r="A444" s="22">
        <v>443</v>
      </c>
      <c r="B444" s="22">
        <v>239</v>
      </c>
      <c r="C444" s="18" t="s">
        <v>993</v>
      </c>
      <c r="D444" s="21" t="s">
        <v>5832</v>
      </c>
      <c r="E444" s="21" t="s">
        <v>994</v>
      </c>
      <c r="F444" s="18" t="s">
        <v>995</v>
      </c>
      <c r="J444" s="23" t="s">
        <v>6065</v>
      </c>
      <c r="M444" s="23" t="s">
        <v>3140</v>
      </c>
      <c r="N444" s="22" t="s">
        <v>37</v>
      </c>
      <c r="S444" s="22" t="s">
        <v>1679</v>
      </c>
      <c r="X444" s="124" t="s">
        <v>9</v>
      </c>
      <c r="Y444" s="23" t="s">
        <v>4417</v>
      </c>
    </row>
    <row r="445" spans="1:25" x14ac:dyDescent="0.3">
      <c r="A445" s="22">
        <v>444</v>
      </c>
      <c r="B445" s="22">
        <v>239</v>
      </c>
      <c r="C445" s="18" t="s">
        <v>993</v>
      </c>
      <c r="D445" s="21" t="s">
        <v>5832</v>
      </c>
      <c r="E445" s="21" t="s">
        <v>996</v>
      </c>
      <c r="F445" s="18" t="s">
        <v>997</v>
      </c>
      <c r="J445" s="23" t="s">
        <v>5446</v>
      </c>
      <c r="L445" s="23" t="s">
        <v>2035</v>
      </c>
      <c r="M445" s="23" t="s">
        <v>3802</v>
      </c>
      <c r="N445" s="22" t="s">
        <v>57</v>
      </c>
      <c r="O445" s="23" t="s">
        <v>1632</v>
      </c>
      <c r="X445" s="124" t="s">
        <v>9</v>
      </c>
    </row>
    <row r="446" spans="1:25" x14ac:dyDescent="0.3">
      <c r="A446" s="22">
        <v>445</v>
      </c>
      <c r="B446" s="22">
        <v>239</v>
      </c>
      <c r="C446" s="18" t="s">
        <v>993</v>
      </c>
      <c r="D446" s="21" t="s">
        <v>5832</v>
      </c>
      <c r="E446" s="21" t="s">
        <v>998</v>
      </c>
      <c r="F446" s="18" t="s">
        <v>999</v>
      </c>
      <c r="J446" s="23" t="s">
        <v>5530</v>
      </c>
      <c r="M446" s="23" t="s">
        <v>3804</v>
      </c>
      <c r="N446" s="22" t="s">
        <v>253</v>
      </c>
      <c r="X446" s="124" t="s">
        <v>1000</v>
      </c>
    </row>
    <row r="447" spans="1:25" x14ac:dyDescent="0.3">
      <c r="A447" s="22">
        <v>446</v>
      </c>
      <c r="B447" s="22">
        <v>239</v>
      </c>
      <c r="C447" s="18" t="s">
        <v>993</v>
      </c>
      <c r="D447" s="21" t="s">
        <v>5832</v>
      </c>
      <c r="E447" s="21" t="s">
        <v>1001</v>
      </c>
      <c r="F447" s="18" t="s">
        <v>1002</v>
      </c>
      <c r="J447" s="23" t="s">
        <v>5531</v>
      </c>
      <c r="M447" s="23" t="s">
        <v>3806</v>
      </c>
      <c r="N447" s="22" t="s">
        <v>57</v>
      </c>
      <c r="O447" s="23" t="s">
        <v>1632</v>
      </c>
      <c r="X447" s="124" t="s">
        <v>9</v>
      </c>
    </row>
    <row r="448" spans="1:25" x14ac:dyDescent="0.3">
      <c r="A448" s="22">
        <v>447</v>
      </c>
      <c r="B448" s="22">
        <v>237</v>
      </c>
      <c r="C448" s="18" t="s">
        <v>1013</v>
      </c>
      <c r="D448" s="21" t="s">
        <v>5833</v>
      </c>
      <c r="E448" s="21" t="s">
        <v>1020</v>
      </c>
      <c r="F448" s="18" t="s">
        <v>1021</v>
      </c>
      <c r="J448" s="23" t="s">
        <v>5537</v>
      </c>
      <c r="L448" s="23" t="s">
        <v>2038</v>
      </c>
      <c r="M448" s="23" t="s">
        <v>3814</v>
      </c>
      <c r="N448" s="22" t="s">
        <v>57</v>
      </c>
      <c r="O448" s="23" t="s">
        <v>1712</v>
      </c>
      <c r="P448" s="23" t="s">
        <v>3032</v>
      </c>
      <c r="Q448" s="22" t="s">
        <v>112</v>
      </c>
      <c r="R448" s="22" t="s">
        <v>112</v>
      </c>
      <c r="S448" s="22" t="s">
        <v>1615</v>
      </c>
      <c r="X448" s="124" t="s">
        <v>9</v>
      </c>
      <c r="Y448" s="23" t="s">
        <v>4420</v>
      </c>
    </row>
    <row r="449" spans="1:25" x14ac:dyDescent="0.3">
      <c r="A449" s="22">
        <v>448</v>
      </c>
      <c r="B449" s="22">
        <v>235</v>
      </c>
      <c r="C449" s="18" t="s">
        <v>1013</v>
      </c>
      <c r="D449" s="21" t="s">
        <v>5833</v>
      </c>
      <c r="E449" s="21" t="s">
        <v>6563</v>
      </c>
      <c r="F449" s="18" t="s">
        <v>6564</v>
      </c>
      <c r="G449" s="23" t="s">
        <v>1014</v>
      </c>
      <c r="I449" s="23" t="s">
        <v>1014</v>
      </c>
      <c r="J449" s="23" t="s">
        <v>6671</v>
      </c>
      <c r="M449" s="23" t="s">
        <v>3815</v>
      </c>
      <c r="N449" s="22" t="s">
        <v>37</v>
      </c>
      <c r="Q449" s="22" t="s">
        <v>50</v>
      </c>
      <c r="R449" s="22" t="s">
        <v>38</v>
      </c>
      <c r="S449" s="22" t="s">
        <v>1648</v>
      </c>
      <c r="V449" s="107" t="s">
        <v>1015</v>
      </c>
      <c r="Y449" s="23" t="s">
        <v>6672</v>
      </c>
    </row>
    <row r="450" spans="1:25" x14ac:dyDescent="0.3">
      <c r="A450" s="22">
        <v>449</v>
      </c>
      <c r="B450" s="22">
        <v>237</v>
      </c>
      <c r="C450" s="18" t="s">
        <v>1013</v>
      </c>
      <c r="D450" s="21" t="s">
        <v>5833</v>
      </c>
      <c r="E450" s="21" t="s">
        <v>1016</v>
      </c>
      <c r="F450" s="18" t="s">
        <v>1017</v>
      </c>
      <c r="J450" s="23" t="s">
        <v>5538</v>
      </c>
      <c r="M450" s="23" t="s">
        <v>3817</v>
      </c>
      <c r="N450" s="22" t="s">
        <v>57</v>
      </c>
      <c r="O450" s="23" t="s">
        <v>1712</v>
      </c>
      <c r="S450" s="22" t="s">
        <v>1638</v>
      </c>
      <c r="Y450" s="23" t="s">
        <v>4421</v>
      </c>
    </row>
    <row r="451" spans="1:25" x14ac:dyDescent="0.3">
      <c r="A451" s="22">
        <v>450</v>
      </c>
      <c r="B451" s="22">
        <v>237</v>
      </c>
      <c r="C451" s="18" t="s">
        <v>1013</v>
      </c>
      <c r="D451" s="21" t="s">
        <v>5833</v>
      </c>
      <c r="E451" s="21" t="s">
        <v>1018</v>
      </c>
      <c r="F451" s="18" t="s">
        <v>1019</v>
      </c>
      <c r="G451" s="23" t="s">
        <v>1016</v>
      </c>
      <c r="J451" s="23" t="s">
        <v>5539</v>
      </c>
      <c r="L451" s="23" t="s">
        <v>2037</v>
      </c>
      <c r="M451" s="23" t="s">
        <v>3819</v>
      </c>
      <c r="N451" s="22" t="s">
        <v>57</v>
      </c>
      <c r="O451" s="23" t="s">
        <v>1712</v>
      </c>
    </row>
    <row r="452" spans="1:25" x14ac:dyDescent="0.3">
      <c r="A452" s="22">
        <v>451</v>
      </c>
      <c r="B452" s="22">
        <v>237</v>
      </c>
      <c r="C452" s="18" t="s">
        <v>1013</v>
      </c>
      <c r="D452" s="21" t="s">
        <v>5833</v>
      </c>
      <c r="E452" s="21" t="s">
        <v>1022</v>
      </c>
      <c r="F452" s="18" t="s">
        <v>1023</v>
      </c>
      <c r="J452" s="23" t="s">
        <v>52</v>
      </c>
      <c r="M452" s="23" t="s">
        <v>3233</v>
      </c>
      <c r="N452" s="22" t="s">
        <v>37</v>
      </c>
      <c r="S452" s="22" t="s">
        <v>1867</v>
      </c>
      <c r="Y452" s="23" t="s">
        <v>4422</v>
      </c>
    </row>
    <row r="453" spans="1:25" x14ac:dyDescent="0.3">
      <c r="A453" s="22">
        <v>452</v>
      </c>
      <c r="B453" s="22">
        <v>249</v>
      </c>
      <c r="C453" s="18" t="s">
        <v>1025</v>
      </c>
      <c r="D453" s="21" t="s">
        <v>1024</v>
      </c>
      <c r="E453" s="21" t="s">
        <v>1030</v>
      </c>
      <c r="F453" s="18" t="s">
        <v>1031</v>
      </c>
      <c r="J453" s="23" t="s">
        <v>5540</v>
      </c>
      <c r="K453" s="23" t="s">
        <v>5541</v>
      </c>
      <c r="L453" s="23" t="s">
        <v>2039</v>
      </c>
      <c r="M453" s="23" t="s">
        <v>3270</v>
      </c>
      <c r="N453" s="22" t="s">
        <v>49</v>
      </c>
      <c r="P453" s="23" t="s">
        <v>49</v>
      </c>
      <c r="S453" s="22" t="s">
        <v>1679</v>
      </c>
      <c r="W453" s="108" t="s">
        <v>4423</v>
      </c>
      <c r="X453" s="124" t="s">
        <v>6443</v>
      </c>
      <c r="Y453" s="23" t="s">
        <v>4424</v>
      </c>
    </row>
    <row r="454" spans="1:25" x14ac:dyDescent="0.3">
      <c r="A454" s="22">
        <v>453</v>
      </c>
      <c r="C454" s="18" t="s">
        <v>1025</v>
      </c>
      <c r="D454" s="21" t="s">
        <v>1024</v>
      </c>
      <c r="E454" s="21" t="s">
        <v>1034</v>
      </c>
      <c r="F454" s="18" t="s">
        <v>1035</v>
      </c>
      <c r="G454" s="23" t="s">
        <v>2040</v>
      </c>
      <c r="J454" s="23" t="s">
        <v>5542</v>
      </c>
      <c r="M454" s="23" t="s">
        <v>3824</v>
      </c>
      <c r="N454" s="22" t="s">
        <v>37</v>
      </c>
      <c r="X454" s="124" t="s">
        <v>9</v>
      </c>
    </row>
    <row r="455" spans="1:25" x14ac:dyDescent="0.3">
      <c r="A455" s="22">
        <v>454</v>
      </c>
      <c r="B455" s="22">
        <v>253</v>
      </c>
      <c r="C455" s="18" t="s">
        <v>1025</v>
      </c>
      <c r="D455" s="21" t="s">
        <v>1024</v>
      </c>
      <c r="E455" s="21" t="s">
        <v>1036</v>
      </c>
      <c r="F455" s="18" t="s">
        <v>1037</v>
      </c>
      <c r="G455" s="23" t="s">
        <v>2040</v>
      </c>
      <c r="J455" s="23" t="s">
        <v>1038</v>
      </c>
      <c r="L455" s="23" t="s">
        <v>2041</v>
      </c>
      <c r="M455" s="23" t="s">
        <v>3826</v>
      </c>
      <c r="N455" s="22" t="s">
        <v>57</v>
      </c>
      <c r="O455" s="23" t="s">
        <v>2042</v>
      </c>
      <c r="Q455" s="22" t="s">
        <v>58</v>
      </c>
      <c r="R455" s="22" t="s">
        <v>112</v>
      </c>
      <c r="S455" s="22" t="s">
        <v>1648</v>
      </c>
      <c r="Y455" s="23" t="s">
        <v>4425</v>
      </c>
    </row>
    <row r="456" spans="1:25" ht="30.6" x14ac:dyDescent="0.3">
      <c r="A456" s="22">
        <v>455</v>
      </c>
      <c r="C456" s="18" t="s">
        <v>1025</v>
      </c>
      <c r="D456" s="21" t="s">
        <v>1024</v>
      </c>
      <c r="E456" s="21" t="s">
        <v>3828</v>
      </c>
      <c r="F456" s="18" t="s">
        <v>3829</v>
      </c>
      <c r="G456" s="23" t="s">
        <v>1034</v>
      </c>
      <c r="J456" s="23" t="s">
        <v>5543</v>
      </c>
      <c r="M456" s="109" t="s">
        <v>3830</v>
      </c>
      <c r="N456" s="22" t="s">
        <v>57</v>
      </c>
      <c r="O456" s="23" t="s">
        <v>1610</v>
      </c>
      <c r="S456" s="22" t="s">
        <v>1648</v>
      </c>
      <c r="T456" s="62" t="s">
        <v>6067</v>
      </c>
      <c r="X456" s="124" t="s">
        <v>9</v>
      </c>
      <c r="Y456" s="23" t="s">
        <v>4426</v>
      </c>
    </row>
    <row r="457" spans="1:25" ht="30.6" x14ac:dyDescent="0.3">
      <c r="A457" s="22">
        <v>456</v>
      </c>
      <c r="B457" s="22">
        <v>251</v>
      </c>
      <c r="C457" s="18" t="s">
        <v>1025</v>
      </c>
      <c r="D457" s="21" t="s">
        <v>1024</v>
      </c>
      <c r="E457" s="21" t="s">
        <v>1032</v>
      </c>
      <c r="F457" s="18" t="s">
        <v>1033</v>
      </c>
      <c r="J457" s="23" t="s">
        <v>6673</v>
      </c>
      <c r="M457" s="109" t="s">
        <v>6565</v>
      </c>
      <c r="N457" s="22" t="s">
        <v>57</v>
      </c>
      <c r="O457" s="23" t="s">
        <v>1632</v>
      </c>
    </row>
    <row r="458" spans="1:25" ht="20.399999999999999" x14ac:dyDescent="0.3">
      <c r="A458" s="22">
        <v>457</v>
      </c>
      <c r="B458" s="22">
        <v>253</v>
      </c>
      <c r="C458" s="18" t="s">
        <v>1025</v>
      </c>
      <c r="D458" s="21" t="s">
        <v>1024</v>
      </c>
      <c r="E458" s="21" t="s">
        <v>2683</v>
      </c>
      <c r="F458" s="18" t="s">
        <v>2684</v>
      </c>
      <c r="G458" s="23" t="s">
        <v>4985</v>
      </c>
      <c r="J458" s="23" t="s">
        <v>6674</v>
      </c>
      <c r="M458" s="109" t="s">
        <v>6567</v>
      </c>
      <c r="N458" s="22" t="s">
        <v>57</v>
      </c>
      <c r="O458" s="23" t="s">
        <v>6675</v>
      </c>
      <c r="S458" s="22" t="s">
        <v>2146</v>
      </c>
      <c r="T458" s="62" t="s">
        <v>6676</v>
      </c>
      <c r="Y458" s="23" t="s">
        <v>6677</v>
      </c>
    </row>
    <row r="459" spans="1:25" ht="20.399999999999999" x14ac:dyDescent="0.3">
      <c r="A459" s="22">
        <v>458</v>
      </c>
      <c r="B459" s="22">
        <v>249</v>
      </c>
      <c r="C459" s="18" t="s">
        <v>1025</v>
      </c>
      <c r="D459" s="21" t="s">
        <v>1024</v>
      </c>
      <c r="E459" s="21" t="s">
        <v>1028</v>
      </c>
      <c r="F459" s="18" t="s">
        <v>1029</v>
      </c>
      <c r="J459" s="23" t="s">
        <v>84</v>
      </c>
      <c r="M459" s="109" t="s">
        <v>6568</v>
      </c>
      <c r="N459" s="22" t="s">
        <v>346</v>
      </c>
    </row>
    <row r="460" spans="1:25" x14ac:dyDescent="0.3">
      <c r="A460" s="22">
        <v>459</v>
      </c>
      <c r="B460" s="22">
        <v>249</v>
      </c>
      <c r="C460" s="18" t="s">
        <v>1025</v>
      </c>
      <c r="D460" s="21" t="s">
        <v>1024</v>
      </c>
      <c r="E460" s="21" t="s">
        <v>1026</v>
      </c>
      <c r="F460" s="18" t="s">
        <v>1027</v>
      </c>
      <c r="G460" s="23" t="s">
        <v>1612</v>
      </c>
      <c r="J460" s="23" t="s">
        <v>5545</v>
      </c>
      <c r="M460" s="23" t="s">
        <v>3834</v>
      </c>
      <c r="N460" s="22" t="s">
        <v>49</v>
      </c>
      <c r="P460" s="23" t="s">
        <v>49</v>
      </c>
      <c r="W460" s="108">
        <v>37164</v>
      </c>
      <c r="X460" s="124" t="s">
        <v>6569</v>
      </c>
    </row>
    <row r="461" spans="1:25" x14ac:dyDescent="0.3">
      <c r="A461" s="22">
        <v>460</v>
      </c>
      <c r="B461" s="22">
        <v>247</v>
      </c>
      <c r="C461" s="18" t="s">
        <v>1040</v>
      </c>
      <c r="D461" s="21" t="s">
        <v>1039</v>
      </c>
      <c r="E461" s="21" t="s">
        <v>1041</v>
      </c>
      <c r="F461" s="18" t="s">
        <v>1042</v>
      </c>
      <c r="G461" s="23" t="s">
        <v>2043</v>
      </c>
      <c r="J461" s="23" t="s">
        <v>5277</v>
      </c>
      <c r="M461" s="23" t="s">
        <v>3836</v>
      </c>
      <c r="N461" s="22" t="s">
        <v>57</v>
      </c>
      <c r="O461" s="23" t="s">
        <v>1669</v>
      </c>
      <c r="S461" s="22" t="s">
        <v>1615</v>
      </c>
      <c r="Y461" s="23" t="s">
        <v>4427</v>
      </c>
    </row>
    <row r="462" spans="1:25" x14ac:dyDescent="0.3">
      <c r="A462" s="22">
        <v>461</v>
      </c>
      <c r="B462" s="22">
        <v>247</v>
      </c>
      <c r="C462" s="18" t="s">
        <v>1040</v>
      </c>
      <c r="D462" s="21" t="s">
        <v>1039</v>
      </c>
      <c r="E462" s="21" t="s">
        <v>1043</v>
      </c>
      <c r="F462" s="18" t="s">
        <v>1044</v>
      </c>
      <c r="G462" s="23" t="s">
        <v>2043</v>
      </c>
      <c r="J462" s="23" t="s">
        <v>4396</v>
      </c>
      <c r="L462" s="23" t="s">
        <v>2044</v>
      </c>
      <c r="M462" s="23" t="s">
        <v>3764</v>
      </c>
      <c r="N462" s="22" t="s">
        <v>57</v>
      </c>
      <c r="O462" s="23" t="s">
        <v>1669</v>
      </c>
      <c r="S462" s="22" t="s">
        <v>1648</v>
      </c>
      <c r="Y462" s="23" t="s">
        <v>4428</v>
      </c>
    </row>
    <row r="463" spans="1:25" x14ac:dyDescent="0.3">
      <c r="A463" s="22">
        <v>462</v>
      </c>
      <c r="B463" s="22">
        <v>247</v>
      </c>
      <c r="C463" s="18" t="s">
        <v>1040</v>
      </c>
      <c r="D463" s="21" t="s">
        <v>1039</v>
      </c>
      <c r="E463" s="21" t="s">
        <v>1045</v>
      </c>
      <c r="F463" s="18" t="s">
        <v>1046</v>
      </c>
      <c r="J463" s="23" t="s">
        <v>5245</v>
      </c>
      <c r="M463" s="23" t="s">
        <v>3839</v>
      </c>
      <c r="N463" s="22" t="s">
        <v>57</v>
      </c>
      <c r="O463" s="23" t="s">
        <v>1668</v>
      </c>
    </row>
    <row r="464" spans="1:25" x14ac:dyDescent="0.3">
      <c r="A464" s="22">
        <v>463</v>
      </c>
      <c r="B464" s="22">
        <v>247</v>
      </c>
      <c r="C464" s="18" t="s">
        <v>1040</v>
      </c>
      <c r="D464" s="21" t="s">
        <v>1039</v>
      </c>
      <c r="E464" s="21" t="s">
        <v>1047</v>
      </c>
      <c r="F464" s="18" t="s">
        <v>1048</v>
      </c>
      <c r="G464" s="23" t="s">
        <v>1045</v>
      </c>
      <c r="J464" s="23" t="s">
        <v>5546</v>
      </c>
      <c r="L464" s="23" t="s">
        <v>2041</v>
      </c>
      <c r="M464" s="23" t="s">
        <v>3841</v>
      </c>
      <c r="N464" s="22" t="s">
        <v>57</v>
      </c>
      <c r="O464" s="23" t="s">
        <v>2042</v>
      </c>
      <c r="Q464" s="22" t="s">
        <v>38</v>
      </c>
      <c r="R464" s="22" t="s">
        <v>58</v>
      </c>
      <c r="S464" s="22" t="s">
        <v>1648</v>
      </c>
      <c r="Y464" s="23" t="s">
        <v>4429</v>
      </c>
    </row>
    <row r="465" spans="1:25" x14ac:dyDescent="0.3">
      <c r="A465" s="22">
        <v>464</v>
      </c>
      <c r="B465" s="22">
        <v>247</v>
      </c>
      <c r="C465" s="18" t="s">
        <v>1040</v>
      </c>
      <c r="D465" s="21" t="s">
        <v>1039</v>
      </c>
      <c r="E465" s="21" t="s">
        <v>1049</v>
      </c>
      <c r="F465" s="18" t="s">
        <v>1050</v>
      </c>
      <c r="G465" s="23" t="s">
        <v>1045</v>
      </c>
      <c r="J465" s="23" t="s">
        <v>5547</v>
      </c>
      <c r="L465" s="23" t="s">
        <v>2045</v>
      </c>
      <c r="M465" s="23" t="s">
        <v>3843</v>
      </c>
      <c r="N465" s="22" t="s">
        <v>57</v>
      </c>
      <c r="O465" s="23" t="s">
        <v>1701</v>
      </c>
      <c r="S465" s="22" t="s">
        <v>1648</v>
      </c>
      <c r="Y465" s="23" t="s">
        <v>4430</v>
      </c>
    </row>
    <row r="466" spans="1:25" x14ac:dyDescent="0.3">
      <c r="A466" s="22">
        <v>465</v>
      </c>
      <c r="B466" s="22">
        <v>249</v>
      </c>
      <c r="C466" s="18" t="s">
        <v>1040</v>
      </c>
      <c r="D466" s="21" t="s">
        <v>1039</v>
      </c>
      <c r="E466" s="21" t="s">
        <v>1051</v>
      </c>
      <c r="F466" s="18" t="s">
        <v>1052</v>
      </c>
      <c r="G466" s="23" t="s">
        <v>2047</v>
      </c>
      <c r="J466" s="23" t="s">
        <v>59</v>
      </c>
      <c r="L466" s="23" t="s">
        <v>2046</v>
      </c>
      <c r="M466" s="23" t="s">
        <v>3233</v>
      </c>
      <c r="N466" s="22" t="s">
        <v>57</v>
      </c>
      <c r="O466" s="23" t="s">
        <v>1632</v>
      </c>
      <c r="S466" s="22" t="s">
        <v>1648</v>
      </c>
      <c r="Y466" s="23" t="s">
        <v>4431</v>
      </c>
    </row>
    <row r="467" spans="1:25" x14ac:dyDescent="0.3">
      <c r="A467" s="22">
        <v>466</v>
      </c>
      <c r="B467" s="22">
        <v>247</v>
      </c>
      <c r="C467" s="18" t="s">
        <v>1040</v>
      </c>
      <c r="D467" s="21" t="s">
        <v>1039</v>
      </c>
      <c r="E467" s="21" t="s">
        <v>1053</v>
      </c>
      <c r="F467" s="18" t="s">
        <v>1054</v>
      </c>
      <c r="J467" s="23" t="s">
        <v>5470</v>
      </c>
      <c r="M467" s="23" t="s">
        <v>3846</v>
      </c>
      <c r="N467" s="22" t="s">
        <v>57</v>
      </c>
      <c r="O467" s="23" t="s">
        <v>1914</v>
      </c>
    </row>
    <row r="468" spans="1:25" x14ac:dyDescent="0.3">
      <c r="A468" s="22">
        <v>467</v>
      </c>
      <c r="B468" s="22">
        <v>253</v>
      </c>
      <c r="C468" s="18" t="s">
        <v>1056</v>
      </c>
      <c r="D468" s="21" t="s">
        <v>1055</v>
      </c>
      <c r="E468" s="21" t="s">
        <v>1057</v>
      </c>
      <c r="F468" s="18" t="s">
        <v>1058</v>
      </c>
      <c r="J468" s="23" t="s">
        <v>210</v>
      </c>
      <c r="M468" s="23" t="s">
        <v>3233</v>
      </c>
      <c r="N468" s="22" t="s">
        <v>37</v>
      </c>
    </row>
    <row r="469" spans="1:25" x14ac:dyDescent="0.3">
      <c r="A469" s="22">
        <v>468</v>
      </c>
      <c r="B469" s="22">
        <v>253</v>
      </c>
      <c r="C469" s="18" t="s">
        <v>1056</v>
      </c>
      <c r="D469" s="21" t="s">
        <v>1055</v>
      </c>
      <c r="E469" s="21" t="s">
        <v>1059</v>
      </c>
      <c r="F469" s="18" t="s">
        <v>1060</v>
      </c>
      <c r="J469" s="23" t="s">
        <v>5548</v>
      </c>
      <c r="M469" s="23" t="s">
        <v>3849</v>
      </c>
      <c r="N469" s="22" t="s">
        <v>57</v>
      </c>
      <c r="O469" s="23" t="s">
        <v>1632</v>
      </c>
      <c r="Q469" s="22" t="s">
        <v>50</v>
      </c>
      <c r="R469" s="22" t="s">
        <v>186</v>
      </c>
    </row>
    <row r="470" spans="1:25" x14ac:dyDescent="0.3">
      <c r="A470" s="22">
        <v>469</v>
      </c>
      <c r="B470" s="22">
        <v>255</v>
      </c>
      <c r="C470" s="18" t="s">
        <v>1056</v>
      </c>
      <c r="D470" s="21" t="s">
        <v>1055</v>
      </c>
      <c r="E470" s="21" t="s">
        <v>1061</v>
      </c>
      <c r="F470" s="18" t="s">
        <v>1062</v>
      </c>
      <c r="J470" s="23" t="s">
        <v>5549</v>
      </c>
      <c r="L470" s="23" t="s">
        <v>1631</v>
      </c>
      <c r="M470" s="23" t="s">
        <v>3851</v>
      </c>
      <c r="N470" s="22" t="s">
        <v>57</v>
      </c>
      <c r="O470" s="23" t="s">
        <v>1632</v>
      </c>
      <c r="Q470" s="22" t="s">
        <v>38</v>
      </c>
      <c r="R470" s="22" t="s">
        <v>112</v>
      </c>
    </row>
    <row r="471" spans="1:25" x14ac:dyDescent="0.3">
      <c r="A471" s="22">
        <v>470</v>
      </c>
      <c r="B471" s="22">
        <v>257</v>
      </c>
      <c r="C471" s="18" t="s">
        <v>1056</v>
      </c>
      <c r="D471" s="21" t="s">
        <v>1055</v>
      </c>
      <c r="E471" s="21" t="s">
        <v>1063</v>
      </c>
      <c r="F471" s="18" t="s">
        <v>1064</v>
      </c>
      <c r="G471" s="23" t="s">
        <v>1612</v>
      </c>
      <c r="I471" s="23" t="s">
        <v>2049</v>
      </c>
      <c r="J471" s="23" t="s">
        <v>1065</v>
      </c>
      <c r="K471" s="23" t="s">
        <v>5550</v>
      </c>
      <c r="L471" s="23" t="s">
        <v>2048</v>
      </c>
      <c r="M471" s="23" t="s">
        <v>3078</v>
      </c>
      <c r="N471" s="22" t="s">
        <v>49</v>
      </c>
      <c r="P471" s="23" t="s">
        <v>49</v>
      </c>
      <c r="S471" s="22" t="s">
        <v>1648</v>
      </c>
      <c r="W471" s="108">
        <v>42650</v>
      </c>
      <c r="X471" s="124" t="s">
        <v>6444</v>
      </c>
      <c r="Y471" s="23" t="s">
        <v>4432</v>
      </c>
    </row>
    <row r="472" spans="1:25" x14ac:dyDescent="0.3">
      <c r="A472" s="22">
        <v>471</v>
      </c>
      <c r="B472" s="22">
        <v>255</v>
      </c>
      <c r="C472" s="18" t="s">
        <v>1056</v>
      </c>
      <c r="D472" s="21" t="s">
        <v>1055</v>
      </c>
      <c r="E472" s="21" t="s">
        <v>6570</v>
      </c>
      <c r="F472" s="18" t="s">
        <v>1066</v>
      </c>
      <c r="G472" s="23" t="s">
        <v>6678</v>
      </c>
      <c r="I472" s="23" t="s">
        <v>6571</v>
      </c>
      <c r="J472" s="23" t="s">
        <v>5551</v>
      </c>
      <c r="K472" s="23" t="s">
        <v>2050</v>
      </c>
      <c r="M472" s="23" t="s">
        <v>3854</v>
      </c>
      <c r="N472" s="22" t="s">
        <v>346</v>
      </c>
      <c r="Q472" s="22" t="s">
        <v>50</v>
      </c>
      <c r="R472" s="22" t="s">
        <v>38</v>
      </c>
      <c r="S472" s="22" t="s">
        <v>1615</v>
      </c>
      <c r="Y472" s="23" t="s">
        <v>6679</v>
      </c>
    </row>
    <row r="473" spans="1:25" x14ac:dyDescent="0.3">
      <c r="A473" s="22">
        <v>472</v>
      </c>
      <c r="B473" s="22">
        <v>255</v>
      </c>
      <c r="C473" s="18" t="s">
        <v>1056</v>
      </c>
      <c r="D473" s="21" t="s">
        <v>1055</v>
      </c>
      <c r="E473" s="21" t="s">
        <v>1067</v>
      </c>
      <c r="F473" s="18" t="s">
        <v>1068</v>
      </c>
      <c r="J473" s="23" t="s">
        <v>5480</v>
      </c>
      <c r="L473" s="23" t="s">
        <v>2051</v>
      </c>
      <c r="M473" s="23" t="s">
        <v>3856</v>
      </c>
      <c r="N473" s="22" t="s">
        <v>57</v>
      </c>
      <c r="O473" s="23" t="s">
        <v>1647</v>
      </c>
    </row>
    <row r="474" spans="1:25" ht="30.6" x14ac:dyDescent="0.3">
      <c r="A474" s="22">
        <v>473</v>
      </c>
      <c r="C474" s="18" t="s">
        <v>1056</v>
      </c>
      <c r="D474" s="21" t="s">
        <v>1055</v>
      </c>
      <c r="E474" s="21" t="s">
        <v>1069</v>
      </c>
      <c r="F474" s="18" t="s">
        <v>1070</v>
      </c>
      <c r="I474" s="109" t="s">
        <v>4762</v>
      </c>
      <c r="J474" s="23" t="s">
        <v>5552</v>
      </c>
      <c r="M474" s="109" t="s">
        <v>3858</v>
      </c>
      <c r="N474" s="22" t="s">
        <v>253</v>
      </c>
      <c r="V474" s="110" t="s">
        <v>5137</v>
      </c>
      <c r="X474" s="124" t="s">
        <v>8570</v>
      </c>
    </row>
    <row r="475" spans="1:25" x14ac:dyDescent="0.3">
      <c r="A475" s="22">
        <v>474</v>
      </c>
      <c r="B475" s="22">
        <v>257</v>
      </c>
      <c r="C475" s="18" t="s">
        <v>1004</v>
      </c>
      <c r="D475" s="21" t="s">
        <v>1003</v>
      </c>
      <c r="E475" s="21" t="s">
        <v>1005</v>
      </c>
      <c r="F475" s="18" t="s">
        <v>1006</v>
      </c>
      <c r="J475" s="23" t="s">
        <v>5532</v>
      </c>
      <c r="K475" s="23" t="s">
        <v>4418</v>
      </c>
      <c r="L475" s="23" t="s">
        <v>2036</v>
      </c>
      <c r="M475" s="23" t="s">
        <v>3808</v>
      </c>
      <c r="N475" s="22" t="s">
        <v>49</v>
      </c>
      <c r="P475" s="23" t="s">
        <v>49</v>
      </c>
      <c r="W475" s="108" t="s">
        <v>4419</v>
      </c>
      <c r="X475" s="124" t="s">
        <v>6442</v>
      </c>
    </row>
    <row r="476" spans="1:25" x14ac:dyDescent="0.3">
      <c r="A476" s="22">
        <v>475</v>
      </c>
      <c r="B476" s="22">
        <v>257</v>
      </c>
      <c r="C476" s="18" t="s">
        <v>1004</v>
      </c>
      <c r="D476" s="21" t="s">
        <v>1003</v>
      </c>
      <c r="E476" s="21" t="s">
        <v>1011</v>
      </c>
      <c r="F476" s="18" t="s">
        <v>1012</v>
      </c>
      <c r="J476" s="23" t="s">
        <v>5536</v>
      </c>
      <c r="M476" s="23" t="s">
        <v>3812</v>
      </c>
      <c r="N476" s="22" t="s">
        <v>57</v>
      </c>
      <c r="O476" s="23" t="s">
        <v>1632</v>
      </c>
      <c r="Q476" s="22" t="s">
        <v>50</v>
      </c>
      <c r="R476" s="22" t="s">
        <v>38</v>
      </c>
    </row>
    <row r="477" spans="1:25" ht="20.399999999999999" x14ac:dyDescent="0.3">
      <c r="A477" s="22">
        <v>476</v>
      </c>
      <c r="B477" s="22">
        <v>257</v>
      </c>
      <c r="C477" s="18" t="s">
        <v>1004</v>
      </c>
      <c r="D477" s="21" t="s">
        <v>1003</v>
      </c>
      <c r="E477" s="21" t="s">
        <v>1007</v>
      </c>
      <c r="F477" s="18" t="s">
        <v>1008</v>
      </c>
      <c r="J477" s="23" t="s">
        <v>5533</v>
      </c>
      <c r="K477" s="23" t="s">
        <v>5534</v>
      </c>
      <c r="M477" s="109" t="s">
        <v>6572</v>
      </c>
      <c r="N477" s="22" t="s">
        <v>89</v>
      </c>
    </row>
    <row r="478" spans="1:25" x14ac:dyDescent="0.3">
      <c r="A478" s="22">
        <v>477</v>
      </c>
      <c r="B478" s="22">
        <v>259</v>
      </c>
      <c r="C478" s="18" t="s">
        <v>1004</v>
      </c>
      <c r="D478" s="21" t="s">
        <v>1003</v>
      </c>
      <c r="E478" s="21" t="s">
        <v>1009</v>
      </c>
      <c r="F478" s="18" t="s">
        <v>1010</v>
      </c>
      <c r="J478" s="23" t="s">
        <v>5535</v>
      </c>
      <c r="M478" s="23" t="s">
        <v>3573</v>
      </c>
      <c r="N478" s="22" t="s">
        <v>37</v>
      </c>
    </row>
    <row r="479" spans="1:25" ht="20.399999999999999" x14ac:dyDescent="0.3">
      <c r="A479" s="22">
        <v>478</v>
      </c>
      <c r="B479" s="22">
        <v>259</v>
      </c>
      <c r="C479" s="18" t="s">
        <v>1071</v>
      </c>
      <c r="D479" s="21" t="s">
        <v>5834</v>
      </c>
      <c r="E479" s="21" t="s">
        <v>5162</v>
      </c>
      <c r="F479" s="18" t="s">
        <v>5163</v>
      </c>
      <c r="G479" s="23" t="s">
        <v>1072</v>
      </c>
      <c r="I479" s="23" t="s">
        <v>1072</v>
      </c>
      <c r="J479" s="23" t="s">
        <v>5553</v>
      </c>
      <c r="M479" s="109" t="s">
        <v>5164</v>
      </c>
      <c r="N479" s="22" t="s">
        <v>57</v>
      </c>
      <c r="O479" s="23" t="s">
        <v>5554</v>
      </c>
      <c r="S479" s="22" t="s">
        <v>1648</v>
      </c>
      <c r="V479" s="107" t="s">
        <v>1073</v>
      </c>
      <c r="Y479" s="23" t="s">
        <v>5555</v>
      </c>
    </row>
    <row r="480" spans="1:25" x14ac:dyDescent="0.3">
      <c r="A480" s="22">
        <v>479</v>
      </c>
      <c r="B480" s="22">
        <v>259</v>
      </c>
      <c r="C480" s="18" t="s">
        <v>1071</v>
      </c>
      <c r="D480" s="21" t="s">
        <v>5834</v>
      </c>
      <c r="E480" s="21" t="s">
        <v>4646</v>
      </c>
      <c r="F480" s="18" t="s">
        <v>5166</v>
      </c>
      <c r="G480" s="23" t="s">
        <v>1072</v>
      </c>
      <c r="J480" s="23" t="s">
        <v>5556</v>
      </c>
      <c r="L480" s="23" t="s">
        <v>6680</v>
      </c>
      <c r="M480" s="23" t="s">
        <v>4645</v>
      </c>
      <c r="N480" s="22" t="s">
        <v>57</v>
      </c>
      <c r="O480" s="23" t="s">
        <v>5557</v>
      </c>
      <c r="S480" s="22" t="s">
        <v>1648</v>
      </c>
      <c r="V480" s="107" t="s">
        <v>6068</v>
      </c>
      <c r="Y480" s="23" t="s">
        <v>5558</v>
      </c>
    </row>
    <row r="481" spans="1:25" x14ac:dyDescent="0.3">
      <c r="A481" s="22">
        <v>480</v>
      </c>
      <c r="B481" s="22">
        <v>259</v>
      </c>
      <c r="C481" s="18" t="s">
        <v>1071</v>
      </c>
      <c r="D481" s="21" t="s">
        <v>5834</v>
      </c>
      <c r="E481" s="21" t="s">
        <v>1074</v>
      </c>
      <c r="F481" s="18" t="s">
        <v>1075</v>
      </c>
      <c r="J481" s="23" t="s">
        <v>5559</v>
      </c>
      <c r="M481" s="23" t="s">
        <v>3233</v>
      </c>
      <c r="N481" s="22" t="s">
        <v>37</v>
      </c>
      <c r="S481" s="22" t="s">
        <v>1679</v>
      </c>
      <c r="Y481" s="23" t="s">
        <v>5560</v>
      </c>
    </row>
    <row r="482" spans="1:25" x14ac:dyDescent="0.3">
      <c r="A482" s="22">
        <v>481</v>
      </c>
      <c r="B482" s="22">
        <v>339</v>
      </c>
      <c r="C482" s="18" t="s">
        <v>1077</v>
      </c>
      <c r="D482" s="21" t="s">
        <v>1076</v>
      </c>
      <c r="E482" s="21" t="s">
        <v>1078</v>
      </c>
      <c r="F482" s="18" t="s">
        <v>1079</v>
      </c>
      <c r="G482" s="23" t="s">
        <v>1612</v>
      </c>
      <c r="J482" s="23" t="s">
        <v>5561</v>
      </c>
      <c r="L482" s="23" t="s">
        <v>2053</v>
      </c>
      <c r="M482" s="23" t="s">
        <v>3078</v>
      </c>
      <c r="N482" s="22" t="s">
        <v>49</v>
      </c>
      <c r="P482" s="23" t="s">
        <v>49</v>
      </c>
      <c r="Q482" s="22" t="s">
        <v>50</v>
      </c>
      <c r="R482" s="22" t="s">
        <v>186</v>
      </c>
      <c r="W482" s="108">
        <v>41364</v>
      </c>
      <c r="X482" s="124" t="s">
        <v>6573</v>
      </c>
    </row>
    <row r="483" spans="1:25" x14ac:dyDescent="0.3">
      <c r="A483" s="22">
        <v>482</v>
      </c>
      <c r="B483" s="22">
        <v>261</v>
      </c>
      <c r="C483" s="18" t="s">
        <v>1081</v>
      </c>
      <c r="D483" s="21" t="s">
        <v>1080</v>
      </c>
      <c r="E483" s="21" t="s">
        <v>1082</v>
      </c>
      <c r="F483" s="18" t="s">
        <v>1083</v>
      </c>
      <c r="J483" s="23" t="s">
        <v>5562</v>
      </c>
      <c r="M483" s="23" t="s">
        <v>3862</v>
      </c>
      <c r="N483" s="22" t="s">
        <v>37</v>
      </c>
    </row>
    <row r="484" spans="1:25" x14ac:dyDescent="0.3">
      <c r="A484" s="22">
        <v>483</v>
      </c>
      <c r="B484" s="22">
        <v>261</v>
      </c>
      <c r="C484" s="18" t="s">
        <v>1084</v>
      </c>
      <c r="D484" s="21" t="s">
        <v>5835</v>
      </c>
      <c r="E484" s="21" t="s">
        <v>1085</v>
      </c>
      <c r="F484" s="18" t="s">
        <v>1086</v>
      </c>
      <c r="J484" s="23" t="s">
        <v>5229</v>
      </c>
      <c r="M484" s="23" t="s">
        <v>3864</v>
      </c>
      <c r="N484" s="22" t="s">
        <v>57</v>
      </c>
      <c r="O484" s="23" t="s">
        <v>1632</v>
      </c>
      <c r="T484" s="62" t="s">
        <v>6069</v>
      </c>
      <c r="U484" s="62" t="s">
        <v>2054</v>
      </c>
    </row>
    <row r="485" spans="1:25" x14ac:dyDescent="0.3">
      <c r="A485" s="22">
        <v>484</v>
      </c>
      <c r="B485" s="22">
        <v>261</v>
      </c>
      <c r="C485" s="18" t="s">
        <v>1084</v>
      </c>
      <c r="D485" s="21" t="s">
        <v>5835</v>
      </c>
      <c r="E485" s="21" t="s">
        <v>1087</v>
      </c>
      <c r="F485" s="18" t="s">
        <v>1088</v>
      </c>
      <c r="J485" s="23" t="s">
        <v>5480</v>
      </c>
      <c r="L485" s="23" t="s">
        <v>2055</v>
      </c>
      <c r="M485" s="23" t="s">
        <v>3134</v>
      </c>
      <c r="N485" s="22" t="s">
        <v>57</v>
      </c>
      <c r="O485" s="23" t="s">
        <v>1647</v>
      </c>
      <c r="Q485" s="22" t="s">
        <v>50</v>
      </c>
      <c r="R485" s="22" t="s">
        <v>186</v>
      </c>
      <c r="T485" s="62" t="s">
        <v>6070</v>
      </c>
      <c r="U485" s="62" t="s">
        <v>2056</v>
      </c>
    </row>
    <row r="486" spans="1:25" x14ac:dyDescent="0.3">
      <c r="A486" s="22">
        <v>485</v>
      </c>
      <c r="B486" s="22">
        <v>263</v>
      </c>
      <c r="C486" s="18" t="s">
        <v>1084</v>
      </c>
      <c r="D486" s="21" t="s">
        <v>5835</v>
      </c>
      <c r="E486" s="21" t="s">
        <v>1089</v>
      </c>
      <c r="F486" s="18" t="s">
        <v>1090</v>
      </c>
      <c r="J486" s="23" t="s">
        <v>5563</v>
      </c>
      <c r="M486" s="23" t="s">
        <v>3867</v>
      </c>
      <c r="N486" s="22" t="s">
        <v>57</v>
      </c>
      <c r="O486" s="23" t="s">
        <v>1632</v>
      </c>
      <c r="Q486" s="22" t="s">
        <v>50</v>
      </c>
      <c r="R486" s="22" t="s">
        <v>186</v>
      </c>
    </row>
    <row r="487" spans="1:25" x14ac:dyDescent="0.3">
      <c r="A487" s="22">
        <v>486</v>
      </c>
      <c r="B487" s="22">
        <v>263</v>
      </c>
      <c r="C487" s="18" t="s">
        <v>1092</v>
      </c>
      <c r="D487" s="21" t="s">
        <v>1091</v>
      </c>
      <c r="E487" s="21" t="s">
        <v>6574</v>
      </c>
      <c r="F487" s="18" t="s">
        <v>1093</v>
      </c>
      <c r="I487" s="23" t="s">
        <v>2057</v>
      </c>
      <c r="J487" s="23" t="s">
        <v>6071</v>
      </c>
      <c r="M487" s="23" t="s">
        <v>3325</v>
      </c>
      <c r="N487" s="22" t="s">
        <v>37</v>
      </c>
      <c r="S487" s="22" t="s">
        <v>1615</v>
      </c>
      <c r="V487" s="107" t="s">
        <v>4655</v>
      </c>
      <c r="X487" s="124" t="s">
        <v>9</v>
      </c>
      <c r="Y487" s="23" t="s">
        <v>6681</v>
      </c>
    </row>
    <row r="488" spans="1:25" x14ac:dyDescent="0.3">
      <c r="A488" s="22">
        <v>487</v>
      </c>
      <c r="B488" s="22">
        <v>263</v>
      </c>
      <c r="C488" s="18" t="s">
        <v>1092</v>
      </c>
      <c r="D488" s="21" t="s">
        <v>1091</v>
      </c>
      <c r="E488" s="21" t="s">
        <v>1094</v>
      </c>
      <c r="F488" s="18" t="s">
        <v>1095</v>
      </c>
      <c r="J488" s="23" t="s">
        <v>1096</v>
      </c>
      <c r="M488" s="23" t="s">
        <v>3870</v>
      </c>
      <c r="N488" s="22" t="s">
        <v>37</v>
      </c>
    </row>
    <row r="489" spans="1:25" x14ac:dyDescent="0.3">
      <c r="A489" s="22">
        <v>488</v>
      </c>
      <c r="C489" s="18" t="s">
        <v>1092</v>
      </c>
      <c r="D489" s="21" t="s">
        <v>1091</v>
      </c>
      <c r="E489" s="21" t="s">
        <v>3872</v>
      </c>
      <c r="F489" s="18" t="s">
        <v>3873</v>
      </c>
      <c r="G489" s="23" t="s">
        <v>1612</v>
      </c>
      <c r="J489" s="23" t="s">
        <v>5218</v>
      </c>
      <c r="K489" s="23" t="s">
        <v>1742</v>
      </c>
      <c r="N489" s="22" t="s">
        <v>49</v>
      </c>
      <c r="P489" s="23" t="s">
        <v>49</v>
      </c>
      <c r="W489" s="108">
        <v>44141</v>
      </c>
      <c r="X489" s="124" t="s">
        <v>6575</v>
      </c>
    </row>
    <row r="490" spans="1:25" x14ac:dyDescent="0.3">
      <c r="A490" s="22">
        <v>489</v>
      </c>
      <c r="B490" s="22">
        <v>279</v>
      </c>
      <c r="C490" s="18" t="s">
        <v>1098</v>
      </c>
      <c r="D490" s="21" t="s">
        <v>1097</v>
      </c>
      <c r="E490" s="21" t="s">
        <v>1107</v>
      </c>
      <c r="F490" s="18" t="s">
        <v>1108</v>
      </c>
      <c r="G490" s="23" t="s">
        <v>2062</v>
      </c>
      <c r="H490" s="21" t="s">
        <v>2063</v>
      </c>
      <c r="J490" s="23" t="s">
        <v>5223</v>
      </c>
      <c r="L490" s="23" t="s">
        <v>2061</v>
      </c>
      <c r="M490" s="23" t="s">
        <v>3875</v>
      </c>
      <c r="N490" s="22" t="s">
        <v>57</v>
      </c>
      <c r="O490" s="23" t="s">
        <v>1647</v>
      </c>
      <c r="R490" s="22" t="s">
        <v>186</v>
      </c>
      <c r="S490" s="22" t="s">
        <v>1648</v>
      </c>
      <c r="Y490" s="23" t="s">
        <v>4433</v>
      </c>
    </row>
    <row r="491" spans="1:25" x14ac:dyDescent="0.3">
      <c r="A491" s="22">
        <v>490</v>
      </c>
      <c r="B491" s="22">
        <v>279</v>
      </c>
      <c r="C491" s="18" t="s">
        <v>1098</v>
      </c>
      <c r="D491" s="21" t="s">
        <v>1097</v>
      </c>
      <c r="E491" s="21" t="s">
        <v>1109</v>
      </c>
      <c r="F491" s="18" t="s">
        <v>1110</v>
      </c>
      <c r="J491" s="23" t="s">
        <v>5223</v>
      </c>
      <c r="L491" s="23" t="s">
        <v>2064</v>
      </c>
      <c r="M491" s="23" t="s">
        <v>3134</v>
      </c>
      <c r="N491" s="22" t="s">
        <v>57</v>
      </c>
      <c r="O491" s="23" t="s">
        <v>1610</v>
      </c>
      <c r="T491" s="62" t="s">
        <v>6072</v>
      </c>
    </row>
    <row r="492" spans="1:25" x14ac:dyDescent="0.3">
      <c r="A492" s="22">
        <v>491</v>
      </c>
      <c r="B492" s="22">
        <v>283</v>
      </c>
      <c r="C492" s="18" t="s">
        <v>1098</v>
      </c>
      <c r="D492" s="21" t="s">
        <v>1097</v>
      </c>
      <c r="E492" s="21" t="s">
        <v>1113</v>
      </c>
      <c r="F492" s="18" t="s">
        <v>1114</v>
      </c>
      <c r="J492" s="23" t="s">
        <v>5564</v>
      </c>
      <c r="M492" s="23" t="s">
        <v>3878</v>
      </c>
      <c r="N492" s="22" t="s">
        <v>57</v>
      </c>
      <c r="O492" s="23" t="s">
        <v>1632</v>
      </c>
      <c r="S492" s="22" t="s">
        <v>1679</v>
      </c>
      <c r="V492" s="107" t="s">
        <v>4434</v>
      </c>
      <c r="Y492" s="23" t="s">
        <v>4435</v>
      </c>
    </row>
    <row r="493" spans="1:25" x14ac:dyDescent="0.3">
      <c r="A493" s="22">
        <v>492</v>
      </c>
      <c r="B493" s="22">
        <v>283</v>
      </c>
      <c r="C493" s="18" t="s">
        <v>1098</v>
      </c>
      <c r="D493" s="21" t="s">
        <v>1097</v>
      </c>
      <c r="E493" s="21" t="s">
        <v>1115</v>
      </c>
      <c r="F493" s="18" t="s">
        <v>1116</v>
      </c>
      <c r="G493" s="23" t="s">
        <v>1113</v>
      </c>
      <c r="J493" s="23" t="s">
        <v>5272</v>
      </c>
      <c r="L493" s="23" t="s">
        <v>2065</v>
      </c>
      <c r="M493" s="23" t="s">
        <v>3880</v>
      </c>
      <c r="N493" s="22" t="s">
        <v>57</v>
      </c>
      <c r="O493" s="23" t="s">
        <v>2066</v>
      </c>
      <c r="S493" s="22" t="s">
        <v>1648</v>
      </c>
      <c r="V493" s="107" t="s">
        <v>4436</v>
      </c>
      <c r="Y493" s="23" t="s">
        <v>4437</v>
      </c>
    </row>
    <row r="494" spans="1:25" ht="30.6" x14ac:dyDescent="0.3">
      <c r="A494" s="22">
        <v>493</v>
      </c>
      <c r="B494" s="22">
        <v>281</v>
      </c>
      <c r="C494" s="18" t="s">
        <v>1098</v>
      </c>
      <c r="D494" s="21" t="s">
        <v>1097</v>
      </c>
      <c r="E494" s="21" t="s">
        <v>1121</v>
      </c>
      <c r="F494" s="18" t="s">
        <v>1122</v>
      </c>
      <c r="J494" s="23" t="s">
        <v>5565</v>
      </c>
      <c r="M494" s="109" t="s">
        <v>3882</v>
      </c>
      <c r="N494" s="22" t="s">
        <v>57</v>
      </c>
      <c r="O494" s="23" t="s">
        <v>1632</v>
      </c>
      <c r="Q494" s="22" t="s">
        <v>58</v>
      </c>
      <c r="R494" s="22" t="s">
        <v>112</v>
      </c>
      <c r="S494" s="22" t="s">
        <v>1679</v>
      </c>
      <c r="X494" s="124" t="s">
        <v>9</v>
      </c>
      <c r="Y494" s="23" t="s">
        <v>4438</v>
      </c>
    </row>
    <row r="495" spans="1:25" x14ac:dyDescent="0.3">
      <c r="A495" s="22">
        <v>494</v>
      </c>
      <c r="B495" s="22">
        <v>283</v>
      </c>
      <c r="C495" s="18" t="s">
        <v>1098</v>
      </c>
      <c r="D495" s="21" t="s">
        <v>1097</v>
      </c>
      <c r="E495" s="21" t="s">
        <v>1117</v>
      </c>
      <c r="F495" s="18" t="s">
        <v>1118</v>
      </c>
      <c r="G495" s="23" t="s">
        <v>1113</v>
      </c>
      <c r="J495" s="23" t="s">
        <v>5566</v>
      </c>
      <c r="L495" s="23" t="s">
        <v>2067</v>
      </c>
      <c r="M495" s="23" t="s">
        <v>3884</v>
      </c>
      <c r="N495" s="22" t="s">
        <v>57</v>
      </c>
      <c r="O495" s="23" t="s">
        <v>1701</v>
      </c>
      <c r="S495" s="22" t="s">
        <v>1648</v>
      </c>
      <c r="V495" s="107" t="s">
        <v>4439</v>
      </c>
      <c r="Y495" s="23" t="s">
        <v>4440</v>
      </c>
    </row>
    <row r="496" spans="1:25" ht="20.399999999999999" x14ac:dyDescent="0.3">
      <c r="A496" s="22">
        <v>495</v>
      </c>
      <c r="C496" s="18" t="s">
        <v>1098</v>
      </c>
      <c r="D496" s="21" t="s">
        <v>1097</v>
      </c>
      <c r="E496" s="21" t="s">
        <v>1123</v>
      </c>
      <c r="F496" s="18" t="s">
        <v>1124</v>
      </c>
      <c r="I496" s="109" t="s">
        <v>5167</v>
      </c>
      <c r="J496" s="23" t="s">
        <v>5567</v>
      </c>
      <c r="M496" s="109" t="s">
        <v>5168</v>
      </c>
      <c r="N496" s="22" t="s">
        <v>57</v>
      </c>
      <c r="O496" s="23" t="s">
        <v>1632</v>
      </c>
      <c r="S496" s="22" t="s">
        <v>1679</v>
      </c>
      <c r="V496" s="110" t="s">
        <v>5568</v>
      </c>
      <c r="X496" s="124" t="s">
        <v>9</v>
      </c>
      <c r="Y496" s="23" t="s">
        <v>4441</v>
      </c>
    </row>
    <row r="497" spans="1:25" x14ac:dyDescent="0.3">
      <c r="A497" s="22">
        <v>496</v>
      </c>
      <c r="B497" s="22">
        <v>281</v>
      </c>
      <c r="C497" s="18" t="s">
        <v>1098</v>
      </c>
      <c r="D497" s="21" t="s">
        <v>1097</v>
      </c>
      <c r="E497" s="21" t="s">
        <v>2722</v>
      </c>
      <c r="F497" s="18" t="s">
        <v>2723</v>
      </c>
      <c r="G497" s="23" t="s">
        <v>1123</v>
      </c>
      <c r="J497" s="23" t="s">
        <v>5466</v>
      </c>
      <c r="L497" s="23" t="s">
        <v>6073</v>
      </c>
      <c r="M497" s="23" t="s">
        <v>4666</v>
      </c>
      <c r="N497" s="22" t="s">
        <v>57</v>
      </c>
      <c r="S497" s="22" t="s">
        <v>1648</v>
      </c>
      <c r="T497" s="62" t="s">
        <v>6074</v>
      </c>
      <c r="Y497" s="23" t="s">
        <v>5569</v>
      </c>
    </row>
    <row r="498" spans="1:25" x14ac:dyDescent="0.3">
      <c r="A498" s="22">
        <v>497</v>
      </c>
      <c r="B498" s="22">
        <v>281</v>
      </c>
      <c r="C498" s="18" t="s">
        <v>1098</v>
      </c>
      <c r="D498" s="21" t="s">
        <v>1097</v>
      </c>
      <c r="E498" s="21" t="s">
        <v>1119</v>
      </c>
      <c r="F498" s="18" t="s">
        <v>1120</v>
      </c>
      <c r="J498" s="23" t="s">
        <v>6075</v>
      </c>
      <c r="L498" s="23" t="s">
        <v>2068</v>
      </c>
      <c r="M498" s="23" t="s">
        <v>3887</v>
      </c>
      <c r="N498" s="22" t="s">
        <v>57</v>
      </c>
      <c r="O498" s="23" t="s">
        <v>1669</v>
      </c>
      <c r="Q498" s="22" t="s">
        <v>50</v>
      </c>
      <c r="R498" s="22" t="s">
        <v>38</v>
      </c>
      <c r="S498" s="22" t="s">
        <v>1679</v>
      </c>
      <c r="X498" s="124" t="s">
        <v>9</v>
      </c>
      <c r="Y498" s="23" t="s">
        <v>4442</v>
      </c>
    </row>
    <row r="499" spans="1:25" x14ac:dyDescent="0.3">
      <c r="A499" s="22">
        <v>498</v>
      </c>
      <c r="B499" s="22">
        <v>283</v>
      </c>
      <c r="C499" s="18" t="s">
        <v>1098</v>
      </c>
      <c r="D499" s="21" t="s">
        <v>1097</v>
      </c>
      <c r="E499" s="21" t="s">
        <v>1125</v>
      </c>
      <c r="F499" s="18" t="s">
        <v>1126</v>
      </c>
      <c r="G499" s="23" t="s">
        <v>2069</v>
      </c>
      <c r="J499" s="23" t="s">
        <v>5570</v>
      </c>
      <c r="M499" s="23" t="s">
        <v>3889</v>
      </c>
      <c r="N499" s="22" t="s">
        <v>37</v>
      </c>
      <c r="S499" s="22" t="s">
        <v>1679</v>
      </c>
      <c r="X499" s="124" t="s">
        <v>9</v>
      </c>
      <c r="Y499" s="23" t="s">
        <v>4443</v>
      </c>
    </row>
    <row r="500" spans="1:25" x14ac:dyDescent="0.3">
      <c r="A500" s="22">
        <v>499</v>
      </c>
      <c r="B500" s="22">
        <v>283</v>
      </c>
      <c r="C500" s="18" t="s">
        <v>1098</v>
      </c>
      <c r="D500" s="21" t="s">
        <v>1097</v>
      </c>
      <c r="E500" s="21" t="s">
        <v>1111</v>
      </c>
      <c r="F500" s="18" t="s">
        <v>1112</v>
      </c>
      <c r="G500" s="23" t="s">
        <v>1612</v>
      </c>
      <c r="J500" s="23" t="s">
        <v>84</v>
      </c>
      <c r="M500" s="23" t="s">
        <v>3891</v>
      </c>
      <c r="N500" s="22" t="s">
        <v>49</v>
      </c>
      <c r="P500" s="23" t="s">
        <v>49</v>
      </c>
      <c r="W500" s="108">
        <v>41335</v>
      </c>
      <c r="X500" s="124" t="s">
        <v>6445</v>
      </c>
    </row>
    <row r="501" spans="1:25" x14ac:dyDescent="0.3">
      <c r="A501" s="22">
        <v>500</v>
      </c>
      <c r="B501" s="22">
        <v>287</v>
      </c>
      <c r="C501" s="18" t="s">
        <v>1098</v>
      </c>
      <c r="D501" s="21" t="s">
        <v>1097</v>
      </c>
      <c r="E501" s="21" t="s">
        <v>1100</v>
      </c>
      <c r="F501" s="18" t="s">
        <v>2059</v>
      </c>
      <c r="J501" s="23" t="s">
        <v>5571</v>
      </c>
      <c r="M501" s="23" t="s">
        <v>3893</v>
      </c>
      <c r="N501" s="22" t="s">
        <v>57</v>
      </c>
      <c r="O501" s="23" t="s">
        <v>1632</v>
      </c>
      <c r="S501" s="22" t="s">
        <v>2142</v>
      </c>
      <c r="U501" s="62" t="s">
        <v>6682</v>
      </c>
      <c r="Y501" s="23" t="s">
        <v>4444</v>
      </c>
    </row>
    <row r="502" spans="1:25" x14ac:dyDescent="0.3">
      <c r="A502" s="22">
        <v>501</v>
      </c>
      <c r="B502" s="22">
        <v>285</v>
      </c>
      <c r="C502" s="18" t="s">
        <v>1098</v>
      </c>
      <c r="D502" s="21" t="s">
        <v>1097</v>
      </c>
      <c r="E502" s="21" t="s">
        <v>1099</v>
      </c>
      <c r="F502" s="18" t="s">
        <v>3895</v>
      </c>
      <c r="J502" s="23" t="s">
        <v>5572</v>
      </c>
      <c r="M502" s="23" t="s">
        <v>3896</v>
      </c>
      <c r="N502" s="22" t="s">
        <v>37</v>
      </c>
      <c r="S502" s="22" t="s">
        <v>2142</v>
      </c>
      <c r="U502" s="62" t="s">
        <v>6683</v>
      </c>
      <c r="V502" s="107" t="s">
        <v>2058</v>
      </c>
      <c r="Y502" s="23" t="s">
        <v>4445</v>
      </c>
    </row>
    <row r="503" spans="1:25" x14ac:dyDescent="0.3">
      <c r="A503" s="22">
        <v>502</v>
      </c>
      <c r="B503" s="22">
        <v>285</v>
      </c>
      <c r="C503" s="18" t="s">
        <v>1098</v>
      </c>
      <c r="D503" s="21" t="s">
        <v>1097</v>
      </c>
      <c r="E503" s="21" t="s">
        <v>1103</v>
      </c>
      <c r="F503" s="18" t="s">
        <v>1104</v>
      </c>
      <c r="J503" s="23" t="s">
        <v>4446</v>
      </c>
      <c r="M503" s="23" t="s">
        <v>3898</v>
      </c>
      <c r="N503" s="22" t="s">
        <v>37</v>
      </c>
    </row>
    <row r="504" spans="1:25" x14ac:dyDescent="0.3">
      <c r="A504" s="22">
        <v>503</v>
      </c>
      <c r="B504" s="22">
        <v>285</v>
      </c>
      <c r="C504" s="18" t="s">
        <v>1098</v>
      </c>
      <c r="D504" s="21" t="s">
        <v>1097</v>
      </c>
      <c r="E504" s="21" t="s">
        <v>1105</v>
      </c>
      <c r="F504" s="18" t="s">
        <v>1106</v>
      </c>
      <c r="G504" s="23" t="s">
        <v>1103</v>
      </c>
      <c r="J504" s="23" t="s">
        <v>5223</v>
      </c>
      <c r="L504" s="23" t="s">
        <v>2060</v>
      </c>
      <c r="M504" s="23" t="s">
        <v>3900</v>
      </c>
      <c r="N504" s="22" t="s">
        <v>57</v>
      </c>
      <c r="O504" s="23" t="s">
        <v>1647</v>
      </c>
      <c r="S504" s="22" t="s">
        <v>1648</v>
      </c>
      <c r="Y504" s="23" t="s">
        <v>4447</v>
      </c>
    </row>
    <row r="505" spans="1:25" x14ac:dyDescent="0.3">
      <c r="A505" s="22">
        <v>504</v>
      </c>
      <c r="B505" s="22">
        <v>285</v>
      </c>
      <c r="C505" s="18" t="s">
        <v>1098</v>
      </c>
      <c r="D505" s="21" t="s">
        <v>1097</v>
      </c>
      <c r="E505" s="21" t="s">
        <v>2959</v>
      </c>
      <c r="F505" s="18" t="s">
        <v>2960</v>
      </c>
      <c r="G505" s="23" t="s">
        <v>1612</v>
      </c>
      <c r="J505" s="23" t="s">
        <v>2961</v>
      </c>
      <c r="M505" s="23" t="s">
        <v>3078</v>
      </c>
      <c r="N505" s="22" t="s">
        <v>49</v>
      </c>
      <c r="P505" s="23" t="s">
        <v>49</v>
      </c>
      <c r="W505" s="108">
        <v>43824</v>
      </c>
      <c r="X505" s="124" t="s">
        <v>6446</v>
      </c>
    </row>
    <row r="506" spans="1:25" x14ac:dyDescent="0.3">
      <c r="A506" s="22">
        <v>505</v>
      </c>
      <c r="B506" s="22">
        <v>285</v>
      </c>
      <c r="C506" s="18" t="s">
        <v>1098</v>
      </c>
      <c r="D506" s="21" t="s">
        <v>1097</v>
      </c>
      <c r="E506" s="21" t="s">
        <v>1101</v>
      </c>
      <c r="F506" s="18" t="s">
        <v>1102</v>
      </c>
      <c r="J506" s="23" t="s">
        <v>5573</v>
      </c>
      <c r="M506" s="23" t="s">
        <v>3903</v>
      </c>
      <c r="N506" s="22" t="s">
        <v>37</v>
      </c>
    </row>
    <row r="507" spans="1:25" x14ac:dyDescent="0.3">
      <c r="A507" s="22">
        <v>506</v>
      </c>
      <c r="B507" s="22">
        <v>279</v>
      </c>
      <c r="C507" s="18" t="s">
        <v>1127</v>
      </c>
      <c r="D507" s="21" t="s">
        <v>5836</v>
      </c>
      <c r="E507" s="21" t="s">
        <v>1128</v>
      </c>
      <c r="F507" s="18" t="s">
        <v>1129</v>
      </c>
      <c r="G507" s="23" t="s">
        <v>2070</v>
      </c>
      <c r="H507" s="21" t="s">
        <v>2071</v>
      </c>
      <c r="I507" s="23" t="s">
        <v>2072</v>
      </c>
      <c r="J507" s="23" t="s">
        <v>1130</v>
      </c>
      <c r="M507" s="23" t="s">
        <v>3905</v>
      </c>
      <c r="N507" s="22" t="s">
        <v>37</v>
      </c>
      <c r="S507" s="22" t="s">
        <v>1648</v>
      </c>
      <c r="Y507" s="23" t="s">
        <v>2073</v>
      </c>
    </row>
    <row r="508" spans="1:25" x14ac:dyDescent="0.3">
      <c r="A508" s="22">
        <v>507</v>
      </c>
      <c r="B508" s="22">
        <v>279</v>
      </c>
      <c r="C508" s="18" t="s">
        <v>1127</v>
      </c>
      <c r="D508" s="21" t="s">
        <v>5836</v>
      </c>
      <c r="E508" s="21" t="s">
        <v>1131</v>
      </c>
      <c r="F508" s="18" t="s">
        <v>1132</v>
      </c>
      <c r="H508" s="21" t="s">
        <v>2074</v>
      </c>
      <c r="I508" s="23" t="s">
        <v>2075</v>
      </c>
      <c r="J508" s="23" t="s">
        <v>242</v>
      </c>
      <c r="M508" s="23" t="s">
        <v>3907</v>
      </c>
      <c r="N508" s="22" t="s">
        <v>89</v>
      </c>
    </row>
    <row r="509" spans="1:25" x14ac:dyDescent="0.3">
      <c r="A509" s="22">
        <v>508</v>
      </c>
      <c r="B509" s="22">
        <v>277</v>
      </c>
      <c r="C509" s="18" t="s">
        <v>1127</v>
      </c>
      <c r="D509" s="21" t="s">
        <v>5836</v>
      </c>
      <c r="E509" s="21" t="s">
        <v>1135</v>
      </c>
      <c r="F509" s="18" t="s">
        <v>1136</v>
      </c>
      <c r="I509" s="23" t="s">
        <v>2076</v>
      </c>
      <c r="J509" s="23" t="s">
        <v>5574</v>
      </c>
      <c r="M509" s="23" t="s">
        <v>3233</v>
      </c>
      <c r="N509" s="22" t="s">
        <v>37</v>
      </c>
      <c r="V509" s="107" t="s">
        <v>2077</v>
      </c>
    </row>
    <row r="510" spans="1:25" x14ac:dyDescent="0.3">
      <c r="A510" s="22">
        <v>509</v>
      </c>
      <c r="B510" s="22">
        <v>279</v>
      </c>
      <c r="C510" s="18" t="s">
        <v>1127</v>
      </c>
      <c r="D510" s="21" t="s">
        <v>5836</v>
      </c>
      <c r="E510" s="21" t="s">
        <v>1133</v>
      </c>
      <c r="F510" s="18" t="s">
        <v>1134</v>
      </c>
      <c r="J510" s="23" t="s">
        <v>5575</v>
      </c>
      <c r="M510" s="23" t="s">
        <v>4670</v>
      </c>
      <c r="N510" s="22" t="s">
        <v>89</v>
      </c>
    </row>
    <row r="511" spans="1:25" x14ac:dyDescent="0.3">
      <c r="A511" s="22">
        <v>510</v>
      </c>
      <c r="C511" s="18" t="s">
        <v>1127</v>
      </c>
      <c r="D511" s="21" t="s">
        <v>5836</v>
      </c>
      <c r="E511" s="21" t="s">
        <v>6577</v>
      </c>
      <c r="F511" s="18" t="s">
        <v>6578</v>
      </c>
      <c r="G511" s="23" t="s">
        <v>1612</v>
      </c>
      <c r="J511" s="23" t="s">
        <v>5561</v>
      </c>
      <c r="K511" s="23" t="s">
        <v>6684</v>
      </c>
      <c r="L511" s="23" t="s">
        <v>6685</v>
      </c>
      <c r="N511" s="22" t="s">
        <v>49</v>
      </c>
      <c r="P511" s="23" t="s">
        <v>49</v>
      </c>
      <c r="S511" s="22" t="s">
        <v>1648</v>
      </c>
      <c r="W511" s="108">
        <v>45258</v>
      </c>
      <c r="X511" s="124" t="s">
        <v>6579</v>
      </c>
      <c r="Y511" s="23" t="s">
        <v>6686</v>
      </c>
    </row>
    <row r="512" spans="1:25" x14ac:dyDescent="0.3">
      <c r="A512" s="22">
        <v>511</v>
      </c>
      <c r="B512" s="22">
        <v>277</v>
      </c>
      <c r="C512" s="18" t="s">
        <v>1127</v>
      </c>
      <c r="D512" s="21" t="s">
        <v>5836</v>
      </c>
      <c r="E512" s="21" t="s">
        <v>1137</v>
      </c>
      <c r="F512" s="18" t="s">
        <v>1138</v>
      </c>
      <c r="J512" s="23" t="s">
        <v>5576</v>
      </c>
      <c r="K512" s="23" t="s">
        <v>1759</v>
      </c>
      <c r="M512" s="23" t="s">
        <v>3911</v>
      </c>
      <c r="N512" s="22" t="s">
        <v>49</v>
      </c>
      <c r="P512" s="23" t="s">
        <v>49</v>
      </c>
      <c r="W512" s="108">
        <v>1400</v>
      </c>
      <c r="X512" s="124" t="s">
        <v>6580</v>
      </c>
    </row>
    <row r="513" spans="1:25" x14ac:dyDescent="0.3">
      <c r="A513" s="22">
        <v>512</v>
      </c>
      <c r="B513" s="22">
        <v>277</v>
      </c>
      <c r="C513" s="18" t="s">
        <v>1127</v>
      </c>
      <c r="D513" s="21" t="s">
        <v>5836</v>
      </c>
      <c r="E513" s="21" t="s">
        <v>1139</v>
      </c>
      <c r="F513" s="18" t="s">
        <v>1140</v>
      </c>
      <c r="G513" s="23" t="s">
        <v>2078</v>
      </c>
      <c r="J513" s="23" t="s">
        <v>84</v>
      </c>
      <c r="M513" s="23" t="s">
        <v>3913</v>
      </c>
      <c r="N513" s="22" t="s">
        <v>37</v>
      </c>
      <c r="V513" s="107" t="s">
        <v>4448</v>
      </c>
    </row>
    <row r="514" spans="1:25" x14ac:dyDescent="0.3">
      <c r="A514" s="22">
        <v>513</v>
      </c>
      <c r="B514" s="22">
        <v>293</v>
      </c>
      <c r="C514" s="18" t="s">
        <v>1141</v>
      </c>
      <c r="D514" s="21" t="s">
        <v>5837</v>
      </c>
      <c r="E514" s="21" t="s">
        <v>1142</v>
      </c>
      <c r="F514" s="18" t="s">
        <v>1143</v>
      </c>
      <c r="J514" s="23" t="s">
        <v>5577</v>
      </c>
      <c r="M514" s="23" t="s">
        <v>3915</v>
      </c>
      <c r="N514" s="22" t="s">
        <v>37</v>
      </c>
      <c r="S514" s="22" t="s">
        <v>1679</v>
      </c>
      <c r="T514" s="62" t="s">
        <v>6076</v>
      </c>
      <c r="Y514" s="23" t="s">
        <v>6077</v>
      </c>
    </row>
    <row r="515" spans="1:25" x14ac:dyDescent="0.3">
      <c r="A515" s="22">
        <v>514</v>
      </c>
      <c r="B515" s="22">
        <v>293</v>
      </c>
      <c r="C515" s="18" t="s">
        <v>1141</v>
      </c>
      <c r="D515" s="21" t="s">
        <v>5837</v>
      </c>
      <c r="E515" s="21" t="s">
        <v>1144</v>
      </c>
      <c r="F515" s="18" t="s">
        <v>1145</v>
      </c>
      <c r="G515" s="23" t="s">
        <v>1142</v>
      </c>
      <c r="J515" s="23" t="s">
        <v>5470</v>
      </c>
      <c r="L515" s="23" t="s">
        <v>1993</v>
      </c>
      <c r="M515" s="23" t="s">
        <v>3788</v>
      </c>
      <c r="N515" s="22" t="s">
        <v>57</v>
      </c>
      <c r="O515" s="23" t="s">
        <v>1914</v>
      </c>
      <c r="S515" s="22" t="s">
        <v>1648</v>
      </c>
      <c r="T515" s="62" t="s">
        <v>6078</v>
      </c>
      <c r="Y515" s="23" t="s">
        <v>4449</v>
      </c>
    </row>
    <row r="516" spans="1:25" x14ac:dyDescent="0.3">
      <c r="A516" s="22">
        <v>515</v>
      </c>
      <c r="B516" s="22">
        <v>293</v>
      </c>
      <c r="C516" s="18" t="s">
        <v>1141</v>
      </c>
      <c r="D516" s="21" t="s">
        <v>5837</v>
      </c>
      <c r="E516" s="21" t="s">
        <v>1146</v>
      </c>
      <c r="F516" s="18" t="s">
        <v>1147</v>
      </c>
      <c r="G516" s="23" t="s">
        <v>2080</v>
      </c>
      <c r="J516" s="23" t="s">
        <v>5282</v>
      </c>
      <c r="L516" s="23" t="s">
        <v>2079</v>
      </c>
      <c r="M516" s="23" t="s">
        <v>3918</v>
      </c>
      <c r="N516" s="22" t="s">
        <v>57</v>
      </c>
      <c r="O516" s="23" t="s">
        <v>1712</v>
      </c>
      <c r="T516" s="62" t="s">
        <v>6079</v>
      </c>
    </row>
    <row r="517" spans="1:25" ht="30.6" x14ac:dyDescent="0.3">
      <c r="A517" s="22">
        <v>516</v>
      </c>
      <c r="B517" s="22">
        <v>295</v>
      </c>
      <c r="C517" s="18" t="s">
        <v>1141</v>
      </c>
      <c r="D517" s="21" t="s">
        <v>5837</v>
      </c>
      <c r="E517" s="21" t="s">
        <v>1148</v>
      </c>
      <c r="F517" s="18" t="s">
        <v>1149</v>
      </c>
      <c r="G517" s="23" t="s">
        <v>2082</v>
      </c>
      <c r="I517" s="23" t="s">
        <v>2083</v>
      </c>
      <c r="J517" s="23" t="s">
        <v>5578</v>
      </c>
      <c r="K517" s="23" t="s">
        <v>5579</v>
      </c>
      <c r="M517" s="109" t="s">
        <v>3920</v>
      </c>
      <c r="N517" s="22" t="s">
        <v>89</v>
      </c>
      <c r="P517" s="23" t="s">
        <v>4450</v>
      </c>
      <c r="S517" s="22" t="s">
        <v>2081</v>
      </c>
      <c r="T517" s="62" t="s">
        <v>6080</v>
      </c>
      <c r="Y517" s="23" t="s">
        <v>4451</v>
      </c>
    </row>
    <row r="518" spans="1:25" x14ac:dyDescent="0.3">
      <c r="A518" s="22">
        <v>517</v>
      </c>
      <c r="B518" s="22">
        <v>293</v>
      </c>
      <c r="C518" s="18" t="s">
        <v>1141</v>
      </c>
      <c r="D518" s="21" t="s">
        <v>5837</v>
      </c>
      <c r="E518" s="21" t="s">
        <v>5839</v>
      </c>
      <c r="F518" s="18" t="s">
        <v>5841</v>
      </c>
      <c r="G518" s="23" t="s">
        <v>1150</v>
      </c>
      <c r="I518" s="23" t="s">
        <v>5840</v>
      </c>
      <c r="J518" s="23" t="s">
        <v>6081</v>
      </c>
      <c r="M518" s="23" t="s">
        <v>3921</v>
      </c>
      <c r="N518" s="22" t="s">
        <v>37</v>
      </c>
      <c r="T518" s="62" t="s">
        <v>6082</v>
      </c>
    </row>
    <row r="519" spans="1:25" x14ac:dyDescent="0.3">
      <c r="A519" s="22">
        <v>518</v>
      </c>
      <c r="B519" s="22">
        <v>293</v>
      </c>
      <c r="C519" s="18" t="s">
        <v>1141</v>
      </c>
      <c r="D519" s="21" t="s">
        <v>5837</v>
      </c>
      <c r="E519" s="21" t="s">
        <v>1151</v>
      </c>
      <c r="F519" s="18" t="s">
        <v>1152</v>
      </c>
      <c r="G519" s="23" t="s">
        <v>1612</v>
      </c>
      <c r="J519" s="23" t="s">
        <v>5580</v>
      </c>
      <c r="K519" s="23" t="s">
        <v>1633</v>
      </c>
      <c r="L519" s="23" t="s">
        <v>2084</v>
      </c>
      <c r="M519" s="23" t="s">
        <v>3923</v>
      </c>
      <c r="N519" s="22" t="s">
        <v>49</v>
      </c>
      <c r="P519" s="23" t="s">
        <v>49</v>
      </c>
      <c r="W519" s="108">
        <v>36442</v>
      </c>
      <c r="X519" s="124" t="s">
        <v>6447</v>
      </c>
    </row>
    <row r="520" spans="1:25" x14ac:dyDescent="0.3">
      <c r="A520" s="22">
        <v>519</v>
      </c>
      <c r="B520" s="22">
        <v>287</v>
      </c>
      <c r="C520" s="18" t="s">
        <v>1153</v>
      </c>
      <c r="D520" s="21" t="s">
        <v>5842</v>
      </c>
      <c r="E520" s="21" t="s">
        <v>1154</v>
      </c>
      <c r="F520" s="18" t="s">
        <v>1155</v>
      </c>
      <c r="G520" s="23" t="s">
        <v>1612</v>
      </c>
      <c r="J520" s="23" t="s">
        <v>5581</v>
      </c>
      <c r="K520" s="23" t="s">
        <v>5582</v>
      </c>
      <c r="L520" s="23" t="s">
        <v>2085</v>
      </c>
      <c r="M520" s="23" t="s">
        <v>3728</v>
      </c>
      <c r="N520" s="22" t="s">
        <v>49</v>
      </c>
      <c r="P520" s="23" t="s">
        <v>49</v>
      </c>
      <c r="W520" s="108">
        <v>34639</v>
      </c>
      <c r="X520" s="124" t="s">
        <v>6581</v>
      </c>
    </row>
    <row r="521" spans="1:25" x14ac:dyDescent="0.3">
      <c r="A521" s="22">
        <v>520</v>
      </c>
      <c r="B521" s="22">
        <v>287</v>
      </c>
      <c r="C521" s="18" t="s">
        <v>1153</v>
      </c>
      <c r="D521" s="21" t="s">
        <v>5842</v>
      </c>
      <c r="E521" s="21" t="s">
        <v>1156</v>
      </c>
      <c r="F521" s="18" t="s">
        <v>1157</v>
      </c>
      <c r="J521" s="23" t="s">
        <v>5583</v>
      </c>
      <c r="K521" s="23" t="s">
        <v>1759</v>
      </c>
      <c r="M521" s="23" t="s">
        <v>3926</v>
      </c>
      <c r="N521" s="22" t="s">
        <v>49</v>
      </c>
      <c r="P521" s="23" t="s">
        <v>49</v>
      </c>
      <c r="W521" s="108">
        <v>26038</v>
      </c>
      <c r="X521" s="124" t="s">
        <v>6582</v>
      </c>
    </row>
    <row r="522" spans="1:25" x14ac:dyDescent="0.3">
      <c r="A522" s="22">
        <v>521</v>
      </c>
      <c r="B522" s="22">
        <v>287</v>
      </c>
      <c r="C522" s="18" t="s">
        <v>1153</v>
      </c>
      <c r="D522" s="21" t="s">
        <v>5842</v>
      </c>
      <c r="E522" s="21" t="s">
        <v>1158</v>
      </c>
      <c r="F522" s="18" t="s">
        <v>1159</v>
      </c>
      <c r="G522" s="23" t="s">
        <v>1612</v>
      </c>
      <c r="J522" s="23" t="s">
        <v>5218</v>
      </c>
      <c r="K522" s="23" t="s">
        <v>1642</v>
      </c>
      <c r="M522" s="23" t="s">
        <v>3083</v>
      </c>
      <c r="N522" s="22" t="s">
        <v>49</v>
      </c>
      <c r="P522" s="23" t="s">
        <v>49</v>
      </c>
      <c r="W522" s="108">
        <v>39005</v>
      </c>
      <c r="X522" s="124" t="s">
        <v>6583</v>
      </c>
    </row>
    <row r="523" spans="1:25" x14ac:dyDescent="0.3">
      <c r="A523" s="22">
        <v>522</v>
      </c>
      <c r="B523" s="22">
        <v>289</v>
      </c>
      <c r="C523" s="18" t="s">
        <v>1153</v>
      </c>
      <c r="D523" s="21" t="s">
        <v>5842</v>
      </c>
      <c r="E523" s="21" t="s">
        <v>1160</v>
      </c>
      <c r="F523" s="18" t="s">
        <v>1161</v>
      </c>
      <c r="J523" s="23" t="s">
        <v>5584</v>
      </c>
      <c r="K523" s="23" t="s">
        <v>5585</v>
      </c>
      <c r="L523" s="23" t="s">
        <v>2086</v>
      </c>
      <c r="M523" s="23" t="s">
        <v>3929</v>
      </c>
      <c r="N523" s="22" t="s">
        <v>49</v>
      </c>
      <c r="P523" s="23" t="s">
        <v>49</v>
      </c>
      <c r="Q523" s="22" t="s">
        <v>38</v>
      </c>
      <c r="R523" s="22" t="s">
        <v>38</v>
      </c>
      <c r="W523" s="108">
        <v>17516</v>
      </c>
      <c r="X523" s="124" t="s">
        <v>6448</v>
      </c>
    </row>
    <row r="524" spans="1:25" x14ac:dyDescent="0.3">
      <c r="A524" s="22">
        <v>523</v>
      </c>
      <c r="B524" s="22">
        <v>289</v>
      </c>
      <c r="C524" s="18" t="s">
        <v>1153</v>
      </c>
      <c r="D524" s="21" t="s">
        <v>5842</v>
      </c>
      <c r="E524" s="21" t="s">
        <v>1162</v>
      </c>
      <c r="F524" s="18" t="s">
        <v>1163</v>
      </c>
      <c r="J524" s="23" t="s">
        <v>5586</v>
      </c>
      <c r="L524" s="23" t="s">
        <v>2087</v>
      </c>
      <c r="M524" s="23" t="s">
        <v>3931</v>
      </c>
      <c r="N524" s="22" t="s">
        <v>57</v>
      </c>
      <c r="O524" s="23" t="s">
        <v>1632</v>
      </c>
    </row>
    <row r="525" spans="1:25" x14ac:dyDescent="0.3">
      <c r="A525" s="22">
        <v>524</v>
      </c>
      <c r="B525" s="22">
        <v>289</v>
      </c>
      <c r="C525" s="18" t="s">
        <v>1153</v>
      </c>
      <c r="D525" s="21" t="s">
        <v>5842</v>
      </c>
      <c r="E525" s="21" t="s">
        <v>1164</v>
      </c>
      <c r="F525" s="18" t="s">
        <v>1165</v>
      </c>
      <c r="J525" s="23" t="s">
        <v>5587</v>
      </c>
      <c r="M525" s="23" t="s">
        <v>3933</v>
      </c>
      <c r="N525" s="22" t="s">
        <v>57</v>
      </c>
      <c r="O525" s="23" t="s">
        <v>1632</v>
      </c>
    </row>
    <row r="526" spans="1:25" x14ac:dyDescent="0.3">
      <c r="A526" s="22">
        <v>525</v>
      </c>
      <c r="B526" s="22">
        <v>291</v>
      </c>
      <c r="C526" s="18" t="s">
        <v>1153</v>
      </c>
      <c r="D526" s="21" t="s">
        <v>5842</v>
      </c>
      <c r="E526" s="21" t="s">
        <v>1166</v>
      </c>
      <c r="F526" s="18" t="s">
        <v>1167</v>
      </c>
      <c r="G526" s="23" t="s">
        <v>1170</v>
      </c>
      <c r="J526" s="23" t="s">
        <v>5588</v>
      </c>
      <c r="K526" s="23" t="s">
        <v>5589</v>
      </c>
      <c r="L526" s="23" t="s">
        <v>2088</v>
      </c>
      <c r="M526" s="23" t="s">
        <v>3935</v>
      </c>
      <c r="N526" s="22" t="s">
        <v>89</v>
      </c>
      <c r="S526" s="22" t="s">
        <v>1648</v>
      </c>
      <c r="Y526" s="23" t="s">
        <v>4452</v>
      </c>
    </row>
    <row r="527" spans="1:25" x14ac:dyDescent="0.3">
      <c r="A527" s="22">
        <v>526</v>
      </c>
      <c r="B527" s="22">
        <v>291</v>
      </c>
      <c r="C527" s="18" t="s">
        <v>1153</v>
      </c>
      <c r="D527" s="21" t="s">
        <v>5842</v>
      </c>
      <c r="E527" s="21" t="s">
        <v>1168</v>
      </c>
      <c r="F527" s="18" t="s">
        <v>1169</v>
      </c>
      <c r="G527" s="23" t="s">
        <v>1170</v>
      </c>
      <c r="J527" s="23" t="s">
        <v>5590</v>
      </c>
      <c r="K527" s="23" t="s">
        <v>5591</v>
      </c>
      <c r="L527" s="23" t="s">
        <v>2089</v>
      </c>
      <c r="M527" s="23" t="s">
        <v>3937</v>
      </c>
      <c r="N527" s="22" t="s">
        <v>89</v>
      </c>
      <c r="S527" s="22" t="s">
        <v>1648</v>
      </c>
      <c r="Y527" s="23" t="s">
        <v>4453</v>
      </c>
    </row>
    <row r="528" spans="1:25" x14ac:dyDescent="0.3">
      <c r="A528" s="22">
        <v>527</v>
      </c>
      <c r="B528" s="22">
        <v>291</v>
      </c>
      <c r="C528" s="18" t="s">
        <v>1153</v>
      </c>
      <c r="D528" s="21" t="s">
        <v>5842</v>
      </c>
      <c r="E528" s="21" t="s">
        <v>1170</v>
      </c>
      <c r="F528" s="18" t="s">
        <v>1171</v>
      </c>
      <c r="J528" s="23" t="s">
        <v>6083</v>
      </c>
      <c r="K528" s="23" t="s">
        <v>5592</v>
      </c>
      <c r="L528" s="23" t="s">
        <v>2090</v>
      </c>
      <c r="M528" s="23" t="s">
        <v>3937</v>
      </c>
      <c r="N528" s="22" t="s">
        <v>89</v>
      </c>
      <c r="S528" s="22" t="s">
        <v>1638</v>
      </c>
      <c r="Y528" s="23" t="s">
        <v>4454</v>
      </c>
    </row>
    <row r="529" spans="1:25" x14ac:dyDescent="0.3">
      <c r="A529" s="22">
        <v>528</v>
      </c>
      <c r="B529" s="22">
        <v>289</v>
      </c>
      <c r="C529" s="18" t="s">
        <v>1153</v>
      </c>
      <c r="D529" s="21" t="s">
        <v>5842</v>
      </c>
      <c r="E529" s="21" t="s">
        <v>1172</v>
      </c>
      <c r="F529" s="18" t="s">
        <v>1173</v>
      </c>
      <c r="J529" s="23" t="s">
        <v>5593</v>
      </c>
      <c r="M529" s="23" t="s">
        <v>3134</v>
      </c>
      <c r="N529" s="22" t="s">
        <v>37</v>
      </c>
      <c r="S529" s="22" t="s">
        <v>5594</v>
      </c>
      <c r="Y529" s="23" t="s">
        <v>5595</v>
      </c>
    </row>
    <row r="530" spans="1:25" x14ac:dyDescent="0.3">
      <c r="A530" s="22">
        <v>529</v>
      </c>
      <c r="B530" s="22">
        <v>291</v>
      </c>
      <c r="C530" s="18" t="s">
        <v>1153</v>
      </c>
      <c r="D530" s="21" t="s">
        <v>5842</v>
      </c>
      <c r="E530" s="21" t="s">
        <v>1174</v>
      </c>
      <c r="F530" s="18" t="s">
        <v>1175</v>
      </c>
      <c r="G530" s="23" t="s">
        <v>2091</v>
      </c>
      <c r="I530" s="23" t="s">
        <v>3941</v>
      </c>
      <c r="J530" s="23" t="s">
        <v>5596</v>
      </c>
      <c r="M530" s="23" t="s">
        <v>3942</v>
      </c>
      <c r="N530" s="22" t="s">
        <v>57</v>
      </c>
      <c r="O530" s="23" t="s">
        <v>1632</v>
      </c>
      <c r="S530" s="22" t="s">
        <v>1694</v>
      </c>
      <c r="V530" s="107" t="s">
        <v>4455</v>
      </c>
      <c r="Y530" s="23" t="s">
        <v>4456</v>
      </c>
    </row>
    <row r="531" spans="1:25" x14ac:dyDescent="0.3">
      <c r="A531" s="22">
        <v>530</v>
      </c>
      <c r="B531" s="22">
        <v>269</v>
      </c>
      <c r="C531" s="18" t="s">
        <v>1176</v>
      </c>
      <c r="D531" s="21" t="s">
        <v>5843</v>
      </c>
      <c r="E531" s="21" t="s">
        <v>1177</v>
      </c>
      <c r="F531" s="18" t="s">
        <v>1178</v>
      </c>
      <c r="J531" s="23" t="s">
        <v>5597</v>
      </c>
      <c r="K531" s="23" t="s">
        <v>5598</v>
      </c>
      <c r="L531" s="23" t="s">
        <v>2092</v>
      </c>
      <c r="M531" s="23" t="s">
        <v>3350</v>
      </c>
      <c r="N531" s="22" t="s">
        <v>89</v>
      </c>
    </row>
    <row r="532" spans="1:25" x14ac:dyDescent="0.3">
      <c r="A532" s="22">
        <v>531</v>
      </c>
      <c r="B532" s="22">
        <v>271</v>
      </c>
      <c r="C532" s="18" t="s">
        <v>1176</v>
      </c>
      <c r="D532" s="21" t="s">
        <v>5843</v>
      </c>
      <c r="E532" s="21" t="s">
        <v>1179</v>
      </c>
      <c r="F532" s="18" t="s">
        <v>1180</v>
      </c>
      <c r="I532" s="23" t="s">
        <v>3945</v>
      </c>
      <c r="J532" s="23" t="s">
        <v>5479</v>
      </c>
      <c r="M532" s="23" t="s">
        <v>3946</v>
      </c>
      <c r="N532" s="22" t="s">
        <v>37</v>
      </c>
      <c r="V532" s="107" t="s">
        <v>4457</v>
      </c>
    </row>
    <row r="533" spans="1:25" x14ac:dyDescent="0.3">
      <c r="A533" s="22">
        <v>532</v>
      </c>
      <c r="B533" s="22">
        <v>269</v>
      </c>
      <c r="C533" s="18" t="s">
        <v>1176</v>
      </c>
      <c r="D533" s="21" t="s">
        <v>5843</v>
      </c>
      <c r="E533" s="21" t="s">
        <v>1181</v>
      </c>
      <c r="F533" s="18" t="s">
        <v>1182</v>
      </c>
      <c r="G533" s="23" t="s">
        <v>1612</v>
      </c>
      <c r="J533" s="23" t="s">
        <v>5599</v>
      </c>
      <c r="K533" s="23" t="s">
        <v>5600</v>
      </c>
      <c r="L533" s="23" t="s">
        <v>2093</v>
      </c>
      <c r="M533" s="23" t="s">
        <v>3083</v>
      </c>
      <c r="N533" s="22" t="s">
        <v>49</v>
      </c>
      <c r="P533" s="23" t="s">
        <v>49</v>
      </c>
      <c r="W533" s="108">
        <v>39562</v>
      </c>
      <c r="X533" s="124" t="s">
        <v>6449</v>
      </c>
    </row>
    <row r="534" spans="1:25" x14ac:dyDescent="0.3">
      <c r="A534" s="22">
        <v>533</v>
      </c>
      <c r="B534" s="22">
        <v>269</v>
      </c>
      <c r="C534" s="18" t="s">
        <v>1176</v>
      </c>
      <c r="D534" s="21" t="s">
        <v>5843</v>
      </c>
      <c r="E534" s="21" t="s">
        <v>1183</v>
      </c>
      <c r="F534" s="18" t="s">
        <v>1184</v>
      </c>
      <c r="G534" s="23" t="s">
        <v>2095</v>
      </c>
      <c r="H534" s="21" t="s">
        <v>2096</v>
      </c>
      <c r="I534" s="23" t="s">
        <v>2097</v>
      </c>
      <c r="J534" s="23" t="s">
        <v>5601</v>
      </c>
      <c r="K534" s="23" t="s">
        <v>5602</v>
      </c>
      <c r="L534" s="23" t="s">
        <v>2094</v>
      </c>
      <c r="M534" s="23" t="s">
        <v>3949</v>
      </c>
      <c r="N534" s="22" t="s">
        <v>89</v>
      </c>
      <c r="P534" s="23" t="s">
        <v>3017</v>
      </c>
      <c r="Q534" s="22" t="s">
        <v>58</v>
      </c>
      <c r="R534" s="22" t="s">
        <v>112</v>
      </c>
    </row>
    <row r="535" spans="1:25" x14ac:dyDescent="0.3">
      <c r="A535" s="22">
        <v>534</v>
      </c>
      <c r="B535" s="22">
        <v>275</v>
      </c>
      <c r="C535" s="18" t="s">
        <v>1185</v>
      </c>
      <c r="D535" s="21" t="s">
        <v>5844</v>
      </c>
      <c r="E535" s="21" t="s">
        <v>1186</v>
      </c>
      <c r="F535" s="18" t="s">
        <v>1187</v>
      </c>
      <c r="G535" s="23" t="s">
        <v>2099</v>
      </c>
      <c r="J535" s="23" t="s">
        <v>5603</v>
      </c>
      <c r="L535" s="23" t="s">
        <v>2098</v>
      </c>
      <c r="M535" s="23" t="s">
        <v>3951</v>
      </c>
      <c r="N535" s="22" t="s">
        <v>57</v>
      </c>
      <c r="O535" s="23" t="s">
        <v>1712</v>
      </c>
      <c r="Q535" s="22" t="s">
        <v>38</v>
      </c>
      <c r="R535" s="22" t="s">
        <v>38</v>
      </c>
      <c r="S535" s="22" t="s">
        <v>1920</v>
      </c>
      <c r="T535" s="62" t="s">
        <v>6084</v>
      </c>
      <c r="Y535" s="23" t="s">
        <v>4458</v>
      </c>
    </row>
    <row r="536" spans="1:25" x14ac:dyDescent="0.3">
      <c r="A536" s="22">
        <v>535</v>
      </c>
      <c r="B536" s="22">
        <v>275</v>
      </c>
      <c r="C536" s="18" t="s">
        <v>1185</v>
      </c>
      <c r="D536" s="21" t="s">
        <v>5844</v>
      </c>
      <c r="E536" s="21" t="s">
        <v>1188</v>
      </c>
      <c r="F536" s="18" t="s">
        <v>1189</v>
      </c>
      <c r="G536" s="23" t="s">
        <v>1612</v>
      </c>
      <c r="J536" s="23" t="s">
        <v>5604</v>
      </c>
      <c r="L536" s="23" t="s">
        <v>2100</v>
      </c>
      <c r="M536" s="23" t="s">
        <v>3953</v>
      </c>
      <c r="N536" s="22" t="s">
        <v>57</v>
      </c>
      <c r="O536" s="23" t="s">
        <v>1712</v>
      </c>
      <c r="R536" s="22" t="s">
        <v>186</v>
      </c>
      <c r="S536" s="22" t="s">
        <v>1931</v>
      </c>
      <c r="X536" s="124" t="s">
        <v>3006</v>
      </c>
      <c r="Y536" s="23" t="s">
        <v>4459</v>
      </c>
    </row>
    <row r="537" spans="1:25" x14ac:dyDescent="0.3">
      <c r="A537" s="22">
        <v>536</v>
      </c>
      <c r="B537" s="22">
        <v>277</v>
      </c>
      <c r="C537" s="18" t="s">
        <v>1185</v>
      </c>
      <c r="D537" s="21" t="s">
        <v>5844</v>
      </c>
      <c r="E537" s="21" t="s">
        <v>1190</v>
      </c>
      <c r="F537" s="18" t="s">
        <v>1191</v>
      </c>
      <c r="G537" s="23" t="s">
        <v>2099</v>
      </c>
      <c r="J537" s="23" t="s">
        <v>4460</v>
      </c>
      <c r="L537" s="23" t="s">
        <v>2101</v>
      </c>
      <c r="M537" s="23" t="s">
        <v>3955</v>
      </c>
      <c r="N537" s="22" t="s">
        <v>57</v>
      </c>
      <c r="O537" s="23" t="s">
        <v>1712</v>
      </c>
      <c r="Q537" s="22" t="s">
        <v>50</v>
      </c>
      <c r="R537" s="22" t="s">
        <v>38</v>
      </c>
      <c r="S537" s="22" t="s">
        <v>2102</v>
      </c>
      <c r="Y537" s="23" t="s">
        <v>2103</v>
      </c>
    </row>
    <row r="538" spans="1:25" x14ac:dyDescent="0.3">
      <c r="A538" s="22">
        <v>537</v>
      </c>
      <c r="B538" s="22">
        <v>271</v>
      </c>
      <c r="C538" s="18" t="s">
        <v>1185</v>
      </c>
      <c r="D538" s="21" t="s">
        <v>5844</v>
      </c>
      <c r="E538" s="21" t="s">
        <v>1192</v>
      </c>
      <c r="F538" s="18" t="s">
        <v>1193</v>
      </c>
      <c r="J538" s="23" t="s">
        <v>5605</v>
      </c>
      <c r="K538" s="23" t="s">
        <v>5606</v>
      </c>
      <c r="L538" s="23" t="s">
        <v>2104</v>
      </c>
      <c r="M538" s="23" t="s">
        <v>3957</v>
      </c>
      <c r="N538" s="22" t="s">
        <v>89</v>
      </c>
      <c r="P538" s="23" t="s">
        <v>3019</v>
      </c>
      <c r="S538" s="22" t="s">
        <v>1615</v>
      </c>
      <c r="V538" s="107" t="s">
        <v>2105</v>
      </c>
      <c r="X538" s="124" t="s">
        <v>9</v>
      </c>
      <c r="Y538" s="23" t="s">
        <v>4461</v>
      </c>
    </row>
    <row r="539" spans="1:25" x14ac:dyDescent="0.3">
      <c r="A539" s="22">
        <v>538</v>
      </c>
      <c r="B539" s="22">
        <v>271</v>
      </c>
      <c r="C539" s="18" t="s">
        <v>1185</v>
      </c>
      <c r="D539" s="21" t="s">
        <v>5844</v>
      </c>
      <c r="E539" s="21" t="s">
        <v>1194</v>
      </c>
      <c r="F539" s="18" t="s">
        <v>1195</v>
      </c>
      <c r="G539" s="23" t="s">
        <v>1612</v>
      </c>
      <c r="J539" s="23" t="s">
        <v>5607</v>
      </c>
      <c r="K539" s="23" t="s">
        <v>1759</v>
      </c>
      <c r="M539" s="23" t="s">
        <v>3959</v>
      </c>
      <c r="N539" s="22" t="s">
        <v>49</v>
      </c>
      <c r="P539" s="23" t="s">
        <v>49</v>
      </c>
      <c r="V539" s="107" t="s">
        <v>2106</v>
      </c>
      <c r="W539" s="108">
        <v>42618</v>
      </c>
      <c r="X539" s="124" t="s">
        <v>8571</v>
      </c>
    </row>
    <row r="540" spans="1:25" x14ac:dyDescent="0.3">
      <c r="A540" s="22">
        <v>539</v>
      </c>
      <c r="B540" s="22">
        <v>273</v>
      </c>
      <c r="C540" s="18" t="s">
        <v>1185</v>
      </c>
      <c r="D540" s="21" t="s">
        <v>5844</v>
      </c>
      <c r="E540" s="21" t="s">
        <v>1196</v>
      </c>
      <c r="F540" s="18" t="s">
        <v>1197</v>
      </c>
      <c r="J540" s="23" t="s">
        <v>5608</v>
      </c>
      <c r="K540" s="23" t="s">
        <v>5609</v>
      </c>
      <c r="L540" s="23" t="s">
        <v>6687</v>
      </c>
      <c r="M540" s="23" t="s">
        <v>3388</v>
      </c>
      <c r="N540" s="22" t="s">
        <v>89</v>
      </c>
      <c r="S540" s="22" t="s">
        <v>1638</v>
      </c>
      <c r="V540" s="107" t="s">
        <v>2107</v>
      </c>
      <c r="Y540" s="23" t="s">
        <v>4462</v>
      </c>
    </row>
    <row r="541" spans="1:25" x14ac:dyDescent="0.3">
      <c r="A541" s="22">
        <v>540</v>
      </c>
      <c r="B541" s="22">
        <v>273</v>
      </c>
      <c r="C541" s="18" t="s">
        <v>1185</v>
      </c>
      <c r="D541" s="21" t="s">
        <v>5844</v>
      </c>
      <c r="E541" s="21" t="s">
        <v>1198</v>
      </c>
      <c r="F541" s="18" t="s">
        <v>1199</v>
      </c>
      <c r="J541" s="23" t="s">
        <v>5610</v>
      </c>
      <c r="K541" s="23" t="s">
        <v>1633</v>
      </c>
      <c r="L541" s="23" t="s">
        <v>2108</v>
      </c>
      <c r="M541" s="23" t="s">
        <v>3962</v>
      </c>
      <c r="N541" s="22" t="s">
        <v>89</v>
      </c>
      <c r="X541" s="124" t="s">
        <v>9</v>
      </c>
    </row>
    <row r="542" spans="1:25" x14ac:dyDescent="0.3">
      <c r="A542" s="22">
        <v>541</v>
      </c>
      <c r="B542" s="22">
        <v>273</v>
      </c>
      <c r="C542" s="18" t="s">
        <v>1185</v>
      </c>
      <c r="D542" s="21" t="s">
        <v>5844</v>
      </c>
      <c r="E542" s="21" t="s">
        <v>1200</v>
      </c>
      <c r="F542" s="18" t="s">
        <v>1201</v>
      </c>
      <c r="G542" s="23" t="s">
        <v>2109</v>
      </c>
      <c r="I542" s="23" t="s">
        <v>2110</v>
      </c>
      <c r="J542" s="23" t="s">
        <v>5611</v>
      </c>
      <c r="M542" s="23" t="s">
        <v>3964</v>
      </c>
      <c r="N542" s="22" t="s">
        <v>57</v>
      </c>
      <c r="O542" s="23" t="s">
        <v>1632</v>
      </c>
      <c r="T542" s="62" t="s">
        <v>6085</v>
      </c>
    </row>
    <row r="543" spans="1:25" x14ac:dyDescent="0.3">
      <c r="A543" s="22">
        <v>542</v>
      </c>
      <c r="B543" s="22">
        <v>275</v>
      </c>
      <c r="C543" s="18" t="s">
        <v>1185</v>
      </c>
      <c r="D543" s="21" t="s">
        <v>5844</v>
      </c>
      <c r="E543" s="21" t="s">
        <v>1202</v>
      </c>
      <c r="F543" s="18" t="s">
        <v>1203</v>
      </c>
      <c r="I543" s="23" t="s">
        <v>2111</v>
      </c>
      <c r="J543" s="23" t="s">
        <v>5510</v>
      </c>
      <c r="L543" s="23" t="s">
        <v>2015</v>
      </c>
      <c r="M543" s="23" t="s">
        <v>3966</v>
      </c>
      <c r="N543" s="22" t="s">
        <v>57</v>
      </c>
      <c r="O543" s="23" t="s">
        <v>1712</v>
      </c>
      <c r="T543" s="62" t="s">
        <v>2112</v>
      </c>
    </row>
    <row r="544" spans="1:25" x14ac:dyDescent="0.3">
      <c r="A544" s="22">
        <v>543</v>
      </c>
      <c r="B544" s="22">
        <v>275</v>
      </c>
      <c r="C544" s="18" t="s">
        <v>1185</v>
      </c>
      <c r="D544" s="21" t="s">
        <v>5844</v>
      </c>
      <c r="E544" s="21" t="s">
        <v>1204</v>
      </c>
      <c r="F544" s="18" t="s">
        <v>1205</v>
      </c>
      <c r="J544" s="23" t="s">
        <v>6086</v>
      </c>
      <c r="M544" s="23" t="s">
        <v>4608</v>
      </c>
      <c r="N544" s="22" t="s">
        <v>37</v>
      </c>
      <c r="S544" s="22" t="s">
        <v>1745</v>
      </c>
      <c r="Y544" s="23" t="s">
        <v>4463</v>
      </c>
    </row>
    <row r="545" spans="1:25" x14ac:dyDescent="0.3">
      <c r="A545" s="22">
        <v>544</v>
      </c>
      <c r="B545" s="22">
        <v>275</v>
      </c>
      <c r="C545" s="18" t="s">
        <v>1185</v>
      </c>
      <c r="D545" s="21" t="s">
        <v>5844</v>
      </c>
      <c r="E545" s="21" t="s">
        <v>1206</v>
      </c>
      <c r="F545" s="18" t="s">
        <v>1207</v>
      </c>
      <c r="J545" s="23" t="s">
        <v>84</v>
      </c>
      <c r="M545" s="23" t="s">
        <v>3233</v>
      </c>
      <c r="N545" s="22" t="s">
        <v>37</v>
      </c>
    </row>
    <row r="546" spans="1:25" ht="30.6" x14ac:dyDescent="0.3">
      <c r="A546" s="22">
        <v>545</v>
      </c>
      <c r="B546" s="22">
        <v>265</v>
      </c>
      <c r="C546" s="18" t="s">
        <v>1208</v>
      </c>
      <c r="D546" s="21" t="s">
        <v>5845</v>
      </c>
      <c r="E546" s="21" t="s">
        <v>1209</v>
      </c>
      <c r="F546" s="18" t="s">
        <v>1210</v>
      </c>
      <c r="J546" s="23" t="s">
        <v>5612</v>
      </c>
      <c r="M546" s="109" t="s">
        <v>6584</v>
      </c>
      <c r="N546" s="22" t="s">
        <v>37</v>
      </c>
    </row>
    <row r="547" spans="1:25" x14ac:dyDescent="0.3">
      <c r="A547" s="22">
        <v>546</v>
      </c>
      <c r="B547" s="22">
        <v>265</v>
      </c>
      <c r="C547" s="18" t="s">
        <v>1208</v>
      </c>
      <c r="D547" s="21" t="s">
        <v>5845</v>
      </c>
      <c r="E547" s="21" t="s">
        <v>1211</v>
      </c>
      <c r="F547" s="18" t="s">
        <v>1212</v>
      </c>
      <c r="G547" s="23" t="s">
        <v>2113</v>
      </c>
      <c r="J547" s="23" t="s">
        <v>5613</v>
      </c>
      <c r="M547" s="23" t="s">
        <v>3573</v>
      </c>
      <c r="N547" s="22" t="s">
        <v>37</v>
      </c>
    </row>
    <row r="548" spans="1:25" x14ac:dyDescent="0.3">
      <c r="A548" s="22">
        <v>547</v>
      </c>
      <c r="B548" s="22">
        <v>263</v>
      </c>
      <c r="C548" s="18" t="s">
        <v>1208</v>
      </c>
      <c r="D548" s="21" t="s">
        <v>5845</v>
      </c>
      <c r="E548" s="21" t="s">
        <v>1214</v>
      </c>
      <c r="F548" s="18" t="s">
        <v>1215</v>
      </c>
      <c r="G548" s="23" t="s">
        <v>2115</v>
      </c>
      <c r="H548" s="21" t="s">
        <v>2116</v>
      </c>
      <c r="J548" s="23" t="s">
        <v>5614</v>
      </c>
      <c r="L548" s="23" t="s">
        <v>2114</v>
      </c>
      <c r="M548" s="23" t="s">
        <v>3972</v>
      </c>
      <c r="N548" s="22" t="s">
        <v>57</v>
      </c>
      <c r="O548" s="23" t="s">
        <v>1669</v>
      </c>
      <c r="P548" s="23" t="s">
        <v>3033</v>
      </c>
      <c r="Q548" s="22" t="s">
        <v>158</v>
      </c>
      <c r="R548" s="22" t="s">
        <v>38</v>
      </c>
      <c r="S548" s="22" t="s">
        <v>1615</v>
      </c>
      <c r="Y548" s="23" t="s">
        <v>4464</v>
      </c>
    </row>
    <row r="549" spans="1:25" x14ac:dyDescent="0.3">
      <c r="A549" s="22">
        <v>548</v>
      </c>
      <c r="B549" s="22">
        <v>263</v>
      </c>
      <c r="C549" s="18" t="s">
        <v>1208</v>
      </c>
      <c r="D549" s="21" t="s">
        <v>5845</v>
      </c>
      <c r="E549" s="21" t="s">
        <v>1216</v>
      </c>
      <c r="F549" s="18" t="s">
        <v>1217</v>
      </c>
      <c r="G549" s="23" t="s">
        <v>2115</v>
      </c>
      <c r="H549" s="21" t="s">
        <v>2118</v>
      </c>
      <c r="J549" s="23" t="s">
        <v>5470</v>
      </c>
      <c r="L549" s="23" t="s">
        <v>2117</v>
      </c>
      <c r="M549" s="23" t="s">
        <v>3360</v>
      </c>
      <c r="N549" s="22" t="s">
        <v>57</v>
      </c>
      <c r="O549" s="23" t="s">
        <v>1914</v>
      </c>
      <c r="P549" s="23" t="s">
        <v>3034</v>
      </c>
      <c r="Q549" s="22" t="s">
        <v>50</v>
      </c>
      <c r="S549" s="22" t="s">
        <v>1648</v>
      </c>
      <c r="Y549" s="23" t="s">
        <v>4465</v>
      </c>
    </row>
    <row r="550" spans="1:25" x14ac:dyDescent="0.3">
      <c r="A550" s="22">
        <v>549</v>
      </c>
      <c r="B550" s="22">
        <v>267</v>
      </c>
      <c r="C550" s="18" t="s">
        <v>1208</v>
      </c>
      <c r="D550" s="21" t="s">
        <v>5845</v>
      </c>
      <c r="E550" s="21" t="s">
        <v>1218</v>
      </c>
      <c r="F550" s="18" t="s">
        <v>1219</v>
      </c>
      <c r="H550" s="21" t="s">
        <v>2119</v>
      </c>
      <c r="I550" s="23" t="s">
        <v>2120</v>
      </c>
      <c r="J550" s="23" t="s">
        <v>5485</v>
      </c>
      <c r="M550" s="23" t="s">
        <v>3975</v>
      </c>
      <c r="N550" s="22" t="s">
        <v>57</v>
      </c>
      <c r="O550" s="23" t="s">
        <v>1701</v>
      </c>
    </row>
    <row r="551" spans="1:25" x14ac:dyDescent="0.3">
      <c r="A551" s="22">
        <v>550</v>
      </c>
      <c r="B551" s="22">
        <v>267</v>
      </c>
      <c r="C551" s="18" t="s">
        <v>1208</v>
      </c>
      <c r="D551" s="21" t="s">
        <v>5845</v>
      </c>
      <c r="E551" s="21" t="s">
        <v>1220</v>
      </c>
      <c r="F551" s="18" t="s">
        <v>1221</v>
      </c>
      <c r="G551" s="23" t="s">
        <v>1218</v>
      </c>
      <c r="H551" s="21" t="s">
        <v>2122</v>
      </c>
      <c r="I551" s="23" t="s">
        <v>2122</v>
      </c>
      <c r="J551" s="23" t="s">
        <v>5539</v>
      </c>
      <c r="L551" s="23" t="s">
        <v>2121</v>
      </c>
      <c r="M551" s="23" t="s">
        <v>3977</v>
      </c>
      <c r="N551" s="22" t="s">
        <v>57</v>
      </c>
      <c r="O551" s="23" t="s">
        <v>1712</v>
      </c>
      <c r="S551" s="22" t="s">
        <v>1648</v>
      </c>
      <c r="Y551" s="23" t="s">
        <v>4466</v>
      </c>
    </row>
    <row r="552" spans="1:25" x14ac:dyDescent="0.3">
      <c r="A552" s="22">
        <v>551</v>
      </c>
      <c r="B552" s="22">
        <v>265</v>
      </c>
      <c r="C552" s="18" t="s">
        <v>1208</v>
      </c>
      <c r="D552" s="21" t="s">
        <v>5845</v>
      </c>
      <c r="E552" s="21" t="s">
        <v>1222</v>
      </c>
      <c r="F552" s="18" t="s">
        <v>1223</v>
      </c>
      <c r="G552" s="23" t="s">
        <v>1218</v>
      </c>
      <c r="J552" s="23" t="s">
        <v>5615</v>
      </c>
      <c r="M552" s="23" t="s">
        <v>3979</v>
      </c>
      <c r="N552" s="22" t="s">
        <v>57</v>
      </c>
      <c r="O552" s="23" t="s">
        <v>1669</v>
      </c>
      <c r="S552" s="22" t="s">
        <v>1648</v>
      </c>
      <c r="Y552" s="23" t="s">
        <v>4467</v>
      </c>
    </row>
    <row r="553" spans="1:25" x14ac:dyDescent="0.3">
      <c r="A553" s="22">
        <v>552</v>
      </c>
      <c r="B553" s="22">
        <v>269</v>
      </c>
      <c r="C553" s="18" t="s">
        <v>1208</v>
      </c>
      <c r="D553" s="21" t="s">
        <v>5845</v>
      </c>
      <c r="E553" s="21" t="s">
        <v>1224</v>
      </c>
      <c r="F553" s="18" t="s">
        <v>1225</v>
      </c>
      <c r="H553" s="21" t="s">
        <v>2123</v>
      </c>
      <c r="J553" s="23" t="s">
        <v>5245</v>
      </c>
      <c r="M553" s="23" t="s">
        <v>3981</v>
      </c>
      <c r="N553" s="22" t="s">
        <v>57</v>
      </c>
      <c r="O553" s="23" t="s">
        <v>1712</v>
      </c>
    </row>
    <row r="554" spans="1:25" x14ac:dyDescent="0.3">
      <c r="A554" s="22">
        <v>553</v>
      </c>
      <c r="B554" s="22">
        <v>265</v>
      </c>
      <c r="C554" s="18" t="s">
        <v>1208</v>
      </c>
      <c r="D554" s="21" t="s">
        <v>5845</v>
      </c>
      <c r="E554" s="21" t="s">
        <v>1226</v>
      </c>
      <c r="F554" s="18" t="s">
        <v>1227</v>
      </c>
      <c r="J554" s="23" t="s">
        <v>5616</v>
      </c>
      <c r="M554" s="23" t="s">
        <v>3983</v>
      </c>
      <c r="N554" s="22" t="s">
        <v>37</v>
      </c>
    </row>
    <row r="555" spans="1:25" x14ac:dyDescent="0.3">
      <c r="A555" s="22">
        <v>554</v>
      </c>
      <c r="B555" s="22">
        <v>267</v>
      </c>
      <c r="C555" s="18" t="s">
        <v>1208</v>
      </c>
      <c r="D555" s="21" t="s">
        <v>5845</v>
      </c>
      <c r="E555" s="21" t="s">
        <v>1228</v>
      </c>
      <c r="F555" s="18" t="s">
        <v>1229</v>
      </c>
      <c r="J555" s="23" t="s">
        <v>5617</v>
      </c>
      <c r="M555" s="23" t="s">
        <v>3985</v>
      </c>
      <c r="N555" s="22" t="s">
        <v>37</v>
      </c>
    </row>
    <row r="556" spans="1:25" x14ac:dyDescent="0.3">
      <c r="A556" s="22">
        <v>555</v>
      </c>
      <c r="B556" s="22">
        <v>269</v>
      </c>
      <c r="C556" s="18" t="s">
        <v>1208</v>
      </c>
      <c r="D556" s="21" t="s">
        <v>5845</v>
      </c>
      <c r="E556" s="21" t="s">
        <v>1230</v>
      </c>
      <c r="F556" s="18" t="s">
        <v>1231</v>
      </c>
      <c r="J556" s="23" t="s">
        <v>5483</v>
      </c>
      <c r="M556" s="23" t="s">
        <v>3987</v>
      </c>
      <c r="N556" s="22" t="s">
        <v>57</v>
      </c>
      <c r="O556" s="23" t="s">
        <v>1669</v>
      </c>
    </row>
    <row r="557" spans="1:25" x14ac:dyDescent="0.3">
      <c r="A557" s="22">
        <v>556</v>
      </c>
      <c r="B557" s="22">
        <v>267</v>
      </c>
      <c r="C557" s="18" t="s">
        <v>1208</v>
      </c>
      <c r="D557" s="21" t="s">
        <v>5845</v>
      </c>
      <c r="E557" s="21" t="s">
        <v>1232</v>
      </c>
      <c r="F557" s="18" t="s">
        <v>1233</v>
      </c>
      <c r="H557" s="21" t="s">
        <v>2124</v>
      </c>
      <c r="J557" s="23" t="s">
        <v>5618</v>
      </c>
      <c r="M557" s="23" t="s">
        <v>3989</v>
      </c>
      <c r="N557" s="22" t="s">
        <v>57</v>
      </c>
      <c r="O557" s="23" t="s">
        <v>1669</v>
      </c>
    </row>
    <row r="558" spans="1:25" x14ac:dyDescent="0.3">
      <c r="A558" s="22">
        <v>557</v>
      </c>
      <c r="B558" s="22">
        <v>267</v>
      </c>
      <c r="C558" s="18" t="s">
        <v>1208</v>
      </c>
      <c r="D558" s="21" t="s">
        <v>5845</v>
      </c>
      <c r="E558" s="21" t="s">
        <v>1234</v>
      </c>
      <c r="F558" s="18" t="s">
        <v>1235</v>
      </c>
      <c r="J558" s="23" t="s">
        <v>5484</v>
      </c>
      <c r="L558" s="23" t="s">
        <v>2044</v>
      </c>
      <c r="M558" s="23" t="s">
        <v>3668</v>
      </c>
      <c r="N558" s="22" t="s">
        <v>57</v>
      </c>
      <c r="O558" s="23" t="s">
        <v>1669</v>
      </c>
      <c r="Q558" s="22" t="s">
        <v>50</v>
      </c>
      <c r="R558" s="22" t="s">
        <v>186</v>
      </c>
    </row>
    <row r="559" spans="1:25" x14ac:dyDescent="0.3">
      <c r="A559" s="22">
        <v>558</v>
      </c>
      <c r="B559" s="22">
        <v>299</v>
      </c>
      <c r="C559" s="18" t="s">
        <v>1250</v>
      </c>
      <c r="D559" s="21" t="s">
        <v>1249</v>
      </c>
      <c r="E559" s="21" t="s">
        <v>1261</v>
      </c>
      <c r="F559" s="18" t="s">
        <v>1262</v>
      </c>
      <c r="J559" s="23" t="s">
        <v>5481</v>
      </c>
      <c r="L559" s="23" t="s">
        <v>2141</v>
      </c>
      <c r="M559" s="23" t="s">
        <v>3992</v>
      </c>
      <c r="N559" s="22" t="s">
        <v>57</v>
      </c>
      <c r="O559" s="23" t="s">
        <v>1701</v>
      </c>
      <c r="Q559" s="22" t="s">
        <v>58</v>
      </c>
      <c r="R559" s="22" t="s">
        <v>58</v>
      </c>
      <c r="S559" s="22" t="s">
        <v>2142</v>
      </c>
      <c r="T559" s="62" t="s">
        <v>6087</v>
      </c>
      <c r="Y559" s="23" t="s">
        <v>4468</v>
      </c>
    </row>
    <row r="560" spans="1:25" x14ac:dyDescent="0.3">
      <c r="A560" s="22">
        <v>559</v>
      </c>
      <c r="B560" s="22">
        <v>299</v>
      </c>
      <c r="C560" s="18" t="s">
        <v>1250</v>
      </c>
      <c r="D560" s="21" t="s">
        <v>1249</v>
      </c>
      <c r="E560" s="21" t="s">
        <v>1265</v>
      </c>
      <c r="F560" s="18" t="s">
        <v>1266</v>
      </c>
      <c r="G560" s="23" t="s">
        <v>2144</v>
      </c>
      <c r="J560" s="23" t="s">
        <v>5614</v>
      </c>
      <c r="L560" s="23" t="s">
        <v>2145</v>
      </c>
      <c r="M560" s="23" t="s">
        <v>3994</v>
      </c>
      <c r="N560" s="22" t="s">
        <v>57</v>
      </c>
      <c r="O560" s="23" t="s">
        <v>1669</v>
      </c>
      <c r="Q560" s="22" t="s">
        <v>50</v>
      </c>
      <c r="R560" s="22" t="s">
        <v>186</v>
      </c>
      <c r="S560" s="22" t="s">
        <v>2146</v>
      </c>
      <c r="Y560" s="23" t="s">
        <v>4469</v>
      </c>
    </row>
    <row r="561" spans="1:25" x14ac:dyDescent="0.3">
      <c r="A561" s="22">
        <v>560</v>
      </c>
      <c r="B561" s="22">
        <v>299</v>
      </c>
      <c r="C561" s="18" t="s">
        <v>1250</v>
      </c>
      <c r="D561" s="21" t="s">
        <v>1249</v>
      </c>
      <c r="E561" s="21" t="s">
        <v>1263</v>
      </c>
      <c r="F561" s="18" t="s">
        <v>1264</v>
      </c>
      <c r="G561" s="23" t="s">
        <v>2144</v>
      </c>
      <c r="J561" s="23" t="s">
        <v>4376</v>
      </c>
      <c r="L561" s="23" t="s">
        <v>2117</v>
      </c>
      <c r="M561" s="23" t="s">
        <v>3676</v>
      </c>
      <c r="N561" s="22" t="s">
        <v>57</v>
      </c>
      <c r="O561" s="23" t="s">
        <v>1914</v>
      </c>
      <c r="Q561" s="22" t="s">
        <v>50</v>
      </c>
      <c r="R561" s="22" t="s">
        <v>186</v>
      </c>
      <c r="S561" s="22" t="s">
        <v>2143</v>
      </c>
      <c r="T561" s="62" t="s">
        <v>6088</v>
      </c>
      <c r="Y561" s="23" t="s">
        <v>4470</v>
      </c>
    </row>
    <row r="562" spans="1:25" x14ac:dyDescent="0.3">
      <c r="A562" s="22">
        <v>561</v>
      </c>
      <c r="B562" s="22">
        <v>297</v>
      </c>
      <c r="C562" s="18" t="s">
        <v>1250</v>
      </c>
      <c r="D562" s="21" t="s">
        <v>1249</v>
      </c>
      <c r="E562" s="21" t="s">
        <v>1271</v>
      </c>
      <c r="F562" s="18" t="s">
        <v>1272</v>
      </c>
      <c r="J562" s="23" t="s">
        <v>5615</v>
      </c>
      <c r="M562" s="23" t="s">
        <v>3612</v>
      </c>
      <c r="N562" s="22" t="s">
        <v>57</v>
      </c>
      <c r="O562" s="23" t="s">
        <v>1669</v>
      </c>
      <c r="S562" s="22" t="s">
        <v>2142</v>
      </c>
      <c r="T562" s="62" t="s">
        <v>6089</v>
      </c>
      <c r="Y562" s="23" t="s">
        <v>4471</v>
      </c>
    </row>
    <row r="563" spans="1:25" x14ac:dyDescent="0.3">
      <c r="A563" s="22">
        <v>562</v>
      </c>
      <c r="B563" s="22">
        <v>297</v>
      </c>
      <c r="C563" s="18" t="s">
        <v>1250</v>
      </c>
      <c r="D563" s="21" t="s">
        <v>1249</v>
      </c>
      <c r="E563" s="21" t="s">
        <v>1267</v>
      </c>
      <c r="F563" s="18" t="s">
        <v>1268</v>
      </c>
      <c r="J563" s="23" t="s">
        <v>5619</v>
      </c>
      <c r="L563" s="23" t="s">
        <v>2147</v>
      </c>
      <c r="M563" s="23" t="s">
        <v>3262</v>
      </c>
      <c r="N563" s="22" t="s">
        <v>57</v>
      </c>
      <c r="O563" s="23" t="s">
        <v>1712</v>
      </c>
      <c r="Q563" s="22" t="s">
        <v>50</v>
      </c>
      <c r="R563" s="22" t="s">
        <v>186</v>
      </c>
      <c r="S563" s="22" t="s">
        <v>2142</v>
      </c>
      <c r="T563" s="62" t="s">
        <v>6090</v>
      </c>
      <c r="Y563" s="23" t="s">
        <v>4472</v>
      </c>
    </row>
    <row r="564" spans="1:25" x14ac:dyDescent="0.3">
      <c r="A564" s="22">
        <v>563</v>
      </c>
      <c r="B564" s="22">
        <v>297</v>
      </c>
      <c r="C564" s="18" t="s">
        <v>1250</v>
      </c>
      <c r="D564" s="21" t="s">
        <v>1249</v>
      </c>
      <c r="E564" s="21" t="s">
        <v>5171</v>
      </c>
      <c r="F564" s="18" t="s">
        <v>5172</v>
      </c>
      <c r="G564" s="23" t="s">
        <v>1269</v>
      </c>
      <c r="I564" s="23" t="s">
        <v>1269</v>
      </c>
      <c r="J564" s="23" t="s">
        <v>5620</v>
      </c>
      <c r="L564" s="23" t="s">
        <v>6091</v>
      </c>
      <c r="M564" s="23" t="s">
        <v>3999</v>
      </c>
      <c r="N564" s="22" t="s">
        <v>57</v>
      </c>
      <c r="S564" s="22" t="s">
        <v>1648</v>
      </c>
      <c r="T564" s="62" t="s">
        <v>6092</v>
      </c>
      <c r="V564" s="107" t="s">
        <v>1270</v>
      </c>
      <c r="Y564" s="23" t="s">
        <v>5621</v>
      </c>
    </row>
    <row r="565" spans="1:25" x14ac:dyDescent="0.3">
      <c r="A565" s="22">
        <v>564</v>
      </c>
      <c r="B565" s="22">
        <v>297</v>
      </c>
      <c r="C565" s="18" t="s">
        <v>1250</v>
      </c>
      <c r="D565" s="21" t="s">
        <v>1249</v>
      </c>
      <c r="E565" s="21" t="s">
        <v>5173</v>
      </c>
      <c r="F565" s="18" t="s">
        <v>1270</v>
      </c>
      <c r="G565" s="23" t="s">
        <v>1269</v>
      </c>
      <c r="I565" s="23" t="s">
        <v>1269</v>
      </c>
      <c r="J565" s="23" t="s">
        <v>5622</v>
      </c>
      <c r="M565" s="23" t="s">
        <v>3999</v>
      </c>
      <c r="N565" s="22" t="s">
        <v>57</v>
      </c>
      <c r="O565" s="23" t="s">
        <v>1632</v>
      </c>
      <c r="S565" s="22" t="s">
        <v>5623</v>
      </c>
      <c r="T565" s="62" t="s">
        <v>6093</v>
      </c>
      <c r="Y565" s="23" t="s">
        <v>5624</v>
      </c>
    </row>
    <row r="566" spans="1:25" x14ac:dyDescent="0.3">
      <c r="A566" s="22">
        <v>565</v>
      </c>
      <c r="B566" s="22">
        <v>295</v>
      </c>
      <c r="C566" s="18" t="s">
        <v>1250</v>
      </c>
      <c r="D566" s="21" t="s">
        <v>1249</v>
      </c>
      <c r="E566" s="21" t="s">
        <v>1259</v>
      </c>
      <c r="F566" s="18" t="s">
        <v>1260</v>
      </c>
      <c r="J566" s="23" t="s">
        <v>5625</v>
      </c>
      <c r="L566" s="23" t="s">
        <v>2140</v>
      </c>
      <c r="M566" s="23" t="s">
        <v>4001</v>
      </c>
      <c r="N566" s="22" t="s">
        <v>57</v>
      </c>
      <c r="O566" s="23" t="s">
        <v>1610</v>
      </c>
      <c r="Q566" s="22" t="s">
        <v>50</v>
      </c>
      <c r="R566" s="22" t="s">
        <v>186</v>
      </c>
      <c r="T566" s="62" t="s">
        <v>6094</v>
      </c>
    </row>
    <row r="567" spans="1:25" x14ac:dyDescent="0.3">
      <c r="A567" s="22">
        <v>566</v>
      </c>
      <c r="B567" s="22">
        <v>295</v>
      </c>
      <c r="C567" s="18" t="s">
        <v>1250</v>
      </c>
      <c r="D567" s="21" t="s">
        <v>1249</v>
      </c>
      <c r="E567" s="21" t="s">
        <v>1253</v>
      </c>
      <c r="F567" s="18" t="s">
        <v>1254</v>
      </c>
      <c r="J567" s="23" t="s">
        <v>5626</v>
      </c>
      <c r="L567" s="23" t="s">
        <v>2136</v>
      </c>
      <c r="M567" s="23" t="s">
        <v>4003</v>
      </c>
      <c r="N567" s="22" t="s">
        <v>57</v>
      </c>
      <c r="O567" s="23" t="s">
        <v>1712</v>
      </c>
      <c r="Q567" s="22" t="s">
        <v>50</v>
      </c>
      <c r="R567" s="22" t="s">
        <v>38</v>
      </c>
      <c r="T567" s="62" t="s">
        <v>6095</v>
      </c>
    </row>
    <row r="568" spans="1:25" x14ac:dyDescent="0.3">
      <c r="A568" s="22">
        <v>567</v>
      </c>
      <c r="B568" s="22">
        <v>297</v>
      </c>
      <c r="C568" s="18" t="s">
        <v>1250</v>
      </c>
      <c r="D568" s="21" t="s">
        <v>1249</v>
      </c>
      <c r="E568" s="21" t="s">
        <v>1251</v>
      </c>
      <c r="F568" s="18" t="s">
        <v>1252</v>
      </c>
      <c r="J568" s="23" t="s">
        <v>5282</v>
      </c>
      <c r="M568" s="23" t="s">
        <v>3757</v>
      </c>
      <c r="N568" s="22" t="s">
        <v>57</v>
      </c>
      <c r="O568" s="23" t="s">
        <v>1712</v>
      </c>
      <c r="S568" s="22" t="s">
        <v>1798</v>
      </c>
      <c r="T568" s="62" t="s">
        <v>6096</v>
      </c>
      <c r="Y568" s="23" t="s">
        <v>4473</v>
      </c>
    </row>
    <row r="569" spans="1:25" x14ac:dyDescent="0.3">
      <c r="A569" s="22">
        <v>568</v>
      </c>
      <c r="B569" s="22">
        <v>295</v>
      </c>
      <c r="C569" s="18" t="s">
        <v>1250</v>
      </c>
      <c r="D569" s="21" t="s">
        <v>1249</v>
      </c>
      <c r="E569" s="21" t="s">
        <v>1255</v>
      </c>
      <c r="F569" s="18" t="s">
        <v>1256</v>
      </c>
      <c r="J569" s="23" t="s">
        <v>5627</v>
      </c>
      <c r="L569" s="23" t="s">
        <v>2137</v>
      </c>
      <c r="M569" s="23" t="s">
        <v>4006</v>
      </c>
      <c r="N569" s="22" t="s">
        <v>57</v>
      </c>
      <c r="O569" s="23" t="s">
        <v>2138</v>
      </c>
      <c r="Q569" s="22" t="s">
        <v>50</v>
      </c>
      <c r="R569" s="22" t="s">
        <v>38</v>
      </c>
      <c r="T569" s="62" t="s">
        <v>6097</v>
      </c>
    </row>
    <row r="570" spans="1:25" x14ac:dyDescent="0.3">
      <c r="A570" s="22">
        <v>569</v>
      </c>
      <c r="B570" s="22">
        <v>295</v>
      </c>
      <c r="C570" s="18" t="s">
        <v>1250</v>
      </c>
      <c r="D570" s="21" t="s">
        <v>1249</v>
      </c>
      <c r="E570" s="21" t="s">
        <v>1257</v>
      </c>
      <c r="F570" s="18" t="s">
        <v>1258</v>
      </c>
      <c r="J570" s="23" t="s">
        <v>5628</v>
      </c>
      <c r="L570" s="23" t="s">
        <v>2139</v>
      </c>
      <c r="M570" s="23" t="s">
        <v>4008</v>
      </c>
      <c r="N570" s="22" t="s">
        <v>57</v>
      </c>
      <c r="O570" s="23" t="s">
        <v>1720</v>
      </c>
      <c r="P570" s="23" t="s">
        <v>3035</v>
      </c>
      <c r="Q570" s="22" t="s">
        <v>58</v>
      </c>
      <c r="R570" s="22" t="s">
        <v>58</v>
      </c>
      <c r="T570" s="62" t="s">
        <v>6098</v>
      </c>
    </row>
    <row r="571" spans="1:25" x14ac:dyDescent="0.3">
      <c r="A571" s="22">
        <v>570</v>
      </c>
      <c r="B571" s="22">
        <v>297</v>
      </c>
      <c r="C571" s="18" t="s">
        <v>1250</v>
      </c>
      <c r="D571" s="21" t="s">
        <v>1249</v>
      </c>
      <c r="E571" s="21" t="s">
        <v>1273</v>
      </c>
      <c r="F571" s="18" t="s">
        <v>2149</v>
      </c>
      <c r="G571" s="23" t="s">
        <v>2148</v>
      </c>
      <c r="J571" s="23" t="s">
        <v>5470</v>
      </c>
      <c r="M571" s="23" t="s">
        <v>3788</v>
      </c>
      <c r="N571" s="22" t="s">
        <v>57</v>
      </c>
      <c r="O571" s="23" t="s">
        <v>1914</v>
      </c>
      <c r="S571" s="22" t="s">
        <v>4474</v>
      </c>
      <c r="Y571" s="23" t="s">
        <v>4475</v>
      </c>
    </row>
    <row r="572" spans="1:25" x14ac:dyDescent="0.3">
      <c r="A572" s="22">
        <v>571</v>
      </c>
      <c r="B572" s="22">
        <v>299</v>
      </c>
      <c r="C572" s="18" t="s">
        <v>1250</v>
      </c>
      <c r="D572" s="21" t="s">
        <v>1249</v>
      </c>
      <c r="E572" s="21" t="s">
        <v>1281</v>
      </c>
      <c r="F572" s="18" t="s">
        <v>1282</v>
      </c>
      <c r="J572" s="23" t="s">
        <v>5629</v>
      </c>
      <c r="M572" s="23" t="s">
        <v>4011</v>
      </c>
      <c r="N572" s="22" t="s">
        <v>57</v>
      </c>
      <c r="O572" s="23" t="s">
        <v>1632</v>
      </c>
    </row>
    <row r="573" spans="1:25" x14ac:dyDescent="0.3">
      <c r="A573" s="22">
        <v>572</v>
      </c>
      <c r="B573" s="22">
        <v>301</v>
      </c>
      <c r="C573" s="18" t="s">
        <v>1250</v>
      </c>
      <c r="D573" s="21" t="s">
        <v>1249</v>
      </c>
      <c r="E573" s="21" t="s">
        <v>1274</v>
      </c>
      <c r="F573" s="18" t="s">
        <v>1275</v>
      </c>
      <c r="G573" s="23" t="s">
        <v>2151</v>
      </c>
      <c r="I573" s="23" t="s">
        <v>2151</v>
      </c>
      <c r="J573" s="23" t="s">
        <v>5630</v>
      </c>
      <c r="M573" s="23" t="s">
        <v>4013</v>
      </c>
      <c r="N573" s="22" t="s">
        <v>37</v>
      </c>
      <c r="S573" s="22" t="s">
        <v>2150</v>
      </c>
      <c r="T573" s="62" t="s">
        <v>6099</v>
      </c>
      <c r="Y573" s="23" t="s">
        <v>5631</v>
      </c>
    </row>
    <row r="574" spans="1:25" x14ac:dyDescent="0.3">
      <c r="A574" s="22">
        <v>573</v>
      </c>
      <c r="B574" s="22">
        <v>301</v>
      </c>
      <c r="C574" s="18" t="s">
        <v>1250</v>
      </c>
      <c r="D574" s="21" t="s">
        <v>1249</v>
      </c>
      <c r="E574" s="21" t="s">
        <v>1276</v>
      </c>
      <c r="F574" s="18" t="s">
        <v>1277</v>
      </c>
      <c r="J574" s="23" t="s">
        <v>5632</v>
      </c>
      <c r="M574" s="23" t="s">
        <v>4015</v>
      </c>
      <c r="N574" s="22" t="s">
        <v>253</v>
      </c>
      <c r="X574" s="124" t="s">
        <v>254</v>
      </c>
    </row>
    <row r="575" spans="1:25" x14ac:dyDescent="0.3">
      <c r="A575" s="22">
        <v>574</v>
      </c>
      <c r="B575" s="22">
        <v>301</v>
      </c>
      <c r="C575" s="18" t="s">
        <v>1250</v>
      </c>
      <c r="D575" s="21" t="s">
        <v>1249</v>
      </c>
      <c r="E575" s="21" t="s">
        <v>1278</v>
      </c>
      <c r="F575" s="18" t="s">
        <v>1279</v>
      </c>
      <c r="J575" s="23" t="s">
        <v>5633</v>
      </c>
      <c r="M575" s="23" t="s">
        <v>4017</v>
      </c>
      <c r="N575" s="22" t="s">
        <v>253</v>
      </c>
      <c r="S575" s="22" t="s">
        <v>1638</v>
      </c>
      <c r="X575" s="124" t="s">
        <v>1280</v>
      </c>
      <c r="Y575" s="23" t="s">
        <v>4476</v>
      </c>
    </row>
    <row r="576" spans="1:25" x14ac:dyDescent="0.3">
      <c r="A576" s="22">
        <v>575</v>
      </c>
      <c r="B576" s="22">
        <v>303</v>
      </c>
      <c r="C576" s="18" t="s">
        <v>1213</v>
      </c>
      <c r="D576" s="21" t="s">
        <v>5846</v>
      </c>
      <c r="E576" s="21" t="s">
        <v>1236</v>
      </c>
      <c r="F576" s="18" t="s">
        <v>2126</v>
      </c>
      <c r="G576" s="23" t="s">
        <v>2125</v>
      </c>
      <c r="J576" s="23" t="s">
        <v>5634</v>
      </c>
      <c r="M576" s="23" t="s">
        <v>4019</v>
      </c>
      <c r="N576" s="22" t="s">
        <v>37</v>
      </c>
      <c r="S576" s="22" t="s">
        <v>1615</v>
      </c>
      <c r="T576" s="62" t="s">
        <v>6100</v>
      </c>
      <c r="Y576" s="23" t="s">
        <v>4477</v>
      </c>
    </row>
    <row r="577" spans="1:25" x14ac:dyDescent="0.3">
      <c r="A577" s="22">
        <v>576</v>
      </c>
      <c r="B577" s="22">
        <v>303</v>
      </c>
      <c r="C577" s="18" t="s">
        <v>1213</v>
      </c>
      <c r="D577" s="21" t="s">
        <v>5846</v>
      </c>
      <c r="E577" s="21" t="s">
        <v>1237</v>
      </c>
      <c r="F577" s="18" t="s">
        <v>2128</v>
      </c>
      <c r="G577" s="23" t="s">
        <v>2125</v>
      </c>
      <c r="J577" s="23" t="s">
        <v>6101</v>
      </c>
      <c r="M577" s="23" t="s">
        <v>4021</v>
      </c>
      <c r="N577" s="22" t="s">
        <v>37</v>
      </c>
      <c r="S577" s="22" t="s">
        <v>2127</v>
      </c>
      <c r="Y577" s="23" t="s">
        <v>6102</v>
      </c>
    </row>
    <row r="578" spans="1:25" ht="30.6" x14ac:dyDescent="0.3">
      <c r="A578" s="22">
        <v>577</v>
      </c>
      <c r="B578" s="22">
        <v>303</v>
      </c>
      <c r="C578" s="18" t="s">
        <v>1213</v>
      </c>
      <c r="D578" s="21" t="s">
        <v>5846</v>
      </c>
      <c r="E578" s="21" t="s">
        <v>1238</v>
      </c>
      <c r="F578" s="18" t="s">
        <v>1239</v>
      </c>
      <c r="J578" s="23" t="s">
        <v>5567</v>
      </c>
      <c r="M578" s="109" t="s">
        <v>6585</v>
      </c>
      <c r="N578" s="22" t="s">
        <v>57</v>
      </c>
      <c r="O578" s="23" t="s">
        <v>1632</v>
      </c>
      <c r="T578" s="62" t="s">
        <v>6103</v>
      </c>
    </row>
    <row r="579" spans="1:25" x14ac:dyDescent="0.3">
      <c r="A579" s="22">
        <v>578</v>
      </c>
      <c r="B579" s="22">
        <v>303</v>
      </c>
      <c r="C579" s="18" t="s">
        <v>1241</v>
      </c>
      <c r="D579" s="21" t="s">
        <v>1240</v>
      </c>
      <c r="E579" s="21" t="s">
        <v>1247</v>
      </c>
      <c r="F579" s="18" t="s">
        <v>1248</v>
      </c>
      <c r="H579" s="21" t="s">
        <v>2135</v>
      </c>
      <c r="J579" s="23" t="s">
        <v>5480</v>
      </c>
      <c r="L579" s="23" t="s">
        <v>2130</v>
      </c>
      <c r="M579" s="23" t="s">
        <v>4024</v>
      </c>
      <c r="N579" s="22" t="s">
        <v>57</v>
      </c>
      <c r="O579" s="23" t="s">
        <v>1647</v>
      </c>
      <c r="Q579" s="22" t="s">
        <v>50</v>
      </c>
      <c r="R579" s="22" t="s">
        <v>186</v>
      </c>
    </row>
    <row r="580" spans="1:25" x14ac:dyDescent="0.3">
      <c r="A580" s="22">
        <v>579</v>
      </c>
      <c r="B580" s="22">
        <v>305</v>
      </c>
      <c r="C580" s="18" t="s">
        <v>1241</v>
      </c>
      <c r="D580" s="21" t="s">
        <v>1240</v>
      </c>
      <c r="E580" s="21" t="s">
        <v>1246</v>
      </c>
      <c r="F580" s="18" t="s">
        <v>2133</v>
      </c>
      <c r="J580" s="23" t="s">
        <v>5480</v>
      </c>
      <c r="L580" s="23" t="s">
        <v>2132</v>
      </c>
      <c r="M580" s="23" t="s">
        <v>4026</v>
      </c>
      <c r="N580" s="22" t="s">
        <v>57</v>
      </c>
      <c r="O580" s="23" t="s">
        <v>1647</v>
      </c>
      <c r="S580" s="22" t="s">
        <v>2142</v>
      </c>
      <c r="T580" s="62" t="s">
        <v>6104</v>
      </c>
      <c r="V580" s="107" t="s">
        <v>2134</v>
      </c>
      <c r="Y580" s="23" t="s">
        <v>4478</v>
      </c>
    </row>
    <row r="581" spans="1:25" x14ac:dyDescent="0.3">
      <c r="A581" s="22">
        <v>580</v>
      </c>
      <c r="B581" s="22">
        <v>305</v>
      </c>
      <c r="C581" s="18" t="s">
        <v>1241</v>
      </c>
      <c r="D581" s="21" t="s">
        <v>1240</v>
      </c>
      <c r="E581" s="21" t="s">
        <v>1242</v>
      </c>
      <c r="F581" s="18" t="s">
        <v>1243</v>
      </c>
      <c r="G581" s="23" t="s">
        <v>2129</v>
      </c>
      <c r="J581" s="23" t="s">
        <v>5615</v>
      </c>
      <c r="M581" s="23" t="s">
        <v>4028</v>
      </c>
      <c r="N581" s="22" t="s">
        <v>57</v>
      </c>
      <c r="O581" s="23" t="s">
        <v>1669</v>
      </c>
    </row>
    <row r="582" spans="1:25" x14ac:dyDescent="0.3">
      <c r="A582" s="22">
        <v>581</v>
      </c>
      <c r="B582" s="22">
        <v>305</v>
      </c>
      <c r="C582" s="18" t="s">
        <v>1241</v>
      </c>
      <c r="D582" s="21" t="s">
        <v>1240</v>
      </c>
      <c r="E582" s="21" t="s">
        <v>1244</v>
      </c>
      <c r="F582" s="18" t="s">
        <v>1245</v>
      </c>
      <c r="G582" s="23" t="s">
        <v>2131</v>
      </c>
      <c r="J582" s="23" t="s">
        <v>5223</v>
      </c>
      <c r="L582" s="23" t="s">
        <v>2130</v>
      </c>
      <c r="M582" s="23" t="s">
        <v>4030</v>
      </c>
      <c r="N582" s="22" t="s">
        <v>57</v>
      </c>
      <c r="O582" s="23" t="s">
        <v>1647</v>
      </c>
      <c r="Q582" s="22" t="s">
        <v>38</v>
      </c>
      <c r="R582" s="22" t="s">
        <v>38</v>
      </c>
    </row>
    <row r="583" spans="1:25" x14ac:dyDescent="0.3">
      <c r="A583" s="22">
        <v>582</v>
      </c>
      <c r="B583" s="22">
        <v>339</v>
      </c>
      <c r="C583" s="18" t="s">
        <v>1284</v>
      </c>
      <c r="D583" s="21" t="s">
        <v>1283</v>
      </c>
      <c r="E583" s="21" t="s">
        <v>2152</v>
      </c>
      <c r="F583" s="18" t="s">
        <v>2153</v>
      </c>
      <c r="G583" s="23" t="s">
        <v>5788</v>
      </c>
      <c r="J583" s="23" t="s">
        <v>5480</v>
      </c>
      <c r="L583" s="23" t="s">
        <v>6105</v>
      </c>
      <c r="M583" s="23" t="s">
        <v>4031</v>
      </c>
      <c r="N583" s="22" t="s">
        <v>57</v>
      </c>
      <c r="O583" s="23" t="s">
        <v>1610</v>
      </c>
      <c r="Q583" s="22" t="s">
        <v>50</v>
      </c>
      <c r="S583" s="22" t="s">
        <v>1648</v>
      </c>
      <c r="T583" s="62" t="s">
        <v>6106</v>
      </c>
      <c r="Y583" s="23" t="s">
        <v>5635</v>
      </c>
    </row>
    <row r="584" spans="1:25" x14ac:dyDescent="0.3">
      <c r="A584" s="22">
        <v>583</v>
      </c>
      <c r="B584" s="22">
        <v>339</v>
      </c>
      <c r="C584" s="18" t="s">
        <v>1284</v>
      </c>
      <c r="D584" s="21" t="s">
        <v>1283</v>
      </c>
      <c r="E584" s="21" t="s">
        <v>1285</v>
      </c>
      <c r="F584" s="18" t="s">
        <v>1286</v>
      </c>
      <c r="J584" s="23" t="s">
        <v>5636</v>
      </c>
      <c r="M584" s="23" t="s">
        <v>4033</v>
      </c>
      <c r="N584" s="22" t="s">
        <v>57</v>
      </c>
      <c r="O584" s="23" t="s">
        <v>1632</v>
      </c>
      <c r="Q584" s="22" t="s">
        <v>50</v>
      </c>
      <c r="T584" s="62" t="s">
        <v>6107</v>
      </c>
    </row>
    <row r="585" spans="1:25" x14ac:dyDescent="0.3">
      <c r="A585" s="22">
        <v>584</v>
      </c>
      <c r="B585" s="22">
        <v>305</v>
      </c>
      <c r="C585" s="18" t="s">
        <v>1288</v>
      </c>
      <c r="D585" s="21" t="s">
        <v>1287</v>
      </c>
      <c r="E585" s="21" t="s">
        <v>1289</v>
      </c>
      <c r="F585" s="18" t="s">
        <v>1290</v>
      </c>
      <c r="J585" s="23" t="s">
        <v>5637</v>
      </c>
      <c r="M585" s="23" t="s">
        <v>4035</v>
      </c>
      <c r="N585" s="22" t="s">
        <v>37</v>
      </c>
    </row>
    <row r="586" spans="1:25" x14ac:dyDescent="0.3">
      <c r="A586" s="22">
        <v>585</v>
      </c>
      <c r="B586" s="22">
        <v>307</v>
      </c>
      <c r="C586" s="18" t="s">
        <v>1288</v>
      </c>
      <c r="D586" s="21" t="s">
        <v>1287</v>
      </c>
      <c r="E586" s="21" t="s">
        <v>1291</v>
      </c>
      <c r="F586" s="18" t="s">
        <v>1292</v>
      </c>
      <c r="G586" s="23" t="s">
        <v>1289</v>
      </c>
      <c r="J586" s="23" t="s">
        <v>5544</v>
      </c>
      <c r="M586" s="23" t="s">
        <v>4037</v>
      </c>
      <c r="N586" s="22" t="s">
        <v>57</v>
      </c>
      <c r="O586" s="23" t="s">
        <v>1632</v>
      </c>
    </row>
    <row r="587" spans="1:25" x14ac:dyDescent="0.3">
      <c r="A587" s="22">
        <v>586</v>
      </c>
      <c r="B587" s="22">
        <v>313</v>
      </c>
      <c r="C587" s="18" t="s">
        <v>1293</v>
      </c>
      <c r="D587" s="21" t="s">
        <v>5847</v>
      </c>
      <c r="E587" s="21" t="s">
        <v>1294</v>
      </c>
      <c r="F587" s="18" t="s">
        <v>1295</v>
      </c>
      <c r="J587" s="23" t="s">
        <v>52</v>
      </c>
      <c r="M587" s="23" t="s">
        <v>3314</v>
      </c>
      <c r="N587" s="22" t="s">
        <v>37</v>
      </c>
    </row>
    <row r="588" spans="1:25" x14ac:dyDescent="0.3">
      <c r="A588" s="22">
        <v>587</v>
      </c>
      <c r="B588" s="22">
        <v>313</v>
      </c>
      <c r="C588" s="18" t="s">
        <v>1293</v>
      </c>
      <c r="D588" s="21" t="s">
        <v>5847</v>
      </c>
      <c r="E588" s="21" t="s">
        <v>1296</v>
      </c>
      <c r="F588" s="18" t="s">
        <v>1297</v>
      </c>
      <c r="G588" s="23" t="s">
        <v>2155</v>
      </c>
      <c r="J588" s="23" t="s">
        <v>5638</v>
      </c>
      <c r="L588" s="23" t="s">
        <v>2154</v>
      </c>
      <c r="M588" s="23" t="s">
        <v>3788</v>
      </c>
      <c r="N588" s="22" t="s">
        <v>37</v>
      </c>
    </row>
    <row r="589" spans="1:25" x14ac:dyDescent="0.3">
      <c r="A589" s="22">
        <v>588</v>
      </c>
      <c r="B589" s="22">
        <v>311</v>
      </c>
      <c r="C589" s="18" t="s">
        <v>1293</v>
      </c>
      <c r="D589" s="21" t="s">
        <v>5847</v>
      </c>
      <c r="E589" s="21" t="s">
        <v>1298</v>
      </c>
      <c r="F589" s="18" t="s">
        <v>2156</v>
      </c>
      <c r="J589" s="23" t="s">
        <v>5639</v>
      </c>
      <c r="L589" s="23" t="s">
        <v>2008</v>
      </c>
      <c r="M589" s="23" t="s">
        <v>3788</v>
      </c>
      <c r="N589" s="22" t="s">
        <v>57</v>
      </c>
      <c r="O589" s="23" t="s">
        <v>1914</v>
      </c>
      <c r="Q589" s="22" t="s">
        <v>50</v>
      </c>
      <c r="R589" s="22" t="s">
        <v>38</v>
      </c>
      <c r="S589" s="22" t="s">
        <v>1679</v>
      </c>
      <c r="T589" s="62" t="s">
        <v>6108</v>
      </c>
      <c r="Y589" s="23" t="s">
        <v>5640</v>
      </c>
    </row>
    <row r="590" spans="1:25" x14ac:dyDescent="0.3">
      <c r="A590" s="22">
        <v>589</v>
      </c>
      <c r="B590" s="22">
        <v>313</v>
      </c>
      <c r="C590" s="18" t="s">
        <v>1293</v>
      </c>
      <c r="D590" s="21" t="s">
        <v>5847</v>
      </c>
      <c r="E590" s="21" t="s">
        <v>1299</v>
      </c>
      <c r="F590" s="18" t="s">
        <v>1300</v>
      </c>
      <c r="J590" s="23" t="s">
        <v>5229</v>
      </c>
      <c r="M590" s="23" t="s">
        <v>3142</v>
      </c>
      <c r="N590" s="22" t="s">
        <v>253</v>
      </c>
      <c r="X590" s="124" t="s">
        <v>1301</v>
      </c>
    </row>
    <row r="591" spans="1:25" x14ac:dyDescent="0.3">
      <c r="A591" s="22">
        <v>590</v>
      </c>
      <c r="B591" s="22">
        <v>313</v>
      </c>
      <c r="C591" s="18" t="s">
        <v>1293</v>
      </c>
      <c r="D591" s="21" t="s">
        <v>5847</v>
      </c>
      <c r="E591" s="21" t="s">
        <v>1302</v>
      </c>
      <c r="F591" s="18" t="s">
        <v>1303</v>
      </c>
      <c r="G591" s="23" t="s">
        <v>2157</v>
      </c>
      <c r="J591" s="23" t="s">
        <v>84</v>
      </c>
      <c r="M591" s="23" t="s">
        <v>4042</v>
      </c>
      <c r="N591" s="22" t="s">
        <v>37</v>
      </c>
      <c r="R591" s="22" t="s">
        <v>38</v>
      </c>
    </row>
    <row r="592" spans="1:25" x14ac:dyDescent="0.3">
      <c r="A592" s="22">
        <v>591</v>
      </c>
      <c r="B592" s="22">
        <v>309</v>
      </c>
      <c r="C592" s="18" t="s">
        <v>1293</v>
      </c>
      <c r="D592" s="21" t="s">
        <v>5847</v>
      </c>
      <c r="E592" s="21" t="s">
        <v>1304</v>
      </c>
      <c r="F592" s="18" t="s">
        <v>1305</v>
      </c>
      <c r="J592" s="23" t="s">
        <v>4479</v>
      </c>
      <c r="M592" s="23" t="s">
        <v>4044</v>
      </c>
      <c r="N592" s="22" t="s">
        <v>42</v>
      </c>
      <c r="X592" s="124" t="s">
        <v>1306</v>
      </c>
    </row>
    <row r="593" spans="1:25" x14ac:dyDescent="0.3">
      <c r="A593" s="22">
        <v>592</v>
      </c>
      <c r="B593" s="22">
        <v>309</v>
      </c>
      <c r="C593" s="18" t="s">
        <v>1293</v>
      </c>
      <c r="D593" s="21" t="s">
        <v>5847</v>
      </c>
      <c r="E593" s="21" t="s">
        <v>1307</v>
      </c>
      <c r="F593" s="18" t="s">
        <v>1308</v>
      </c>
      <c r="G593" s="23" t="s">
        <v>1612</v>
      </c>
      <c r="J593" s="23" t="s">
        <v>84</v>
      </c>
      <c r="M593" s="23" t="s">
        <v>4046</v>
      </c>
      <c r="N593" s="22" t="s">
        <v>49</v>
      </c>
      <c r="P593" s="23" t="s">
        <v>49</v>
      </c>
      <c r="W593" s="108">
        <v>43688</v>
      </c>
      <c r="X593" s="124" t="s">
        <v>8572</v>
      </c>
    </row>
    <row r="594" spans="1:25" x14ac:dyDescent="0.3">
      <c r="A594" s="22">
        <v>593</v>
      </c>
      <c r="B594" s="22">
        <v>309</v>
      </c>
      <c r="C594" s="18" t="s">
        <v>1293</v>
      </c>
      <c r="D594" s="21" t="s">
        <v>5847</v>
      </c>
      <c r="E594" s="21" t="s">
        <v>1309</v>
      </c>
      <c r="F594" s="18" t="s">
        <v>1310</v>
      </c>
      <c r="G594" s="23" t="s">
        <v>2159</v>
      </c>
      <c r="J594" s="23" t="s">
        <v>4480</v>
      </c>
      <c r="L594" s="23" t="s">
        <v>2158</v>
      </c>
      <c r="M594" s="23" t="s">
        <v>4048</v>
      </c>
      <c r="N594" s="22" t="s">
        <v>89</v>
      </c>
      <c r="T594" s="62" t="s">
        <v>6109</v>
      </c>
      <c r="W594" s="108">
        <v>1401</v>
      </c>
      <c r="X594" s="124" t="s">
        <v>6450</v>
      </c>
    </row>
    <row r="595" spans="1:25" x14ac:dyDescent="0.3">
      <c r="A595" s="22">
        <v>594</v>
      </c>
      <c r="B595" s="22">
        <v>309</v>
      </c>
      <c r="C595" s="18" t="s">
        <v>1293</v>
      </c>
      <c r="D595" s="21" t="s">
        <v>5847</v>
      </c>
      <c r="E595" s="21" t="s">
        <v>1311</v>
      </c>
      <c r="F595" s="18" t="s">
        <v>1312</v>
      </c>
      <c r="G595" s="23" t="s">
        <v>2161</v>
      </c>
      <c r="J595" s="23" t="s">
        <v>5641</v>
      </c>
      <c r="K595" s="23" t="s">
        <v>1620</v>
      </c>
      <c r="L595" s="23" t="s">
        <v>2160</v>
      </c>
      <c r="M595" s="23" t="s">
        <v>3728</v>
      </c>
      <c r="N595" s="22" t="s">
        <v>49</v>
      </c>
      <c r="P595" s="23" t="s">
        <v>49</v>
      </c>
      <c r="T595" s="62" t="s">
        <v>6110</v>
      </c>
      <c r="W595" s="108">
        <v>2582</v>
      </c>
      <c r="X595" s="124" t="s">
        <v>6586</v>
      </c>
    </row>
    <row r="596" spans="1:25" x14ac:dyDescent="0.3">
      <c r="A596" s="22">
        <v>595</v>
      </c>
      <c r="B596" s="22">
        <v>307</v>
      </c>
      <c r="C596" s="18" t="s">
        <v>1293</v>
      </c>
      <c r="D596" s="21" t="s">
        <v>5847</v>
      </c>
      <c r="E596" s="21" t="s">
        <v>1313</v>
      </c>
      <c r="F596" s="18" t="s">
        <v>1314</v>
      </c>
      <c r="G596" s="23" t="s">
        <v>1612</v>
      </c>
      <c r="I596" s="23" t="s">
        <v>2163</v>
      </c>
      <c r="J596" s="23" t="s">
        <v>5642</v>
      </c>
      <c r="K596" s="23" t="s">
        <v>1633</v>
      </c>
      <c r="L596" s="23" t="s">
        <v>2162</v>
      </c>
      <c r="M596" s="23" t="s">
        <v>4051</v>
      </c>
      <c r="N596" s="22" t="s">
        <v>49</v>
      </c>
      <c r="P596" s="23" t="s">
        <v>49</v>
      </c>
      <c r="W596" s="108">
        <v>28785</v>
      </c>
      <c r="X596" s="124" t="s">
        <v>6451</v>
      </c>
    </row>
    <row r="597" spans="1:25" x14ac:dyDescent="0.3">
      <c r="A597" s="22">
        <v>596</v>
      </c>
      <c r="B597" s="22">
        <v>309</v>
      </c>
      <c r="C597" s="18" t="s">
        <v>1293</v>
      </c>
      <c r="D597" s="21" t="s">
        <v>5847</v>
      </c>
      <c r="E597" s="21" t="s">
        <v>1315</v>
      </c>
      <c r="F597" s="18" t="s">
        <v>1316</v>
      </c>
      <c r="J597" s="23" t="s">
        <v>5643</v>
      </c>
      <c r="K597" s="23" t="s">
        <v>4481</v>
      </c>
      <c r="L597" s="23" t="s">
        <v>2164</v>
      </c>
      <c r="M597" s="23" t="s">
        <v>4053</v>
      </c>
      <c r="N597" s="22" t="s">
        <v>89</v>
      </c>
      <c r="T597" s="62" t="s">
        <v>6111</v>
      </c>
    </row>
    <row r="598" spans="1:25" x14ac:dyDescent="0.3">
      <c r="A598" s="22">
        <v>597</v>
      </c>
      <c r="B598" s="22">
        <v>309</v>
      </c>
      <c r="C598" s="18" t="s">
        <v>1293</v>
      </c>
      <c r="D598" s="21" t="s">
        <v>5847</v>
      </c>
      <c r="E598" s="21" t="s">
        <v>1317</v>
      </c>
      <c r="F598" s="18" t="s">
        <v>1318</v>
      </c>
      <c r="J598" s="23" t="s">
        <v>1319</v>
      </c>
      <c r="L598" s="23" t="s">
        <v>2165</v>
      </c>
      <c r="M598" s="23" t="s">
        <v>4055</v>
      </c>
      <c r="N598" s="22" t="s">
        <v>89</v>
      </c>
      <c r="T598" s="62" t="s">
        <v>6112</v>
      </c>
    </row>
    <row r="599" spans="1:25" x14ac:dyDescent="0.3">
      <c r="A599" s="22">
        <v>598</v>
      </c>
      <c r="B599" s="22">
        <v>307</v>
      </c>
      <c r="C599" s="18" t="s">
        <v>1293</v>
      </c>
      <c r="D599" s="21" t="s">
        <v>5847</v>
      </c>
      <c r="E599" s="21" t="s">
        <v>1320</v>
      </c>
      <c r="F599" s="18" t="s">
        <v>1321</v>
      </c>
      <c r="G599" s="23" t="s">
        <v>1612</v>
      </c>
      <c r="J599" s="23" t="s">
        <v>5644</v>
      </c>
      <c r="K599" s="23" t="s">
        <v>4482</v>
      </c>
      <c r="L599" s="23" t="s">
        <v>2166</v>
      </c>
      <c r="M599" s="23" t="s">
        <v>4057</v>
      </c>
      <c r="N599" s="22" t="s">
        <v>49</v>
      </c>
      <c r="P599" s="23" t="s">
        <v>49</v>
      </c>
      <c r="W599" s="108">
        <v>39943</v>
      </c>
      <c r="X599" s="124" t="s">
        <v>6452</v>
      </c>
    </row>
    <row r="600" spans="1:25" x14ac:dyDescent="0.3">
      <c r="A600" s="22">
        <v>599</v>
      </c>
      <c r="B600" s="22">
        <v>307</v>
      </c>
      <c r="C600" s="18" t="s">
        <v>1293</v>
      </c>
      <c r="D600" s="21" t="s">
        <v>5847</v>
      </c>
      <c r="E600" s="21" t="s">
        <v>1322</v>
      </c>
      <c r="F600" s="18" t="s">
        <v>1323</v>
      </c>
      <c r="G600" s="23" t="s">
        <v>1612</v>
      </c>
      <c r="H600" s="21" t="s">
        <v>2167</v>
      </c>
      <c r="J600" s="23" t="s">
        <v>5645</v>
      </c>
      <c r="M600" s="23" t="s">
        <v>4059</v>
      </c>
      <c r="N600" s="22" t="s">
        <v>49</v>
      </c>
      <c r="P600" s="23" t="s">
        <v>49</v>
      </c>
      <c r="W600" s="108">
        <v>39121</v>
      </c>
      <c r="X600" s="124" t="s">
        <v>6587</v>
      </c>
    </row>
    <row r="601" spans="1:25" x14ac:dyDescent="0.3">
      <c r="A601" s="22">
        <v>600</v>
      </c>
      <c r="B601" s="22">
        <v>311</v>
      </c>
      <c r="C601" s="18" t="s">
        <v>1293</v>
      </c>
      <c r="D601" s="21" t="s">
        <v>5847</v>
      </c>
      <c r="E601" s="21" t="s">
        <v>1324</v>
      </c>
      <c r="F601" s="18" t="s">
        <v>1325</v>
      </c>
      <c r="H601" s="21" t="s">
        <v>2168</v>
      </c>
      <c r="J601" s="23" t="s">
        <v>5646</v>
      </c>
      <c r="M601" s="23" t="s">
        <v>4061</v>
      </c>
      <c r="N601" s="22" t="s">
        <v>57</v>
      </c>
      <c r="O601" s="23" t="s">
        <v>1632</v>
      </c>
      <c r="S601" s="22" t="s">
        <v>1615</v>
      </c>
      <c r="Y601" s="23" t="s">
        <v>4483</v>
      </c>
    </row>
    <row r="602" spans="1:25" x14ac:dyDescent="0.3">
      <c r="A602" s="22">
        <v>601</v>
      </c>
      <c r="B602" s="22">
        <v>311</v>
      </c>
      <c r="C602" s="18" t="s">
        <v>1293</v>
      </c>
      <c r="D602" s="21" t="s">
        <v>5847</v>
      </c>
      <c r="E602" s="21" t="s">
        <v>1326</v>
      </c>
      <c r="F602" s="18" t="s">
        <v>1327</v>
      </c>
      <c r="J602" s="23" t="s">
        <v>5647</v>
      </c>
      <c r="M602" s="23" t="s">
        <v>5176</v>
      </c>
      <c r="N602" s="22" t="s">
        <v>57</v>
      </c>
      <c r="O602" s="23" t="s">
        <v>1632</v>
      </c>
    </row>
    <row r="603" spans="1:25" x14ac:dyDescent="0.3">
      <c r="A603" s="22">
        <v>602</v>
      </c>
      <c r="B603" s="22">
        <v>311</v>
      </c>
      <c r="C603" s="18" t="s">
        <v>1293</v>
      </c>
      <c r="D603" s="21" t="s">
        <v>5847</v>
      </c>
      <c r="E603" s="21" t="s">
        <v>2800</v>
      </c>
      <c r="F603" s="18" t="s">
        <v>2801</v>
      </c>
      <c r="G603" s="23" t="s">
        <v>1326</v>
      </c>
      <c r="J603" s="23" t="s">
        <v>5648</v>
      </c>
      <c r="L603" s="23" t="s">
        <v>5649</v>
      </c>
      <c r="M603" s="23" t="s">
        <v>4063</v>
      </c>
      <c r="N603" s="22" t="s">
        <v>57</v>
      </c>
      <c r="O603" s="23" t="s">
        <v>5650</v>
      </c>
      <c r="S603" s="22" t="s">
        <v>1648</v>
      </c>
      <c r="T603" s="62" t="s">
        <v>6113</v>
      </c>
      <c r="Y603" s="23" t="s">
        <v>5651</v>
      </c>
    </row>
    <row r="604" spans="1:25" x14ac:dyDescent="0.3">
      <c r="A604" s="22">
        <v>603</v>
      </c>
      <c r="B604" s="22">
        <v>311</v>
      </c>
      <c r="C604" s="18" t="s">
        <v>1293</v>
      </c>
      <c r="D604" s="21" t="s">
        <v>5847</v>
      </c>
      <c r="E604" s="21" t="s">
        <v>1328</v>
      </c>
      <c r="F604" s="18" t="s">
        <v>1329</v>
      </c>
      <c r="H604" s="21" t="s">
        <v>2169</v>
      </c>
      <c r="J604" s="23" t="s">
        <v>5282</v>
      </c>
      <c r="L604" s="23" t="s">
        <v>2147</v>
      </c>
      <c r="M604" s="23" t="s">
        <v>4065</v>
      </c>
      <c r="N604" s="22" t="s">
        <v>57</v>
      </c>
      <c r="O604" s="23" t="s">
        <v>1712</v>
      </c>
      <c r="S604" s="22" t="s">
        <v>1615</v>
      </c>
      <c r="X604" s="124" t="s">
        <v>9</v>
      </c>
      <c r="Y604" s="23" t="s">
        <v>4484</v>
      </c>
    </row>
    <row r="605" spans="1:25" x14ac:dyDescent="0.3">
      <c r="A605" s="22">
        <v>604</v>
      </c>
      <c r="B605" s="22">
        <v>313</v>
      </c>
      <c r="C605" s="18" t="s">
        <v>1331</v>
      </c>
      <c r="D605" s="21" t="s">
        <v>1330</v>
      </c>
      <c r="E605" s="21" t="s">
        <v>1338</v>
      </c>
      <c r="F605" s="18" t="s">
        <v>1339</v>
      </c>
      <c r="G605" s="23" t="s">
        <v>2174</v>
      </c>
      <c r="J605" s="23" t="s">
        <v>5652</v>
      </c>
      <c r="L605" s="23" t="s">
        <v>2173</v>
      </c>
      <c r="M605" s="23" t="s">
        <v>4071</v>
      </c>
      <c r="N605" s="22" t="s">
        <v>37</v>
      </c>
    </row>
    <row r="606" spans="1:25" x14ac:dyDescent="0.3">
      <c r="A606" s="22">
        <v>605</v>
      </c>
      <c r="B606" s="22">
        <v>313</v>
      </c>
      <c r="C606" s="18" t="s">
        <v>1331</v>
      </c>
      <c r="D606" s="21" t="s">
        <v>1330</v>
      </c>
      <c r="E606" s="21" t="s">
        <v>1340</v>
      </c>
      <c r="F606" s="18" t="s">
        <v>1341</v>
      </c>
      <c r="G606" s="23" t="s">
        <v>2175</v>
      </c>
      <c r="J606" s="23" t="s">
        <v>5607</v>
      </c>
      <c r="K606" s="23" t="s">
        <v>4485</v>
      </c>
      <c r="M606" s="23" t="s">
        <v>4073</v>
      </c>
      <c r="N606" s="22" t="s">
        <v>89</v>
      </c>
      <c r="V606" s="107" t="s">
        <v>4486</v>
      </c>
    </row>
    <row r="607" spans="1:25" x14ac:dyDescent="0.3">
      <c r="A607" s="22">
        <v>606</v>
      </c>
      <c r="B607" s="22">
        <v>315</v>
      </c>
      <c r="C607" s="18" t="s">
        <v>1331</v>
      </c>
      <c r="D607" s="21" t="s">
        <v>1330</v>
      </c>
      <c r="E607" s="21" t="s">
        <v>1336</v>
      </c>
      <c r="F607" s="18" t="s">
        <v>1337</v>
      </c>
      <c r="G607" s="23" t="s">
        <v>1612</v>
      </c>
      <c r="J607" s="23" t="s">
        <v>5607</v>
      </c>
      <c r="K607" s="23" t="s">
        <v>1633</v>
      </c>
      <c r="M607" s="23" t="s">
        <v>3086</v>
      </c>
      <c r="N607" s="22" t="s">
        <v>49</v>
      </c>
      <c r="P607" s="23" t="s">
        <v>49</v>
      </c>
      <c r="W607" s="108">
        <v>40955</v>
      </c>
      <c r="X607" s="124" t="s">
        <v>6453</v>
      </c>
    </row>
    <row r="608" spans="1:25" x14ac:dyDescent="0.3">
      <c r="A608" s="22">
        <v>607</v>
      </c>
      <c r="B608" s="22">
        <v>315</v>
      </c>
      <c r="C608" s="18" t="s">
        <v>1331</v>
      </c>
      <c r="D608" s="21" t="s">
        <v>1330</v>
      </c>
      <c r="E608" s="21" t="s">
        <v>1332</v>
      </c>
      <c r="F608" s="18" t="s">
        <v>1333</v>
      </c>
      <c r="G608" s="23" t="s">
        <v>2171</v>
      </c>
      <c r="J608" s="23" t="s">
        <v>5653</v>
      </c>
      <c r="L608" s="23" t="s">
        <v>2170</v>
      </c>
      <c r="M608" s="23" t="s">
        <v>3706</v>
      </c>
      <c r="N608" s="22" t="s">
        <v>37</v>
      </c>
      <c r="Q608" s="22" t="s">
        <v>50</v>
      </c>
      <c r="T608" s="62" t="s">
        <v>6114</v>
      </c>
    </row>
    <row r="609" spans="1:25" x14ac:dyDescent="0.3">
      <c r="A609" s="22">
        <v>608</v>
      </c>
      <c r="B609" s="22">
        <v>315</v>
      </c>
      <c r="C609" s="18" t="s">
        <v>1331</v>
      </c>
      <c r="D609" s="21" t="s">
        <v>1330</v>
      </c>
      <c r="E609" s="21" t="s">
        <v>1334</v>
      </c>
      <c r="F609" s="18" t="s">
        <v>1335</v>
      </c>
      <c r="G609" s="23" t="s">
        <v>2172</v>
      </c>
      <c r="J609" s="23" t="s">
        <v>5654</v>
      </c>
      <c r="L609" s="23" t="s">
        <v>2035</v>
      </c>
      <c r="M609" s="23" t="s">
        <v>4068</v>
      </c>
      <c r="N609" s="22" t="s">
        <v>57</v>
      </c>
      <c r="O609" s="23" t="s">
        <v>1632</v>
      </c>
      <c r="Q609" s="22" t="s">
        <v>38</v>
      </c>
      <c r="R609" s="22" t="s">
        <v>38</v>
      </c>
      <c r="T609" s="62" t="s">
        <v>6115</v>
      </c>
    </row>
    <row r="610" spans="1:25" x14ac:dyDescent="0.3">
      <c r="A610" s="22">
        <v>609</v>
      </c>
      <c r="B610" s="22">
        <v>315</v>
      </c>
      <c r="C610" s="18" t="s">
        <v>1331</v>
      </c>
      <c r="D610" s="21" t="s">
        <v>1330</v>
      </c>
      <c r="E610" s="21" t="s">
        <v>1344</v>
      </c>
      <c r="F610" s="18" t="s">
        <v>1345</v>
      </c>
      <c r="G610" s="23" t="s">
        <v>1612</v>
      </c>
      <c r="J610" s="23" t="s">
        <v>4487</v>
      </c>
      <c r="M610" s="23" t="s">
        <v>4076</v>
      </c>
      <c r="N610" s="22" t="s">
        <v>49</v>
      </c>
      <c r="P610" s="23" t="s">
        <v>49</v>
      </c>
      <c r="S610" s="22" t="s">
        <v>1648</v>
      </c>
      <c r="W610" s="108">
        <v>39416</v>
      </c>
      <c r="X610" s="124" t="s">
        <v>6588</v>
      </c>
      <c r="Y610" s="23" t="s">
        <v>4488</v>
      </c>
    </row>
    <row r="611" spans="1:25" x14ac:dyDescent="0.3">
      <c r="A611" s="22">
        <v>610</v>
      </c>
      <c r="C611" s="18" t="s">
        <v>1331</v>
      </c>
      <c r="D611" s="21" t="s">
        <v>1330</v>
      </c>
      <c r="E611" s="21" t="s">
        <v>6590</v>
      </c>
      <c r="F611" s="18" t="s">
        <v>6591</v>
      </c>
      <c r="G611" s="23" t="s">
        <v>1612</v>
      </c>
      <c r="J611" s="23" t="s">
        <v>6688</v>
      </c>
      <c r="K611" s="23" t="s">
        <v>6689</v>
      </c>
      <c r="L611" s="23" t="s">
        <v>6690</v>
      </c>
      <c r="N611" s="22" t="s">
        <v>49</v>
      </c>
      <c r="P611" s="23" t="s">
        <v>49</v>
      </c>
      <c r="W611" s="108">
        <v>45258</v>
      </c>
      <c r="X611" s="124" t="s">
        <v>8573</v>
      </c>
    </row>
    <row r="612" spans="1:25" x14ac:dyDescent="0.3">
      <c r="A612" s="22">
        <v>611</v>
      </c>
      <c r="B612" s="22">
        <v>315</v>
      </c>
      <c r="C612" s="18" t="s">
        <v>1331</v>
      </c>
      <c r="D612" s="21" t="s">
        <v>1330</v>
      </c>
      <c r="E612" s="21" t="s">
        <v>1342</v>
      </c>
      <c r="F612" s="18" t="s">
        <v>1343</v>
      </c>
      <c r="G612" s="23" t="s">
        <v>1612</v>
      </c>
      <c r="H612" s="21" t="s">
        <v>2177</v>
      </c>
      <c r="J612" s="23" t="s">
        <v>5655</v>
      </c>
      <c r="K612" s="23" t="s">
        <v>1633</v>
      </c>
      <c r="L612" s="23" t="s">
        <v>2176</v>
      </c>
      <c r="M612" s="23" t="s">
        <v>3078</v>
      </c>
      <c r="N612" s="22" t="s">
        <v>49</v>
      </c>
      <c r="P612" s="23" t="s">
        <v>49</v>
      </c>
      <c r="W612" s="108">
        <v>41392</v>
      </c>
      <c r="X612" s="124" t="s">
        <v>6454</v>
      </c>
    </row>
    <row r="613" spans="1:25" x14ac:dyDescent="0.3">
      <c r="A613" s="22">
        <v>612</v>
      </c>
      <c r="B613" s="22">
        <v>315</v>
      </c>
      <c r="C613" s="18" t="s">
        <v>1331</v>
      </c>
      <c r="D613" s="21" t="s">
        <v>1330</v>
      </c>
      <c r="E613" s="21" t="s">
        <v>1348</v>
      </c>
      <c r="F613" s="18" t="s">
        <v>1349</v>
      </c>
      <c r="J613" s="23" t="s">
        <v>5656</v>
      </c>
      <c r="K613" s="23" t="s">
        <v>5657</v>
      </c>
      <c r="L613" s="23" t="s">
        <v>2178</v>
      </c>
      <c r="M613" s="23" t="s">
        <v>4080</v>
      </c>
      <c r="N613" s="22" t="s">
        <v>89</v>
      </c>
    </row>
    <row r="614" spans="1:25" x14ac:dyDescent="0.3">
      <c r="A614" s="22">
        <v>613</v>
      </c>
      <c r="B614" s="22">
        <v>317</v>
      </c>
      <c r="C614" s="18" t="s">
        <v>1331</v>
      </c>
      <c r="D614" s="21" t="s">
        <v>1330</v>
      </c>
      <c r="E614" s="21" t="s">
        <v>1350</v>
      </c>
      <c r="F614" s="18" t="s">
        <v>1351</v>
      </c>
      <c r="J614" s="23" t="s">
        <v>5658</v>
      </c>
      <c r="K614" s="23" t="s">
        <v>2179</v>
      </c>
      <c r="L614" s="23" t="s">
        <v>2180</v>
      </c>
      <c r="M614" s="23" t="s">
        <v>4082</v>
      </c>
      <c r="N614" s="22" t="s">
        <v>89</v>
      </c>
      <c r="W614" s="108">
        <v>1428</v>
      </c>
      <c r="X614" s="124" t="s">
        <v>6592</v>
      </c>
    </row>
    <row r="615" spans="1:25" x14ac:dyDescent="0.3">
      <c r="A615" s="22">
        <v>614</v>
      </c>
      <c r="B615" s="22">
        <v>317</v>
      </c>
      <c r="C615" s="18" t="s">
        <v>1331</v>
      </c>
      <c r="D615" s="21" t="s">
        <v>1330</v>
      </c>
      <c r="E615" s="21" t="s">
        <v>1352</v>
      </c>
      <c r="F615" s="18" t="s">
        <v>1353</v>
      </c>
      <c r="J615" s="23" t="s">
        <v>5659</v>
      </c>
      <c r="K615" s="23" t="s">
        <v>5660</v>
      </c>
      <c r="M615" s="23" t="s">
        <v>3221</v>
      </c>
      <c r="N615" s="22" t="s">
        <v>89</v>
      </c>
    </row>
    <row r="616" spans="1:25" ht="91.8" x14ac:dyDescent="0.3">
      <c r="A616" s="22">
        <v>615</v>
      </c>
      <c r="B616" s="22">
        <v>317</v>
      </c>
      <c r="C616" s="18" t="s">
        <v>1331</v>
      </c>
      <c r="D616" s="21" t="s">
        <v>1330</v>
      </c>
      <c r="E616" s="21" t="s">
        <v>1346</v>
      </c>
      <c r="F616" s="18" t="s">
        <v>1347</v>
      </c>
      <c r="J616" s="23" t="s">
        <v>5661</v>
      </c>
      <c r="M616" s="23" t="s">
        <v>4078</v>
      </c>
      <c r="N616" s="22" t="s">
        <v>37</v>
      </c>
      <c r="S616" s="22" t="s">
        <v>1679</v>
      </c>
      <c r="Y616" s="109" t="s">
        <v>5662</v>
      </c>
    </row>
    <row r="617" spans="1:25" x14ac:dyDescent="0.3">
      <c r="A617" s="22">
        <v>616</v>
      </c>
      <c r="C617" s="18" t="s">
        <v>1331</v>
      </c>
      <c r="D617" s="21" t="s">
        <v>1330</v>
      </c>
      <c r="E617" s="21" t="s">
        <v>6594</v>
      </c>
      <c r="F617" s="18" t="s">
        <v>6595</v>
      </c>
      <c r="G617" s="23" t="s">
        <v>1612</v>
      </c>
      <c r="J617" s="23" t="s">
        <v>6691</v>
      </c>
      <c r="K617" s="23" t="s">
        <v>6692</v>
      </c>
      <c r="L617" s="23" t="s">
        <v>6693</v>
      </c>
      <c r="N617" s="22" t="s">
        <v>49</v>
      </c>
      <c r="P617" s="23" t="s">
        <v>49</v>
      </c>
      <c r="W617" s="108">
        <v>44924</v>
      </c>
      <c r="X617" s="124" t="s">
        <v>6596</v>
      </c>
    </row>
    <row r="618" spans="1:25" x14ac:dyDescent="0.3">
      <c r="A618" s="22">
        <v>617</v>
      </c>
      <c r="B618" s="22">
        <v>317</v>
      </c>
      <c r="C618" s="18" t="s">
        <v>1331</v>
      </c>
      <c r="D618" s="21" t="s">
        <v>1330</v>
      </c>
      <c r="E618" s="21" t="s">
        <v>1356</v>
      </c>
      <c r="F618" s="18" t="s">
        <v>1357</v>
      </c>
      <c r="G618" s="23" t="s">
        <v>1612</v>
      </c>
      <c r="J618" s="23" t="s">
        <v>5663</v>
      </c>
      <c r="K618" s="23" t="s">
        <v>2183</v>
      </c>
      <c r="L618" s="23" t="s">
        <v>2184</v>
      </c>
      <c r="M618" s="23" t="s">
        <v>3799</v>
      </c>
      <c r="N618" s="22" t="s">
        <v>49</v>
      </c>
      <c r="P618" s="23" t="s">
        <v>49</v>
      </c>
      <c r="S618" s="22" t="s">
        <v>1648</v>
      </c>
      <c r="W618" s="108">
        <v>41302</v>
      </c>
      <c r="X618" s="124" t="s">
        <v>6597</v>
      </c>
      <c r="Y618" s="23" t="s">
        <v>5664</v>
      </c>
    </row>
    <row r="619" spans="1:25" x14ac:dyDescent="0.3">
      <c r="A619" s="22">
        <v>618</v>
      </c>
      <c r="B619" s="22">
        <v>317</v>
      </c>
      <c r="C619" s="18" t="s">
        <v>1331</v>
      </c>
      <c r="D619" s="21" t="s">
        <v>1330</v>
      </c>
      <c r="E619" s="21" t="s">
        <v>1354</v>
      </c>
      <c r="F619" s="18" t="s">
        <v>1355</v>
      </c>
      <c r="G619" s="23" t="s">
        <v>1612</v>
      </c>
      <c r="J619" s="23" t="s">
        <v>5665</v>
      </c>
      <c r="K619" s="23" t="s">
        <v>2181</v>
      </c>
      <c r="L619" s="23" t="s">
        <v>2182</v>
      </c>
      <c r="M619" s="23" t="s">
        <v>3078</v>
      </c>
      <c r="N619" s="22" t="s">
        <v>49</v>
      </c>
      <c r="P619" s="23" t="s">
        <v>49</v>
      </c>
      <c r="W619" s="108">
        <v>43803</v>
      </c>
      <c r="X619" s="124" t="s">
        <v>6598</v>
      </c>
    </row>
    <row r="620" spans="1:25" x14ac:dyDescent="0.3">
      <c r="A620" s="22">
        <v>619</v>
      </c>
      <c r="B620" s="22">
        <v>319</v>
      </c>
      <c r="C620" s="18" t="s">
        <v>1358</v>
      </c>
      <c r="D620" s="21" t="s">
        <v>5848</v>
      </c>
      <c r="E620" s="21" t="s">
        <v>1359</v>
      </c>
      <c r="F620" s="18" t="s">
        <v>1360</v>
      </c>
      <c r="G620" s="23" t="s">
        <v>2186</v>
      </c>
      <c r="J620" s="23" t="s">
        <v>5229</v>
      </c>
      <c r="L620" s="23" t="s">
        <v>2185</v>
      </c>
      <c r="M620" s="23" t="s">
        <v>4087</v>
      </c>
      <c r="N620" s="22" t="s">
        <v>57</v>
      </c>
      <c r="O620" s="23" t="s">
        <v>1632</v>
      </c>
      <c r="S620" s="22" t="s">
        <v>1648</v>
      </c>
      <c r="Y620" s="23" t="s">
        <v>4489</v>
      </c>
    </row>
    <row r="621" spans="1:25" x14ac:dyDescent="0.3">
      <c r="A621" s="22">
        <v>620</v>
      </c>
      <c r="B621" s="22">
        <v>319</v>
      </c>
      <c r="C621" s="18" t="s">
        <v>1358</v>
      </c>
      <c r="D621" s="21" t="s">
        <v>5848</v>
      </c>
      <c r="E621" s="21" t="s">
        <v>1361</v>
      </c>
      <c r="F621" s="18" t="s">
        <v>1362</v>
      </c>
      <c r="J621" s="23" t="s">
        <v>809</v>
      </c>
      <c r="M621" s="23" t="s">
        <v>3195</v>
      </c>
      <c r="N621" s="22" t="s">
        <v>57</v>
      </c>
      <c r="O621" s="23" t="s">
        <v>1632</v>
      </c>
      <c r="R621" s="22" t="s">
        <v>38</v>
      </c>
      <c r="V621" s="107" t="s">
        <v>2187</v>
      </c>
    </row>
    <row r="622" spans="1:25" x14ac:dyDescent="0.3">
      <c r="A622" s="22">
        <v>621</v>
      </c>
      <c r="B622" s="22">
        <v>319</v>
      </c>
      <c r="C622" s="18" t="s">
        <v>1358</v>
      </c>
      <c r="D622" s="21" t="s">
        <v>5848</v>
      </c>
      <c r="E622" s="21" t="s">
        <v>2812</v>
      </c>
      <c r="F622" s="18" t="s">
        <v>5179</v>
      </c>
      <c r="G622" s="23" t="s">
        <v>1361</v>
      </c>
      <c r="J622" s="23" t="s">
        <v>5666</v>
      </c>
      <c r="L622" s="23" t="s">
        <v>5667</v>
      </c>
      <c r="M622" s="23" t="s">
        <v>4089</v>
      </c>
      <c r="N622" s="22" t="s">
        <v>57</v>
      </c>
      <c r="O622" s="23" t="s">
        <v>5668</v>
      </c>
      <c r="S622" s="22" t="s">
        <v>1648</v>
      </c>
      <c r="T622" s="62" t="s">
        <v>6116</v>
      </c>
      <c r="V622" s="107" t="s">
        <v>2813</v>
      </c>
      <c r="Y622" s="23" t="s">
        <v>5669</v>
      </c>
    </row>
    <row r="623" spans="1:25" x14ac:dyDescent="0.3">
      <c r="A623" s="22">
        <v>622</v>
      </c>
      <c r="B623" s="22">
        <v>319</v>
      </c>
      <c r="C623" s="18" t="s">
        <v>1358</v>
      </c>
      <c r="D623" s="21" t="s">
        <v>5848</v>
      </c>
      <c r="E623" s="21" t="s">
        <v>1363</v>
      </c>
      <c r="F623" s="18" t="s">
        <v>1364</v>
      </c>
      <c r="J623" s="23" t="s">
        <v>5480</v>
      </c>
      <c r="L623" s="23" t="s">
        <v>2188</v>
      </c>
      <c r="M623" s="23" t="s">
        <v>4091</v>
      </c>
      <c r="N623" s="22" t="s">
        <v>57</v>
      </c>
      <c r="O623" s="23" t="s">
        <v>1632</v>
      </c>
      <c r="V623" s="107" t="s">
        <v>2189</v>
      </c>
    </row>
    <row r="624" spans="1:25" x14ac:dyDescent="0.3">
      <c r="A624" s="22">
        <v>623</v>
      </c>
      <c r="B624" s="22">
        <v>319</v>
      </c>
      <c r="C624" s="18" t="s">
        <v>1358</v>
      </c>
      <c r="D624" s="21" t="s">
        <v>5848</v>
      </c>
      <c r="E624" s="21" t="s">
        <v>1365</v>
      </c>
      <c r="F624" s="18" t="s">
        <v>1366</v>
      </c>
      <c r="J624" s="23" t="s">
        <v>5670</v>
      </c>
      <c r="L624" s="23" t="s">
        <v>2190</v>
      </c>
      <c r="M624" s="23" t="s">
        <v>4093</v>
      </c>
      <c r="N624" s="22" t="s">
        <v>57</v>
      </c>
      <c r="O624" s="23" t="s">
        <v>1930</v>
      </c>
      <c r="Q624" s="22" t="s">
        <v>58</v>
      </c>
      <c r="R624" s="22" t="s">
        <v>58</v>
      </c>
      <c r="V624" s="107" t="s">
        <v>2191</v>
      </c>
    </row>
    <row r="625" spans="1:25" x14ac:dyDescent="0.3">
      <c r="A625" s="22">
        <v>624</v>
      </c>
      <c r="B625" s="22">
        <v>321</v>
      </c>
      <c r="C625" s="18" t="s">
        <v>1358</v>
      </c>
      <c r="D625" s="21" t="s">
        <v>5848</v>
      </c>
      <c r="E625" s="21" t="s">
        <v>1367</v>
      </c>
      <c r="F625" s="18" t="s">
        <v>1368</v>
      </c>
      <c r="H625" s="21" t="s">
        <v>2193</v>
      </c>
      <c r="J625" s="23" t="s">
        <v>5655</v>
      </c>
      <c r="K625" s="23" t="s">
        <v>5671</v>
      </c>
      <c r="L625" s="23" t="s">
        <v>2192</v>
      </c>
      <c r="M625" s="23" t="s">
        <v>3388</v>
      </c>
      <c r="N625" s="22" t="s">
        <v>89</v>
      </c>
    </row>
    <row r="626" spans="1:25" x14ac:dyDescent="0.3">
      <c r="A626" s="22">
        <v>625</v>
      </c>
      <c r="B626" s="22">
        <v>321</v>
      </c>
      <c r="C626" s="18" t="s">
        <v>1358</v>
      </c>
      <c r="D626" s="21" t="s">
        <v>5848</v>
      </c>
      <c r="E626" s="21" t="s">
        <v>1369</v>
      </c>
      <c r="F626" s="18" t="s">
        <v>1370</v>
      </c>
      <c r="J626" s="23" t="s">
        <v>5672</v>
      </c>
      <c r="M626" s="23" t="s">
        <v>3519</v>
      </c>
      <c r="N626" s="22" t="s">
        <v>89</v>
      </c>
      <c r="W626" s="108" t="s">
        <v>4490</v>
      </c>
      <c r="X626" s="124" t="s">
        <v>6456</v>
      </c>
    </row>
    <row r="627" spans="1:25" x14ac:dyDescent="0.3">
      <c r="A627" s="22">
        <v>626</v>
      </c>
      <c r="B627" s="22">
        <v>321</v>
      </c>
      <c r="C627" s="18" t="s">
        <v>1358</v>
      </c>
      <c r="D627" s="21" t="s">
        <v>5848</v>
      </c>
      <c r="E627" s="21" t="s">
        <v>1375</v>
      </c>
      <c r="F627" s="18" t="s">
        <v>1376</v>
      </c>
      <c r="J627" s="23" t="s">
        <v>4492</v>
      </c>
      <c r="K627" s="23" t="s">
        <v>5676</v>
      </c>
      <c r="L627" s="23" t="s">
        <v>2195</v>
      </c>
      <c r="M627" s="23" t="s">
        <v>4101</v>
      </c>
      <c r="N627" s="22" t="s">
        <v>89</v>
      </c>
    </row>
    <row r="628" spans="1:25" x14ac:dyDescent="0.3">
      <c r="A628" s="22">
        <v>627</v>
      </c>
      <c r="B628" s="22">
        <v>323</v>
      </c>
      <c r="C628" s="18" t="s">
        <v>1358</v>
      </c>
      <c r="D628" s="21" t="s">
        <v>5848</v>
      </c>
      <c r="E628" s="21" t="s">
        <v>1373</v>
      </c>
      <c r="F628" s="18" t="s">
        <v>1374</v>
      </c>
      <c r="J628" s="23" t="s">
        <v>5675</v>
      </c>
      <c r="L628" s="23" t="s">
        <v>2194</v>
      </c>
      <c r="M628" s="23" t="s">
        <v>4099</v>
      </c>
      <c r="N628" s="22" t="s">
        <v>57</v>
      </c>
      <c r="O628" s="23" t="s">
        <v>1632</v>
      </c>
      <c r="Q628" s="22" t="s">
        <v>38</v>
      </c>
      <c r="R628" s="22" t="s">
        <v>58</v>
      </c>
      <c r="S628" s="22" t="s">
        <v>6694</v>
      </c>
      <c r="Y628" s="23" t="s">
        <v>6695</v>
      </c>
    </row>
    <row r="629" spans="1:25" x14ac:dyDescent="0.3">
      <c r="A629" s="22">
        <v>628</v>
      </c>
      <c r="B629" s="22">
        <v>321</v>
      </c>
      <c r="C629" s="18" t="s">
        <v>1358</v>
      </c>
      <c r="D629" s="21" t="s">
        <v>5848</v>
      </c>
      <c r="E629" s="21" t="s">
        <v>1371</v>
      </c>
      <c r="F629" s="18" t="s">
        <v>1372</v>
      </c>
      <c r="J629" s="23" t="s">
        <v>5673</v>
      </c>
      <c r="M629" s="23" t="s">
        <v>4097</v>
      </c>
      <c r="N629" s="22" t="s">
        <v>89</v>
      </c>
      <c r="S629" s="22" t="s">
        <v>1679</v>
      </c>
      <c r="V629" s="107" t="s">
        <v>4491</v>
      </c>
      <c r="Y629" s="23" t="s">
        <v>5674</v>
      </c>
    </row>
    <row r="630" spans="1:25" x14ac:dyDescent="0.3">
      <c r="A630" s="22">
        <v>629</v>
      </c>
      <c r="C630" s="18" t="s">
        <v>1358</v>
      </c>
      <c r="D630" s="21" t="s">
        <v>5848</v>
      </c>
      <c r="E630" s="21" t="s">
        <v>5181</v>
      </c>
      <c r="F630" s="18" t="s">
        <v>5182</v>
      </c>
      <c r="G630" s="23" t="s">
        <v>1612</v>
      </c>
      <c r="J630" s="23" t="s">
        <v>5340</v>
      </c>
      <c r="K630" s="23" t="s">
        <v>1642</v>
      </c>
      <c r="N630" s="22" t="s">
        <v>49</v>
      </c>
      <c r="P630" s="23" t="s">
        <v>49</v>
      </c>
      <c r="W630" s="108">
        <v>44367</v>
      </c>
      <c r="X630" s="124" t="s">
        <v>6455</v>
      </c>
    </row>
    <row r="631" spans="1:25" x14ac:dyDescent="0.3">
      <c r="A631" s="22">
        <v>630</v>
      </c>
      <c r="B631" s="22">
        <v>323</v>
      </c>
      <c r="C631" s="18" t="s">
        <v>1358</v>
      </c>
      <c r="D631" s="21" t="s">
        <v>5848</v>
      </c>
      <c r="E631" s="21" t="s">
        <v>1384</v>
      </c>
      <c r="F631" s="18" t="s">
        <v>1385</v>
      </c>
      <c r="J631" s="23" t="s">
        <v>5680</v>
      </c>
      <c r="K631" s="23" t="s">
        <v>5681</v>
      </c>
      <c r="M631" s="23" t="s">
        <v>4080</v>
      </c>
      <c r="N631" s="22" t="s">
        <v>89</v>
      </c>
    </row>
    <row r="632" spans="1:25" x14ac:dyDescent="0.3">
      <c r="A632" s="22">
        <v>631</v>
      </c>
      <c r="B632" s="22">
        <v>323</v>
      </c>
      <c r="C632" s="18" t="s">
        <v>1358</v>
      </c>
      <c r="D632" s="21" t="s">
        <v>5848</v>
      </c>
      <c r="E632" s="21" t="s">
        <v>3007</v>
      </c>
      <c r="F632" s="18" t="s">
        <v>3008</v>
      </c>
      <c r="G632" s="23" t="s">
        <v>1612</v>
      </c>
      <c r="J632" s="23" t="s">
        <v>5682</v>
      </c>
      <c r="M632" s="23" t="s">
        <v>3078</v>
      </c>
      <c r="N632" s="22" t="s">
        <v>49</v>
      </c>
      <c r="P632" s="23" t="s">
        <v>49</v>
      </c>
      <c r="W632" s="108">
        <v>43849</v>
      </c>
      <c r="X632" s="124" t="s">
        <v>6457</v>
      </c>
    </row>
    <row r="633" spans="1:25" x14ac:dyDescent="0.3">
      <c r="A633" s="22">
        <v>632</v>
      </c>
      <c r="B633" s="22">
        <v>323</v>
      </c>
      <c r="C633" s="18" t="s">
        <v>1358</v>
      </c>
      <c r="D633" s="21" t="s">
        <v>5848</v>
      </c>
      <c r="E633" s="21" t="s">
        <v>1386</v>
      </c>
      <c r="F633" s="18" t="s">
        <v>1387</v>
      </c>
      <c r="G633" s="23" t="s">
        <v>2198</v>
      </c>
      <c r="J633" s="23" t="s">
        <v>5683</v>
      </c>
      <c r="M633" s="23" t="s">
        <v>4110</v>
      </c>
      <c r="N633" s="22" t="s">
        <v>37</v>
      </c>
    </row>
    <row r="634" spans="1:25" x14ac:dyDescent="0.3">
      <c r="A634" s="22">
        <v>633</v>
      </c>
      <c r="B634" s="22">
        <v>325</v>
      </c>
      <c r="C634" s="18" t="s">
        <v>1358</v>
      </c>
      <c r="D634" s="21" t="s">
        <v>5848</v>
      </c>
      <c r="E634" s="21" t="s">
        <v>1379</v>
      </c>
      <c r="F634" s="18" t="s">
        <v>1380</v>
      </c>
      <c r="J634" s="23" t="s">
        <v>5480</v>
      </c>
      <c r="L634" s="23" t="s">
        <v>2197</v>
      </c>
      <c r="M634" s="23" t="s">
        <v>4104</v>
      </c>
      <c r="N634" s="22" t="s">
        <v>57</v>
      </c>
      <c r="O634" s="23" t="s">
        <v>1647</v>
      </c>
      <c r="Q634" s="22" t="s">
        <v>50</v>
      </c>
      <c r="X634" s="124" t="s">
        <v>9</v>
      </c>
    </row>
    <row r="635" spans="1:25" x14ac:dyDescent="0.3">
      <c r="A635" s="22">
        <v>634</v>
      </c>
      <c r="B635" s="22">
        <v>325</v>
      </c>
      <c r="C635" s="18" t="s">
        <v>1358</v>
      </c>
      <c r="D635" s="21" t="s">
        <v>5848</v>
      </c>
      <c r="E635" s="21" t="s">
        <v>1377</v>
      </c>
      <c r="F635" s="18" t="s">
        <v>1378</v>
      </c>
      <c r="G635" s="23" t="s">
        <v>2196</v>
      </c>
      <c r="J635" s="23" t="s">
        <v>5539</v>
      </c>
      <c r="L635" s="23" t="s">
        <v>6117</v>
      </c>
      <c r="M635" s="23" t="s">
        <v>4697</v>
      </c>
      <c r="N635" s="22" t="s">
        <v>57</v>
      </c>
      <c r="O635" s="23" t="s">
        <v>1668</v>
      </c>
      <c r="Q635" s="22" t="s">
        <v>50</v>
      </c>
    </row>
    <row r="636" spans="1:25" x14ac:dyDescent="0.3">
      <c r="A636" s="22">
        <v>635</v>
      </c>
      <c r="B636" s="22">
        <v>325</v>
      </c>
      <c r="C636" s="18" t="s">
        <v>1358</v>
      </c>
      <c r="D636" s="21" t="s">
        <v>5848</v>
      </c>
      <c r="E636" s="21" t="s">
        <v>5850</v>
      </c>
      <c r="F636" s="18" t="s">
        <v>2814</v>
      </c>
      <c r="G636" s="23" t="s">
        <v>2196</v>
      </c>
      <c r="J636" s="23" t="s">
        <v>6118</v>
      </c>
      <c r="L636" s="23" t="s">
        <v>6119</v>
      </c>
      <c r="M636" s="23" t="s">
        <v>4698</v>
      </c>
      <c r="N636" s="22" t="s">
        <v>57</v>
      </c>
      <c r="O636" s="23" t="s">
        <v>6120</v>
      </c>
      <c r="Q636" s="22" t="s">
        <v>50</v>
      </c>
      <c r="S636" s="22" t="s">
        <v>6696</v>
      </c>
      <c r="Y636" s="23" t="s">
        <v>6697</v>
      </c>
    </row>
    <row r="637" spans="1:25" x14ac:dyDescent="0.3">
      <c r="A637" s="22">
        <v>636</v>
      </c>
      <c r="B637" s="22">
        <v>325</v>
      </c>
      <c r="C637" s="18" t="s">
        <v>1358</v>
      </c>
      <c r="D637" s="21" t="s">
        <v>5848</v>
      </c>
      <c r="E637" s="21" t="s">
        <v>5186</v>
      </c>
      <c r="F637" s="18" t="s">
        <v>1383</v>
      </c>
      <c r="G637" s="23" t="s">
        <v>5678</v>
      </c>
      <c r="H637" s="21" t="s">
        <v>6123</v>
      </c>
      <c r="I637" s="23" t="s">
        <v>5187</v>
      </c>
      <c r="J637" s="23" t="s">
        <v>5615</v>
      </c>
      <c r="M637" s="23" t="s">
        <v>4701</v>
      </c>
      <c r="N637" s="22" t="s">
        <v>57</v>
      </c>
      <c r="O637" s="23" t="s">
        <v>1632</v>
      </c>
      <c r="S637" s="22" t="s">
        <v>1615</v>
      </c>
      <c r="Y637" s="23" t="s">
        <v>5679</v>
      </c>
    </row>
    <row r="638" spans="1:25" x14ac:dyDescent="0.3">
      <c r="A638" s="22">
        <v>637</v>
      </c>
      <c r="B638" s="22">
        <v>325</v>
      </c>
      <c r="C638" s="18" t="s">
        <v>1358</v>
      </c>
      <c r="D638" s="21" t="s">
        <v>5848</v>
      </c>
      <c r="E638" s="21" t="s">
        <v>5184</v>
      </c>
      <c r="F638" s="18" t="s">
        <v>5185</v>
      </c>
      <c r="G638" s="23" t="s">
        <v>5187</v>
      </c>
      <c r="J638" s="23" t="s">
        <v>5467</v>
      </c>
      <c r="L638" s="23" t="s">
        <v>6121</v>
      </c>
      <c r="M638" s="23" t="s">
        <v>4702</v>
      </c>
      <c r="N638" s="22" t="s">
        <v>57</v>
      </c>
      <c r="O638" s="23" t="s">
        <v>5677</v>
      </c>
      <c r="S638" s="22" t="s">
        <v>6698</v>
      </c>
      <c r="T638" s="62" t="s">
        <v>6122</v>
      </c>
      <c r="V638" s="107" t="s">
        <v>4703</v>
      </c>
      <c r="Y638" s="23" t="s">
        <v>6699</v>
      </c>
    </row>
    <row r="639" spans="1:25" x14ac:dyDescent="0.3">
      <c r="A639" s="22">
        <v>638</v>
      </c>
      <c r="B639" s="22">
        <v>327</v>
      </c>
      <c r="C639" s="18" t="s">
        <v>1358</v>
      </c>
      <c r="D639" s="21" t="s">
        <v>5848</v>
      </c>
      <c r="E639" s="21" t="s">
        <v>1381</v>
      </c>
      <c r="F639" s="18" t="s">
        <v>1382</v>
      </c>
      <c r="J639" s="23" t="s">
        <v>4414</v>
      </c>
      <c r="M639" s="23" t="s">
        <v>3233</v>
      </c>
      <c r="N639" s="22" t="s">
        <v>37</v>
      </c>
    </row>
    <row r="640" spans="1:25" x14ac:dyDescent="0.3">
      <c r="A640" s="22">
        <v>639</v>
      </c>
      <c r="B640" s="22">
        <v>329</v>
      </c>
      <c r="C640" s="18" t="s">
        <v>1358</v>
      </c>
      <c r="D640" s="21" t="s">
        <v>5848</v>
      </c>
      <c r="E640" s="21" t="s">
        <v>1399</v>
      </c>
      <c r="F640" s="18" t="s">
        <v>1400</v>
      </c>
      <c r="G640" s="23" t="s">
        <v>1612</v>
      </c>
      <c r="J640" s="23" t="s">
        <v>5684</v>
      </c>
      <c r="K640" s="23" t="s">
        <v>2207</v>
      </c>
      <c r="M640" s="23" t="s">
        <v>3439</v>
      </c>
      <c r="N640" s="22" t="s">
        <v>49</v>
      </c>
      <c r="P640" s="23" t="s">
        <v>49</v>
      </c>
      <c r="V640" s="107" t="s">
        <v>2208</v>
      </c>
      <c r="W640" s="108">
        <v>37672</v>
      </c>
      <c r="X640" s="124" t="s">
        <v>6599</v>
      </c>
    </row>
    <row r="641" spans="1:25" x14ac:dyDescent="0.3">
      <c r="A641" s="22">
        <v>640</v>
      </c>
      <c r="B641" s="22">
        <v>331</v>
      </c>
      <c r="C641" s="18" t="s">
        <v>1358</v>
      </c>
      <c r="D641" s="21" t="s">
        <v>5848</v>
      </c>
      <c r="E641" s="21" t="s">
        <v>1401</v>
      </c>
      <c r="F641" s="18" t="s">
        <v>1402</v>
      </c>
      <c r="J641" s="23" t="s">
        <v>5452</v>
      </c>
      <c r="K641" s="23" t="s">
        <v>1759</v>
      </c>
      <c r="L641" s="23" t="s">
        <v>2209</v>
      </c>
      <c r="M641" s="23" t="s">
        <v>4123</v>
      </c>
      <c r="N641" s="22" t="s">
        <v>89</v>
      </c>
      <c r="X641" s="124" t="s">
        <v>9</v>
      </c>
    </row>
    <row r="642" spans="1:25" x14ac:dyDescent="0.3">
      <c r="A642" s="22">
        <v>641</v>
      </c>
      <c r="B642" s="22">
        <v>327</v>
      </c>
      <c r="C642" s="18" t="s">
        <v>1358</v>
      </c>
      <c r="D642" s="21" t="s">
        <v>5848</v>
      </c>
      <c r="E642" s="21" t="s">
        <v>1391</v>
      </c>
      <c r="F642" s="18" t="s">
        <v>1392</v>
      </c>
      <c r="H642" s="21" t="s">
        <v>6124</v>
      </c>
      <c r="J642" s="23" t="s">
        <v>5485</v>
      </c>
      <c r="L642" s="23" t="s">
        <v>2203</v>
      </c>
      <c r="M642" s="23" t="s">
        <v>4114</v>
      </c>
      <c r="N642" s="22" t="s">
        <v>57</v>
      </c>
      <c r="O642" s="23" t="s">
        <v>1701</v>
      </c>
      <c r="P642" s="23" t="s">
        <v>4494</v>
      </c>
      <c r="Q642" s="22" t="s">
        <v>58</v>
      </c>
      <c r="R642" s="22" t="s">
        <v>58</v>
      </c>
    </row>
    <row r="643" spans="1:25" x14ac:dyDescent="0.3">
      <c r="A643" s="22">
        <v>642</v>
      </c>
      <c r="B643" s="22">
        <v>327</v>
      </c>
      <c r="C643" s="18" t="s">
        <v>1358</v>
      </c>
      <c r="D643" s="21" t="s">
        <v>5848</v>
      </c>
      <c r="E643" s="21" t="s">
        <v>1393</v>
      </c>
      <c r="F643" s="18" t="s">
        <v>1394</v>
      </c>
      <c r="G643" s="23" t="s">
        <v>2204</v>
      </c>
      <c r="H643" s="21" t="s">
        <v>6125</v>
      </c>
      <c r="J643" s="23" t="s">
        <v>5510</v>
      </c>
      <c r="L643" s="23" t="s">
        <v>2079</v>
      </c>
      <c r="M643" s="23" t="s">
        <v>4116</v>
      </c>
      <c r="N643" s="22" t="s">
        <v>57</v>
      </c>
      <c r="O643" s="23" t="s">
        <v>1712</v>
      </c>
      <c r="Q643" s="22" t="s">
        <v>38</v>
      </c>
      <c r="R643" s="22" t="s">
        <v>38</v>
      </c>
    </row>
    <row r="644" spans="1:25" x14ac:dyDescent="0.3">
      <c r="A644" s="22">
        <v>643</v>
      </c>
      <c r="B644" s="22">
        <v>327</v>
      </c>
      <c r="C644" s="18" t="s">
        <v>1358</v>
      </c>
      <c r="D644" s="21" t="s">
        <v>5848</v>
      </c>
      <c r="E644" s="21" t="s">
        <v>1395</v>
      </c>
      <c r="F644" s="18" t="s">
        <v>1396</v>
      </c>
      <c r="G644" s="23" t="s">
        <v>2206</v>
      </c>
      <c r="H644" s="21" t="s">
        <v>6126</v>
      </c>
      <c r="J644" s="23" t="s">
        <v>5470</v>
      </c>
      <c r="L644" s="23" t="s">
        <v>2205</v>
      </c>
      <c r="M644" s="23" t="s">
        <v>4118</v>
      </c>
      <c r="N644" s="22" t="s">
        <v>57</v>
      </c>
      <c r="O644" s="23" t="s">
        <v>1914</v>
      </c>
      <c r="Q644" s="22" t="s">
        <v>50</v>
      </c>
      <c r="R644" s="22" t="s">
        <v>38</v>
      </c>
      <c r="S644" s="22" t="s">
        <v>1834</v>
      </c>
      <c r="Y644" s="23" t="s">
        <v>6700</v>
      </c>
    </row>
    <row r="645" spans="1:25" x14ac:dyDescent="0.3">
      <c r="A645" s="22">
        <v>644</v>
      </c>
      <c r="B645" s="22">
        <v>305</v>
      </c>
      <c r="C645" s="18" t="s">
        <v>1358</v>
      </c>
      <c r="D645" s="21" t="s">
        <v>5848</v>
      </c>
      <c r="E645" s="21" t="s">
        <v>1388</v>
      </c>
      <c r="F645" s="18" t="s">
        <v>1389</v>
      </c>
      <c r="H645" s="21" t="s">
        <v>2201</v>
      </c>
      <c r="J645" s="23" t="s">
        <v>5470</v>
      </c>
      <c r="L645" s="23" t="s">
        <v>2199</v>
      </c>
      <c r="M645" s="23" t="s">
        <v>4112</v>
      </c>
      <c r="N645" s="22" t="s">
        <v>57</v>
      </c>
      <c r="O645" s="23" t="s">
        <v>1914</v>
      </c>
      <c r="S645" s="22" t="s">
        <v>2200</v>
      </c>
      <c r="X645" s="124" t="s">
        <v>9</v>
      </c>
      <c r="Y645" s="23" t="s">
        <v>4493</v>
      </c>
    </row>
    <row r="646" spans="1:25" x14ac:dyDescent="0.3">
      <c r="A646" s="22">
        <v>645</v>
      </c>
      <c r="B646" s="22">
        <v>329</v>
      </c>
      <c r="C646" s="18" t="s">
        <v>1358</v>
      </c>
      <c r="D646" s="21" t="s">
        <v>5848</v>
      </c>
      <c r="E646" s="21" t="s">
        <v>2202</v>
      </c>
      <c r="F646" s="18" t="s">
        <v>5852</v>
      </c>
      <c r="G646" s="23" t="s">
        <v>1390</v>
      </c>
      <c r="J646" s="23" t="s">
        <v>59</v>
      </c>
      <c r="M646" s="23" t="s">
        <v>4704</v>
      </c>
      <c r="N646" s="22" t="s">
        <v>57</v>
      </c>
      <c r="O646" s="23" t="s">
        <v>1632</v>
      </c>
      <c r="S646" s="22" t="s">
        <v>1648</v>
      </c>
      <c r="Y646" s="23" t="s">
        <v>6701</v>
      </c>
    </row>
    <row r="647" spans="1:25" x14ac:dyDescent="0.3">
      <c r="A647" s="22">
        <v>646</v>
      </c>
      <c r="B647" s="22">
        <v>329</v>
      </c>
      <c r="C647" s="18" t="s">
        <v>1358</v>
      </c>
      <c r="D647" s="21" t="s">
        <v>5848</v>
      </c>
      <c r="E647" s="21" t="s">
        <v>1397</v>
      </c>
      <c r="F647" s="18" t="s">
        <v>1398</v>
      </c>
      <c r="J647" s="23" t="s">
        <v>5607</v>
      </c>
      <c r="K647" s="23" t="s">
        <v>1633</v>
      </c>
      <c r="M647" s="23" t="s">
        <v>4120</v>
      </c>
      <c r="N647" s="22" t="s">
        <v>49</v>
      </c>
      <c r="P647" s="23" t="s">
        <v>49</v>
      </c>
      <c r="W647" s="108" t="s">
        <v>4495</v>
      </c>
      <c r="X647" s="124" t="s">
        <v>6458</v>
      </c>
    </row>
    <row r="648" spans="1:25" x14ac:dyDescent="0.3">
      <c r="A648" s="22">
        <v>647</v>
      </c>
      <c r="B648" s="22">
        <v>331</v>
      </c>
      <c r="C648" s="18" t="s">
        <v>1358</v>
      </c>
      <c r="D648" s="21" t="s">
        <v>5848</v>
      </c>
      <c r="E648" s="21" t="s">
        <v>1405</v>
      </c>
      <c r="F648" s="18" t="s">
        <v>1406</v>
      </c>
      <c r="G648" s="23" t="s">
        <v>1612</v>
      </c>
      <c r="J648" s="23" t="s">
        <v>5686</v>
      </c>
      <c r="K648" s="23" t="s">
        <v>5687</v>
      </c>
      <c r="L648" s="23" t="s">
        <v>2212</v>
      </c>
      <c r="M648" s="23" t="s">
        <v>3164</v>
      </c>
      <c r="N648" s="22" t="s">
        <v>49</v>
      </c>
      <c r="P648" s="23" t="s">
        <v>49</v>
      </c>
      <c r="W648" s="108">
        <v>36455</v>
      </c>
      <c r="X648" s="124" t="s">
        <v>6459</v>
      </c>
    </row>
    <row r="649" spans="1:25" x14ac:dyDescent="0.3">
      <c r="A649" s="22">
        <v>648</v>
      </c>
      <c r="B649" s="22">
        <v>331</v>
      </c>
      <c r="C649" s="18" t="s">
        <v>1358</v>
      </c>
      <c r="D649" s="21" t="s">
        <v>5848</v>
      </c>
      <c r="E649" s="21" t="s">
        <v>1407</v>
      </c>
      <c r="F649" s="18" t="s">
        <v>1408</v>
      </c>
      <c r="J649" s="23" t="s">
        <v>5688</v>
      </c>
      <c r="K649" s="23" t="s">
        <v>5689</v>
      </c>
      <c r="L649" s="23" t="s">
        <v>5690</v>
      </c>
      <c r="M649" s="23" t="s">
        <v>4080</v>
      </c>
      <c r="N649" s="22" t="s">
        <v>89</v>
      </c>
    </row>
    <row r="650" spans="1:25" x14ac:dyDescent="0.3">
      <c r="A650" s="22">
        <v>649</v>
      </c>
      <c r="B650" s="22">
        <v>331</v>
      </c>
      <c r="C650" s="18" t="s">
        <v>1358</v>
      </c>
      <c r="D650" s="21" t="s">
        <v>5848</v>
      </c>
      <c r="E650" s="21" t="s">
        <v>1409</v>
      </c>
      <c r="F650" s="18" t="s">
        <v>1410</v>
      </c>
      <c r="J650" s="23" t="s">
        <v>5691</v>
      </c>
      <c r="K650" s="23" t="s">
        <v>5692</v>
      </c>
      <c r="L650" s="23" t="s">
        <v>2213</v>
      </c>
      <c r="M650" s="23" t="s">
        <v>3217</v>
      </c>
      <c r="N650" s="22" t="s">
        <v>89</v>
      </c>
    </row>
    <row r="651" spans="1:25" x14ac:dyDescent="0.3">
      <c r="A651" s="22">
        <v>650</v>
      </c>
      <c r="B651" s="22">
        <v>333</v>
      </c>
      <c r="C651" s="18" t="s">
        <v>1358</v>
      </c>
      <c r="D651" s="21" t="s">
        <v>5848</v>
      </c>
      <c r="E651" s="21" t="s">
        <v>1423</v>
      </c>
      <c r="F651" s="18" t="s">
        <v>1424</v>
      </c>
      <c r="J651" s="23" t="s">
        <v>5693</v>
      </c>
      <c r="M651" s="23" t="s">
        <v>4130</v>
      </c>
      <c r="N651" s="22" t="s">
        <v>37</v>
      </c>
    </row>
    <row r="652" spans="1:25" x14ac:dyDescent="0.3">
      <c r="A652" s="22">
        <v>651</v>
      </c>
      <c r="C652" s="18" t="s">
        <v>1358</v>
      </c>
      <c r="D652" s="21" t="s">
        <v>5848</v>
      </c>
      <c r="E652" s="21" t="s">
        <v>2215</v>
      </c>
      <c r="F652" s="18" t="s">
        <v>6601</v>
      </c>
      <c r="G652" s="23" t="s">
        <v>1612</v>
      </c>
      <c r="J652" s="23" t="s">
        <v>6702</v>
      </c>
      <c r="K652" s="23" t="s">
        <v>6703</v>
      </c>
      <c r="L652" s="23" t="s">
        <v>6704</v>
      </c>
      <c r="N652" s="22" t="s">
        <v>49</v>
      </c>
      <c r="P652" s="23" t="s">
        <v>49</v>
      </c>
      <c r="W652" s="108">
        <v>45252</v>
      </c>
      <c r="X652" s="124" t="s">
        <v>6602</v>
      </c>
    </row>
    <row r="653" spans="1:25" x14ac:dyDescent="0.3">
      <c r="A653" s="22">
        <v>652</v>
      </c>
      <c r="B653" s="22">
        <v>333</v>
      </c>
      <c r="C653" s="18" t="s">
        <v>1358</v>
      </c>
      <c r="D653" s="21" t="s">
        <v>5848</v>
      </c>
      <c r="E653" s="21" t="s">
        <v>1411</v>
      </c>
      <c r="F653" s="18" t="s">
        <v>1412</v>
      </c>
      <c r="G653" s="23" t="s">
        <v>2215</v>
      </c>
      <c r="I653" s="23" t="s">
        <v>2216</v>
      </c>
      <c r="J653" s="23" t="s">
        <v>5694</v>
      </c>
      <c r="K653" s="23" t="s">
        <v>4496</v>
      </c>
      <c r="L653" s="23" t="s">
        <v>2214</v>
      </c>
      <c r="M653" s="23" t="s">
        <v>3164</v>
      </c>
      <c r="N653" s="22" t="s">
        <v>49</v>
      </c>
      <c r="P653" s="23" t="s">
        <v>49</v>
      </c>
      <c r="W653" s="108">
        <v>32485</v>
      </c>
      <c r="X653" s="124" t="s">
        <v>6460</v>
      </c>
    </row>
    <row r="654" spans="1:25" x14ac:dyDescent="0.3">
      <c r="A654" s="22">
        <v>653</v>
      </c>
      <c r="B654" s="22">
        <v>335</v>
      </c>
      <c r="C654" s="18" t="s">
        <v>1358</v>
      </c>
      <c r="D654" s="21" t="s">
        <v>5848</v>
      </c>
      <c r="E654" s="21" t="s">
        <v>1421</v>
      </c>
      <c r="F654" s="18" t="s">
        <v>1422</v>
      </c>
      <c r="J654" s="23" t="s">
        <v>4377</v>
      </c>
      <c r="L654" s="23" t="s">
        <v>2221</v>
      </c>
      <c r="M654" s="23" t="s">
        <v>4003</v>
      </c>
      <c r="N654" s="22" t="s">
        <v>57</v>
      </c>
      <c r="O654" s="23" t="s">
        <v>1712</v>
      </c>
      <c r="Q654" s="22" t="s">
        <v>50</v>
      </c>
      <c r="X654" s="124" t="s">
        <v>9</v>
      </c>
    </row>
    <row r="655" spans="1:25" x14ac:dyDescent="0.3">
      <c r="A655" s="22">
        <v>654</v>
      </c>
      <c r="B655" s="22">
        <v>335</v>
      </c>
      <c r="C655" s="18" t="s">
        <v>1358</v>
      </c>
      <c r="D655" s="21" t="s">
        <v>5848</v>
      </c>
      <c r="E655" s="21" t="s">
        <v>1415</v>
      </c>
      <c r="F655" s="18" t="s">
        <v>1416</v>
      </c>
      <c r="J655" s="23" t="s">
        <v>5223</v>
      </c>
      <c r="L655" s="23" t="s">
        <v>2217</v>
      </c>
      <c r="M655" s="23" t="s">
        <v>4134</v>
      </c>
      <c r="N655" s="22" t="s">
        <v>57</v>
      </c>
      <c r="O655" s="23" t="s">
        <v>1610</v>
      </c>
      <c r="Q655" s="22" t="s">
        <v>38</v>
      </c>
      <c r="R655" s="22" t="s">
        <v>38</v>
      </c>
    </row>
    <row r="656" spans="1:25" x14ac:dyDescent="0.3">
      <c r="A656" s="22">
        <v>655</v>
      </c>
      <c r="B656" s="22">
        <v>333</v>
      </c>
      <c r="C656" s="18" t="s">
        <v>1358</v>
      </c>
      <c r="D656" s="21" t="s">
        <v>5848</v>
      </c>
      <c r="E656" s="21" t="s">
        <v>1413</v>
      </c>
      <c r="F656" s="18" t="s">
        <v>1414</v>
      </c>
      <c r="J656" s="23" t="s">
        <v>5615</v>
      </c>
      <c r="M656" s="23" t="s">
        <v>4136</v>
      </c>
      <c r="N656" s="22" t="s">
        <v>57</v>
      </c>
      <c r="O656" s="23" t="s">
        <v>1669</v>
      </c>
      <c r="Q656" s="22" t="s">
        <v>38</v>
      </c>
      <c r="R656" s="22" t="s">
        <v>38</v>
      </c>
    </row>
    <row r="657" spans="1:25" x14ac:dyDescent="0.3">
      <c r="A657" s="22">
        <v>656</v>
      </c>
      <c r="B657" s="22">
        <v>333</v>
      </c>
      <c r="C657" s="18" t="s">
        <v>1358</v>
      </c>
      <c r="D657" s="21" t="s">
        <v>5848</v>
      </c>
      <c r="E657" s="21" t="s">
        <v>1419</v>
      </c>
      <c r="F657" s="18" t="s">
        <v>1420</v>
      </c>
      <c r="G657" s="23" t="s">
        <v>2219</v>
      </c>
      <c r="I657" s="23" t="s">
        <v>2220</v>
      </c>
      <c r="J657" s="23" t="s">
        <v>5696</v>
      </c>
      <c r="M657" s="23" t="s">
        <v>4139</v>
      </c>
      <c r="N657" s="22" t="s">
        <v>57</v>
      </c>
      <c r="O657" s="23" t="s">
        <v>1632</v>
      </c>
      <c r="S657" s="22" t="s">
        <v>1648</v>
      </c>
      <c r="Y657" s="23" t="s">
        <v>4497</v>
      </c>
    </row>
    <row r="658" spans="1:25" x14ac:dyDescent="0.3">
      <c r="A658" s="22">
        <v>657</v>
      </c>
      <c r="B658" s="22">
        <v>335</v>
      </c>
      <c r="C658" s="18" t="s">
        <v>1358</v>
      </c>
      <c r="D658" s="21" t="s">
        <v>5848</v>
      </c>
      <c r="E658" s="21" t="s">
        <v>1417</v>
      </c>
      <c r="F658" s="18" t="s">
        <v>1418</v>
      </c>
      <c r="J658" s="23" t="s">
        <v>5695</v>
      </c>
      <c r="L658" s="23" t="s">
        <v>2218</v>
      </c>
      <c r="M658" s="23" t="s">
        <v>4112</v>
      </c>
      <c r="N658" s="22" t="s">
        <v>57</v>
      </c>
      <c r="O658" s="23" t="s">
        <v>1914</v>
      </c>
    </row>
    <row r="659" spans="1:25" x14ac:dyDescent="0.3">
      <c r="A659" s="22">
        <v>658</v>
      </c>
      <c r="B659" s="22">
        <v>331</v>
      </c>
      <c r="C659" s="18" t="s">
        <v>1358</v>
      </c>
      <c r="D659" s="21" t="s">
        <v>5848</v>
      </c>
      <c r="E659" s="21" t="s">
        <v>1403</v>
      </c>
      <c r="F659" s="18" t="s">
        <v>1404</v>
      </c>
      <c r="G659" s="23" t="s">
        <v>1612</v>
      </c>
      <c r="I659" s="23" t="s">
        <v>2211</v>
      </c>
      <c r="J659" s="23" t="s">
        <v>5685</v>
      </c>
      <c r="K659" s="23" t="s">
        <v>2210</v>
      </c>
      <c r="M659" s="23" t="s">
        <v>4125</v>
      </c>
      <c r="N659" s="22" t="s">
        <v>49</v>
      </c>
      <c r="P659" s="23" t="s">
        <v>49</v>
      </c>
      <c r="S659" s="22" t="s">
        <v>1867</v>
      </c>
      <c r="W659" s="108">
        <v>38117</v>
      </c>
      <c r="X659" s="124" t="s">
        <v>6603</v>
      </c>
      <c r="Y659" s="23" t="s">
        <v>6127</v>
      </c>
    </row>
    <row r="660" spans="1:25" x14ac:dyDescent="0.3">
      <c r="A660" s="22">
        <v>659</v>
      </c>
      <c r="B660" s="22">
        <v>335</v>
      </c>
      <c r="C660" s="18" t="s">
        <v>1358</v>
      </c>
      <c r="D660" s="21" t="s">
        <v>5848</v>
      </c>
      <c r="E660" s="21" t="s">
        <v>1427</v>
      </c>
      <c r="F660" s="18" t="s">
        <v>1428</v>
      </c>
      <c r="H660" s="21" t="s">
        <v>2223</v>
      </c>
      <c r="J660" s="23" t="s">
        <v>5697</v>
      </c>
      <c r="L660" s="23" t="s">
        <v>2222</v>
      </c>
      <c r="M660" s="23" t="s">
        <v>4142</v>
      </c>
      <c r="N660" s="22" t="s">
        <v>57</v>
      </c>
      <c r="O660" s="23" t="s">
        <v>1632</v>
      </c>
      <c r="Q660" s="22" t="s">
        <v>38</v>
      </c>
      <c r="R660" s="22" t="s">
        <v>38</v>
      </c>
    </row>
    <row r="661" spans="1:25" x14ac:dyDescent="0.3">
      <c r="A661" s="22">
        <v>660</v>
      </c>
      <c r="B661" s="22">
        <v>335</v>
      </c>
      <c r="C661" s="18" t="s">
        <v>1358</v>
      </c>
      <c r="D661" s="21" t="s">
        <v>5848</v>
      </c>
      <c r="E661" s="21" t="s">
        <v>1425</v>
      </c>
      <c r="F661" s="18" t="s">
        <v>1426</v>
      </c>
      <c r="J661" s="23" t="s">
        <v>5452</v>
      </c>
      <c r="K661" s="23" t="s">
        <v>4498</v>
      </c>
      <c r="M661" s="23" t="s">
        <v>3959</v>
      </c>
      <c r="N661" s="22" t="s">
        <v>89</v>
      </c>
      <c r="W661" s="108">
        <v>32634</v>
      </c>
      <c r="X661" s="124" t="s">
        <v>6461</v>
      </c>
    </row>
    <row r="662" spans="1:25" x14ac:dyDescent="0.3">
      <c r="A662" s="22">
        <v>661</v>
      </c>
      <c r="B662" s="22">
        <v>337</v>
      </c>
      <c r="C662" s="18" t="s">
        <v>1358</v>
      </c>
      <c r="D662" s="21" t="s">
        <v>5848</v>
      </c>
      <c r="E662" s="21" t="s">
        <v>1429</v>
      </c>
      <c r="F662" s="18" t="s">
        <v>1430</v>
      </c>
      <c r="J662" s="23" t="s">
        <v>5698</v>
      </c>
      <c r="M662" s="23" t="s">
        <v>4144</v>
      </c>
      <c r="N662" s="22" t="s">
        <v>346</v>
      </c>
    </row>
    <row r="663" spans="1:25" x14ac:dyDescent="0.3">
      <c r="A663" s="22">
        <v>662</v>
      </c>
      <c r="B663" s="22">
        <v>337</v>
      </c>
      <c r="C663" s="18" t="s">
        <v>1358</v>
      </c>
      <c r="D663" s="21" t="s">
        <v>5848</v>
      </c>
      <c r="E663" s="21" t="s">
        <v>1432</v>
      </c>
      <c r="F663" s="18" t="s">
        <v>1433</v>
      </c>
      <c r="J663" s="23" t="s">
        <v>5703</v>
      </c>
      <c r="M663" s="23" t="s">
        <v>4148</v>
      </c>
      <c r="N663" s="22" t="s">
        <v>37</v>
      </c>
    </row>
    <row r="664" spans="1:25" x14ac:dyDescent="0.3">
      <c r="A664" s="22">
        <v>663</v>
      </c>
      <c r="B664" s="22">
        <v>337</v>
      </c>
      <c r="C664" s="18" t="s">
        <v>1358</v>
      </c>
      <c r="D664" s="21" t="s">
        <v>5848</v>
      </c>
      <c r="E664" s="21" t="s">
        <v>5188</v>
      </c>
      <c r="F664" s="18" t="s">
        <v>1431</v>
      </c>
      <c r="G664" s="23" t="s">
        <v>1612</v>
      </c>
      <c r="I664" s="23" t="s">
        <v>4146</v>
      </c>
      <c r="J664" s="23" t="s">
        <v>5699</v>
      </c>
      <c r="K664" s="23" t="s">
        <v>1633</v>
      </c>
      <c r="L664" s="23" t="s">
        <v>5700</v>
      </c>
      <c r="M664" s="23" t="s">
        <v>3799</v>
      </c>
      <c r="N664" s="22" t="s">
        <v>49</v>
      </c>
      <c r="P664" s="23" t="s">
        <v>49</v>
      </c>
      <c r="S664" s="22" t="s">
        <v>5701</v>
      </c>
      <c r="V664" s="107" t="s">
        <v>4499</v>
      </c>
      <c r="W664" s="108">
        <v>39403</v>
      </c>
      <c r="X664" s="124" t="s">
        <v>6604</v>
      </c>
      <c r="Y664" s="23" t="s">
        <v>5702</v>
      </c>
    </row>
    <row r="665" spans="1:25" x14ac:dyDescent="0.3">
      <c r="A665" s="22">
        <v>664</v>
      </c>
      <c r="B665" s="22">
        <v>337</v>
      </c>
      <c r="C665" s="18" t="s">
        <v>1358</v>
      </c>
      <c r="D665" s="21" t="s">
        <v>5848</v>
      </c>
      <c r="E665" s="21" t="s">
        <v>1434</v>
      </c>
      <c r="F665" s="18" t="s">
        <v>1435</v>
      </c>
      <c r="J665" s="23" t="s">
        <v>5704</v>
      </c>
      <c r="K665" s="23" t="s">
        <v>1642</v>
      </c>
      <c r="M665" s="23" t="s">
        <v>4125</v>
      </c>
      <c r="N665" s="22" t="s">
        <v>49</v>
      </c>
      <c r="P665" s="23" t="s">
        <v>49</v>
      </c>
      <c r="W665" s="108">
        <v>1393</v>
      </c>
      <c r="X665" s="124" t="s">
        <v>6462</v>
      </c>
    </row>
    <row r="666" spans="1:25" x14ac:dyDescent="0.3">
      <c r="A666" s="22">
        <v>665</v>
      </c>
      <c r="B666" s="22">
        <v>339</v>
      </c>
      <c r="C666" s="18" t="s">
        <v>1437</v>
      </c>
      <c r="D666" s="21" t="s">
        <v>1436</v>
      </c>
      <c r="E666" s="21" t="s">
        <v>1438</v>
      </c>
      <c r="F666" s="18" t="s">
        <v>1439</v>
      </c>
      <c r="J666" s="23" t="s">
        <v>5705</v>
      </c>
      <c r="L666" s="23" t="s">
        <v>2224</v>
      </c>
      <c r="M666" s="23" t="s">
        <v>4151</v>
      </c>
      <c r="N666" s="22" t="s">
        <v>57</v>
      </c>
      <c r="O666" s="23" t="s">
        <v>1632</v>
      </c>
      <c r="Q666" s="22" t="s">
        <v>38</v>
      </c>
      <c r="R666" s="22" t="s">
        <v>112</v>
      </c>
    </row>
    <row r="667" spans="1:25" x14ac:dyDescent="0.3">
      <c r="A667" s="22">
        <v>666</v>
      </c>
      <c r="B667" s="22">
        <v>339</v>
      </c>
      <c r="C667" s="18" t="s">
        <v>1437</v>
      </c>
      <c r="D667" s="21" t="s">
        <v>1436</v>
      </c>
      <c r="E667" s="21" t="s">
        <v>1440</v>
      </c>
      <c r="F667" s="18" t="s">
        <v>1441</v>
      </c>
      <c r="J667" s="23" t="s">
        <v>5480</v>
      </c>
      <c r="L667" s="23" t="s">
        <v>2225</v>
      </c>
      <c r="M667" s="23" t="s">
        <v>4153</v>
      </c>
      <c r="N667" s="22" t="s">
        <v>57</v>
      </c>
      <c r="O667" s="23" t="s">
        <v>1647</v>
      </c>
    </row>
    <row r="668" spans="1:25" x14ac:dyDescent="0.3">
      <c r="A668" s="22">
        <v>667</v>
      </c>
      <c r="B668" s="22">
        <v>341</v>
      </c>
      <c r="C668" s="18" t="s">
        <v>1443</v>
      </c>
      <c r="D668" s="21" t="s">
        <v>1442</v>
      </c>
      <c r="E668" s="21" t="s">
        <v>1444</v>
      </c>
      <c r="F668" s="18" t="s">
        <v>1445</v>
      </c>
      <c r="J668" s="23" t="s">
        <v>5531</v>
      </c>
      <c r="M668" s="23" t="s">
        <v>4155</v>
      </c>
      <c r="N668" s="22" t="s">
        <v>57</v>
      </c>
      <c r="O668" s="23" t="s">
        <v>1632</v>
      </c>
    </row>
    <row r="669" spans="1:25" x14ac:dyDescent="0.3">
      <c r="A669" s="22">
        <v>668</v>
      </c>
      <c r="B669" s="22">
        <v>341</v>
      </c>
      <c r="C669" s="18" t="s">
        <v>1443</v>
      </c>
      <c r="D669" s="21" t="s">
        <v>1442</v>
      </c>
      <c r="E669" s="21" t="s">
        <v>1446</v>
      </c>
      <c r="F669" s="18" t="s">
        <v>1447</v>
      </c>
      <c r="J669" s="23" t="s">
        <v>5480</v>
      </c>
      <c r="M669" s="23" t="s">
        <v>4157</v>
      </c>
      <c r="N669" s="22" t="s">
        <v>57</v>
      </c>
      <c r="O669" s="23" t="s">
        <v>1647</v>
      </c>
    </row>
    <row r="670" spans="1:25" x14ac:dyDescent="0.3">
      <c r="A670" s="22">
        <v>669</v>
      </c>
      <c r="B670" s="22">
        <v>341</v>
      </c>
      <c r="C670" s="18" t="s">
        <v>1443</v>
      </c>
      <c r="D670" s="21" t="s">
        <v>1442</v>
      </c>
      <c r="E670" s="21" t="s">
        <v>1448</v>
      </c>
      <c r="F670" s="18" t="s">
        <v>1449</v>
      </c>
      <c r="J670" s="23" t="s">
        <v>5706</v>
      </c>
      <c r="M670" s="23" t="s">
        <v>4159</v>
      </c>
      <c r="N670" s="22" t="s">
        <v>57</v>
      </c>
      <c r="O670" s="23" t="s">
        <v>1632</v>
      </c>
      <c r="V670" s="107" t="s">
        <v>4500</v>
      </c>
      <c r="X670" s="124" t="s">
        <v>9</v>
      </c>
    </row>
    <row r="671" spans="1:25" x14ac:dyDescent="0.3">
      <c r="A671" s="22">
        <v>670</v>
      </c>
      <c r="B671" s="22">
        <v>343</v>
      </c>
      <c r="C671" s="18" t="s">
        <v>1443</v>
      </c>
      <c r="D671" s="21" t="s">
        <v>1442</v>
      </c>
      <c r="E671" s="21" t="s">
        <v>1450</v>
      </c>
      <c r="F671" s="18" t="s">
        <v>1451</v>
      </c>
      <c r="J671" s="23" t="s">
        <v>5470</v>
      </c>
      <c r="L671" s="23" t="s">
        <v>2199</v>
      </c>
      <c r="M671" s="23" t="s">
        <v>4161</v>
      </c>
      <c r="N671" s="22" t="s">
        <v>57</v>
      </c>
      <c r="O671" s="23" t="s">
        <v>1914</v>
      </c>
      <c r="R671" s="22" t="s">
        <v>38</v>
      </c>
    </row>
    <row r="672" spans="1:25" x14ac:dyDescent="0.3">
      <c r="A672" s="22">
        <v>671</v>
      </c>
      <c r="B672" s="22">
        <v>349</v>
      </c>
      <c r="C672" s="18" t="s">
        <v>1443</v>
      </c>
      <c r="D672" s="21" t="s">
        <v>1442</v>
      </c>
      <c r="E672" s="21" t="s">
        <v>1452</v>
      </c>
      <c r="F672" s="18" t="s">
        <v>1453</v>
      </c>
      <c r="J672" s="23" t="s">
        <v>5470</v>
      </c>
      <c r="M672" s="23" t="s">
        <v>3788</v>
      </c>
      <c r="N672" s="22" t="s">
        <v>57</v>
      </c>
      <c r="O672" s="23" t="s">
        <v>1914</v>
      </c>
    </row>
    <row r="673" spans="1:25" x14ac:dyDescent="0.3">
      <c r="A673" s="22">
        <v>672</v>
      </c>
      <c r="B673" s="22">
        <v>343</v>
      </c>
      <c r="C673" s="18" t="s">
        <v>1443</v>
      </c>
      <c r="D673" s="21" t="s">
        <v>1442</v>
      </c>
      <c r="E673" s="21" t="s">
        <v>2226</v>
      </c>
      <c r="F673" s="18" t="s">
        <v>1455</v>
      </c>
      <c r="G673" s="23" t="s">
        <v>1454</v>
      </c>
      <c r="J673" s="23" t="s">
        <v>5510</v>
      </c>
      <c r="L673" s="23" t="s">
        <v>2037</v>
      </c>
      <c r="M673" s="23" t="s">
        <v>4709</v>
      </c>
      <c r="N673" s="22" t="s">
        <v>57</v>
      </c>
      <c r="O673" s="23" t="s">
        <v>1632</v>
      </c>
      <c r="Q673" s="22" t="s">
        <v>50</v>
      </c>
      <c r="R673" s="22" t="s">
        <v>186</v>
      </c>
      <c r="S673" s="22" t="s">
        <v>1615</v>
      </c>
      <c r="Y673" s="23" t="s">
        <v>5707</v>
      </c>
    </row>
    <row r="674" spans="1:25" x14ac:dyDescent="0.3">
      <c r="A674" s="22">
        <v>673</v>
      </c>
      <c r="B674" s="22">
        <v>343</v>
      </c>
      <c r="C674" s="18" t="s">
        <v>1443</v>
      </c>
      <c r="D674" s="21" t="s">
        <v>1442</v>
      </c>
      <c r="E674" s="21" t="s">
        <v>1454</v>
      </c>
      <c r="F674" s="18" t="s">
        <v>2849</v>
      </c>
      <c r="J674" s="23" t="s">
        <v>5470</v>
      </c>
      <c r="M674" s="23" t="s">
        <v>4248</v>
      </c>
      <c r="N674" s="22" t="s">
        <v>57</v>
      </c>
      <c r="O674" s="23" t="s">
        <v>1914</v>
      </c>
      <c r="Q674" s="22" t="s">
        <v>50</v>
      </c>
      <c r="S674" s="22" t="s">
        <v>1648</v>
      </c>
      <c r="Y674" s="23" t="s">
        <v>5708</v>
      </c>
    </row>
    <row r="675" spans="1:25" x14ac:dyDescent="0.3">
      <c r="A675" s="22">
        <v>674</v>
      </c>
      <c r="B675" s="22">
        <v>343</v>
      </c>
      <c r="C675" s="18" t="s">
        <v>1443</v>
      </c>
      <c r="D675" s="21" t="s">
        <v>1442</v>
      </c>
      <c r="E675" s="21" t="s">
        <v>1456</v>
      </c>
      <c r="F675" s="18" t="s">
        <v>1457</v>
      </c>
      <c r="I675" s="23" t="s">
        <v>2227</v>
      </c>
      <c r="J675" s="23" t="s">
        <v>5276</v>
      </c>
      <c r="M675" s="23" t="s">
        <v>4165</v>
      </c>
      <c r="N675" s="22" t="s">
        <v>57</v>
      </c>
      <c r="O675" s="23" t="s">
        <v>1632</v>
      </c>
    </row>
    <row r="676" spans="1:25" x14ac:dyDescent="0.3">
      <c r="A676" s="22">
        <v>675</v>
      </c>
      <c r="B676" s="22">
        <v>347</v>
      </c>
      <c r="C676" s="18" t="s">
        <v>1443</v>
      </c>
      <c r="D676" s="21" t="s">
        <v>1442</v>
      </c>
      <c r="E676" s="21" t="s">
        <v>1458</v>
      </c>
      <c r="F676" s="18" t="s">
        <v>1459</v>
      </c>
      <c r="J676" s="23" t="s">
        <v>5709</v>
      </c>
      <c r="L676" s="23" t="s">
        <v>2228</v>
      </c>
      <c r="M676" s="23" t="s">
        <v>4167</v>
      </c>
      <c r="N676" s="22" t="s">
        <v>57</v>
      </c>
      <c r="O676" s="23" t="s">
        <v>1632</v>
      </c>
    </row>
    <row r="677" spans="1:25" x14ac:dyDescent="0.3">
      <c r="A677" s="22">
        <v>676</v>
      </c>
      <c r="B677" s="22">
        <v>347</v>
      </c>
      <c r="C677" s="18" t="s">
        <v>1443</v>
      </c>
      <c r="D677" s="21" t="s">
        <v>1442</v>
      </c>
      <c r="E677" s="21" t="s">
        <v>1460</v>
      </c>
      <c r="F677" s="18" t="s">
        <v>1461</v>
      </c>
      <c r="G677" s="23" t="s">
        <v>1458</v>
      </c>
      <c r="J677" s="23" t="s">
        <v>5485</v>
      </c>
      <c r="L677" s="23" t="s">
        <v>2229</v>
      </c>
      <c r="M677" s="23" t="s">
        <v>4169</v>
      </c>
      <c r="N677" s="22" t="s">
        <v>57</v>
      </c>
      <c r="O677" s="23" t="s">
        <v>1701</v>
      </c>
      <c r="Q677" s="22" t="s">
        <v>38</v>
      </c>
      <c r="R677" s="22" t="s">
        <v>38</v>
      </c>
    </row>
    <row r="678" spans="1:25" x14ac:dyDescent="0.3">
      <c r="A678" s="22">
        <v>677</v>
      </c>
      <c r="B678" s="22">
        <v>347</v>
      </c>
      <c r="C678" s="18" t="s">
        <v>1443</v>
      </c>
      <c r="D678" s="21" t="s">
        <v>1442</v>
      </c>
      <c r="E678" s="21" t="s">
        <v>1462</v>
      </c>
      <c r="F678" s="18" t="s">
        <v>1463</v>
      </c>
      <c r="J678" s="23" t="s">
        <v>5272</v>
      </c>
      <c r="L678" s="23" t="s">
        <v>2230</v>
      </c>
      <c r="M678" s="23" t="s">
        <v>4171</v>
      </c>
      <c r="N678" s="22" t="s">
        <v>57</v>
      </c>
      <c r="O678" s="23" t="s">
        <v>1671</v>
      </c>
      <c r="Q678" s="22" t="s">
        <v>38</v>
      </c>
      <c r="R678" s="22" t="s">
        <v>38</v>
      </c>
    </row>
    <row r="679" spans="1:25" x14ac:dyDescent="0.3">
      <c r="A679" s="22">
        <v>678</v>
      </c>
      <c r="B679" s="22">
        <v>347</v>
      </c>
      <c r="C679" s="18" t="s">
        <v>1443</v>
      </c>
      <c r="D679" s="21" t="s">
        <v>1442</v>
      </c>
      <c r="E679" s="21" t="s">
        <v>1464</v>
      </c>
      <c r="F679" s="18" t="s">
        <v>1465</v>
      </c>
      <c r="J679" s="23" t="s">
        <v>5670</v>
      </c>
      <c r="L679" s="23" t="s">
        <v>2231</v>
      </c>
      <c r="M679" s="23" t="s">
        <v>4173</v>
      </c>
      <c r="N679" s="22" t="s">
        <v>57</v>
      </c>
      <c r="O679" s="23" t="s">
        <v>1930</v>
      </c>
      <c r="P679" s="23" t="s">
        <v>3017</v>
      </c>
      <c r="Q679" s="22" t="s">
        <v>112</v>
      </c>
      <c r="R679" s="22" t="s">
        <v>112</v>
      </c>
    </row>
    <row r="680" spans="1:25" ht="71.400000000000006" x14ac:dyDescent="0.3">
      <c r="A680" s="22">
        <v>679</v>
      </c>
      <c r="B680" s="22">
        <v>345</v>
      </c>
      <c r="C680" s="18" t="s">
        <v>1443</v>
      </c>
      <c r="D680" s="21" t="s">
        <v>1442</v>
      </c>
      <c r="E680" s="21" t="s">
        <v>1466</v>
      </c>
      <c r="F680" s="18" t="s">
        <v>1467</v>
      </c>
      <c r="J680" s="23" t="s">
        <v>1468</v>
      </c>
      <c r="M680" s="109" t="s">
        <v>6605</v>
      </c>
      <c r="N680" s="22" t="s">
        <v>37</v>
      </c>
    </row>
    <row r="681" spans="1:25" ht="30.6" x14ac:dyDescent="0.3">
      <c r="A681" s="22">
        <v>680</v>
      </c>
      <c r="B681" s="22">
        <v>349</v>
      </c>
      <c r="C681" s="18" t="s">
        <v>1443</v>
      </c>
      <c r="D681" s="21" t="s">
        <v>1442</v>
      </c>
      <c r="E681" s="21" t="s">
        <v>1469</v>
      </c>
      <c r="F681" s="18" t="s">
        <v>1470</v>
      </c>
      <c r="H681" s="21" t="s">
        <v>2232</v>
      </c>
      <c r="J681" s="23" t="s">
        <v>5710</v>
      </c>
      <c r="M681" s="109" t="s">
        <v>6606</v>
      </c>
      <c r="N681" s="22" t="s">
        <v>57</v>
      </c>
      <c r="O681" s="23" t="s">
        <v>1632</v>
      </c>
    </row>
    <row r="682" spans="1:25" x14ac:dyDescent="0.3">
      <c r="A682" s="22">
        <v>681</v>
      </c>
      <c r="B682" s="22">
        <v>351</v>
      </c>
      <c r="C682" s="18" t="s">
        <v>1443</v>
      </c>
      <c r="D682" s="21" t="s">
        <v>1442</v>
      </c>
      <c r="E682" s="21" t="s">
        <v>1471</v>
      </c>
      <c r="F682" s="18" t="s">
        <v>1472</v>
      </c>
      <c r="J682" s="23" t="s">
        <v>5213</v>
      </c>
      <c r="M682" s="23" t="s">
        <v>4177</v>
      </c>
      <c r="N682" s="22" t="s">
        <v>57</v>
      </c>
      <c r="O682" s="23" t="s">
        <v>1632</v>
      </c>
    </row>
    <row r="683" spans="1:25" x14ac:dyDescent="0.3">
      <c r="A683" s="22">
        <v>682</v>
      </c>
      <c r="C683" s="18" t="s">
        <v>1443</v>
      </c>
      <c r="D683" s="21" t="s">
        <v>1442</v>
      </c>
      <c r="E683" s="21" t="s">
        <v>2233</v>
      </c>
      <c r="F683" s="18" t="s">
        <v>2234</v>
      </c>
      <c r="G683" s="23" t="s">
        <v>1473</v>
      </c>
      <c r="J683" s="23" t="s">
        <v>5544</v>
      </c>
      <c r="M683" s="23" t="s">
        <v>4178</v>
      </c>
      <c r="N683" s="22" t="s">
        <v>57</v>
      </c>
      <c r="S683" s="22" t="s">
        <v>1648</v>
      </c>
      <c r="T683" s="62" t="s">
        <v>6705</v>
      </c>
      <c r="Y683" s="23" t="s">
        <v>6706</v>
      </c>
    </row>
    <row r="684" spans="1:25" x14ac:dyDescent="0.3">
      <c r="A684" s="22">
        <v>683</v>
      </c>
      <c r="B684" s="22">
        <v>353</v>
      </c>
      <c r="C684" s="18" t="s">
        <v>1475</v>
      </c>
      <c r="D684" s="21" t="s">
        <v>1474</v>
      </c>
      <c r="E684" s="21" t="s">
        <v>1476</v>
      </c>
      <c r="F684" s="18" t="s">
        <v>1477</v>
      </c>
      <c r="G684" s="23" t="s">
        <v>2235</v>
      </c>
      <c r="J684" s="23" t="s">
        <v>5711</v>
      </c>
      <c r="M684" s="23" t="s">
        <v>4180</v>
      </c>
      <c r="N684" s="22" t="s">
        <v>37</v>
      </c>
    </row>
    <row r="685" spans="1:25" x14ac:dyDescent="0.3">
      <c r="A685" s="22">
        <v>684</v>
      </c>
      <c r="B685" s="22">
        <v>355</v>
      </c>
      <c r="C685" s="18" t="s">
        <v>1475</v>
      </c>
      <c r="D685" s="21" t="s">
        <v>1474</v>
      </c>
      <c r="E685" s="21" t="s">
        <v>1478</v>
      </c>
      <c r="F685" s="18" t="s">
        <v>1479</v>
      </c>
      <c r="G685" s="23" t="s">
        <v>2235</v>
      </c>
      <c r="H685" s="21" t="s">
        <v>2236</v>
      </c>
      <c r="J685" s="23" t="s">
        <v>5712</v>
      </c>
      <c r="M685" s="23" t="s">
        <v>4182</v>
      </c>
      <c r="N685" s="22" t="s">
        <v>57</v>
      </c>
      <c r="O685" s="23" t="s">
        <v>1632</v>
      </c>
      <c r="R685" s="22" t="s">
        <v>186</v>
      </c>
      <c r="S685" s="22" t="s">
        <v>1648</v>
      </c>
      <c r="Y685" s="23" t="s">
        <v>4501</v>
      </c>
    </row>
    <row r="686" spans="1:25" ht="20.399999999999999" x14ac:dyDescent="0.3">
      <c r="A686" s="22">
        <v>685</v>
      </c>
      <c r="B686" s="22">
        <v>355</v>
      </c>
      <c r="C686" s="18" t="s">
        <v>1475</v>
      </c>
      <c r="D686" s="21" t="s">
        <v>1474</v>
      </c>
      <c r="E686" s="21" t="s">
        <v>1480</v>
      </c>
      <c r="F686" s="18" t="s">
        <v>1481</v>
      </c>
      <c r="I686" s="109" t="s">
        <v>5129</v>
      </c>
      <c r="J686" s="23" t="s">
        <v>59</v>
      </c>
      <c r="M686" s="23" t="s">
        <v>4184</v>
      </c>
      <c r="N686" s="22" t="s">
        <v>57</v>
      </c>
      <c r="O686" s="23" t="s">
        <v>1632</v>
      </c>
      <c r="T686" s="62" t="s">
        <v>6128</v>
      </c>
      <c r="V686" s="110" t="s">
        <v>5138</v>
      </c>
    </row>
    <row r="687" spans="1:25" x14ac:dyDescent="0.3">
      <c r="A687" s="22">
        <v>686</v>
      </c>
      <c r="B687" s="22">
        <v>355</v>
      </c>
      <c r="C687" s="18" t="s">
        <v>1475</v>
      </c>
      <c r="D687" s="21" t="s">
        <v>1474</v>
      </c>
      <c r="E687" s="21" t="s">
        <v>1482</v>
      </c>
      <c r="F687" s="18" t="s">
        <v>1483</v>
      </c>
      <c r="J687" s="23" t="s">
        <v>5713</v>
      </c>
      <c r="L687" s="23" t="s">
        <v>2237</v>
      </c>
      <c r="M687" s="23" t="s">
        <v>4186</v>
      </c>
      <c r="N687" s="22" t="s">
        <v>37</v>
      </c>
      <c r="T687" s="62" t="s">
        <v>6129</v>
      </c>
    </row>
    <row r="688" spans="1:25" x14ac:dyDescent="0.3">
      <c r="A688" s="22">
        <v>687</v>
      </c>
      <c r="B688" s="22">
        <v>357</v>
      </c>
      <c r="C688" s="18" t="s">
        <v>1475</v>
      </c>
      <c r="D688" s="21" t="s">
        <v>1474</v>
      </c>
      <c r="E688" s="21" t="s">
        <v>4728</v>
      </c>
      <c r="F688" s="18" t="s">
        <v>1485</v>
      </c>
      <c r="G688" s="23" t="s">
        <v>1484</v>
      </c>
      <c r="J688" s="23" t="s">
        <v>5229</v>
      </c>
      <c r="M688" s="23" t="s">
        <v>3233</v>
      </c>
      <c r="N688" s="22" t="s">
        <v>57</v>
      </c>
      <c r="S688" s="22" t="s">
        <v>1920</v>
      </c>
      <c r="T688" s="62" t="s">
        <v>6130</v>
      </c>
      <c r="Y688" s="23" t="s">
        <v>6707</v>
      </c>
    </row>
    <row r="689" spans="1:25" x14ac:dyDescent="0.3">
      <c r="A689" s="22">
        <v>688</v>
      </c>
      <c r="B689" s="22">
        <v>357</v>
      </c>
      <c r="C689" s="18" t="s">
        <v>1475</v>
      </c>
      <c r="D689" s="21" t="s">
        <v>1474</v>
      </c>
      <c r="E689" s="21" t="s">
        <v>6609</v>
      </c>
      <c r="F689" s="18" t="s">
        <v>6610</v>
      </c>
      <c r="G689" s="23" t="s">
        <v>1484</v>
      </c>
      <c r="I689" s="23" t="s">
        <v>4728</v>
      </c>
      <c r="J689" s="23" t="s">
        <v>5480</v>
      </c>
      <c r="L689" s="23" t="s">
        <v>6708</v>
      </c>
      <c r="M689" s="23" t="s">
        <v>3233</v>
      </c>
      <c r="N689" s="22" t="s">
        <v>57</v>
      </c>
      <c r="S689" s="22" t="s">
        <v>1648</v>
      </c>
      <c r="T689" s="62" t="s">
        <v>6709</v>
      </c>
      <c r="V689" s="107" t="s">
        <v>6710</v>
      </c>
      <c r="Y689" s="23" t="s">
        <v>6711</v>
      </c>
    </row>
    <row r="690" spans="1:25" x14ac:dyDescent="0.3">
      <c r="A690" s="22">
        <v>689</v>
      </c>
      <c r="B690" s="22">
        <v>361</v>
      </c>
      <c r="C690" s="18" t="s">
        <v>1475</v>
      </c>
      <c r="D690" s="21" t="s">
        <v>1474</v>
      </c>
      <c r="E690" s="21" t="s">
        <v>1486</v>
      </c>
      <c r="F690" s="18" t="s">
        <v>1487</v>
      </c>
      <c r="H690" s="21" t="s">
        <v>2238</v>
      </c>
      <c r="J690" s="23" t="s">
        <v>5470</v>
      </c>
      <c r="M690" s="23" t="s">
        <v>3788</v>
      </c>
      <c r="N690" s="22" t="s">
        <v>57</v>
      </c>
      <c r="O690" s="23" t="s">
        <v>1914</v>
      </c>
      <c r="Q690" s="22" t="s">
        <v>50</v>
      </c>
      <c r="R690" s="22" t="s">
        <v>186</v>
      </c>
      <c r="T690" s="62" t="s">
        <v>6131</v>
      </c>
    </row>
    <row r="691" spans="1:25" ht="20.399999999999999" x14ac:dyDescent="0.3">
      <c r="A691" s="22">
        <v>690</v>
      </c>
      <c r="B691" s="22">
        <v>361</v>
      </c>
      <c r="C691" s="18" t="s">
        <v>1475</v>
      </c>
      <c r="D691" s="21" t="s">
        <v>1474</v>
      </c>
      <c r="E691" s="21" t="s">
        <v>1488</v>
      </c>
      <c r="F691" s="18" t="s">
        <v>1489</v>
      </c>
      <c r="J691" s="23" t="s">
        <v>5470</v>
      </c>
      <c r="M691" s="109" t="s">
        <v>6611</v>
      </c>
      <c r="N691" s="22" t="s">
        <v>57</v>
      </c>
      <c r="O691" s="23" t="s">
        <v>1914</v>
      </c>
      <c r="Q691" s="22" t="s">
        <v>50</v>
      </c>
      <c r="R691" s="22" t="s">
        <v>186</v>
      </c>
    </row>
    <row r="692" spans="1:25" x14ac:dyDescent="0.3">
      <c r="A692" s="22">
        <v>691</v>
      </c>
      <c r="B692" s="22">
        <v>361</v>
      </c>
      <c r="C692" s="18" t="s">
        <v>1475</v>
      </c>
      <c r="D692" s="21" t="s">
        <v>1474</v>
      </c>
      <c r="E692" s="21" t="s">
        <v>1490</v>
      </c>
      <c r="F692" s="18" t="s">
        <v>1491</v>
      </c>
      <c r="J692" s="23" t="s">
        <v>5714</v>
      </c>
      <c r="L692" s="23" t="s">
        <v>2239</v>
      </c>
      <c r="M692" s="23" t="s">
        <v>4191</v>
      </c>
      <c r="N692" s="22" t="s">
        <v>57</v>
      </c>
      <c r="O692" s="23" t="s">
        <v>1914</v>
      </c>
      <c r="Q692" s="22" t="s">
        <v>50</v>
      </c>
      <c r="R692" s="22" t="s">
        <v>38</v>
      </c>
    </row>
    <row r="693" spans="1:25" x14ac:dyDescent="0.3">
      <c r="A693" s="22">
        <v>692</v>
      </c>
      <c r="B693" s="22">
        <v>359</v>
      </c>
      <c r="C693" s="18" t="s">
        <v>1475</v>
      </c>
      <c r="D693" s="21" t="s">
        <v>1474</v>
      </c>
      <c r="E693" s="21" t="s">
        <v>1492</v>
      </c>
      <c r="F693" s="18" t="s">
        <v>1493</v>
      </c>
      <c r="J693" s="23" t="s">
        <v>4502</v>
      </c>
      <c r="L693" s="23" t="s">
        <v>6712</v>
      </c>
      <c r="M693" s="23" t="s">
        <v>4193</v>
      </c>
      <c r="N693" s="22" t="s">
        <v>57</v>
      </c>
      <c r="O693" s="23" t="s">
        <v>1668</v>
      </c>
      <c r="S693" s="22" t="s">
        <v>1638</v>
      </c>
      <c r="Y693" s="23" t="s">
        <v>4503</v>
      </c>
    </row>
    <row r="694" spans="1:25" x14ac:dyDescent="0.3">
      <c r="A694" s="22">
        <v>693</v>
      </c>
      <c r="B694" s="22">
        <v>359</v>
      </c>
      <c r="C694" s="18" t="s">
        <v>1475</v>
      </c>
      <c r="D694" s="21" t="s">
        <v>1474</v>
      </c>
      <c r="E694" s="21" t="s">
        <v>1494</v>
      </c>
      <c r="F694" s="18" t="s">
        <v>1495</v>
      </c>
      <c r="G694" s="23" t="s">
        <v>1492</v>
      </c>
      <c r="J694" s="23" t="s">
        <v>5485</v>
      </c>
      <c r="M694" s="23" t="s">
        <v>3843</v>
      </c>
      <c r="N694" s="22" t="s">
        <v>57</v>
      </c>
      <c r="O694" s="23" t="s">
        <v>1701</v>
      </c>
      <c r="R694" s="22" t="s">
        <v>186</v>
      </c>
      <c r="S694" s="22" t="s">
        <v>1648</v>
      </c>
      <c r="Y694" s="23" t="s">
        <v>4504</v>
      </c>
    </row>
    <row r="695" spans="1:25" ht="40.799999999999997" x14ac:dyDescent="0.3">
      <c r="A695" s="22">
        <v>694</v>
      </c>
      <c r="B695" s="22">
        <v>359</v>
      </c>
      <c r="C695" s="18" t="s">
        <v>1475</v>
      </c>
      <c r="D695" s="21" t="s">
        <v>1474</v>
      </c>
      <c r="E695" s="21" t="s">
        <v>1496</v>
      </c>
      <c r="F695" s="18" t="s">
        <v>1497</v>
      </c>
      <c r="J695" s="23" t="s">
        <v>59</v>
      </c>
      <c r="M695" s="109" t="s">
        <v>6612</v>
      </c>
      <c r="N695" s="22" t="s">
        <v>57</v>
      </c>
      <c r="O695" s="23" t="s">
        <v>1669</v>
      </c>
    </row>
    <row r="696" spans="1:25" x14ac:dyDescent="0.3">
      <c r="A696" s="22">
        <v>695</v>
      </c>
      <c r="B696" s="22">
        <v>357</v>
      </c>
      <c r="C696" s="18" t="s">
        <v>1475</v>
      </c>
      <c r="D696" s="21" t="s">
        <v>1474</v>
      </c>
      <c r="E696" s="21" t="s">
        <v>1500</v>
      </c>
      <c r="F696" s="18" t="s">
        <v>1501</v>
      </c>
      <c r="J696" s="23" t="s">
        <v>5480</v>
      </c>
      <c r="L696" s="23" t="s">
        <v>2244</v>
      </c>
      <c r="M696" s="23" t="s">
        <v>4200</v>
      </c>
      <c r="N696" s="22" t="s">
        <v>57</v>
      </c>
      <c r="O696" s="23" t="s">
        <v>1647</v>
      </c>
    </row>
    <row r="697" spans="1:25" x14ac:dyDescent="0.3">
      <c r="A697" s="22">
        <v>696</v>
      </c>
      <c r="B697" s="22">
        <v>361</v>
      </c>
      <c r="C697" s="18" t="s">
        <v>1475</v>
      </c>
      <c r="D697" s="21" t="s">
        <v>1474</v>
      </c>
      <c r="E697" s="21" t="s">
        <v>1502</v>
      </c>
      <c r="F697" s="18" t="s">
        <v>1503</v>
      </c>
      <c r="G697" s="23" t="s">
        <v>1500</v>
      </c>
      <c r="J697" s="23" t="s">
        <v>5229</v>
      </c>
      <c r="M697" s="23" t="s">
        <v>4202</v>
      </c>
      <c r="N697" s="22" t="s">
        <v>57</v>
      </c>
      <c r="O697" s="23" t="s">
        <v>1632</v>
      </c>
    </row>
    <row r="698" spans="1:25" x14ac:dyDescent="0.3">
      <c r="A698" s="22">
        <v>697</v>
      </c>
      <c r="B698" s="22">
        <v>357</v>
      </c>
      <c r="C698" s="18" t="s">
        <v>1475</v>
      </c>
      <c r="D698" s="21" t="s">
        <v>1474</v>
      </c>
      <c r="E698" s="21" t="s">
        <v>1504</v>
      </c>
      <c r="F698" s="18" t="s">
        <v>1505</v>
      </c>
      <c r="G698" s="23" t="s">
        <v>2246</v>
      </c>
      <c r="J698" s="23" t="s">
        <v>5485</v>
      </c>
      <c r="L698" s="23" t="s">
        <v>2245</v>
      </c>
      <c r="M698" s="23" t="s">
        <v>4204</v>
      </c>
      <c r="N698" s="22" t="s">
        <v>57</v>
      </c>
      <c r="O698" s="23" t="s">
        <v>1632</v>
      </c>
      <c r="S698" s="22" t="s">
        <v>1648</v>
      </c>
      <c r="Y698" s="23" t="s">
        <v>4508</v>
      </c>
    </row>
    <row r="699" spans="1:25" x14ac:dyDescent="0.3">
      <c r="A699" s="22">
        <v>698</v>
      </c>
      <c r="B699" s="22">
        <v>353</v>
      </c>
      <c r="C699" s="18" t="s">
        <v>1475</v>
      </c>
      <c r="D699" s="21" t="s">
        <v>1474</v>
      </c>
      <c r="E699" s="21" t="s">
        <v>1506</v>
      </c>
      <c r="F699" s="18" t="s">
        <v>1507</v>
      </c>
      <c r="G699" s="23" t="s">
        <v>2247</v>
      </c>
      <c r="J699" s="23" t="s">
        <v>5615</v>
      </c>
      <c r="M699" s="23" t="s">
        <v>3641</v>
      </c>
      <c r="N699" s="22" t="s">
        <v>57</v>
      </c>
      <c r="O699" s="23" t="s">
        <v>1669</v>
      </c>
      <c r="S699" s="22" t="s">
        <v>1648</v>
      </c>
      <c r="Y699" s="23" t="s">
        <v>4509</v>
      </c>
    </row>
    <row r="700" spans="1:25" x14ac:dyDescent="0.3">
      <c r="A700" s="22">
        <v>699</v>
      </c>
      <c r="B700" s="22">
        <v>353</v>
      </c>
      <c r="C700" s="18" t="s">
        <v>1475</v>
      </c>
      <c r="D700" s="21" t="s">
        <v>1474</v>
      </c>
      <c r="E700" s="21" t="s">
        <v>1508</v>
      </c>
      <c r="F700" s="18" t="s">
        <v>1509</v>
      </c>
      <c r="G700" s="23" t="s">
        <v>2247</v>
      </c>
      <c r="I700" s="23" t="s">
        <v>2249</v>
      </c>
      <c r="J700" s="23" t="s">
        <v>5223</v>
      </c>
      <c r="L700" s="23" t="s">
        <v>2248</v>
      </c>
      <c r="M700" s="23" t="s">
        <v>3134</v>
      </c>
      <c r="N700" s="22" t="s">
        <v>57</v>
      </c>
      <c r="O700" s="23" t="s">
        <v>1610</v>
      </c>
      <c r="S700" s="22" t="s">
        <v>1648</v>
      </c>
      <c r="Y700" s="23" t="s">
        <v>4510</v>
      </c>
    </row>
    <row r="701" spans="1:25" x14ac:dyDescent="0.3">
      <c r="A701" s="22">
        <v>700</v>
      </c>
      <c r="B701" s="22">
        <v>353</v>
      </c>
      <c r="C701" s="18" t="s">
        <v>1475</v>
      </c>
      <c r="D701" s="21" t="s">
        <v>1474</v>
      </c>
      <c r="E701" s="21" t="s">
        <v>1510</v>
      </c>
      <c r="F701" s="18" t="s">
        <v>1511</v>
      </c>
      <c r="J701" s="23" t="s">
        <v>5715</v>
      </c>
      <c r="M701" s="23" t="s">
        <v>4208</v>
      </c>
      <c r="N701" s="22" t="s">
        <v>57</v>
      </c>
      <c r="O701" s="23" t="s">
        <v>1632</v>
      </c>
    </row>
    <row r="702" spans="1:25" x14ac:dyDescent="0.3">
      <c r="A702" s="22">
        <v>701</v>
      </c>
      <c r="B702" s="22">
        <v>365</v>
      </c>
      <c r="C702" s="18" t="s">
        <v>1512</v>
      </c>
      <c r="D702" s="21" t="s">
        <v>5853</v>
      </c>
      <c r="E702" s="21" t="s">
        <v>1513</v>
      </c>
      <c r="F702" s="18" t="s">
        <v>1514</v>
      </c>
      <c r="J702" s="23" t="s">
        <v>6132</v>
      </c>
      <c r="L702" s="23" t="s">
        <v>2250</v>
      </c>
      <c r="M702" s="23" t="s">
        <v>3788</v>
      </c>
      <c r="N702" s="22" t="s">
        <v>57</v>
      </c>
      <c r="O702" s="23" t="s">
        <v>1914</v>
      </c>
      <c r="S702" s="22" t="s">
        <v>1834</v>
      </c>
      <c r="Y702" s="23" t="s">
        <v>4511</v>
      </c>
    </row>
    <row r="703" spans="1:25" x14ac:dyDescent="0.3">
      <c r="A703" s="22">
        <v>702</v>
      </c>
      <c r="B703" s="22">
        <v>365</v>
      </c>
      <c r="C703" s="18" t="s">
        <v>1512</v>
      </c>
      <c r="D703" s="21" t="s">
        <v>5853</v>
      </c>
      <c r="E703" s="21" t="s">
        <v>1515</v>
      </c>
      <c r="F703" s="18" t="s">
        <v>1516</v>
      </c>
      <c r="J703" s="23" t="s">
        <v>6133</v>
      </c>
      <c r="K703" s="23" t="s">
        <v>6134</v>
      </c>
      <c r="M703" s="23" t="s">
        <v>4211</v>
      </c>
      <c r="N703" s="22" t="s">
        <v>42</v>
      </c>
    </row>
    <row r="704" spans="1:25" x14ac:dyDescent="0.3">
      <c r="A704" s="22">
        <v>703</v>
      </c>
      <c r="C704" s="18" t="s">
        <v>1512</v>
      </c>
      <c r="D704" s="21" t="s">
        <v>5853</v>
      </c>
      <c r="E704" s="21" t="s">
        <v>6614</v>
      </c>
      <c r="F704" s="18" t="s">
        <v>6615</v>
      </c>
      <c r="G704" s="23" t="s">
        <v>1612</v>
      </c>
      <c r="J704" s="23" t="s">
        <v>6713</v>
      </c>
      <c r="K704" s="23" t="s">
        <v>6714</v>
      </c>
      <c r="N704" s="22" t="s">
        <v>49</v>
      </c>
      <c r="P704" s="23" t="s">
        <v>49</v>
      </c>
      <c r="W704" s="108">
        <v>45223</v>
      </c>
      <c r="X704" s="124" t="s">
        <v>6616</v>
      </c>
    </row>
    <row r="705" spans="1:25" x14ac:dyDescent="0.3">
      <c r="A705" s="22">
        <v>704</v>
      </c>
      <c r="B705" s="22">
        <v>363</v>
      </c>
      <c r="C705" s="18" t="s">
        <v>1517</v>
      </c>
      <c r="D705" s="21" t="s">
        <v>5854</v>
      </c>
      <c r="E705" s="21" t="s">
        <v>1534</v>
      </c>
      <c r="F705" s="18" t="s">
        <v>5191</v>
      </c>
      <c r="J705" s="23" t="s">
        <v>5716</v>
      </c>
      <c r="L705" s="23" t="s">
        <v>2253</v>
      </c>
      <c r="M705" s="23" t="s">
        <v>4212</v>
      </c>
      <c r="N705" s="22" t="s">
        <v>42</v>
      </c>
      <c r="Q705" s="22" t="s">
        <v>58</v>
      </c>
      <c r="S705" s="22" t="s">
        <v>1679</v>
      </c>
      <c r="T705" s="62" t="s">
        <v>6135</v>
      </c>
      <c r="V705" s="107" t="s">
        <v>1535</v>
      </c>
      <c r="X705" s="124" t="s">
        <v>1536</v>
      </c>
      <c r="Y705" s="23" t="s">
        <v>5717</v>
      </c>
    </row>
    <row r="706" spans="1:25" x14ac:dyDescent="0.3">
      <c r="A706" s="22">
        <v>705</v>
      </c>
      <c r="B706" s="22">
        <v>363</v>
      </c>
      <c r="C706" s="18" t="s">
        <v>1517</v>
      </c>
      <c r="D706" s="21" t="s">
        <v>5854</v>
      </c>
      <c r="E706" s="21" t="s">
        <v>1528</v>
      </c>
      <c r="F706" s="18" t="s">
        <v>1529</v>
      </c>
      <c r="J706" s="23" t="s">
        <v>5718</v>
      </c>
      <c r="M706" s="23" t="s">
        <v>3233</v>
      </c>
      <c r="N706" s="22" t="s">
        <v>37</v>
      </c>
    </row>
    <row r="707" spans="1:25" x14ac:dyDescent="0.3">
      <c r="A707" s="22">
        <v>706</v>
      </c>
      <c r="B707" s="22">
        <v>363</v>
      </c>
      <c r="C707" s="18" t="s">
        <v>1517</v>
      </c>
      <c r="D707" s="21" t="s">
        <v>5854</v>
      </c>
      <c r="E707" s="21" t="s">
        <v>1526</v>
      </c>
      <c r="F707" s="18" t="s">
        <v>1527</v>
      </c>
      <c r="J707" s="23" t="s">
        <v>5719</v>
      </c>
      <c r="L707" s="23" t="s">
        <v>2252</v>
      </c>
      <c r="M707" s="23" t="s">
        <v>4021</v>
      </c>
      <c r="N707" s="22" t="s">
        <v>37</v>
      </c>
    </row>
    <row r="708" spans="1:25" x14ac:dyDescent="0.3">
      <c r="A708" s="22">
        <v>707</v>
      </c>
      <c r="B708" s="22">
        <v>363</v>
      </c>
      <c r="C708" s="18" t="s">
        <v>1517</v>
      </c>
      <c r="D708" s="21" t="s">
        <v>5854</v>
      </c>
      <c r="E708" s="21" t="s">
        <v>1530</v>
      </c>
      <c r="F708" s="18" t="s">
        <v>1531</v>
      </c>
      <c r="J708" s="23" t="s">
        <v>5720</v>
      </c>
      <c r="M708" s="23" t="s">
        <v>3233</v>
      </c>
      <c r="N708" s="22" t="s">
        <v>37</v>
      </c>
    </row>
    <row r="709" spans="1:25" x14ac:dyDescent="0.3">
      <c r="A709" s="22">
        <v>708</v>
      </c>
      <c r="B709" s="22">
        <v>363</v>
      </c>
      <c r="C709" s="18" t="s">
        <v>1517</v>
      </c>
      <c r="D709" s="21" t="s">
        <v>5854</v>
      </c>
      <c r="E709" s="21" t="s">
        <v>1532</v>
      </c>
      <c r="F709" s="18" t="s">
        <v>1533</v>
      </c>
      <c r="J709" s="23" t="s">
        <v>5721</v>
      </c>
      <c r="M709" s="23" t="s">
        <v>3233</v>
      </c>
      <c r="N709" s="22" t="s">
        <v>37</v>
      </c>
      <c r="S709" s="22" t="s">
        <v>1648</v>
      </c>
      <c r="Y709" s="23" t="s">
        <v>4512</v>
      </c>
    </row>
    <row r="710" spans="1:25" x14ac:dyDescent="0.3">
      <c r="A710" s="22">
        <v>709</v>
      </c>
      <c r="B710" s="22">
        <v>365</v>
      </c>
      <c r="C710" s="18" t="s">
        <v>1517</v>
      </c>
      <c r="D710" s="21" t="s">
        <v>5854</v>
      </c>
      <c r="E710" s="21" t="s">
        <v>1520</v>
      </c>
      <c r="F710" s="18" t="s">
        <v>1521</v>
      </c>
      <c r="G710" s="23" t="s">
        <v>1612</v>
      </c>
      <c r="J710" s="23" t="s">
        <v>5722</v>
      </c>
      <c r="M710" s="23" t="s">
        <v>4218</v>
      </c>
      <c r="N710" s="22" t="s">
        <v>49</v>
      </c>
      <c r="P710" s="23" t="s">
        <v>49</v>
      </c>
      <c r="W710" s="108">
        <v>30440</v>
      </c>
      <c r="X710" s="124" t="s">
        <v>6617</v>
      </c>
    </row>
    <row r="711" spans="1:25" x14ac:dyDescent="0.3">
      <c r="A711" s="22">
        <v>710</v>
      </c>
      <c r="B711" s="22">
        <v>365</v>
      </c>
      <c r="C711" s="18" t="s">
        <v>1517</v>
      </c>
      <c r="D711" s="21" t="s">
        <v>5854</v>
      </c>
      <c r="E711" s="21" t="s">
        <v>1522</v>
      </c>
      <c r="F711" s="18" t="s">
        <v>1523</v>
      </c>
      <c r="J711" s="23" t="s">
        <v>5723</v>
      </c>
      <c r="L711" s="23" t="s">
        <v>2194</v>
      </c>
      <c r="M711" s="23" t="s">
        <v>4220</v>
      </c>
      <c r="N711" s="22" t="s">
        <v>57</v>
      </c>
      <c r="O711" s="23" t="s">
        <v>1632</v>
      </c>
      <c r="Q711" s="22" t="s">
        <v>38</v>
      </c>
      <c r="R711" s="22" t="s">
        <v>38</v>
      </c>
    </row>
    <row r="712" spans="1:25" x14ac:dyDescent="0.3">
      <c r="A712" s="22">
        <v>711</v>
      </c>
      <c r="B712" s="22">
        <v>365</v>
      </c>
      <c r="C712" s="18" t="s">
        <v>1517</v>
      </c>
      <c r="D712" s="21" t="s">
        <v>5854</v>
      </c>
      <c r="E712" s="21" t="s">
        <v>1518</v>
      </c>
      <c r="F712" s="18" t="s">
        <v>1519</v>
      </c>
      <c r="J712" s="23" t="s">
        <v>5724</v>
      </c>
      <c r="M712" s="23" t="s">
        <v>4222</v>
      </c>
      <c r="N712" s="22" t="s">
        <v>37</v>
      </c>
    </row>
    <row r="713" spans="1:25" x14ac:dyDescent="0.3">
      <c r="A713" s="22">
        <v>712</v>
      </c>
      <c r="B713" s="22">
        <v>365</v>
      </c>
      <c r="C713" s="18" t="s">
        <v>1517</v>
      </c>
      <c r="D713" s="21" t="s">
        <v>5854</v>
      </c>
      <c r="E713" s="21" t="s">
        <v>1524</v>
      </c>
      <c r="F713" s="18" t="s">
        <v>1525</v>
      </c>
      <c r="J713" s="23" t="s">
        <v>5470</v>
      </c>
      <c r="L713" s="23" t="s">
        <v>2251</v>
      </c>
      <c r="M713" s="23" t="s">
        <v>3788</v>
      </c>
      <c r="N713" s="22" t="s">
        <v>57</v>
      </c>
      <c r="O713" s="23" t="s">
        <v>1914</v>
      </c>
      <c r="Q713" s="22" t="s">
        <v>50</v>
      </c>
      <c r="R713" s="22" t="s">
        <v>186</v>
      </c>
    </row>
    <row r="714" spans="1:25" x14ac:dyDescent="0.3">
      <c r="A714" s="22">
        <v>713</v>
      </c>
      <c r="B714" s="22">
        <v>367</v>
      </c>
      <c r="C714" s="18" t="s">
        <v>1537</v>
      </c>
      <c r="D714" s="21" t="s">
        <v>5855</v>
      </c>
      <c r="E714" s="21" t="s">
        <v>1538</v>
      </c>
      <c r="F714" s="18" t="s">
        <v>1539</v>
      </c>
      <c r="J714" s="23" t="s">
        <v>5725</v>
      </c>
      <c r="K714" s="23" t="s">
        <v>5726</v>
      </c>
      <c r="L714" s="23" t="s">
        <v>2254</v>
      </c>
      <c r="M714" s="23" t="s">
        <v>3217</v>
      </c>
      <c r="N714" s="22" t="s">
        <v>89</v>
      </c>
    </row>
    <row r="715" spans="1:25" x14ac:dyDescent="0.3">
      <c r="A715" s="22">
        <v>714</v>
      </c>
      <c r="B715" s="22">
        <v>371</v>
      </c>
      <c r="C715" s="18" t="s">
        <v>1537</v>
      </c>
      <c r="D715" s="21" t="s">
        <v>5855</v>
      </c>
      <c r="E715" s="21" t="s">
        <v>1540</v>
      </c>
      <c r="F715" s="18" t="s">
        <v>1541</v>
      </c>
      <c r="G715" s="23" t="s">
        <v>2255</v>
      </c>
      <c r="J715" s="23" t="s">
        <v>5727</v>
      </c>
      <c r="M715" s="23" t="s">
        <v>3221</v>
      </c>
      <c r="N715" s="22" t="s">
        <v>89</v>
      </c>
      <c r="S715" s="22" t="s">
        <v>1679</v>
      </c>
      <c r="V715" s="107" t="s">
        <v>4513</v>
      </c>
      <c r="Y715" s="23" t="s">
        <v>4514</v>
      </c>
    </row>
    <row r="716" spans="1:25" x14ac:dyDescent="0.3">
      <c r="A716" s="22">
        <v>715</v>
      </c>
      <c r="B716" s="22">
        <v>369</v>
      </c>
      <c r="C716" s="18" t="s">
        <v>1537</v>
      </c>
      <c r="D716" s="21" t="s">
        <v>5855</v>
      </c>
      <c r="E716" s="21" t="s">
        <v>1542</v>
      </c>
      <c r="F716" s="18" t="s">
        <v>1543</v>
      </c>
      <c r="G716" s="23" t="s">
        <v>1612</v>
      </c>
      <c r="J716" s="23" t="s">
        <v>5218</v>
      </c>
      <c r="K716" s="23" t="s">
        <v>1759</v>
      </c>
      <c r="M716" s="23" t="s">
        <v>3083</v>
      </c>
      <c r="N716" s="22" t="s">
        <v>49</v>
      </c>
      <c r="P716" s="23" t="s">
        <v>49</v>
      </c>
      <c r="S716" s="22" t="s">
        <v>1679</v>
      </c>
      <c r="W716" s="108">
        <v>41005</v>
      </c>
      <c r="X716" s="124" t="s">
        <v>6618</v>
      </c>
      <c r="Y716" s="23" t="s">
        <v>4514</v>
      </c>
    </row>
    <row r="717" spans="1:25" x14ac:dyDescent="0.3">
      <c r="A717" s="22">
        <v>716</v>
      </c>
      <c r="B717" s="22">
        <v>369</v>
      </c>
      <c r="C717" s="18" t="s">
        <v>1537</v>
      </c>
      <c r="D717" s="21" t="s">
        <v>5855</v>
      </c>
      <c r="E717" s="21" t="s">
        <v>1544</v>
      </c>
      <c r="F717" s="18" t="s">
        <v>1545</v>
      </c>
      <c r="H717" s="21" t="s">
        <v>2256</v>
      </c>
      <c r="J717" s="23" t="s">
        <v>5728</v>
      </c>
      <c r="K717" s="23" t="s">
        <v>5729</v>
      </c>
      <c r="M717" s="23" t="s">
        <v>3388</v>
      </c>
      <c r="N717" s="22" t="s">
        <v>89</v>
      </c>
      <c r="S717" s="22" t="s">
        <v>1638</v>
      </c>
      <c r="Y717" s="23" t="s">
        <v>4514</v>
      </c>
    </row>
    <row r="718" spans="1:25" ht="51" x14ac:dyDescent="0.3">
      <c r="A718" s="22">
        <v>717</v>
      </c>
      <c r="B718" s="22">
        <v>371</v>
      </c>
      <c r="C718" s="18" t="s">
        <v>1537</v>
      </c>
      <c r="D718" s="21" t="s">
        <v>5855</v>
      </c>
      <c r="E718" s="21" t="s">
        <v>1546</v>
      </c>
      <c r="F718" s="18" t="s">
        <v>1547</v>
      </c>
      <c r="J718" s="23" t="s">
        <v>5684</v>
      </c>
      <c r="K718" s="23" t="s">
        <v>1787</v>
      </c>
      <c r="M718" s="109" t="s">
        <v>8574</v>
      </c>
      <c r="N718" s="22" t="s">
        <v>89</v>
      </c>
      <c r="S718" s="22" t="s">
        <v>1638</v>
      </c>
      <c r="Y718" s="23" t="s">
        <v>4514</v>
      </c>
    </row>
    <row r="719" spans="1:25" x14ac:dyDescent="0.3">
      <c r="A719" s="22">
        <v>718</v>
      </c>
      <c r="B719" s="22">
        <v>369</v>
      </c>
      <c r="C719" s="18" t="s">
        <v>1537</v>
      </c>
      <c r="D719" s="21" t="s">
        <v>5855</v>
      </c>
      <c r="E719" s="21" t="s">
        <v>1548</v>
      </c>
      <c r="F719" s="18" t="s">
        <v>1549</v>
      </c>
      <c r="G719" s="23" t="s">
        <v>1612</v>
      </c>
      <c r="J719" s="23" t="s">
        <v>5730</v>
      </c>
      <c r="K719" s="23" t="s">
        <v>1633</v>
      </c>
      <c r="M719" s="23" t="s">
        <v>3959</v>
      </c>
      <c r="N719" s="22" t="s">
        <v>49</v>
      </c>
      <c r="P719" s="23" t="s">
        <v>49</v>
      </c>
      <c r="S719" s="22" t="s">
        <v>1679</v>
      </c>
      <c r="W719" s="108">
        <v>41562</v>
      </c>
      <c r="X719" s="124" t="s">
        <v>8575</v>
      </c>
      <c r="Y719" s="23" t="s">
        <v>4515</v>
      </c>
    </row>
    <row r="720" spans="1:25" x14ac:dyDescent="0.3">
      <c r="A720" s="22">
        <v>719</v>
      </c>
      <c r="B720" s="22">
        <v>369</v>
      </c>
      <c r="C720" s="18" t="s">
        <v>1537</v>
      </c>
      <c r="D720" s="21" t="s">
        <v>5855</v>
      </c>
      <c r="E720" s="21" t="s">
        <v>1550</v>
      </c>
      <c r="F720" s="18" t="s">
        <v>1551</v>
      </c>
      <c r="G720" s="23" t="s">
        <v>1548</v>
      </c>
      <c r="J720" s="23" t="s">
        <v>5731</v>
      </c>
      <c r="M720" s="23" t="s">
        <v>4231</v>
      </c>
      <c r="N720" s="22" t="s">
        <v>37</v>
      </c>
      <c r="S720" s="22" t="s">
        <v>1638</v>
      </c>
      <c r="Y720" s="23" t="s">
        <v>4514</v>
      </c>
    </row>
    <row r="721" spans="1:25" x14ac:dyDescent="0.3">
      <c r="A721" s="22">
        <v>720</v>
      </c>
      <c r="B721" s="22">
        <v>367</v>
      </c>
      <c r="C721" s="18" t="s">
        <v>1537</v>
      </c>
      <c r="D721" s="21" t="s">
        <v>5855</v>
      </c>
      <c r="E721" s="21" t="s">
        <v>1552</v>
      </c>
      <c r="F721" s="18" t="s">
        <v>1553</v>
      </c>
      <c r="G721" s="23" t="s">
        <v>2257</v>
      </c>
      <c r="J721" s="23" t="s">
        <v>5732</v>
      </c>
      <c r="K721" s="23" t="s">
        <v>5733</v>
      </c>
      <c r="M721" s="23" t="s">
        <v>4233</v>
      </c>
      <c r="N721" s="22" t="s">
        <v>89</v>
      </c>
      <c r="S721" s="22" t="s">
        <v>1679</v>
      </c>
      <c r="Y721" s="23" t="s">
        <v>5734</v>
      </c>
    </row>
    <row r="722" spans="1:25" ht="20.399999999999999" x14ac:dyDescent="0.3">
      <c r="A722" s="22">
        <v>721</v>
      </c>
      <c r="B722" s="22">
        <v>367</v>
      </c>
      <c r="C722" s="18" t="s">
        <v>1537</v>
      </c>
      <c r="D722" s="21" t="s">
        <v>5855</v>
      </c>
      <c r="E722" s="21" t="s">
        <v>1554</v>
      </c>
      <c r="F722" s="18" t="s">
        <v>1555</v>
      </c>
      <c r="J722" s="23" t="s">
        <v>5735</v>
      </c>
      <c r="K722" s="23" t="s">
        <v>2258</v>
      </c>
      <c r="M722" s="109" t="s">
        <v>4235</v>
      </c>
      <c r="N722" s="22" t="s">
        <v>89</v>
      </c>
      <c r="S722" s="22" t="s">
        <v>1638</v>
      </c>
      <c r="Y722" s="23" t="s">
        <v>4514</v>
      </c>
    </row>
    <row r="723" spans="1:25" x14ac:dyDescent="0.3">
      <c r="A723" s="22">
        <v>722</v>
      </c>
      <c r="B723" s="22">
        <v>367</v>
      </c>
      <c r="C723" s="18" t="s">
        <v>1537</v>
      </c>
      <c r="D723" s="21" t="s">
        <v>5855</v>
      </c>
      <c r="E723" s="21" t="s">
        <v>1556</v>
      </c>
      <c r="F723" s="18" t="s">
        <v>1557</v>
      </c>
      <c r="J723" s="23" t="s">
        <v>5736</v>
      </c>
      <c r="K723" s="23" t="s">
        <v>6136</v>
      </c>
      <c r="L723" s="23" t="s">
        <v>2259</v>
      </c>
      <c r="M723" s="23" t="s">
        <v>4237</v>
      </c>
      <c r="N723" s="22" t="s">
        <v>89</v>
      </c>
      <c r="S723" s="22" t="s">
        <v>1638</v>
      </c>
      <c r="Y723" s="23" t="s">
        <v>4515</v>
      </c>
    </row>
    <row r="724" spans="1:25" x14ac:dyDescent="0.3">
      <c r="A724" s="22">
        <v>723</v>
      </c>
      <c r="B724" s="22">
        <v>369</v>
      </c>
      <c r="C724" s="18" t="s">
        <v>1537</v>
      </c>
      <c r="D724" s="21" t="s">
        <v>5855</v>
      </c>
      <c r="E724" s="21" t="s">
        <v>1558</v>
      </c>
      <c r="F724" s="18" t="s">
        <v>1559</v>
      </c>
      <c r="G724" s="23" t="s">
        <v>1612</v>
      </c>
      <c r="H724" s="21" t="s">
        <v>2261</v>
      </c>
      <c r="J724" s="23" t="s">
        <v>5737</v>
      </c>
      <c r="K724" s="23" t="s">
        <v>2260</v>
      </c>
      <c r="M724" s="23" t="s">
        <v>3078</v>
      </c>
      <c r="N724" s="22" t="s">
        <v>49</v>
      </c>
      <c r="P724" s="23" t="s">
        <v>49</v>
      </c>
      <c r="S724" s="22" t="s">
        <v>1638</v>
      </c>
      <c r="W724" s="108">
        <v>43779</v>
      </c>
      <c r="X724" s="124" t="s">
        <v>6463</v>
      </c>
      <c r="Y724" s="23" t="s">
        <v>4514</v>
      </c>
    </row>
    <row r="725" spans="1:25" x14ac:dyDescent="0.3">
      <c r="A725" s="22">
        <v>724</v>
      </c>
      <c r="B725" s="22">
        <v>373</v>
      </c>
      <c r="C725" s="18" t="s">
        <v>1560</v>
      </c>
      <c r="D725" s="21" t="s">
        <v>5856</v>
      </c>
      <c r="E725" s="21" t="s">
        <v>1561</v>
      </c>
      <c r="F725" s="18" t="s">
        <v>1562</v>
      </c>
      <c r="J725" s="23" t="s">
        <v>5738</v>
      </c>
      <c r="K725" s="23" t="s">
        <v>5739</v>
      </c>
      <c r="L725" s="23" t="s">
        <v>2262</v>
      </c>
      <c r="M725" s="23" t="s">
        <v>4240</v>
      </c>
      <c r="N725" s="22" t="s">
        <v>49</v>
      </c>
      <c r="P725" s="23" t="s">
        <v>49</v>
      </c>
      <c r="W725" s="108">
        <v>1398</v>
      </c>
      <c r="X725" s="124" t="s">
        <v>6619</v>
      </c>
    </row>
    <row r="726" spans="1:25" x14ac:dyDescent="0.3">
      <c r="A726" s="22">
        <v>725</v>
      </c>
      <c r="B726" s="22">
        <v>373</v>
      </c>
      <c r="C726" s="18" t="s">
        <v>1560</v>
      </c>
      <c r="D726" s="21" t="s">
        <v>5856</v>
      </c>
      <c r="E726" s="21" t="s">
        <v>1563</v>
      </c>
      <c r="F726" s="18" t="s">
        <v>1564</v>
      </c>
      <c r="G726" s="23" t="s">
        <v>1612</v>
      </c>
      <c r="J726" s="23" t="s">
        <v>5740</v>
      </c>
      <c r="K726" s="23" t="s">
        <v>5741</v>
      </c>
      <c r="M726" s="23" t="s">
        <v>3078</v>
      </c>
      <c r="N726" s="22" t="s">
        <v>49</v>
      </c>
      <c r="P726" s="23" t="s">
        <v>49</v>
      </c>
      <c r="W726" s="108">
        <v>43796</v>
      </c>
      <c r="X726" s="124" t="s">
        <v>8576</v>
      </c>
    </row>
    <row r="727" spans="1:25" x14ac:dyDescent="0.3">
      <c r="A727" s="22">
        <v>726</v>
      </c>
      <c r="B727" s="22">
        <v>373</v>
      </c>
      <c r="C727" s="18" t="s">
        <v>1560</v>
      </c>
      <c r="D727" s="21" t="s">
        <v>5856</v>
      </c>
      <c r="E727" s="21" t="s">
        <v>1565</v>
      </c>
      <c r="F727" s="18" t="s">
        <v>1566</v>
      </c>
      <c r="G727" s="23" t="s">
        <v>1612</v>
      </c>
      <c r="H727" s="21" t="s">
        <v>2263</v>
      </c>
      <c r="J727" s="23" t="s">
        <v>5607</v>
      </c>
      <c r="K727" s="23" t="s">
        <v>1633</v>
      </c>
      <c r="M727" s="23" t="s">
        <v>3078</v>
      </c>
      <c r="N727" s="22" t="s">
        <v>49</v>
      </c>
      <c r="P727" s="23" t="s">
        <v>49</v>
      </c>
      <c r="S727" s="22" t="s">
        <v>1615</v>
      </c>
      <c r="W727" s="108">
        <v>33523</v>
      </c>
      <c r="X727" s="124" t="s">
        <v>6464</v>
      </c>
      <c r="Y727" s="23" t="s">
        <v>4516</v>
      </c>
    </row>
    <row r="728" spans="1:25" x14ac:dyDescent="0.3">
      <c r="A728" s="22">
        <v>727</v>
      </c>
      <c r="B728" s="22">
        <v>373</v>
      </c>
      <c r="C728" s="18" t="s">
        <v>1560</v>
      </c>
      <c r="D728" s="21" t="s">
        <v>5856</v>
      </c>
      <c r="E728" s="21" t="s">
        <v>1567</v>
      </c>
      <c r="F728" s="18" t="s">
        <v>1568</v>
      </c>
      <c r="G728" s="23" t="s">
        <v>1612</v>
      </c>
      <c r="J728" s="23" t="s">
        <v>5742</v>
      </c>
      <c r="K728" s="23" t="s">
        <v>5743</v>
      </c>
      <c r="M728" s="23" t="s">
        <v>3078</v>
      </c>
      <c r="N728" s="22" t="s">
        <v>49</v>
      </c>
      <c r="P728" s="23" t="s">
        <v>49</v>
      </c>
      <c r="W728" s="108">
        <v>43795</v>
      </c>
      <c r="X728" s="124" t="s">
        <v>8577</v>
      </c>
    </row>
    <row r="729" spans="1:25" x14ac:dyDescent="0.3">
      <c r="A729" s="22">
        <v>728</v>
      </c>
      <c r="B729" s="22">
        <v>375</v>
      </c>
      <c r="C729" s="18" t="s">
        <v>1560</v>
      </c>
      <c r="D729" s="21" t="s">
        <v>5856</v>
      </c>
      <c r="E729" s="21" t="s">
        <v>1569</v>
      </c>
      <c r="F729" s="18" t="s">
        <v>1570</v>
      </c>
      <c r="J729" s="23" t="s">
        <v>5744</v>
      </c>
      <c r="M729" s="23" t="s">
        <v>4245</v>
      </c>
      <c r="N729" s="22" t="s">
        <v>57</v>
      </c>
      <c r="O729" s="23" t="s">
        <v>1632</v>
      </c>
    </row>
    <row r="730" spans="1:25" x14ac:dyDescent="0.3">
      <c r="A730" s="22">
        <v>729</v>
      </c>
      <c r="B730" s="22">
        <v>373</v>
      </c>
      <c r="C730" s="18" t="s">
        <v>1560</v>
      </c>
      <c r="D730" s="21" t="s">
        <v>5856</v>
      </c>
      <c r="E730" s="21" t="s">
        <v>1571</v>
      </c>
      <c r="F730" s="18" t="s">
        <v>1572</v>
      </c>
      <c r="G730" s="23" t="s">
        <v>1612</v>
      </c>
      <c r="J730" s="23" t="s">
        <v>6137</v>
      </c>
      <c r="K730" s="23" t="s">
        <v>6138</v>
      </c>
      <c r="M730" s="23" t="s">
        <v>3728</v>
      </c>
      <c r="N730" s="22" t="s">
        <v>49</v>
      </c>
      <c r="P730" s="23" t="s">
        <v>49</v>
      </c>
      <c r="W730" s="108">
        <v>42633</v>
      </c>
      <c r="X730" s="124" t="s">
        <v>6465</v>
      </c>
    </row>
    <row r="731" spans="1:25" x14ac:dyDescent="0.3">
      <c r="A731" s="22">
        <v>730</v>
      </c>
      <c r="B731" s="22">
        <v>375</v>
      </c>
      <c r="C731" s="18" t="s">
        <v>1560</v>
      </c>
      <c r="D731" s="21" t="s">
        <v>5856</v>
      </c>
      <c r="E731" s="21" t="s">
        <v>1573</v>
      </c>
      <c r="F731" s="18" t="s">
        <v>1574</v>
      </c>
      <c r="J731" s="23" t="s">
        <v>6139</v>
      </c>
      <c r="K731" s="23" t="s">
        <v>6140</v>
      </c>
      <c r="M731" s="23" t="s">
        <v>3262</v>
      </c>
      <c r="N731" s="22" t="s">
        <v>37</v>
      </c>
    </row>
    <row r="732" spans="1:25" x14ac:dyDescent="0.3">
      <c r="A732" s="22">
        <v>731</v>
      </c>
      <c r="B732" s="22">
        <v>375</v>
      </c>
      <c r="C732" s="18" t="s">
        <v>1560</v>
      </c>
      <c r="D732" s="21" t="s">
        <v>5856</v>
      </c>
      <c r="E732" s="21" t="s">
        <v>2264</v>
      </c>
      <c r="F732" s="18" t="s">
        <v>2265</v>
      </c>
      <c r="G732" s="23" t="s">
        <v>1575</v>
      </c>
      <c r="J732" s="23" t="s">
        <v>5470</v>
      </c>
      <c r="L732" s="23" t="s">
        <v>2251</v>
      </c>
      <c r="M732" s="23" t="s">
        <v>4248</v>
      </c>
      <c r="N732" s="22" t="s">
        <v>57</v>
      </c>
      <c r="O732" s="23" t="s">
        <v>5745</v>
      </c>
      <c r="P732" s="23" t="s">
        <v>4517</v>
      </c>
      <c r="Q732" s="22" t="s">
        <v>50</v>
      </c>
      <c r="S732" s="22" t="s">
        <v>1648</v>
      </c>
      <c r="T732" s="62" t="s">
        <v>6141</v>
      </c>
      <c r="Y732" s="23" t="s">
        <v>5746</v>
      </c>
    </row>
    <row r="733" spans="1:25" x14ac:dyDescent="0.3">
      <c r="A733" s="22">
        <v>732</v>
      </c>
      <c r="B733" s="22">
        <v>375</v>
      </c>
      <c r="C733" s="18" t="s">
        <v>1560</v>
      </c>
      <c r="D733" s="21" t="s">
        <v>5856</v>
      </c>
      <c r="E733" s="21" t="s">
        <v>1576</v>
      </c>
      <c r="F733" s="18" t="s">
        <v>1577</v>
      </c>
      <c r="J733" s="23" t="s">
        <v>6142</v>
      </c>
      <c r="K733" s="23" t="s">
        <v>6143</v>
      </c>
      <c r="L733" s="23" t="s">
        <v>2266</v>
      </c>
      <c r="M733" s="23" t="s">
        <v>4240</v>
      </c>
      <c r="N733" s="22" t="s">
        <v>49</v>
      </c>
      <c r="P733" s="23" t="s">
        <v>49</v>
      </c>
      <c r="T733" s="62" t="s">
        <v>6144</v>
      </c>
      <c r="W733" s="108">
        <v>1427</v>
      </c>
      <c r="X733" s="124" t="s">
        <v>6466</v>
      </c>
    </row>
    <row r="734" spans="1:25" x14ac:dyDescent="0.3">
      <c r="A734" s="22">
        <v>733</v>
      </c>
      <c r="C734" s="18" t="s">
        <v>5194</v>
      </c>
      <c r="D734" s="21" t="s">
        <v>5193</v>
      </c>
      <c r="E734" s="21" t="s">
        <v>5196</v>
      </c>
      <c r="F734" s="18" t="s">
        <v>5197</v>
      </c>
      <c r="G734" s="23" t="s">
        <v>1612</v>
      </c>
      <c r="J734" s="23" t="s">
        <v>5341</v>
      </c>
      <c r="K734" s="23" t="s">
        <v>6145</v>
      </c>
      <c r="N734" s="22" t="s">
        <v>49</v>
      </c>
      <c r="P734" s="23" t="s">
        <v>49</v>
      </c>
      <c r="W734" s="108">
        <v>44501</v>
      </c>
      <c r="X734" s="124" t="s">
        <v>6467</v>
      </c>
    </row>
    <row r="735" spans="1:25" x14ac:dyDescent="0.3">
      <c r="A735" s="22">
        <v>734</v>
      </c>
      <c r="B735" s="22">
        <v>377</v>
      </c>
      <c r="C735" s="18" t="s">
        <v>1579</v>
      </c>
      <c r="D735" s="21" t="s">
        <v>1578</v>
      </c>
      <c r="E735" s="21" t="s">
        <v>1580</v>
      </c>
      <c r="F735" s="18" t="s">
        <v>1581</v>
      </c>
      <c r="G735" s="23" t="s">
        <v>1612</v>
      </c>
      <c r="J735" s="23" t="s">
        <v>6146</v>
      </c>
      <c r="K735" s="23" t="s">
        <v>6147</v>
      </c>
      <c r="M735" s="23" t="s">
        <v>3078</v>
      </c>
      <c r="N735" s="22" t="s">
        <v>49</v>
      </c>
      <c r="P735" s="23" t="s">
        <v>49</v>
      </c>
      <c r="W735" s="108">
        <v>43781</v>
      </c>
      <c r="X735" s="124" t="s">
        <v>8578</v>
      </c>
    </row>
    <row r="736" spans="1:25" x14ac:dyDescent="0.3">
      <c r="A736" s="22">
        <v>735</v>
      </c>
      <c r="B736" s="22">
        <v>377</v>
      </c>
      <c r="C736" s="18" t="s">
        <v>1579</v>
      </c>
      <c r="D736" s="21" t="s">
        <v>1578</v>
      </c>
      <c r="E736" s="21" t="s">
        <v>1582</v>
      </c>
      <c r="F736" s="18" t="s">
        <v>1583</v>
      </c>
      <c r="J736" s="23" t="s">
        <v>6148</v>
      </c>
      <c r="K736" s="23" t="s">
        <v>6149</v>
      </c>
      <c r="L736" s="23" t="s">
        <v>2267</v>
      </c>
      <c r="M736" s="23" t="s">
        <v>4252</v>
      </c>
      <c r="N736" s="22" t="s">
        <v>49</v>
      </c>
      <c r="P736" s="23" t="s">
        <v>49</v>
      </c>
      <c r="W736" s="108" t="s">
        <v>4518</v>
      </c>
      <c r="X736" s="124" t="s">
        <v>6620</v>
      </c>
    </row>
    <row r="737" spans="1:24" x14ac:dyDescent="0.3">
      <c r="A737" s="22">
        <v>736</v>
      </c>
      <c r="C737" s="18" t="s">
        <v>1579</v>
      </c>
      <c r="D737" s="21" t="s">
        <v>1578</v>
      </c>
      <c r="E737" s="21" t="s">
        <v>5858</v>
      </c>
      <c r="F737" s="18" t="s">
        <v>5859</v>
      </c>
      <c r="G737" s="23" t="s">
        <v>1612</v>
      </c>
      <c r="J737" s="23" t="s">
        <v>6150</v>
      </c>
      <c r="K737" s="23" t="s">
        <v>6151</v>
      </c>
      <c r="L737" s="23" t="s">
        <v>6152</v>
      </c>
      <c r="N737" s="22" t="s">
        <v>49</v>
      </c>
      <c r="P737" s="23" t="s">
        <v>49</v>
      </c>
      <c r="W737" s="108">
        <v>44870</v>
      </c>
      <c r="X737" s="124" t="s">
        <v>6621</v>
      </c>
    </row>
    <row r="738" spans="1:24" x14ac:dyDescent="0.3">
      <c r="A738" s="22">
        <v>737</v>
      </c>
      <c r="C738" s="18" t="s">
        <v>1579</v>
      </c>
      <c r="D738" s="21" t="s">
        <v>1578</v>
      </c>
      <c r="E738" s="21" t="s">
        <v>6623</v>
      </c>
      <c r="F738" s="18" t="s">
        <v>6624</v>
      </c>
      <c r="G738" s="23" t="s">
        <v>1612</v>
      </c>
      <c r="J738" s="23" t="s">
        <v>6715</v>
      </c>
      <c r="K738" s="23" t="s">
        <v>6716</v>
      </c>
      <c r="N738" s="22" t="s">
        <v>49</v>
      </c>
      <c r="P738" s="23" t="s">
        <v>49</v>
      </c>
      <c r="W738" s="108">
        <v>45250</v>
      </c>
      <c r="X738" s="124" t="s">
        <v>6625</v>
      </c>
    </row>
    <row r="739" spans="1:24" x14ac:dyDescent="0.3">
      <c r="A739" s="22">
        <v>738</v>
      </c>
      <c r="B739" s="22">
        <v>377</v>
      </c>
      <c r="C739" s="18" t="s">
        <v>1579</v>
      </c>
      <c r="D739" s="21" t="s">
        <v>1578</v>
      </c>
      <c r="E739" s="21" t="s">
        <v>1584</v>
      </c>
      <c r="F739" s="18" t="s">
        <v>1585</v>
      </c>
      <c r="J739" s="23" t="s">
        <v>6153</v>
      </c>
      <c r="K739" s="23" t="s">
        <v>6154</v>
      </c>
      <c r="M739" s="23" t="s">
        <v>4254</v>
      </c>
      <c r="N739" s="22" t="s">
        <v>49</v>
      </c>
      <c r="P739" s="23" t="s">
        <v>49</v>
      </c>
      <c r="Q739" s="22" t="s">
        <v>112</v>
      </c>
      <c r="W739" s="108" t="s">
        <v>4519</v>
      </c>
      <c r="X739" s="124" t="s">
        <v>6626</v>
      </c>
    </row>
    <row r="740" spans="1:24" x14ac:dyDescent="0.3">
      <c r="A740" s="22">
        <v>739</v>
      </c>
      <c r="C740" s="18" t="s">
        <v>1579</v>
      </c>
      <c r="D740" s="21" t="s">
        <v>1578</v>
      </c>
      <c r="E740" s="21" t="s">
        <v>5861</v>
      </c>
      <c r="F740" s="18" t="s">
        <v>5862</v>
      </c>
      <c r="G740" s="23" t="s">
        <v>1612</v>
      </c>
      <c r="J740" s="23" t="s">
        <v>6155</v>
      </c>
      <c r="K740" s="23" t="s">
        <v>6156</v>
      </c>
      <c r="L740" s="23" t="s">
        <v>6157</v>
      </c>
      <c r="N740" s="22" t="s">
        <v>49</v>
      </c>
      <c r="P740" s="23" t="s">
        <v>49</v>
      </c>
      <c r="W740" s="108">
        <v>44852</v>
      </c>
      <c r="X740" s="124" t="s">
        <v>6468</v>
      </c>
    </row>
    <row r="741" spans="1:24" x14ac:dyDescent="0.3">
      <c r="A741" s="22">
        <v>740</v>
      </c>
      <c r="B741" s="22">
        <v>375</v>
      </c>
      <c r="C741" s="18" t="s">
        <v>1579</v>
      </c>
      <c r="D741" s="21" t="s">
        <v>1578</v>
      </c>
      <c r="E741" s="21" t="s">
        <v>1586</v>
      </c>
      <c r="F741" s="18" t="s">
        <v>1587</v>
      </c>
      <c r="G741" s="23" t="s">
        <v>1612</v>
      </c>
      <c r="J741" s="23" t="s">
        <v>6158</v>
      </c>
      <c r="K741" s="23" t="s">
        <v>6159</v>
      </c>
      <c r="L741" s="23" t="s">
        <v>2268</v>
      </c>
      <c r="M741" s="23" t="s">
        <v>3799</v>
      </c>
      <c r="N741" s="22" t="s">
        <v>49</v>
      </c>
      <c r="P741" s="23" t="s">
        <v>49</v>
      </c>
      <c r="W741" s="108">
        <v>35112</v>
      </c>
      <c r="X741" s="124" t="s">
        <v>6469</v>
      </c>
    </row>
    <row r="742" spans="1:24" x14ac:dyDescent="0.3">
      <c r="A742" s="22">
        <v>741</v>
      </c>
      <c r="B742" s="22">
        <v>377</v>
      </c>
      <c r="C742" s="18" t="s">
        <v>1579</v>
      </c>
      <c r="D742" s="21" t="s">
        <v>1578</v>
      </c>
      <c r="E742" s="21" t="s">
        <v>1588</v>
      </c>
      <c r="F742" s="18" t="s">
        <v>1589</v>
      </c>
      <c r="J742" s="23" t="s">
        <v>6160</v>
      </c>
      <c r="K742" s="23" t="s">
        <v>6161</v>
      </c>
      <c r="L742" s="23" t="s">
        <v>2269</v>
      </c>
      <c r="M742" s="23" t="s">
        <v>4257</v>
      </c>
      <c r="N742" s="22" t="s">
        <v>89</v>
      </c>
      <c r="Q742" s="22" t="s">
        <v>38</v>
      </c>
      <c r="R742" s="22" t="s">
        <v>38</v>
      </c>
    </row>
    <row r="743" spans="1:24" x14ac:dyDescent="0.3">
      <c r="A743" s="22">
        <v>742</v>
      </c>
      <c r="B743" s="22">
        <v>377</v>
      </c>
      <c r="C743" s="18" t="s">
        <v>1579</v>
      </c>
      <c r="D743" s="21" t="s">
        <v>1578</v>
      </c>
      <c r="E743" s="21" t="s">
        <v>1590</v>
      </c>
      <c r="F743" s="18" t="s">
        <v>1591</v>
      </c>
      <c r="G743" s="23" t="s">
        <v>1612</v>
      </c>
      <c r="J743" s="23" t="s">
        <v>6162</v>
      </c>
      <c r="K743" s="23" t="s">
        <v>6163</v>
      </c>
      <c r="M743" s="23" t="s">
        <v>3078</v>
      </c>
      <c r="N743" s="22" t="s">
        <v>49</v>
      </c>
      <c r="P743" s="23" t="s">
        <v>49</v>
      </c>
      <c r="W743" s="108">
        <v>43771</v>
      </c>
      <c r="X743" s="124" t="s">
        <v>6470</v>
      </c>
    </row>
    <row r="744" spans="1:24" x14ac:dyDescent="0.3">
      <c r="A744" s="22">
        <v>743</v>
      </c>
      <c r="C744" s="18" t="s">
        <v>1579</v>
      </c>
      <c r="D744" s="21" t="s">
        <v>1578</v>
      </c>
      <c r="E744" s="21" t="s">
        <v>5864</v>
      </c>
      <c r="F744" s="18" t="s">
        <v>5865</v>
      </c>
      <c r="G744" s="23" t="s">
        <v>1612</v>
      </c>
      <c r="H744" s="21" t="s">
        <v>6164</v>
      </c>
      <c r="J744" s="23" t="s">
        <v>6165</v>
      </c>
      <c r="K744" s="23" t="s">
        <v>6166</v>
      </c>
      <c r="N744" s="22" t="s">
        <v>49</v>
      </c>
      <c r="P744" s="23" t="s">
        <v>49</v>
      </c>
      <c r="W744" s="108">
        <v>44850</v>
      </c>
      <c r="X744" s="124" t="s">
        <v>6471</v>
      </c>
    </row>
  </sheetData>
  <autoFilter ref="A1:Y744" xr:uid="{631BB591-F934-4245-A9D6-4C56BFE36496}"/>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A09B-0B04-4314-8CD2-C97D003487C9}">
  <sheetPr codeName="Sheet13"/>
  <dimension ref="A1:AC1536"/>
  <sheetViews>
    <sheetView zoomScaleNormal="100" workbookViewId="0">
      <pane ySplit="1" topLeftCell="A2" activePane="bottomLeft" state="frozen"/>
      <selection activeCell="N26" sqref="N26"/>
      <selection pane="bottomLeft" activeCell="A2" sqref="A2"/>
    </sheetView>
  </sheetViews>
  <sheetFormatPr defaultColWidth="9" defaultRowHeight="10.199999999999999" x14ac:dyDescent="0.3"/>
  <cols>
    <col min="1" max="1" width="3.33203125" style="23" customWidth="1"/>
    <col min="2" max="2" width="8.33203125" style="23" customWidth="1"/>
    <col min="3" max="3" width="4.21875" style="22" customWidth="1"/>
    <col min="4" max="4" width="23.77734375" style="21" customWidth="1"/>
    <col min="5" max="6" width="20.77734375" style="18" customWidth="1"/>
    <col min="7" max="7" width="23.77734375" style="23" customWidth="1"/>
    <col min="8" max="8" width="20.77734375" style="18" customWidth="1"/>
    <col min="9" max="10" width="5.33203125" style="22" customWidth="1"/>
    <col min="11" max="11" width="30.77734375" style="23" customWidth="1"/>
    <col min="12" max="12" width="50.77734375" style="23" customWidth="1"/>
    <col min="13" max="14" width="30.77734375" style="23" customWidth="1"/>
    <col min="15" max="15" width="30.77734375" style="22" customWidth="1"/>
    <col min="16" max="16" width="50.77734375" style="23" customWidth="1"/>
    <col min="17" max="17" width="9" style="23"/>
    <col min="18" max="20" width="9" style="22"/>
    <col min="21" max="23" width="9" style="23"/>
    <col min="24" max="27" width="9" style="62"/>
    <col min="28" max="29" width="9" style="23"/>
    <col min="30" max="16384" width="9" style="21"/>
  </cols>
  <sheetData>
    <row r="1" spans="1:29" s="16" customFormat="1" x14ac:dyDescent="0.3">
      <c r="A1" s="17" t="s">
        <v>25</v>
      </c>
      <c r="B1" s="17" t="s">
        <v>2270</v>
      </c>
      <c r="C1" s="14" t="s">
        <v>4259</v>
      </c>
      <c r="D1" s="16" t="s">
        <v>27</v>
      </c>
      <c r="E1" s="15" t="s">
        <v>28</v>
      </c>
      <c r="F1" s="15" t="s">
        <v>2271</v>
      </c>
      <c r="G1" s="17" t="s">
        <v>4756</v>
      </c>
      <c r="H1" s="15" t="s">
        <v>4763</v>
      </c>
      <c r="I1" s="14" t="s">
        <v>4260</v>
      </c>
      <c r="J1" s="14" t="s">
        <v>5120</v>
      </c>
      <c r="K1" s="17" t="s">
        <v>1596</v>
      </c>
      <c r="L1" s="17" t="s">
        <v>4757</v>
      </c>
      <c r="M1" s="17" t="s">
        <v>31</v>
      </c>
      <c r="N1" s="17" t="s">
        <v>1593</v>
      </c>
      <c r="O1" s="14" t="s">
        <v>1594</v>
      </c>
      <c r="P1" s="17" t="s">
        <v>32</v>
      </c>
      <c r="Q1" s="17"/>
      <c r="R1" s="14"/>
      <c r="S1" s="14"/>
      <c r="T1" s="14"/>
      <c r="U1" s="17"/>
      <c r="V1" s="17"/>
      <c r="W1" s="17"/>
      <c r="X1" s="65"/>
      <c r="Y1" s="65"/>
      <c r="Z1" s="65"/>
      <c r="AA1" s="65"/>
      <c r="AB1" s="17"/>
      <c r="AC1" s="17"/>
    </row>
    <row r="2" spans="1:29" s="25" customFormat="1" x14ac:dyDescent="0.3">
      <c r="A2" s="24">
        <v>1</v>
      </c>
      <c r="B2" s="24" t="s">
        <v>2272</v>
      </c>
      <c r="C2" s="26">
        <v>37</v>
      </c>
      <c r="D2" s="25" t="s">
        <v>61</v>
      </c>
      <c r="E2" s="19" t="s">
        <v>62</v>
      </c>
      <c r="F2" s="19"/>
      <c r="G2" s="24"/>
      <c r="H2" s="19"/>
      <c r="I2" s="26" t="s">
        <v>63</v>
      </c>
      <c r="J2" s="26" t="s">
        <v>5121</v>
      </c>
      <c r="K2" s="24" t="s">
        <v>3019</v>
      </c>
      <c r="L2" s="24" t="s">
        <v>3069</v>
      </c>
      <c r="M2" s="24" t="s">
        <v>5198</v>
      </c>
      <c r="N2" s="24"/>
      <c r="O2" s="26" t="s">
        <v>1611</v>
      </c>
      <c r="P2" s="24" t="s">
        <v>3070</v>
      </c>
      <c r="Q2" s="24"/>
      <c r="R2" s="26"/>
      <c r="S2" s="26"/>
      <c r="T2" s="26"/>
      <c r="U2" s="24"/>
      <c r="V2" s="24"/>
      <c r="W2" s="24"/>
      <c r="X2" s="63"/>
      <c r="Y2" s="63"/>
      <c r="Z2" s="63"/>
      <c r="AA2" s="63"/>
      <c r="AB2" s="24"/>
      <c r="AC2" s="24"/>
    </row>
    <row r="3" spans="1:29" s="25" customFormat="1" x14ac:dyDescent="0.3">
      <c r="A3" s="24">
        <v>2</v>
      </c>
      <c r="B3" s="24" t="s">
        <v>2272</v>
      </c>
      <c r="C3" s="26">
        <v>37</v>
      </c>
      <c r="D3" s="25" t="s">
        <v>64</v>
      </c>
      <c r="E3" s="19" t="s">
        <v>65</v>
      </c>
      <c r="F3" s="19"/>
      <c r="G3" s="24"/>
      <c r="H3" s="19"/>
      <c r="I3" s="26" t="s">
        <v>37</v>
      </c>
      <c r="J3" s="26" t="s">
        <v>37</v>
      </c>
      <c r="K3" s="24"/>
      <c r="L3" s="24" t="s">
        <v>3072</v>
      </c>
      <c r="M3" s="24" t="s">
        <v>5199</v>
      </c>
      <c r="N3" s="24"/>
      <c r="O3" s="26"/>
      <c r="P3" s="24"/>
      <c r="Q3" s="24"/>
      <c r="R3" s="26"/>
      <c r="S3" s="26"/>
      <c r="T3" s="26"/>
      <c r="U3" s="24"/>
      <c r="V3" s="24"/>
      <c r="W3" s="24"/>
      <c r="X3" s="63"/>
      <c r="Y3" s="63"/>
      <c r="Z3" s="63"/>
      <c r="AA3" s="63"/>
      <c r="AB3" s="24"/>
      <c r="AC3" s="24"/>
    </row>
    <row r="4" spans="1:29" s="28" customFormat="1" x14ac:dyDescent="0.3">
      <c r="A4" s="27" t="s">
        <v>2278</v>
      </c>
      <c r="B4" s="27" t="s">
        <v>2273</v>
      </c>
      <c r="C4" s="29"/>
      <c r="D4" s="28" t="s">
        <v>4764</v>
      </c>
      <c r="E4" s="20" t="s">
        <v>65</v>
      </c>
      <c r="F4" s="20" t="s">
        <v>2285</v>
      </c>
      <c r="G4" s="27"/>
      <c r="H4" s="20"/>
      <c r="I4" s="29"/>
      <c r="J4" s="29"/>
      <c r="K4" s="27"/>
      <c r="L4" s="27"/>
      <c r="M4" s="27" t="s">
        <v>6717</v>
      </c>
      <c r="N4" s="27"/>
      <c r="O4" s="29" t="s">
        <v>6718</v>
      </c>
      <c r="P4" s="27"/>
      <c r="Q4" s="27"/>
      <c r="R4" s="29"/>
      <c r="S4" s="29"/>
      <c r="T4" s="29"/>
      <c r="U4" s="27"/>
      <c r="V4" s="27"/>
      <c r="W4" s="27"/>
      <c r="X4" s="64"/>
      <c r="Y4" s="64"/>
      <c r="Z4" s="64"/>
      <c r="AA4" s="64"/>
      <c r="AB4" s="27"/>
      <c r="AC4" s="27"/>
    </row>
    <row r="5" spans="1:29" s="25" customFormat="1" x14ac:dyDescent="0.3">
      <c r="A5" s="24">
        <v>3</v>
      </c>
      <c r="B5" s="24" t="s">
        <v>2272</v>
      </c>
      <c r="C5" s="26">
        <v>37</v>
      </c>
      <c r="D5" s="25" t="s">
        <v>66</v>
      </c>
      <c r="E5" s="19" t="s">
        <v>67</v>
      </c>
      <c r="F5" s="19"/>
      <c r="G5" s="24" t="s">
        <v>1614</v>
      </c>
      <c r="H5" s="19"/>
      <c r="I5" s="26" t="s">
        <v>49</v>
      </c>
      <c r="J5" s="26" t="s">
        <v>5121</v>
      </c>
      <c r="K5" s="24" t="s">
        <v>49</v>
      </c>
      <c r="L5" s="24" t="s">
        <v>3074</v>
      </c>
      <c r="M5" s="24" t="s">
        <v>5200</v>
      </c>
      <c r="N5" s="24"/>
      <c r="O5" s="26"/>
      <c r="P5" s="24" t="s">
        <v>6376</v>
      </c>
      <c r="Q5" s="24"/>
      <c r="R5" s="26"/>
      <c r="S5" s="26"/>
      <c r="T5" s="26"/>
      <c r="U5" s="24"/>
      <c r="V5" s="24"/>
      <c r="W5" s="24"/>
      <c r="X5" s="63"/>
      <c r="Y5" s="63"/>
      <c r="Z5" s="63"/>
      <c r="AA5" s="63"/>
      <c r="AB5" s="24"/>
      <c r="AC5" s="24"/>
    </row>
    <row r="6" spans="1:29" s="28" customFormat="1" x14ac:dyDescent="0.3">
      <c r="A6" s="27" t="s">
        <v>2280</v>
      </c>
      <c r="B6" s="27" t="s">
        <v>2273</v>
      </c>
      <c r="C6" s="29">
        <v>37</v>
      </c>
      <c r="D6" s="28" t="s">
        <v>4765</v>
      </c>
      <c r="E6" s="20" t="s">
        <v>67</v>
      </c>
      <c r="F6" s="20" t="s">
        <v>2286</v>
      </c>
      <c r="G6" s="27" t="s">
        <v>4520</v>
      </c>
      <c r="H6" s="20" t="s">
        <v>4521</v>
      </c>
      <c r="I6" s="29"/>
      <c r="J6" s="29" t="s">
        <v>5121</v>
      </c>
      <c r="K6" s="27"/>
      <c r="L6" s="27" t="s">
        <v>3074</v>
      </c>
      <c r="M6" s="27" t="s">
        <v>6719</v>
      </c>
      <c r="N6" s="27" t="s">
        <v>6720</v>
      </c>
      <c r="O6" s="29" t="s">
        <v>6721</v>
      </c>
      <c r="P6" s="27"/>
      <c r="Q6" s="27"/>
      <c r="R6" s="29"/>
      <c r="S6" s="29"/>
      <c r="T6" s="29"/>
      <c r="U6" s="27"/>
      <c r="V6" s="27"/>
      <c r="W6" s="27"/>
      <c r="X6" s="64"/>
      <c r="Y6" s="64"/>
      <c r="Z6" s="64"/>
      <c r="AA6" s="64"/>
      <c r="AB6" s="27"/>
      <c r="AC6" s="27"/>
    </row>
    <row r="7" spans="1:29" s="25" customFormat="1" x14ac:dyDescent="0.3">
      <c r="A7" s="24">
        <v>4</v>
      </c>
      <c r="B7" s="24" t="s">
        <v>2272</v>
      </c>
      <c r="C7" s="26">
        <v>37</v>
      </c>
      <c r="D7" s="25" t="s">
        <v>3076</v>
      </c>
      <c r="E7" s="19" t="s">
        <v>3077</v>
      </c>
      <c r="F7" s="19"/>
      <c r="G7" s="24"/>
      <c r="H7" s="19"/>
      <c r="I7" s="26" t="s">
        <v>49</v>
      </c>
      <c r="J7" s="26" t="s">
        <v>5121</v>
      </c>
      <c r="K7" s="24" t="s">
        <v>49</v>
      </c>
      <c r="L7" s="24" t="s">
        <v>3078</v>
      </c>
      <c r="M7" s="24" t="s">
        <v>5201</v>
      </c>
      <c r="N7" s="24" t="s">
        <v>4261</v>
      </c>
      <c r="O7" s="26" t="s">
        <v>4262</v>
      </c>
      <c r="P7" s="24" t="s">
        <v>6490</v>
      </c>
      <c r="Q7" s="24"/>
      <c r="R7" s="26"/>
      <c r="S7" s="26"/>
      <c r="T7" s="26"/>
      <c r="U7" s="24"/>
      <c r="V7" s="24"/>
      <c r="W7" s="24"/>
      <c r="X7" s="63"/>
      <c r="Y7" s="63"/>
      <c r="Z7" s="63"/>
      <c r="AA7" s="63"/>
      <c r="AB7" s="24"/>
      <c r="AC7" s="24"/>
    </row>
    <row r="8" spans="1:29" s="25" customFormat="1" x14ac:dyDescent="0.3">
      <c r="A8" s="24">
        <v>5</v>
      </c>
      <c r="B8" s="24" t="s">
        <v>2272</v>
      </c>
      <c r="C8" s="26"/>
      <c r="D8" s="25" t="s">
        <v>5792</v>
      </c>
      <c r="E8" s="19" t="s">
        <v>5793</v>
      </c>
      <c r="F8" s="19"/>
      <c r="G8" s="24"/>
      <c r="H8" s="19"/>
      <c r="I8" s="26" t="s">
        <v>49</v>
      </c>
      <c r="J8" s="26"/>
      <c r="K8" s="24" t="s">
        <v>49</v>
      </c>
      <c r="L8" s="24"/>
      <c r="M8" s="24" t="s">
        <v>5340</v>
      </c>
      <c r="N8" s="24" t="s">
        <v>5867</v>
      </c>
      <c r="O8" s="26"/>
      <c r="P8" s="24" t="s">
        <v>6377</v>
      </c>
      <c r="Q8" s="24"/>
      <c r="R8" s="26"/>
      <c r="S8" s="26"/>
      <c r="T8" s="26"/>
      <c r="U8" s="24"/>
      <c r="V8" s="24"/>
      <c r="W8" s="24"/>
      <c r="X8" s="63"/>
      <c r="Y8" s="63"/>
      <c r="Z8" s="63"/>
      <c r="AA8" s="63"/>
      <c r="AB8" s="24"/>
      <c r="AC8" s="24"/>
    </row>
    <row r="9" spans="1:29" s="25" customFormat="1" x14ac:dyDescent="0.3">
      <c r="A9" s="24">
        <v>6</v>
      </c>
      <c r="B9" s="24" t="s">
        <v>2272</v>
      </c>
      <c r="C9" s="26">
        <v>39</v>
      </c>
      <c r="D9" s="25" t="s">
        <v>68</v>
      </c>
      <c r="E9" s="19" t="s">
        <v>69</v>
      </c>
      <c r="F9" s="19"/>
      <c r="G9" s="24"/>
      <c r="H9" s="19" t="s">
        <v>4522</v>
      </c>
      <c r="I9" s="26" t="s">
        <v>49</v>
      </c>
      <c r="J9" s="26" t="s">
        <v>5121</v>
      </c>
      <c r="K9" s="24" t="s">
        <v>49</v>
      </c>
      <c r="L9" s="24" t="s">
        <v>3078</v>
      </c>
      <c r="M9" s="24" t="s">
        <v>5202</v>
      </c>
      <c r="N9" s="24" t="s">
        <v>4263</v>
      </c>
      <c r="O9" s="26"/>
      <c r="P9" s="24" t="s">
        <v>6378</v>
      </c>
      <c r="Q9" s="24"/>
      <c r="R9" s="26"/>
      <c r="S9" s="26"/>
      <c r="T9" s="26"/>
      <c r="U9" s="24"/>
      <c r="V9" s="24"/>
      <c r="W9" s="24"/>
      <c r="X9" s="63"/>
      <c r="Y9" s="63"/>
      <c r="Z9" s="63"/>
      <c r="AA9" s="63"/>
      <c r="AB9" s="24"/>
      <c r="AC9" s="24"/>
    </row>
    <row r="10" spans="1:29" s="28" customFormat="1" x14ac:dyDescent="0.3">
      <c r="A10" s="27" t="s">
        <v>6167</v>
      </c>
      <c r="B10" s="27" t="s">
        <v>2273</v>
      </c>
      <c r="C10" s="29"/>
      <c r="D10" s="28" t="s">
        <v>4766</v>
      </c>
      <c r="E10" s="20" t="s">
        <v>69</v>
      </c>
      <c r="F10" s="20" t="s">
        <v>2287</v>
      </c>
      <c r="G10" s="27"/>
      <c r="H10" s="20"/>
      <c r="I10" s="29"/>
      <c r="J10" s="29"/>
      <c r="K10" s="27"/>
      <c r="L10" s="27"/>
      <c r="M10" s="27" t="s">
        <v>6722</v>
      </c>
      <c r="N10" s="27" t="s">
        <v>6723</v>
      </c>
      <c r="O10" s="29" t="s">
        <v>6724</v>
      </c>
      <c r="P10" s="27"/>
      <c r="Q10" s="27"/>
      <c r="R10" s="29"/>
      <c r="S10" s="29"/>
      <c r="T10" s="29"/>
      <c r="U10" s="27"/>
      <c r="V10" s="27"/>
      <c r="W10" s="27"/>
      <c r="X10" s="64"/>
      <c r="Y10" s="64"/>
      <c r="Z10" s="64"/>
      <c r="AA10" s="64"/>
      <c r="AB10" s="27"/>
      <c r="AC10" s="27"/>
    </row>
    <row r="11" spans="1:29" s="25" customFormat="1" x14ac:dyDescent="0.3">
      <c r="A11" s="24">
        <v>7</v>
      </c>
      <c r="B11" s="24" t="s">
        <v>2272</v>
      </c>
      <c r="C11" s="26">
        <v>39</v>
      </c>
      <c r="D11" s="25" t="s">
        <v>70</v>
      </c>
      <c r="E11" s="19" t="s">
        <v>71</v>
      </c>
      <c r="F11" s="19"/>
      <c r="G11" s="24"/>
      <c r="H11" s="19" t="s">
        <v>4523</v>
      </c>
      <c r="I11" s="26" t="s">
        <v>49</v>
      </c>
      <c r="J11" s="26" t="s">
        <v>5121</v>
      </c>
      <c r="K11" s="24" t="s">
        <v>49</v>
      </c>
      <c r="L11" s="24" t="s">
        <v>3081</v>
      </c>
      <c r="M11" s="24" t="s">
        <v>5202</v>
      </c>
      <c r="N11" s="24"/>
      <c r="O11" s="26"/>
      <c r="P11" s="24" t="s">
        <v>6491</v>
      </c>
      <c r="Q11" s="24"/>
      <c r="R11" s="26"/>
      <c r="S11" s="26"/>
      <c r="T11" s="26"/>
      <c r="U11" s="24"/>
      <c r="V11" s="24"/>
      <c r="W11" s="24"/>
      <c r="X11" s="63"/>
      <c r="Y11" s="63"/>
      <c r="Z11" s="63"/>
      <c r="AA11" s="63"/>
      <c r="AB11" s="24"/>
      <c r="AC11" s="24"/>
    </row>
    <row r="12" spans="1:29" s="28" customFormat="1" x14ac:dyDescent="0.3">
      <c r="A12" s="27" t="s">
        <v>6168</v>
      </c>
      <c r="B12" s="27" t="s">
        <v>2273</v>
      </c>
      <c r="C12" s="29"/>
      <c r="D12" s="28" t="s">
        <v>4767</v>
      </c>
      <c r="E12" s="20" t="s">
        <v>71</v>
      </c>
      <c r="F12" s="20" t="s">
        <v>2288</v>
      </c>
      <c r="G12" s="27"/>
      <c r="H12" s="20"/>
      <c r="I12" s="29"/>
      <c r="J12" s="29"/>
      <c r="K12" s="27"/>
      <c r="L12" s="27"/>
      <c r="M12" s="27" t="s">
        <v>6725</v>
      </c>
      <c r="N12" s="27" t="s">
        <v>6726</v>
      </c>
      <c r="O12" s="29" t="s">
        <v>6727</v>
      </c>
      <c r="P12" s="27"/>
      <c r="Q12" s="27"/>
      <c r="R12" s="29"/>
      <c r="S12" s="29"/>
      <c r="T12" s="29"/>
      <c r="U12" s="27"/>
      <c r="V12" s="27"/>
      <c r="W12" s="27"/>
      <c r="X12" s="64"/>
      <c r="Y12" s="64"/>
      <c r="Z12" s="64"/>
      <c r="AA12" s="64"/>
      <c r="AB12" s="27"/>
      <c r="AC12" s="27"/>
    </row>
    <row r="13" spans="1:29" s="25" customFormat="1" x14ac:dyDescent="0.3">
      <c r="A13" s="24">
        <v>8</v>
      </c>
      <c r="B13" s="24" t="s">
        <v>2272</v>
      </c>
      <c r="C13" s="26">
        <v>39</v>
      </c>
      <c r="D13" s="25" t="s">
        <v>72</v>
      </c>
      <c r="E13" s="19" t="s">
        <v>73</v>
      </c>
      <c r="F13" s="19"/>
      <c r="G13" s="24"/>
      <c r="H13" s="19"/>
      <c r="I13" s="26" t="s">
        <v>49</v>
      </c>
      <c r="J13" s="26" t="s">
        <v>5121</v>
      </c>
      <c r="K13" s="24" t="s">
        <v>49</v>
      </c>
      <c r="L13" s="24" t="s">
        <v>3083</v>
      </c>
      <c r="M13" s="24" t="s">
        <v>5203</v>
      </c>
      <c r="N13" s="24"/>
      <c r="O13" s="26"/>
      <c r="P13" s="24" t="s">
        <v>6492</v>
      </c>
      <c r="Q13" s="24"/>
      <c r="R13" s="26"/>
      <c r="S13" s="26"/>
      <c r="T13" s="26"/>
      <c r="U13" s="24"/>
      <c r="V13" s="24"/>
      <c r="W13" s="24"/>
      <c r="X13" s="63"/>
      <c r="Y13" s="63"/>
      <c r="Z13" s="63"/>
      <c r="AA13" s="63"/>
      <c r="AB13" s="24"/>
      <c r="AC13" s="24"/>
    </row>
    <row r="14" spans="1:29" s="28" customFormat="1" x14ac:dyDescent="0.3">
      <c r="A14" s="27" t="s">
        <v>6169</v>
      </c>
      <c r="B14" s="27" t="s">
        <v>2273</v>
      </c>
      <c r="C14" s="29"/>
      <c r="D14" s="28" t="s">
        <v>4768</v>
      </c>
      <c r="E14" s="20" t="s">
        <v>73</v>
      </c>
      <c r="F14" s="20" t="s">
        <v>2289</v>
      </c>
      <c r="G14" s="27"/>
      <c r="H14" s="20"/>
      <c r="I14" s="29"/>
      <c r="J14" s="29"/>
      <c r="K14" s="27"/>
      <c r="L14" s="27"/>
      <c r="M14" s="27" t="s">
        <v>6728</v>
      </c>
      <c r="N14" s="27" t="s">
        <v>6729</v>
      </c>
      <c r="O14" s="29" t="s">
        <v>6730</v>
      </c>
      <c r="P14" s="27"/>
      <c r="Q14" s="27"/>
      <c r="R14" s="29"/>
      <c r="S14" s="29"/>
      <c r="T14" s="29"/>
      <c r="U14" s="27"/>
      <c r="V14" s="27"/>
      <c r="W14" s="27"/>
      <c r="X14" s="64"/>
      <c r="Y14" s="64"/>
      <c r="Z14" s="64"/>
      <c r="AA14" s="64"/>
      <c r="AB14" s="27"/>
      <c r="AC14" s="27"/>
    </row>
    <row r="15" spans="1:29" s="25" customFormat="1" x14ac:dyDescent="0.3">
      <c r="A15" s="24">
        <v>9</v>
      </c>
      <c r="B15" s="24" t="s">
        <v>2272</v>
      </c>
      <c r="C15" s="26"/>
      <c r="D15" s="25" t="s">
        <v>5795</v>
      </c>
      <c r="E15" s="19" t="s">
        <v>5796</v>
      </c>
      <c r="F15" s="19"/>
      <c r="G15" s="24"/>
      <c r="H15" s="19"/>
      <c r="I15" s="26" t="s">
        <v>49</v>
      </c>
      <c r="J15" s="26"/>
      <c r="K15" s="24" t="s">
        <v>49</v>
      </c>
      <c r="L15" s="24"/>
      <c r="M15" s="24" t="s">
        <v>5212</v>
      </c>
      <c r="N15" s="24" t="s">
        <v>5869</v>
      </c>
      <c r="O15" s="26" t="s">
        <v>5870</v>
      </c>
      <c r="P15" s="24" t="s">
        <v>6379</v>
      </c>
      <c r="Q15" s="24"/>
      <c r="R15" s="26"/>
      <c r="S15" s="26"/>
      <c r="T15" s="26"/>
      <c r="U15" s="24"/>
      <c r="V15" s="24"/>
      <c r="W15" s="24"/>
      <c r="X15" s="63"/>
      <c r="Y15" s="63"/>
      <c r="Z15" s="63"/>
      <c r="AA15" s="63"/>
      <c r="AB15" s="24"/>
      <c r="AC15" s="24"/>
    </row>
    <row r="16" spans="1:29" s="25" customFormat="1" x14ac:dyDescent="0.3">
      <c r="A16" s="24">
        <v>10</v>
      </c>
      <c r="B16" s="24" t="s">
        <v>2272</v>
      </c>
      <c r="C16" s="26">
        <v>37</v>
      </c>
      <c r="D16" s="25" t="s">
        <v>74</v>
      </c>
      <c r="E16" s="19" t="s">
        <v>75</v>
      </c>
      <c r="F16" s="19"/>
      <c r="G16" s="24"/>
      <c r="H16" s="19"/>
      <c r="I16" s="26" t="s">
        <v>49</v>
      </c>
      <c r="J16" s="26" t="s">
        <v>5121</v>
      </c>
      <c r="K16" s="24" t="s">
        <v>49</v>
      </c>
      <c r="L16" s="24" t="s">
        <v>3083</v>
      </c>
      <c r="M16" s="24" t="s">
        <v>5204</v>
      </c>
      <c r="N16" s="24" t="s">
        <v>5871</v>
      </c>
      <c r="O16" s="26"/>
      <c r="P16" s="24" t="s">
        <v>6380</v>
      </c>
      <c r="Q16" s="24"/>
      <c r="R16" s="26"/>
      <c r="S16" s="26"/>
      <c r="T16" s="26"/>
      <c r="U16" s="24"/>
      <c r="V16" s="24"/>
      <c r="W16" s="24"/>
      <c r="X16" s="63"/>
      <c r="Y16" s="63"/>
      <c r="Z16" s="63"/>
      <c r="AA16" s="63"/>
      <c r="AB16" s="24"/>
      <c r="AC16" s="24"/>
    </row>
    <row r="17" spans="1:29" s="28" customFormat="1" x14ac:dyDescent="0.3">
      <c r="A17" s="27" t="s">
        <v>6170</v>
      </c>
      <c r="B17" s="27" t="s">
        <v>2273</v>
      </c>
      <c r="C17" s="29">
        <v>37</v>
      </c>
      <c r="D17" s="28" t="s">
        <v>4769</v>
      </c>
      <c r="E17" s="20" t="s">
        <v>75</v>
      </c>
      <c r="F17" s="20" t="s">
        <v>2290</v>
      </c>
      <c r="G17" s="27" t="s">
        <v>4524</v>
      </c>
      <c r="H17" s="20" t="s">
        <v>4525</v>
      </c>
      <c r="I17" s="29"/>
      <c r="J17" s="29" t="s">
        <v>5121</v>
      </c>
      <c r="K17" s="27"/>
      <c r="L17" s="27" t="s">
        <v>3083</v>
      </c>
      <c r="M17" s="27" t="s">
        <v>6731</v>
      </c>
      <c r="N17" s="27" t="s">
        <v>6732</v>
      </c>
      <c r="O17" s="29" t="s">
        <v>6733</v>
      </c>
      <c r="P17" s="27"/>
      <c r="Q17" s="27"/>
      <c r="R17" s="29"/>
      <c r="S17" s="29"/>
      <c r="T17" s="29"/>
      <c r="U17" s="27"/>
      <c r="V17" s="27"/>
      <c r="W17" s="27"/>
      <c r="X17" s="64"/>
      <c r="Y17" s="64"/>
      <c r="Z17" s="64"/>
      <c r="AA17" s="64"/>
      <c r="AB17" s="27"/>
      <c r="AC17" s="27"/>
    </row>
    <row r="18" spans="1:29" s="25" customFormat="1" x14ac:dyDescent="0.3">
      <c r="A18" s="24">
        <v>11</v>
      </c>
      <c r="B18" s="24" t="s">
        <v>2272</v>
      </c>
      <c r="C18" s="26">
        <v>39</v>
      </c>
      <c r="D18" s="25" t="s">
        <v>76</v>
      </c>
      <c r="E18" s="19" t="s">
        <v>77</v>
      </c>
      <c r="F18" s="19"/>
      <c r="G18" s="24"/>
      <c r="H18" s="19"/>
      <c r="I18" s="26" t="s">
        <v>49</v>
      </c>
      <c r="J18" s="26" t="s">
        <v>5121</v>
      </c>
      <c r="K18" s="24" t="s">
        <v>49</v>
      </c>
      <c r="L18" s="24" t="s">
        <v>3086</v>
      </c>
      <c r="M18" s="24" t="s">
        <v>5205</v>
      </c>
      <c r="N18" s="24" t="s">
        <v>4266</v>
      </c>
      <c r="O18" s="26" t="s">
        <v>1617</v>
      </c>
      <c r="P18" s="24" t="s">
        <v>6493</v>
      </c>
      <c r="Q18" s="24"/>
      <c r="R18" s="26"/>
      <c r="S18" s="26"/>
      <c r="T18" s="26"/>
      <c r="U18" s="24"/>
      <c r="V18" s="24"/>
      <c r="W18" s="24"/>
      <c r="X18" s="63"/>
      <c r="Y18" s="63"/>
      <c r="Z18" s="63"/>
      <c r="AA18" s="63"/>
      <c r="AB18" s="24"/>
      <c r="AC18" s="24"/>
    </row>
    <row r="19" spans="1:29" s="25" customFormat="1" x14ac:dyDescent="0.3">
      <c r="A19" s="24">
        <v>12</v>
      </c>
      <c r="B19" s="24" t="s">
        <v>2272</v>
      </c>
      <c r="C19" s="26">
        <v>39</v>
      </c>
      <c r="D19" s="25" t="s">
        <v>78</v>
      </c>
      <c r="E19" s="19" t="s">
        <v>79</v>
      </c>
      <c r="F19" s="19"/>
      <c r="G19" s="24"/>
      <c r="H19" s="19"/>
      <c r="I19" s="26" t="s">
        <v>49</v>
      </c>
      <c r="J19" s="26" t="s">
        <v>5121</v>
      </c>
      <c r="K19" s="24" t="s">
        <v>49</v>
      </c>
      <c r="L19" s="24" t="s">
        <v>3081</v>
      </c>
      <c r="M19" s="24" t="s">
        <v>5206</v>
      </c>
      <c r="N19" s="24" t="s">
        <v>1618</v>
      </c>
      <c r="O19" s="26" t="s">
        <v>1619</v>
      </c>
      <c r="P19" s="24" t="s">
        <v>6381</v>
      </c>
      <c r="Q19" s="24"/>
      <c r="R19" s="26"/>
      <c r="S19" s="26"/>
      <c r="T19" s="26"/>
      <c r="U19" s="24"/>
      <c r="V19" s="24"/>
      <c r="W19" s="24"/>
      <c r="X19" s="63"/>
      <c r="Y19" s="63"/>
      <c r="Z19" s="63"/>
      <c r="AA19" s="63"/>
      <c r="AB19" s="24"/>
      <c r="AC19" s="24"/>
    </row>
    <row r="20" spans="1:29" s="25" customFormat="1" x14ac:dyDescent="0.3">
      <c r="A20" s="24">
        <v>13</v>
      </c>
      <c r="B20" s="24" t="s">
        <v>2272</v>
      </c>
      <c r="C20" s="26">
        <v>41</v>
      </c>
      <c r="D20" s="25" t="s">
        <v>80</v>
      </c>
      <c r="E20" s="19" t="s">
        <v>81</v>
      </c>
      <c r="F20" s="19"/>
      <c r="G20" s="24"/>
      <c r="H20" s="19"/>
      <c r="I20" s="26" t="s">
        <v>49</v>
      </c>
      <c r="J20" s="26" t="s">
        <v>5121</v>
      </c>
      <c r="K20" s="24" t="s">
        <v>49</v>
      </c>
      <c r="L20" s="24" t="s">
        <v>3081</v>
      </c>
      <c r="M20" s="24" t="s">
        <v>5207</v>
      </c>
      <c r="N20" s="24" t="s">
        <v>1620</v>
      </c>
      <c r="O20" s="26" t="s">
        <v>1621</v>
      </c>
      <c r="P20" s="24" t="s">
        <v>8547</v>
      </c>
      <c r="Q20" s="24"/>
      <c r="R20" s="26"/>
      <c r="S20" s="26"/>
      <c r="T20" s="26"/>
      <c r="U20" s="24"/>
      <c r="V20" s="24"/>
      <c r="W20" s="24"/>
      <c r="X20" s="63"/>
      <c r="Y20" s="63"/>
      <c r="Z20" s="63"/>
      <c r="AA20" s="63"/>
      <c r="AB20" s="24"/>
      <c r="AC20" s="24"/>
    </row>
    <row r="21" spans="1:29" s="25" customFormat="1" x14ac:dyDescent="0.3">
      <c r="A21" s="24">
        <v>14</v>
      </c>
      <c r="B21" s="24" t="s">
        <v>2272</v>
      </c>
      <c r="C21" s="26">
        <v>41</v>
      </c>
      <c r="D21" s="25" t="s">
        <v>82</v>
      </c>
      <c r="E21" s="19" t="s">
        <v>83</v>
      </c>
      <c r="F21" s="19"/>
      <c r="G21" s="24"/>
      <c r="H21" s="19"/>
      <c r="I21" s="26" t="s">
        <v>89</v>
      </c>
      <c r="J21" s="26" t="s">
        <v>353</v>
      </c>
      <c r="K21" s="24" t="s">
        <v>3019</v>
      </c>
      <c r="L21" s="24" t="s">
        <v>3090</v>
      </c>
      <c r="M21" s="24" t="s">
        <v>84</v>
      </c>
      <c r="N21" s="24" t="s">
        <v>1622</v>
      </c>
      <c r="O21" s="26"/>
      <c r="P21" s="24"/>
      <c r="Q21" s="24"/>
      <c r="R21" s="26"/>
      <c r="S21" s="26"/>
      <c r="T21" s="26"/>
      <c r="U21" s="24"/>
      <c r="V21" s="24"/>
      <c r="W21" s="24"/>
      <c r="X21" s="63"/>
      <c r="Y21" s="63"/>
      <c r="Z21" s="63"/>
      <c r="AA21" s="63"/>
      <c r="AB21" s="24"/>
      <c r="AC21" s="24"/>
    </row>
    <row r="22" spans="1:29" s="28" customFormat="1" x14ac:dyDescent="0.3">
      <c r="A22" s="27" t="s">
        <v>6171</v>
      </c>
      <c r="B22" s="27" t="s">
        <v>2273</v>
      </c>
      <c r="C22" s="29"/>
      <c r="D22" s="28" t="s">
        <v>4770</v>
      </c>
      <c r="E22" s="20" t="s">
        <v>83</v>
      </c>
      <c r="F22" s="20" t="s">
        <v>2291</v>
      </c>
      <c r="G22" s="27"/>
      <c r="H22" s="20"/>
      <c r="I22" s="29"/>
      <c r="J22" s="29"/>
      <c r="K22" s="27"/>
      <c r="L22" s="27"/>
      <c r="M22" s="27" t="s">
        <v>6734</v>
      </c>
      <c r="N22" s="27"/>
      <c r="O22" s="29" t="s">
        <v>6735</v>
      </c>
      <c r="P22" s="27"/>
      <c r="Q22" s="27"/>
      <c r="R22" s="29"/>
      <c r="S22" s="29"/>
      <c r="T22" s="29"/>
      <c r="U22" s="27"/>
      <c r="V22" s="27"/>
      <c r="W22" s="27"/>
      <c r="X22" s="64"/>
      <c r="Y22" s="64"/>
      <c r="Z22" s="64"/>
      <c r="AA22" s="64"/>
      <c r="AB22" s="27"/>
      <c r="AC22" s="27"/>
    </row>
    <row r="23" spans="1:29" s="25" customFormat="1" x14ac:dyDescent="0.3">
      <c r="A23" s="24">
        <v>15</v>
      </c>
      <c r="B23" s="24" t="s">
        <v>2272</v>
      </c>
      <c r="C23" s="26">
        <v>45</v>
      </c>
      <c r="D23" s="25" t="s">
        <v>85</v>
      </c>
      <c r="E23" s="19" t="s">
        <v>86</v>
      </c>
      <c r="F23" s="19"/>
      <c r="G23" s="24"/>
      <c r="H23" s="19"/>
      <c r="I23" s="26" t="s">
        <v>49</v>
      </c>
      <c r="J23" s="26" t="s">
        <v>5121</v>
      </c>
      <c r="K23" s="24" t="s">
        <v>49</v>
      </c>
      <c r="L23" s="24" t="s">
        <v>3081</v>
      </c>
      <c r="M23" s="24" t="s">
        <v>5208</v>
      </c>
      <c r="N23" s="24" t="s">
        <v>4267</v>
      </c>
      <c r="O23" s="26" t="s">
        <v>1623</v>
      </c>
      <c r="P23" s="24" t="s">
        <v>8548</v>
      </c>
      <c r="Q23" s="24"/>
      <c r="R23" s="26"/>
      <c r="S23" s="26"/>
      <c r="T23" s="26"/>
      <c r="U23" s="24"/>
      <c r="V23" s="24"/>
      <c r="W23" s="24"/>
      <c r="X23" s="63"/>
      <c r="Y23" s="63"/>
      <c r="Z23" s="63"/>
      <c r="AA23" s="63"/>
      <c r="AB23" s="24"/>
      <c r="AC23" s="24"/>
    </row>
    <row r="24" spans="1:29" s="25" customFormat="1" x14ac:dyDescent="0.3">
      <c r="A24" s="24">
        <v>16</v>
      </c>
      <c r="B24" s="24" t="s">
        <v>2272</v>
      </c>
      <c r="C24" s="26">
        <v>43</v>
      </c>
      <c r="D24" s="25" t="s">
        <v>87</v>
      </c>
      <c r="E24" s="19" t="s">
        <v>88</v>
      </c>
      <c r="F24" s="19"/>
      <c r="G24" s="24"/>
      <c r="H24" s="19"/>
      <c r="I24" s="26" t="s">
        <v>89</v>
      </c>
      <c r="J24" s="26" t="s">
        <v>37</v>
      </c>
      <c r="K24" s="24"/>
      <c r="L24" s="24" t="s">
        <v>3093</v>
      </c>
      <c r="M24" s="24" t="s">
        <v>5209</v>
      </c>
      <c r="N24" s="24" t="s">
        <v>5210</v>
      </c>
      <c r="O24" s="26" t="s">
        <v>1624</v>
      </c>
      <c r="P24" s="24"/>
      <c r="Q24" s="24"/>
      <c r="R24" s="26"/>
      <c r="S24" s="26"/>
      <c r="T24" s="26"/>
      <c r="U24" s="24"/>
      <c r="V24" s="24"/>
      <c r="W24" s="24"/>
      <c r="X24" s="63"/>
      <c r="Y24" s="63"/>
      <c r="Z24" s="63"/>
      <c r="AA24" s="63"/>
      <c r="AB24" s="24"/>
      <c r="AC24" s="24"/>
    </row>
    <row r="25" spans="1:29" s="25" customFormat="1" x14ac:dyDescent="0.3">
      <c r="A25" s="24">
        <v>17</v>
      </c>
      <c r="B25" s="24" t="s">
        <v>2272</v>
      </c>
      <c r="C25" s="26">
        <v>43</v>
      </c>
      <c r="D25" s="25" t="s">
        <v>90</v>
      </c>
      <c r="E25" s="19" t="s">
        <v>91</v>
      </c>
      <c r="F25" s="19"/>
      <c r="G25" s="24"/>
      <c r="H25" s="19"/>
      <c r="I25" s="26" t="s">
        <v>89</v>
      </c>
      <c r="J25" s="26" t="s">
        <v>37</v>
      </c>
      <c r="K25" s="24"/>
      <c r="L25" s="24" t="s">
        <v>3095</v>
      </c>
      <c r="M25" s="24" t="s">
        <v>5200</v>
      </c>
      <c r="N25" s="24" t="s">
        <v>1625</v>
      </c>
      <c r="O25" s="26" t="s">
        <v>1626</v>
      </c>
      <c r="P25" s="24"/>
      <c r="Q25" s="24"/>
      <c r="R25" s="26"/>
      <c r="S25" s="26"/>
      <c r="T25" s="26"/>
      <c r="U25" s="24"/>
      <c r="V25" s="24"/>
      <c r="W25" s="24"/>
      <c r="X25" s="63"/>
      <c r="Y25" s="63"/>
      <c r="Z25" s="63"/>
      <c r="AA25" s="63"/>
      <c r="AB25" s="24"/>
      <c r="AC25" s="24"/>
    </row>
    <row r="26" spans="1:29" s="25" customFormat="1" x14ac:dyDescent="0.3">
      <c r="A26" s="24">
        <v>18</v>
      </c>
      <c r="B26" s="24" t="s">
        <v>2272</v>
      </c>
      <c r="C26" s="26">
        <v>45</v>
      </c>
      <c r="D26" s="25" t="s">
        <v>92</v>
      </c>
      <c r="E26" s="19" t="s">
        <v>93</v>
      </c>
      <c r="F26" s="19"/>
      <c r="G26" s="24"/>
      <c r="H26" s="19"/>
      <c r="I26" s="26" t="s">
        <v>89</v>
      </c>
      <c r="J26" s="26" t="s">
        <v>37</v>
      </c>
      <c r="K26" s="24"/>
      <c r="L26" s="24" t="s">
        <v>3097</v>
      </c>
      <c r="M26" s="24" t="s">
        <v>5200</v>
      </c>
      <c r="N26" s="24" t="s">
        <v>1627</v>
      </c>
      <c r="O26" s="26"/>
      <c r="P26" s="24" t="s">
        <v>6382</v>
      </c>
      <c r="Q26" s="24"/>
      <c r="R26" s="26"/>
      <c r="S26" s="26"/>
      <c r="T26" s="26"/>
      <c r="U26" s="24"/>
      <c r="V26" s="24"/>
      <c r="W26" s="24"/>
      <c r="X26" s="63"/>
      <c r="Y26" s="63"/>
      <c r="Z26" s="63"/>
      <c r="AA26" s="63"/>
      <c r="AB26" s="24"/>
      <c r="AC26" s="24"/>
    </row>
    <row r="27" spans="1:29" s="28" customFormat="1" x14ac:dyDescent="0.3">
      <c r="A27" s="27" t="s">
        <v>6172</v>
      </c>
      <c r="B27" s="27" t="s">
        <v>2273</v>
      </c>
      <c r="C27" s="29"/>
      <c r="D27" s="28" t="s">
        <v>4771</v>
      </c>
      <c r="E27" s="20" t="s">
        <v>93</v>
      </c>
      <c r="F27" s="20" t="s">
        <v>2292</v>
      </c>
      <c r="G27" s="27"/>
      <c r="H27" s="20"/>
      <c r="I27" s="29"/>
      <c r="J27" s="29"/>
      <c r="K27" s="27"/>
      <c r="L27" s="27"/>
      <c r="M27" s="27" t="s">
        <v>6736</v>
      </c>
      <c r="N27" s="27" t="s">
        <v>1627</v>
      </c>
      <c r="O27" s="29" t="s">
        <v>6737</v>
      </c>
      <c r="P27" s="27"/>
      <c r="Q27" s="27"/>
      <c r="R27" s="29"/>
      <c r="S27" s="29"/>
      <c r="T27" s="29"/>
      <c r="U27" s="27"/>
      <c r="V27" s="27"/>
      <c r="W27" s="27"/>
      <c r="X27" s="64"/>
      <c r="Y27" s="64"/>
      <c r="Z27" s="64"/>
      <c r="AA27" s="64"/>
      <c r="AB27" s="27"/>
      <c r="AC27" s="27"/>
    </row>
    <row r="28" spans="1:29" s="25" customFormat="1" x14ac:dyDescent="0.3">
      <c r="A28" s="24">
        <v>19</v>
      </c>
      <c r="B28" s="24" t="s">
        <v>2272</v>
      </c>
      <c r="C28" s="26">
        <v>45</v>
      </c>
      <c r="D28" s="25" t="s">
        <v>94</v>
      </c>
      <c r="E28" s="19" t="s">
        <v>95</v>
      </c>
      <c r="F28" s="19"/>
      <c r="G28" s="24"/>
      <c r="H28" s="19"/>
      <c r="I28" s="26" t="s">
        <v>49</v>
      </c>
      <c r="J28" s="26" t="s">
        <v>5121</v>
      </c>
      <c r="K28" s="24" t="s">
        <v>49</v>
      </c>
      <c r="L28" s="24" t="s">
        <v>3083</v>
      </c>
      <c r="M28" s="24" t="s">
        <v>5211</v>
      </c>
      <c r="N28" s="24" t="s">
        <v>4268</v>
      </c>
      <c r="O28" s="26" t="s">
        <v>1628</v>
      </c>
      <c r="P28" s="24" t="s">
        <v>8549</v>
      </c>
      <c r="Q28" s="24"/>
      <c r="R28" s="26"/>
      <c r="S28" s="26"/>
      <c r="T28" s="26"/>
      <c r="U28" s="24"/>
      <c r="V28" s="24"/>
      <c r="W28" s="24"/>
      <c r="X28" s="63"/>
      <c r="Y28" s="63"/>
      <c r="Z28" s="63"/>
      <c r="AA28" s="63"/>
      <c r="AB28" s="24"/>
      <c r="AC28" s="24"/>
    </row>
    <row r="29" spans="1:29" s="25" customFormat="1" x14ac:dyDescent="0.3">
      <c r="A29" s="24">
        <v>20</v>
      </c>
      <c r="B29" s="24" t="s">
        <v>2272</v>
      </c>
      <c r="C29" s="26">
        <v>45</v>
      </c>
      <c r="D29" s="25" t="s">
        <v>96</v>
      </c>
      <c r="E29" s="19" t="s">
        <v>97</v>
      </c>
      <c r="F29" s="19"/>
      <c r="G29" s="24"/>
      <c r="H29" s="19"/>
      <c r="I29" s="26" t="s">
        <v>89</v>
      </c>
      <c r="J29" s="26" t="s">
        <v>37</v>
      </c>
      <c r="K29" s="24"/>
      <c r="L29" s="24" t="s">
        <v>3095</v>
      </c>
      <c r="M29" s="24" t="s">
        <v>5212</v>
      </c>
      <c r="N29" s="24" t="s">
        <v>4269</v>
      </c>
      <c r="O29" s="26" t="s">
        <v>1630</v>
      </c>
      <c r="P29" s="24"/>
      <c r="Q29" s="24"/>
      <c r="R29" s="26"/>
      <c r="S29" s="26"/>
      <c r="T29" s="26"/>
      <c r="U29" s="24"/>
      <c r="V29" s="24"/>
      <c r="W29" s="24"/>
      <c r="X29" s="63"/>
      <c r="Y29" s="63"/>
      <c r="Z29" s="63"/>
      <c r="AA29" s="63"/>
      <c r="AB29" s="24"/>
      <c r="AC29" s="24"/>
    </row>
    <row r="30" spans="1:29" s="25" customFormat="1" x14ac:dyDescent="0.3">
      <c r="A30" s="24">
        <v>21</v>
      </c>
      <c r="B30" s="24" t="s">
        <v>2272</v>
      </c>
      <c r="C30" s="26">
        <v>47</v>
      </c>
      <c r="D30" s="25" t="s">
        <v>98</v>
      </c>
      <c r="E30" s="19" t="s">
        <v>99</v>
      </c>
      <c r="F30" s="19"/>
      <c r="G30" s="24"/>
      <c r="H30" s="19"/>
      <c r="I30" s="26" t="s">
        <v>57</v>
      </c>
      <c r="J30" s="26" t="s">
        <v>57</v>
      </c>
      <c r="K30" s="24"/>
      <c r="L30" s="24" t="s">
        <v>3101</v>
      </c>
      <c r="M30" s="24" t="s">
        <v>5213</v>
      </c>
      <c r="N30" s="24"/>
      <c r="O30" s="26" t="s">
        <v>1631</v>
      </c>
      <c r="P30" s="24"/>
      <c r="Q30" s="24"/>
      <c r="R30" s="26"/>
      <c r="S30" s="26"/>
      <c r="T30" s="26"/>
      <c r="U30" s="24"/>
      <c r="V30" s="24"/>
      <c r="W30" s="24"/>
      <c r="X30" s="63"/>
      <c r="Y30" s="63"/>
      <c r="Z30" s="63"/>
      <c r="AA30" s="63"/>
      <c r="AB30" s="24"/>
      <c r="AC30" s="24"/>
    </row>
    <row r="31" spans="1:29" s="25" customFormat="1" x14ac:dyDescent="0.3">
      <c r="A31" s="24">
        <v>22</v>
      </c>
      <c r="B31" s="24" t="s">
        <v>2272</v>
      </c>
      <c r="C31" s="26">
        <v>47</v>
      </c>
      <c r="D31" s="25" t="s">
        <v>100</v>
      </c>
      <c r="E31" s="19" t="s">
        <v>101</v>
      </c>
      <c r="F31" s="19"/>
      <c r="G31" s="24" t="s">
        <v>1636</v>
      </c>
      <c r="H31" s="19"/>
      <c r="I31" s="26" t="s">
        <v>89</v>
      </c>
      <c r="J31" s="26" t="s">
        <v>37</v>
      </c>
      <c r="K31" s="24"/>
      <c r="L31" s="24" t="s">
        <v>3103</v>
      </c>
      <c r="M31" s="24" t="s">
        <v>4270</v>
      </c>
      <c r="N31" s="24" t="s">
        <v>1633</v>
      </c>
      <c r="O31" s="26" t="s">
        <v>1634</v>
      </c>
      <c r="P31" s="24" t="s">
        <v>6383</v>
      </c>
      <c r="Q31" s="24"/>
      <c r="R31" s="26"/>
      <c r="S31" s="26"/>
      <c r="T31" s="26"/>
      <c r="U31" s="24"/>
      <c r="V31" s="24"/>
      <c r="W31" s="24"/>
      <c r="X31" s="63"/>
      <c r="Y31" s="63"/>
      <c r="Z31" s="63"/>
      <c r="AA31" s="63"/>
      <c r="AB31" s="24"/>
      <c r="AC31" s="24"/>
    </row>
    <row r="32" spans="1:29" s="25" customFormat="1" x14ac:dyDescent="0.3">
      <c r="A32" s="24">
        <v>23</v>
      </c>
      <c r="B32" s="24" t="s">
        <v>2272</v>
      </c>
      <c r="C32" s="26">
        <v>47</v>
      </c>
      <c r="D32" s="25" t="s">
        <v>102</v>
      </c>
      <c r="E32" s="19" t="s">
        <v>103</v>
      </c>
      <c r="F32" s="19"/>
      <c r="G32" s="24"/>
      <c r="H32" s="19"/>
      <c r="I32" s="26" t="s">
        <v>89</v>
      </c>
      <c r="J32" s="26" t="s">
        <v>37</v>
      </c>
      <c r="K32" s="24"/>
      <c r="L32" s="24" t="s">
        <v>3105</v>
      </c>
      <c r="M32" s="24" t="s">
        <v>5200</v>
      </c>
      <c r="N32" s="24" t="s">
        <v>4271</v>
      </c>
      <c r="O32" s="26"/>
      <c r="P32" s="24" t="s">
        <v>6384</v>
      </c>
      <c r="Q32" s="24"/>
      <c r="R32" s="26"/>
      <c r="S32" s="26"/>
      <c r="T32" s="26"/>
      <c r="U32" s="24"/>
      <c r="V32" s="24"/>
      <c r="W32" s="24"/>
      <c r="X32" s="63"/>
      <c r="Y32" s="63"/>
      <c r="Z32" s="63"/>
      <c r="AA32" s="63"/>
      <c r="AB32" s="24"/>
      <c r="AC32" s="24"/>
    </row>
    <row r="33" spans="1:29" s="28" customFormat="1" x14ac:dyDescent="0.3">
      <c r="A33" s="27" t="s">
        <v>6173</v>
      </c>
      <c r="B33" s="27" t="s">
        <v>2273</v>
      </c>
      <c r="C33" s="29"/>
      <c r="D33" s="28" t="s">
        <v>4772</v>
      </c>
      <c r="E33" s="20" t="s">
        <v>103</v>
      </c>
      <c r="F33" s="20" t="s">
        <v>2293</v>
      </c>
      <c r="G33" s="27"/>
      <c r="H33" s="20"/>
      <c r="I33" s="29"/>
      <c r="J33" s="29"/>
      <c r="K33" s="27"/>
      <c r="L33" s="27"/>
      <c r="M33" s="27" t="s">
        <v>6738</v>
      </c>
      <c r="N33" s="27" t="s">
        <v>6739</v>
      </c>
      <c r="O33" s="29" t="s">
        <v>6740</v>
      </c>
      <c r="P33" s="27"/>
      <c r="Q33" s="27"/>
      <c r="R33" s="29"/>
      <c r="S33" s="29"/>
      <c r="T33" s="29"/>
      <c r="U33" s="27"/>
      <c r="V33" s="27"/>
      <c r="W33" s="27"/>
      <c r="X33" s="64"/>
      <c r="Y33" s="64"/>
      <c r="Z33" s="64"/>
      <c r="AA33" s="64"/>
      <c r="AB33" s="27"/>
      <c r="AC33" s="27"/>
    </row>
    <row r="34" spans="1:29" s="25" customFormat="1" x14ac:dyDescent="0.3">
      <c r="A34" s="24">
        <v>24</v>
      </c>
      <c r="B34" s="24" t="s">
        <v>2272</v>
      </c>
      <c r="C34" s="26">
        <v>47</v>
      </c>
      <c r="D34" s="25" t="s">
        <v>104</v>
      </c>
      <c r="E34" s="19" t="s">
        <v>105</v>
      </c>
      <c r="F34" s="19"/>
      <c r="G34" s="24"/>
      <c r="H34" s="19"/>
      <c r="I34" s="26" t="s">
        <v>89</v>
      </c>
      <c r="J34" s="26" t="s">
        <v>37</v>
      </c>
      <c r="K34" s="24"/>
      <c r="L34" s="24" t="s">
        <v>3107</v>
      </c>
      <c r="M34" s="24" t="s">
        <v>5200</v>
      </c>
      <c r="N34" s="24" t="s">
        <v>4272</v>
      </c>
      <c r="O34" s="26" t="s">
        <v>1637</v>
      </c>
      <c r="P34" s="24"/>
      <c r="Q34" s="24"/>
      <c r="R34" s="26"/>
      <c r="S34" s="26"/>
      <c r="T34" s="26"/>
      <c r="U34" s="24"/>
      <c r="V34" s="24"/>
      <c r="W34" s="24"/>
      <c r="X34" s="63"/>
      <c r="Y34" s="63"/>
      <c r="Z34" s="63"/>
      <c r="AA34" s="63"/>
      <c r="AB34" s="24"/>
      <c r="AC34" s="24"/>
    </row>
    <row r="35" spans="1:29" s="25" customFormat="1" x14ac:dyDescent="0.3">
      <c r="A35" s="24">
        <v>25</v>
      </c>
      <c r="B35" s="24" t="s">
        <v>2272</v>
      </c>
      <c r="C35" s="26">
        <v>49</v>
      </c>
      <c r="D35" s="25" t="s">
        <v>106</v>
      </c>
      <c r="E35" s="19" t="s">
        <v>107</v>
      </c>
      <c r="F35" s="19"/>
      <c r="G35" s="24"/>
      <c r="H35" s="19" t="s">
        <v>4274</v>
      </c>
      <c r="I35" s="26" t="s">
        <v>89</v>
      </c>
      <c r="J35" s="26" t="s">
        <v>37</v>
      </c>
      <c r="K35" s="24"/>
      <c r="L35" s="24" t="s">
        <v>3109</v>
      </c>
      <c r="M35" s="24" t="s">
        <v>5214</v>
      </c>
      <c r="N35" s="24" t="s">
        <v>4273</v>
      </c>
      <c r="O35" s="26"/>
      <c r="P35" s="24"/>
      <c r="Q35" s="24"/>
      <c r="R35" s="26"/>
      <c r="S35" s="26"/>
      <c r="T35" s="26"/>
      <c r="U35" s="24"/>
      <c r="V35" s="24"/>
      <c r="W35" s="24"/>
      <c r="X35" s="63"/>
      <c r="Y35" s="63"/>
      <c r="Z35" s="63"/>
      <c r="AA35" s="63"/>
      <c r="AB35" s="24"/>
      <c r="AC35" s="24"/>
    </row>
    <row r="36" spans="1:29" s="25" customFormat="1" x14ac:dyDescent="0.3">
      <c r="A36" s="24">
        <v>26</v>
      </c>
      <c r="B36" s="24" t="s">
        <v>2272</v>
      </c>
      <c r="C36" s="26">
        <v>41</v>
      </c>
      <c r="D36" s="25" t="s">
        <v>108</v>
      </c>
      <c r="E36" s="19" t="s">
        <v>109</v>
      </c>
      <c r="F36" s="19"/>
      <c r="G36" s="24"/>
      <c r="H36" s="19"/>
      <c r="I36" s="26" t="s">
        <v>89</v>
      </c>
      <c r="J36" s="26" t="s">
        <v>37</v>
      </c>
      <c r="K36" s="24"/>
      <c r="L36" s="24" t="s">
        <v>3111</v>
      </c>
      <c r="M36" s="24" t="s">
        <v>5215</v>
      </c>
      <c r="N36" s="24" t="s">
        <v>4269</v>
      </c>
      <c r="O36" s="26" t="s">
        <v>1640</v>
      </c>
      <c r="P36" s="24"/>
      <c r="Q36" s="24"/>
      <c r="R36" s="26"/>
      <c r="S36" s="26"/>
      <c r="T36" s="26"/>
      <c r="U36" s="24"/>
      <c r="V36" s="24"/>
      <c r="W36" s="24"/>
      <c r="X36" s="63"/>
      <c r="Y36" s="63"/>
      <c r="Z36" s="63"/>
      <c r="AA36" s="63"/>
      <c r="AB36" s="24"/>
      <c r="AC36" s="24"/>
    </row>
    <row r="37" spans="1:29" s="25" customFormat="1" x14ac:dyDescent="0.3">
      <c r="A37" s="24">
        <v>27</v>
      </c>
      <c r="B37" s="24" t="s">
        <v>2272</v>
      </c>
      <c r="C37" s="26">
        <v>43</v>
      </c>
      <c r="D37" s="25" t="s">
        <v>110</v>
      </c>
      <c r="E37" s="19" t="s">
        <v>111</v>
      </c>
      <c r="F37" s="19"/>
      <c r="G37" s="24"/>
      <c r="H37" s="19"/>
      <c r="I37" s="26" t="s">
        <v>49</v>
      </c>
      <c r="J37" s="26" t="s">
        <v>5121</v>
      </c>
      <c r="K37" s="24" t="s">
        <v>49</v>
      </c>
      <c r="L37" s="24" t="s">
        <v>3083</v>
      </c>
      <c r="M37" s="24" t="s">
        <v>5216</v>
      </c>
      <c r="N37" s="24" t="s">
        <v>4276</v>
      </c>
      <c r="O37" s="26" t="s">
        <v>1641</v>
      </c>
      <c r="P37" s="24" t="s">
        <v>6385</v>
      </c>
      <c r="Q37" s="24"/>
      <c r="R37" s="26"/>
      <c r="S37" s="26"/>
      <c r="T37" s="26"/>
      <c r="U37" s="24"/>
      <c r="V37" s="24"/>
      <c r="W37" s="24"/>
      <c r="X37" s="63"/>
      <c r="Y37" s="63"/>
      <c r="Z37" s="63"/>
      <c r="AA37" s="63"/>
      <c r="AB37" s="24"/>
      <c r="AC37" s="24"/>
    </row>
    <row r="38" spans="1:29" s="25" customFormat="1" x14ac:dyDescent="0.3">
      <c r="A38" s="24">
        <v>28</v>
      </c>
      <c r="B38" s="24" t="s">
        <v>2272</v>
      </c>
      <c r="C38" s="26">
        <v>41</v>
      </c>
      <c r="D38" s="25" t="s">
        <v>113</v>
      </c>
      <c r="E38" s="19" t="s">
        <v>114</v>
      </c>
      <c r="F38" s="19"/>
      <c r="G38" s="24"/>
      <c r="H38" s="19"/>
      <c r="I38" s="26" t="s">
        <v>49</v>
      </c>
      <c r="J38" s="26" t="s">
        <v>5121</v>
      </c>
      <c r="K38" s="24" t="s">
        <v>49</v>
      </c>
      <c r="L38" s="24" t="s">
        <v>3083</v>
      </c>
      <c r="M38" s="24" t="s">
        <v>5217</v>
      </c>
      <c r="N38" s="24" t="s">
        <v>1642</v>
      </c>
      <c r="O38" s="26" t="s">
        <v>1643</v>
      </c>
      <c r="P38" s="24" t="s">
        <v>6494</v>
      </c>
      <c r="Q38" s="24"/>
      <c r="R38" s="26"/>
      <c r="S38" s="26"/>
      <c r="T38" s="26"/>
      <c r="U38" s="24"/>
      <c r="V38" s="24"/>
      <c r="W38" s="24"/>
      <c r="X38" s="63"/>
      <c r="Y38" s="63"/>
      <c r="Z38" s="63"/>
      <c r="AA38" s="63"/>
      <c r="AB38" s="24"/>
      <c r="AC38" s="24"/>
    </row>
    <row r="39" spans="1:29" s="25" customFormat="1" x14ac:dyDescent="0.3">
      <c r="A39" s="24">
        <v>29</v>
      </c>
      <c r="B39" s="24" t="s">
        <v>2272</v>
      </c>
      <c r="C39" s="26">
        <v>43</v>
      </c>
      <c r="D39" s="25" t="s">
        <v>115</v>
      </c>
      <c r="E39" s="19" t="s">
        <v>116</v>
      </c>
      <c r="F39" s="19"/>
      <c r="G39" s="24"/>
      <c r="H39" s="19"/>
      <c r="I39" s="26" t="s">
        <v>89</v>
      </c>
      <c r="J39" s="26" t="s">
        <v>37</v>
      </c>
      <c r="K39" s="24"/>
      <c r="L39" s="24" t="s">
        <v>3095</v>
      </c>
      <c r="M39" s="24" t="s">
        <v>5218</v>
      </c>
      <c r="N39" s="24" t="s">
        <v>4269</v>
      </c>
      <c r="O39" s="26" t="s">
        <v>1644</v>
      </c>
      <c r="P39" s="24"/>
      <c r="Q39" s="24"/>
      <c r="R39" s="26"/>
      <c r="S39" s="26"/>
      <c r="T39" s="26"/>
      <c r="U39" s="24"/>
      <c r="V39" s="24"/>
      <c r="W39" s="24"/>
      <c r="X39" s="63"/>
      <c r="Y39" s="63"/>
      <c r="Z39" s="63"/>
      <c r="AA39" s="63"/>
      <c r="AB39" s="24"/>
      <c r="AC39" s="24"/>
    </row>
    <row r="40" spans="1:29" s="25" customFormat="1" x14ac:dyDescent="0.3">
      <c r="A40" s="24">
        <v>30</v>
      </c>
      <c r="B40" s="24" t="s">
        <v>2272</v>
      </c>
      <c r="C40" s="26">
        <v>43</v>
      </c>
      <c r="D40" s="25" t="s">
        <v>117</v>
      </c>
      <c r="E40" s="19" t="s">
        <v>118</v>
      </c>
      <c r="F40" s="19"/>
      <c r="G40" s="24"/>
      <c r="H40" s="19"/>
      <c r="I40" s="26" t="s">
        <v>49</v>
      </c>
      <c r="J40" s="26" t="s">
        <v>5121</v>
      </c>
      <c r="K40" s="24" t="s">
        <v>49</v>
      </c>
      <c r="L40" s="24" t="s">
        <v>3083</v>
      </c>
      <c r="M40" s="24" t="s">
        <v>5219</v>
      </c>
      <c r="N40" s="24" t="s">
        <v>5220</v>
      </c>
      <c r="O40" s="26"/>
      <c r="P40" s="24" t="s">
        <v>6495</v>
      </c>
      <c r="Q40" s="24"/>
      <c r="R40" s="26"/>
      <c r="S40" s="26"/>
      <c r="T40" s="26"/>
      <c r="U40" s="24"/>
      <c r="V40" s="24"/>
      <c r="W40" s="24"/>
      <c r="X40" s="63"/>
      <c r="Y40" s="63"/>
      <c r="Z40" s="63"/>
      <c r="AA40" s="63"/>
      <c r="AB40" s="24"/>
      <c r="AC40" s="24"/>
    </row>
    <row r="41" spans="1:29" s="28" customFormat="1" x14ac:dyDescent="0.3">
      <c r="A41" s="27" t="s">
        <v>4526</v>
      </c>
      <c r="B41" s="27" t="s">
        <v>2273</v>
      </c>
      <c r="C41" s="29"/>
      <c r="D41" s="28" t="s">
        <v>4773</v>
      </c>
      <c r="E41" s="20" t="s">
        <v>118</v>
      </c>
      <c r="F41" s="20" t="s">
        <v>2294</v>
      </c>
      <c r="G41" s="27"/>
      <c r="H41" s="20"/>
      <c r="I41" s="29"/>
      <c r="J41" s="29"/>
      <c r="K41" s="27"/>
      <c r="L41" s="27"/>
      <c r="M41" s="27" t="s">
        <v>6741</v>
      </c>
      <c r="N41" s="27" t="s">
        <v>6742</v>
      </c>
      <c r="O41" s="29" t="s">
        <v>6743</v>
      </c>
      <c r="P41" s="27"/>
      <c r="Q41" s="27"/>
      <c r="R41" s="29"/>
      <c r="S41" s="29"/>
      <c r="T41" s="29"/>
      <c r="U41" s="27"/>
      <c r="V41" s="27"/>
      <c r="W41" s="27"/>
      <c r="X41" s="64"/>
      <c r="Y41" s="64"/>
      <c r="Z41" s="64"/>
      <c r="AA41" s="64"/>
      <c r="AB41" s="27"/>
      <c r="AC41" s="27"/>
    </row>
    <row r="42" spans="1:29" s="25" customFormat="1" x14ac:dyDescent="0.3">
      <c r="A42" s="24">
        <v>31</v>
      </c>
      <c r="B42" s="24" t="s">
        <v>2272</v>
      </c>
      <c r="C42" s="26">
        <v>39</v>
      </c>
      <c r="D42" s="25" t="s">
        <v>119</v>
      </c>
      <c r="E42" s="19" t="s">
        <v>120</v>
      </c>
      <c r="F42" s="19"/>
      <c r="G42" s="24"/>
      <c r="H42" s="19"/>
      <c r="I42" s="26" t="s">
        <v>49</v>
      </c>
      <c r="J42" s="26" t="s">
        <v>5121</v>
      </c>
      <c r="K42" s="24" t="s">
        <v>49</v>
      </c>
      <c r="L42" s="24" t="s">
        <v>3078</v>
      </c>
      <c r="M42" s="24" t="s">
        <v>5221</v>
      </c>
      <c r="N42" s="24"/>
      <c r="O42" s="26" t="s">
        <v>1645</v>
      </c>
      <c r="P42" s="24" t="s">
        <v>6386</v>
      </c>
      <c r="Q42" s="24"/>
      <c r="R42" s="26"/>
      <c r="S42" s="26"/>
      <c r="T42" s="26"/>
      <c r="U42" s="24"/>
      <c r="V42" s="24"/>
      <c r="W42" s="24"/>
      <c r="X42" s="63"/>
      <c r="Y42" s="63"/>
      <c r="Z42" s="63"/>
      <c r="AA42" s="63"/>
      <c r="AB42" s="24"/>
      <c r="AC42" s="24"/>
    </row>
    <row r="43" spans="1:29" s="25" customFormat="1" x14ac:dyDescent="0.3">
      <c r="A43" s="24">
        <v>32</v>
      </c>
      <c r="B43" s="24" t="s">
        <v>2272</v>
      </c>
      <c r="C43" s="26">
        <v>33</v>
      </c>
      <c r="D43" s="25" t="s">
        <v>35</v>
      </c>
      <c r="E43" s="19" t="s">
        <v>36</v>
      </c>
      <c r="F43" s="19"/>
      <c r="G43" s="24" t="s">
        <v>1604</v>
      </c>
      <c r="H43" s="19"/>
      <c r="I43" s="26" t="s">
        <v>37</v>
      </c>
      <c r="J43" s="26" t="s">
        <v>253</v>
      </c>
      <c r="K43" s="24"/>
      <c r="L43" s="24" t="s">
        <v>3118</v>
      </c>
      <c r="M43" s="24" t="s">
        <v>5222</v>
      </c>
      <c r="N43" s="24"/>
      <c r="O43" s="26"/>
      <c r="P43" s="24"/>
      <c r="Q43" s="24"/>
      <c r="R43" s="26"/>
      <c r="S43" s="26"/>
      <c r="T43" s="26"/>
      <c r="U43" s="24"/>
      <c r="V43" s="24"/>
      <c r="W43" s="24"/>
      <c r="X43" s="63"/>
      <c r="Y43" s="63"/>
      <c r="Z43" s="63"/>
      <c r="AA43" s="63"/>
      <c r="AB43" s="24"/>
      <c r="AC43" s="24"/>
    </row>
    <row r="44" spans="1:29" s="28" customFormat="1" x14ac:dyDescent="0.3">
      <c r="A44" s="27" t="s">
        <v>6174</v>
      </c>
      <c r="B44" s="27" t="s">
        <v>2273</v>
      </c>
      <c r="C44" s="29"/>
      <c r="D44" s="28" t="s">
        <v>4774</v>
      </c>
      <c r="E44" s="20" t="s">
        <v>36</v>
      </c>
      <c r="F44" s="20" t="s">
        <v>2274</v>
      </c>
      <c r="G44" s="27"/>
      <c r="H44" s="20"/>
      <c r="I44" s="29"/>
      <c r="J44" s="29"/>
      <c r="K44" s="27"/>
      <c r="L44" s="27"/>
      <c r="M44" s="27" t="s">
        <v>6744</v>
      </c>
      <c r="N44" s="27"/>
      <c r="O44" s="29" t="s">
        <v>6745</v>
      </c>
      <c r="P44" s="27"/>
      <c r="Q44" s="27"/>
      <c r="R44" s="29"/>
      <c r="S44" s="29"/>
      <c r="T44" s="29"/>
      <c r="U44" s="27"/>
      <c r="V44" s="27"/>
      <c r="W44" s="27"/>
      <c r="X44" s="64"/>
      <c r="Y44" s="64"/>
      <c r="Z44" s="64"/>
      <c r="AA44" s="64"/>
      <c r="AB44" s="27"/>
      <c r="AC44" s="27"/>
    </row>
    <row r="45" spans="1:29" s="28" customFormat="1" x14ac:dyDescent="0.3">
      <c r="A45" s="27" t="s">
        <v>6175</v>
      </c>
      <c r="B45" s="27" t="s">
        <v>2273</v>
      </c>
      <c r="C45" s="29"/>
      <c r="D45" s="28" t="s">
        <v>4774</v>
      </c>
      <c r="E45" s="20" t="s">
        <v>36</v>
      </c>
      <c r="F45" s="20" t="s">
        <v>2275</v>
      </c>
      <c r="G45" s="27"/>
      <c r="H45" s="20"/>
      <c r="I45" s="29"/>
      <c r="J45" s="29"/>
      <c r="K45" s="27"/>
      <c r="L45" s="27"/>
      <c r="M45" s="27" t="s">
        <v>6746</v>
      </c>
      <c r="N45" s="27"/>
      <c r="O45" s="29" t="s">
        <v>6747</v>
      </c>
      <c r="P45" s="27"/>
      <c r="Q45" s="27"/>
      <c r="R45" s="29"/>
      <c r="S45" s="29"/>
      <c r="T45" s="29"/>
      <c r="U45" s="27"/>
      <c r="V45" s="27"/>
      <c r="W45" s="27"/>
      <c r="X45" s="64"/>
      <c r="Y45" s="64"/>
      <c r="Z45" s="64"/>
      <c r="AA45" s="64"/>
      <c r="AB45" s="27"/>
      <c r="AC45" s="27"/>
    </row>
    <row r="46" spans="1:29" s="28" customFormat="1" x14ac:dyDescent="0.3">
      <c r="A46" s="27" t="s">
        <v>6176</v>
      </c>
      <c r="B46" s="27" t="s">
        <v>2273</v>
      </c>
      <c r="C46" s="29"/>
      <c r="D46" s="28" t="s">
        <v>4774</v>
      </c>
      <c r="E46" s="20" t="s">
        <v>36</v>
      </c>
      <c r="F46" s="20" t="s">
        <v>2276</v>
      </c>
      <c r="G46" s="27"/>
      <c r="H46" s="20"/>
      <c r="I46" s="29"/>
      <c r="J46" s="29"/>
      <c r="K46" s="27"/>
      <c r="L46" s="27"/>
      <c r="M46" s="27" t="s">
        <v>6748</v>
      </c>
      <c r="N46" s="27"/>
      <c r="O46" s="29" t="s">
        <v>6749</v>
      </c>
      <c r="P46" s="27"/>
      <c r="Q46" s="27"/>
      <c r="R46" s="29"/>
      <c r="S46" s="29"/>
      <c r="T46" s="29"/>
      <c r="U46" s="27"/>
      <c r="V46" s="27"/>
      <c r="W46" s="27"/>
      <c r="X46" s="64"/>
      <c r="Y46" s="64"/>
      <c r="Z46" s="64"/>
      <c r="AA46" s="64"/>
      <c r="AB46" s="27"/>
      <c r="AC46" s="27"/>
    </row>
    <row r="47" spans="1:29" s="28" customFormat="1" x14ac:dyDescent="0.3">
      <c r="A47" s="27" t="s">
        <v>6177</v>
      </c>
      <c r="B47" s="27" t="s">
        <v>2273</v>
      </c>
      <c r="C47" s="29"/>
      <c r="D47" s="28" t="s">
        <v>4774</v>
      </c>
      <c r="E47" s="20" t="s">
        <v>36</v>
      </c>
      <c r="F47" s="20" t="s">
        <v>2277</v>
      </c>
      <c r="G47" s="27"/>
      <c r="H47" s="20"/>
      <c r="I47" s="29"/>
      <c r="J47" s="29"/>
      <c r="K47" s="27"/>
      <c r="L47" s="27"/>
      <c r="M47" s="27" t="s">
        <v>6750</v>
      </c>
      <c r="N47" s="27"/>
      <c r="O47" s="29" t="s">
        <v>6751</v>
      </c>
      <c r="P47" s="27"/>
      <c r="Q47" s="27"/>
      <c r="R47" s="29"/>
      <c r="S47" s="29"/>
      <c r="T47" s="29"/>
      <c r="U47" s="27"/>
      <c r="V47" s="27"/>
      <c r="W47" s="27"/>
      <c r="X47" s="64"/>
      <c r="Y47" s="64"/>
      <c r="Z47" s="64"/>
      <c r="AA47" s="64"/>
      <c r="AB47" s="27"/>
      <c r="AC47" s="27"/>
    </row>
    <row r="48" spans="1:29" s="25" customFormat="1" x14ac:dyDescent="0.3">
      <c r="A48" s="24">
        <v>33</v>
      </c>
      <c r="B48" s="24" t="s">
        <v>2272</v>
      </c>
      <c r="C48" s="26">
        <v>35</v>
      </c>
      <c r="D48" s="25" t="s">
        <v>44</v>
      </c>
      <c r="E48" s="19" t="s">
        <v>45</v>
      </c>
      <c r="F48" s="19"/>
      <c r="G48" s="24"/>
      <c r="H48" s="19"/>
      <c r="I48" s="26" t="s">
        <v>42</v>
      </c>
      <c r="J48" s="26" t="s">
        <v>5122</v>
      </c>
      <c r="K48" s="24"/>
      <c r="L48" s="24" t="s">
        <v>3122</v>
      </c>
      <c r="M48" s="24" t="s">
        <v>5876</v>
      </c>
      <c r="N48" s="24"/>
      <c r="O48" s="26"/>
      <c r="P48" s="24" t="s">
        <v>46</v>
      </c>
      <c r="Q48" s="24"/>
      <c r="R48" s="26"/>
      <c r="S48" s="26"/>
      <c r="T48" s="26"/>
      <c r="U48" s="24"/>
      <c r="V48" s="24"/>
      <c r="W48" s="24"/>
      <c r="X48" s="63"/>
      <c r="Y48" s="63"/>
      <c r="Z48" s="63"/>
      <c r="AA48" s="63"/>
      <c r="AB48" s="24"/>
      <c r="AC48" s="24"/>
    </row>
    <row r="49" spans="1:29" s="28" customFormat="1" x14ac:dyDescent="0.3">
      <c r="A49" s="27" t="s">
        <v>6178</v>
      </c>
      <c r="B49" s="27" t="s">
        <v>2273</v>
      </c>
      <c r="C49" s="29"/>
      <c r="D49" s="28" t="s">
        <v>4776</v>
      </c>
      <c r="E49" s="20" t="s">
        <v>45</v>
      </c>
      <c r="F49" s="20" t="s">
        <v>2282</v>
      </c>
      <c r="G49" s="27"/>
      <c r="H49" s="20"/>
      <c r="I49" s="29"/>
      <c r="J49" s="29"/>
      <c r="K49" s="27"/>
      <c r="L49" s="27"/>
      <c r="M49" s="27" t="s">
        <v>6752</v>
      </c>
      <c r="N49" s="27"/>
      <c r="O49" s="29" t="s">
        <v>6753</v>
      </c>
      <c r="P49" s="27"/>
      <c r="Q49" s="27"/>
      <c r="R49" s="29"/>
      <c r="S49" s="29"/>
      <c r="T49" s="29"/>
      <c r="U49" s="27"/>
      <c r="V49" s="27"/>
      <c r="W49" s="27"/>
      <c r="X49" s="64"/>
      <c r="Y49" s="64"/>
      <c r="Z49" s="64"/>
      <c r="AA49" s="64"/>
      <c r="AB49" s="27"/>
      <c r="AC49" s="27"/>
    </row>
    <row r="50" spans="1:29" s="25" customFormat="1" x14ac:dyDescent="0.3">
      <c r="A50" s="24">
        <v>34</v>
      </c>
      <c r="B50" s="24" t="s">
        <v>2272</v>
      </c>
      <c r="C50" s="26">
        <v>33</v>
      </c>
      <c r="D50" s="25" t="s">
        <v>55</v>
      </c>
      <c r="E50" s="19" t="s">
        <v>56</v>
      </c>
      <c r="F50" s="19"/>
      <c r="G50" s="24"/>
      <c r="H50" s="19"/>
      <c r="I50" s="26" t="s">
        <v>57</v>
      </c>
      <c r="J50" s="26" t="s">
        <v>57</v>
      </c>
      <c r="K50" s="24"/>
      <c r="L50" s="24" t="s">
        <v>3129</v>
      </c>
      <c r="M50" s="24" t="s">
        <v>5223</v>
      </c>
      <c r="N50" s="24"/>
      <c r="O50" s="26" t="s">
        <v>1609</v>
      </c>
      <c r="P50" s="24"/>
      <c r="Q50" s="24"/>
      <c r="R50" s="26"/>
      <c r="S50" s="26"/>
      <c r="T50" s="26"/>
      <c r="U50" s="24"/>
      <c r="V50" s="24"/>
      <c r="W50" s="24"/>
      <c r="X50" s="63"/>
      <c r="Y50" s="63"/>
      <c r="Z50" s="63"/>
      <c r="AA50" s="63"/>
      <c r="AB50" s="24"/>
      <c r="AC50" s="24"/>
    </row>
    <row r="51" spans="1:29" s="25" customFormat="1" x14ac:dyDescent="0.3">
      <c r="A51" s="24">
        <v>35</v>
      </c>
      <c r="B51" s="24" t="s">
        <v>2272</v>
      </c>
      <c r="C51" s="26">
        <v>35</v>
      </c>
      <c r="D51" s="25" t="s">
        <v>53</v>
      </c>
      <c r="E51" s="19" t="s">
        <v>54</v>
      </c>
      <c r="F51" s="19"/>
      <c r="G51" s="24"/>
      <c r="H51" s="19"/>
      <c r="I51" s="26" t="s">
        <v>37</v>
      </c>
      <c r="J51" s="26" t="s">
        <v>5123</v>
      </c>
      <c r="K51" s="24"/>
      <c r="L51" s="24" t="s">
        <v>3127</v>
      </c>
      <c r="M51" s="24" t="s">
        <v>4278</v>
      </c>
      <c r="N51" s="24"/>
      <c r="O51" s="26"/>
      <c r="P51" s="24" t="s">
        <v>9</v>
      </c>
      <c r="Q51" s="24"/>
      <c r="R51" s="26"/>
      <c r="S51" s="26"/>
      <c r="T51" s="26"/>
      <c r="U51" s="24"/>
      <c r="V51" s="24"/>
      <c r="W51" s="24"/>
      <c r="X51" s="63"/>
      <c r="Y51" s="63"/>
      <c r="Z51" s="63"/>
      <c r="AA51" s="63"/>
      <c r="AB51" s="24"/>
      <c r="AC51" s="24"/>
    </row>
    <row r="52" spans="1:29" s="28" customFormat="1" x14ac:dyDescent="0.3">
      <c r="A52" s="27" t="s">
        <v>6179</v>
      </c>
      <c r="B52" s="27" t="s">
        <v>2273</v>
      </c>
      <c r="C52" s="29"/>
      <c r="D52" s="28" t="s">
        <v>4778</v>
      </c>
      <c r="E52" s="20" t="s">
        <v>54</v>
      </c>
      <c r="F52" s="20" t="s">
        <v>2284</v>
      </c>
      <c r="G52" s="27"/>
      <c r="H52" s="20"/>
      <c r="I52" s="29"/>
      <c r="J52" s="29"/>
      <c r="K52" s="27"/>
      <c r="L52" s="27"/>
      <c r="M52" s="27" t="s">
        <v>6754</v>
      </c>
      <c r="N52" s="27"/>
      <c r="O52" s="29" t="s">
        <v>6755</v>
      </c>
      <c r="P52" s="27"/>
      <c r="Q52" s="27"/>
      <c r="R52" s="29"/>
      <c r="S52" s="29"/>
      <c r="T52" s="29"/>
      <c r="U52" s="27"/>
      <c r="V52" s="27"/>
      <c r="W52" s="27"/>
      <c r="X52" s="64"/>
      <c r="Y52" s="64"/>
      <c r="Z52" s="64"/>
      <c r="AA52" s="64"/>
      <c r="AB52" s="27"/>
      <c r="AC52" s="27"/>
    </row>
    <row r="53" spans="1:29" s="25" customFormat="1" x14ac:dyDescent="0.3">
      <c r="A53" s="24">
        <v>36</v>
      </c>
      <c r="B53" s="24" t="s">
        <v>2272</v>
      </c>
      <c r="C53" s="26">
        <v>35</v>
      </c>
      <c r="D53" s="25" t="s">
        <v>40</v>
      </c>
      <c r="E53" s="19" t="s">
        <v>41</v>
      </c>
      <c r="F53" s="19"/>
      <c r="G53" s="24"/>
      <c r="H53" s="19"/>
      <c r="I53" s="26" t="s">
        <v>42</v>
      </c>
      <c r="J53" s="26" t="s">
        <v>5122</v>
      </c>
      <c r="K53" s="24"/>
      <c r="L53" s="24" t="s">
        <v>3120</v>
      </c>
      <c r="M53" s="24" t="s">
        <v>4277</v>
      </c>
      <c r="N53" s="24"/>
      <c r="O53" s="26"/>
      <c r="P53" s="24" t="s">
        <v>43</v>
      </c>
      <c r="Q53" s="24"/>
      <c r="R53" s="26"/>
      <c r="S53" s="26"/>
      <c r="T53" s="26"/>
      <c r="U53" s="24"/>
      <c r="V53" s="24"/>
      <c r="W53" s="24"/>
      <c r="X53" s="63"/>
      <c r="Y53" s="63"/>
      <c r="Z53" s="63"/>
      <c r="AA53" s="63"/>
      <c r="AB53" s="24"/>
      <c r="AC53" s="24"/>
    </row>
    <row r="54" spans="1:29" s="28" customFormat="1" x14ac:dyDescent="0.3">
      <c r="A54" s="27" t="s">
        <v>6180</v>
      </c>
      <c r="B54" s="27" t="s">
        <v>2273</v>
      </c>
      <c r="C54" s="29"/>
      <c r="D54" s="28" t="s">
        <v>4775</v>
      </c>
      <c r="E54" s="20" t="s">
        <v>41</v>
      </c>
      <c r="F54" s="20" t="s">
        <v>2279</v>
      </c>
      <c r="G54" s="27"/>
      <c r="H54" s="20"/>
      <c r="I54" s="29"/>
      <c r="J54" s="29"/>
      <c r="K54" s="27"/>
      <c r="L54" s="27"/>
      <c r="M54" s="27" t="s">
        <v>1620</v>
      </c>
      <c r="N54" s="27"/>
      <c r="O54" s="29" t="s">
        <v>6756</v>
      </c>
      <c r="P54" s="27"/>
      <c r="Q54" s="27"/>
      <c r="R54" s="29"/>
      <c r="S54" s="29"/>
      <c r="T54" s="29"/>
      <c r="U54" s="27"/>
      <c r="V54" s="27"/>
      <c r="W54" s="27"/>
      <c r="X54" s="64"/>
      <c r="Y54" s="64"/>
      <c r="Z54" s="64"/>
      <c r="AA54" s="64"/>
      <c r="AB54" s="27"/>
      <c r="AC54" s="27"/>
    </row>
    <row r="55" spans="1:29" s="25" customFormat="1" x14ac:dyDescent="0.3">
      <c r="A55" s="24">
        <v>37</v>
      </c>
      <c r="B55" s="24" t="s">
        <v>2272</v>
      </c>
      <c r="C55" s="26">
        <v>35</v>
      </c>
      <c r="D55" s="25" t="s">
        <v>51</v>
      </c>
      <c r="E55" s="19" t="s">
        <v>1608</v>
      </c>
      <c r="F55" s="19"/>
      <c r="G55" s="24" t="s">
        <v>1607</v>
      </c>
      <c r="H55" s="19"/>
      <c r="I55" s="26" t="s">
        <v>37</v>
      </c>
      <c r="J55" s="26" t="s">
        <v>37</v>
      </c>
      <c r="K55" s="24"/>
      <c r="L55" s="24" t="s">
        <v>3125</v>
      </c>
      <c r="M55" s="24" t="s">
        <v>52</v>
      </c>
      <c r="N55" s="24"/>
      <c r="O55" s="26"/>
      <c r="P55" s="24"/>
      <c r="Q55" s="24"/>
      <c r="R55" s="26"/>
      <c r="S55" s="26"/>
      <c r="T55" s="26"/>
      <c r="U55" s="24"/>
      <c r="V55" s="24"/>
      <c r="W55" s="24"/>
      <c r="X55" s="63"/>
      <c r="Y55" s="63"/>
      <c r="Z55" s="63"/>
      <c r="AA55" s="63"/>
      <c r="AB55" s="24"/>
      <c r="AC55" s="24"/>
    </row>
    <row r="56" spans="1:29" s="28" customFormat="1" x14ac:dyDescent="0.3">
      <c r="A56" s="27" t="s">
        <v>4527</v>
      </c>
      <c r="B56" s="27" t="s">
        <v>2273</v>
      </c>
      <c r="C56" s="29"/>
      <c r="D56" s="28" t="s">
        <v>4777</v>
      </c>
      <c r="E56" s="20" t="s">
        <v>1608</v>
      </c>
      <c r="F56" s="20" t="s">
        <v>2531</v>
      </c>
      <c r="G56" s="27"/>
      <c r="H56" s="20"/>
      <c r="I56" s="29"/>
      <c r="J56" s="29"/>
      <c r="K56" s="27"/>
      <c r="L56" s="27"/>
      <c r="M56" s="27" t="s">
        <v>6757</v>
      </c>
      <c r="N56" s="27"/>
      <c r="O56" s="29" t="s">
        <v>6758</v>
      </c>
      <c r="P56" s="27"/>
      <c r="Q56" s="27"/>
      <c r="R56" s="29"/>
      <c r="S56" s="29"/>
      <c r="T56" s="29"/>
      <c r="U56" s="27"/>
      <c r="V56" s="27"/>
      <c r="W56" s="27"/>
      <c r="X56" s="64"/>
      <c r="Y56" s="64"/>
      <c r="Z56" s="64"/>
      <c r="AA56" s="64"/>
      <c r="AB56" s="27"/>
      <c r="AC56" s="27"/>
    </row>
    <row r="57" spans="1:29" s="25" customFormat="1" x14ac:dyDescent="0.3">
      <c r="A57" s="24">
        <v>38</v>
      </c>
      <c r="B57" s="24" t="s">
        <v>2272</v>
      </c>
      <c r="C57" s="26">
        <v>33</v>
      </c>
      <c r="D57" s="25" t="s">
        <v>47</v>
      </c>
      <c r="E57" s="19" t="s">
        <v>48</v>
      </c>
      <c r="F57" s="19"/>
      <c r="G57" s="24"/>
      <c r="H57" s="19"/>
      <c r="I57" s="26" t="s">
        <v>49</v>
      </c>
      <c r="J57" s="26" t="s">
        <v>5121</v>
      </c>
      <c r="K57" s="24" t="s">
        <v>49</v>
      </c>
      <c r="L57" s="24" t="s">
        <v>3124</v>
      </c>
      <c r="M57" s="24" t="s">
        <v>5225</v>
      </c>
      <c r="N57" s="24" t="s">
        <v>1633</v>
      </c>
      <c r="O57" s="26" t="s">
        <v>1605</v>
      </c>
      <c r="P57" s="24" t="s">
        <v>6387</v>
      </c>
      <c r="Q57" s="24"/>
      <c r="R57" s="26"/>
      <c r="S57" s="26"/>
      <c r="T57" s="26"/>
      <c r="U57" s="24"/>
      <c r="V57" s="24"/>
      <c r="W57" s="24"/>
      <c r="X57" s="63"/>
      <c r="Y57" s="63"/>
      <c r="Z57" s="63"/>
      <c r="AA57" s="63"/>
      <c r="AB57" s="24"/>
      <c r="AC57" s="24"/>
    </row>
    <row r="58" spans="1:29" s="25" customFormat="1" x14ac:dyDescent="0.3">
      <c r="A58" s="24">
        <v>39</v>
      </c>
      <c r="B58" s="24" t="s">
        <v>2272</v>
      </c>
      <c r="C58" s="26">
        <v>73</v>
      </c>
      <c r="D58" s="25" t="s">
        <v>129</v>
      </c>
      <c r="E58" s="19" t="s">
        <v>130</v>
      </c>
      <c r="F58" s="19"/>
      <c r="G58" s="24"/>
      <c r="H58" s="19"/>
      <c r="I58" s="26" t="s">
        <v>37</v>
      </c>
      <c r="J58" s="26" t="s">
        <v>37</v>
      </c>
      <c r="K58" s="24"/>
      <c r="L58" s="24" t="s">
        <v>3136</v>
      </c>
      <c r="M58" s="24" t="s">
        <v>5226</v>
      </c>
      <c r="N58" s="24"/>
      <c r="O58" s="26"/>
      <c r="P58" s="24"/>
      <c r="Q58" s="24"/>
      <c r="R58" s="26"/>
      <c r="S58" s="26"/>
      <c r="T58" s="26"/>
      <c r="U58" s="24"/>
      <c r="V58" s="24"/>
      <c r="W58" s="24"/>
      <c r="X58" s="63"/>
      <c r="Y58" s="63"/>
      <c r="Z58" s="63"/>
      <c r="AA58" s="63"/>
      <c r="AB58" s="24"/>
      <c r="AC58" s="24"/>
    </row>
    <row r="59" spans="1:29" s="28" customFormat="1" x14ac:dyDescent="0.3">
      <c r="A59" s="27" t="s">
        <v>6759</v>
      </c>
      <c r="B59" s="27" t="s">
        <v>2273</v>
      </c>
      <c r="C59" s="29"/>
      <c r="D59" s="28" t="s">
        <v>4780</v>
      </c>
      <c r="E59" s="20" t="s">
        <v>130</v>
      </c>
      <c r="F59" s="20" t="s">
        <v>2298</v>
      </c>
      <c r="G59" s="27"/>
      <c r="H59" s="20"/>
      <c r="I59" s="29"/>
      <c r="J59" s="29"/>
      <c r="K59" s="27"/>
      <c r="L59" s="27"/>
      <c r="M59" s="27" t="s">
        <v>6760</v>
      </c>
      <c r="N59" s="27"/>
      <c r="O59" s="29" t="s">
        <v>6761</v>
      </c>
      <c r="P59" s="27"/>
      <c r="Q59" s="27"/>
      <c r="R59" s="29"/>
      <c r="S59" s="29"/>
      <c r="T59" s="29"/>
      <c r="U59" s="27"/>
      <c r="V59" s="27"/>
      <c r="W59" s="27"/>
      <c r="X59" s="64"/>
      <c r="Y59" s="64"/>
      <c r="Z59" s="64"/>
      <c r="AA59" s="64"/>
      <c r="AB59" s="27"/>
      <c r="AC59" s="27"/>
    </row>
    <row r="60" spans="1:29" s="25" customFormat="1" x14ac:dyDescent="0.3">
      <c r="A60" s="24">
        <v>40</v>
      </c>
      <c r="B60" s="24" t="s">
        <v>2272</v>
      </c>
      <c r="C60" s="26">
        <v>73</v>
      </c>
      <c r="D60" s="25" t="s">
        <v>131</v>
      </c>
      <c r="E60" s="19" t="s">
        <v>132</v>
      </c>
      <c r="F60" s="19"/>
      <c r="G60" s="24"/>
      <c r="H60" s="19"/>
      <c r="I60" s="26" t="s">
        <v>89</v>
      </c>
      <c r="J60" s="26" t="s">
        <v>37</v>
      </c>
      <c r="K60" s="24" t="s">
        <v>3019</v>
      </c>
      <c r="L60" s="24" t="s">
        <v>3138</v>
      </c>
      <c r="M60" s="24" t="s">
        <v>133</v>
      </c>
      <c r="N60" s="24" t="s">
        <v>5227</v>
      </c>
      <c r="O60" s="26"/>
      <c r="P60" s="24"/>
      <c r="Q60" s="24"/>
      <c r="R60" s="26"/>
      <c r="S60" s="26"/>
      <c r="T60" s="26"/>
      <c r="U60" s="24"/>
      <c r="V60" s="24"/>
      <c r="W60" s="24"/>
      <c r="X60" s="63"/>
      <c r="Y60" s="63"/>
      <c r="Z60" s="63"/>
      <c r="AA60" s="63"/>
      <c r="AB60" s="24"/>
      <c r="AC60" s="24"/>
    </row>
    <row r="61" spans="1:29" s="28" customFormat="1" x14ac:dyDescent="0.3">
      <c r="A61" s="27" t="s">
        <v>6181</v>
      </c>
      <c r="B61" s="27" t="s">
        <v>2273</v>
      </c>
      <c r="C61" s="29"/>
      <c r="D61" s="28" t="s">
        <v>4781</v>
      </c>
      <c r="E61" s="20" t="s">
        <v>132</v>
      </c>
      <c r="F61" s="20" t="s">
        <v>2299</v>
      </c>
      <c r="G61" s="27"/>
      <c r="H61" s="20"/>
      <c r="I61" s="29"/>
      <c r="J61" s="29"/>
      <c r="K61" s="27"/>
      <c r="L61" s="27"/>
      <c r="M61" s="27" t="s">
        <v>6762</v>
      </c>
      <c r="N61" s="27" t="s">
        <v>6763</v>
      </c>
      <c r="O61" s="29" t="s">
        <v>6764</v>
      </c>
      <c r="P61" s="27"/>
      <c r="Q61" s="27"/>
      <c r="R61" s="29"/>
      <c r="S61" s="29"/>
      <c r="T61" s="29"/>
      <c r="U61" s="27"/>
      <c r="V61" s="27"/>
      <c r="W61" s="27"/>
      <c r="X61" s="64"/>
      <c r="Y61" s="64"/>
      <c r="Z61" s="64"/>
      <c r="AA61" s="64"/>
      <c r="AB61" s="27"/>
      <c r="AC61" s="27"/>
    </row>
    <row r="62" spans="1:29" s="25" customFormat="1" x14ac:dyDescent="0.3">
      <c r="A62" s="24">
        <v>41</v>
      </c>
      <c r="B62" s="24" t="s">
        <v>2272</v>
      </c>
      <c r="C62" s="26">
        <v>73</v>
      </c>
      <c r="D62" s="25" t="s">
        <v>134</v>
      </c>
      <c r="E62" s="19" t="s">
        <v>135</v>
      </c>
      <c r="F62" s="19"/>
      <c r="G62" s="24"/>
      <c r="H62" s="19"/>
      <c r="I62" s="26" t="s">
        <v>37</v>
      </c>
      <c r="J62" s="26" t="s">
        <v>37</v>
      </c>
      <c r="K62" s="24"/>
      <c r="L62" s="24" t="s">
        <v>3140</v>
      </c>
      <c r="M62" s="24" t="s">
        <v>5228</v>
      </c>
      <c r="N62" s="24"/>
      <c r="O62" s="26"/>
      <c r="P62" s="24"/>
      <c r="Q62" s="24"/>
      <c r="R62" s="26"/>
      <c r="S62" s="26"/>
      <c r="T62" s="26"/>
      <c r="U62" s="24"/>
      <c r="V62" s="24"/>
      <c r="W62" s="24"/>
      <c r="X62" s="63"/>
      <c r="Y62" s="63"/>
      <c r="Z62" s="63"/>
      <c r="AA62" s="63"/>
      <c r="AB62" s="24"/>
      <c r="AC62" s="24"/>
    </row>
    <row r="63" spans="1:29" s="28" customFormat="1" x14ac:dyDescent="0.3">
      <c r="A63" s="27" t="s">
        <v>6765</v>
      </c>
      <c r="B63" s="27" t="s">
        <v>2273</v>
      </c>
      <c r="C63" s="29"/>
      <c r="D63" s="28" t="s">
        <v>4782</v>
      </c>
      <c r="E63" s="20" t="s">
        <v>135</v>
      </c>
      <c r="F63" s="20" t="s">
        <v>2300</v>
      </c>
      <c r="G63" s="27"/>
      <c r="H63" s="20"/>
      <c r="I63" s="29"/>
      <c r="J63" s="29"/>
      <c r="K63" s="27"/>
      <c r="L63" s="27"/>
      <c r="M63" s="27" t="s">
        <v>6766</v>
      </c>
      <c r="N63" s="27"/>
      <c r="O63" s="29" t="s">
        <v>6767</v>
      </c>
      <c r="P63" s="27"/>
      <c r="Q63" s="27"/>
      <c r="R63" s="29"/>
      <c r="S63" s="29"/>
      <c r="T63" s="29"/>
      <c r="U63" s="27"/>
      <c r="V63" s="27"/>
      <c r="W63" s="27"/>
      <c r="X63" s="64"/>
      <c r="Y63" s="64"/>
      <c r="Z63" s="64"/>
      <c r="AA63" s="64"/>
      <c r="AB63" s="27"/>
      <c r="AC63" s="27"/>
    </row>
    <row r="64" spans="1:29" s="28" customFormat="1" x14ac:dyDescent="0.3">
      <c r="A64" s="27" t="s">
        <v>6182</v>
      </c>
      <c r="B64" s="27" t="s">
        <v>2273</v>
      </c>
      <c r="C64" s="29"/>
      <c r="D64" s="28" t="s">
        <v>4782</v>
      </c>
      <c r="E64" s="20" t="s">
        <v>135</v>
      </c>
      <c r="F64" s="20" t="s">
        <v>2301</v>
      </c>
      <c r="G64" s="27"/>
      <c r="H64" s="20"/>
      <c r="I64" s="29"/>
      <c r="J64" s="29"/>
      <c r="K64" s="27"/>
      <c r="L64" s="27"/>
      <c r="M64" s="27" t="s">
        <v>6768</v>
      </c>
      <c r="N64" s="27"/>
      <c r="O64" s="29" t="s">
        <v>6769</v>
      </c>
      <c r="P64" s="27"/>
      <c r="Q64" s="27"/>
      <c r="R64" s="29"/>
      <c r="S64" s="29"/>
      <c r="T64" s="29"/>
      <c r="U64" s="27"/>
      <c r="V64" s="27"/>
      <c r="W64" s="27"/>
      <c r="X64" s="64"/>
      <c r="Y64" s="64"/>
      <c r="Z64" s="64"/>
      <c r="AA64" s="64"/>
      <c r="AB64" s="27"/>
      <c r="AC64" s="27"/>
    </row>
    <row r="65" spans="1:29" s="25" customFormat="1" x14ac:dyDescent="0.3">
      <c r="A65" s="24">
        <v>42</v>
      </c>
      <c r="B65" s="24" t="s">
        <v>2272</v>
      </c>
      <c r="C65" s="26">
        <v>73</v>
      </c>
      <c r="D65" s="25" t="s">
        <v>136</v>
      </c>
      <c r="E65" s="19" t="s">
        <v>137</v>
      </c>
      <c r="F65" s="19"/>
      <c r="G65" s="24"/>
      <c r="H65" s="19"/>
      <c r="I65" s="26" t="s">
        <v>57</v>
      </c>
      <c r="J65" s="26" t="s">
        <v>57</v>
      </c>
      <c r="K65" s="24"/>
      <c r="L65" s="24" t="s">
        <v>3142</v>
      </c>
      <c r="M65" s="24" t="s">
        <v>5229</v>
      </c>
      <c r="N65" s="24"/>
      <c r="O65" s="26" t="s">
        <v>1653</v>
      </c>
      <c r="P65" s="24"/>
      <c r="Q65" s="24"/>
      <c r="R65" s="26"/>
      <c r="S65" s="26"/>
      <c r="T65" s="26"/>
      <c r="U65" s="24"/>
      <c r="V65" s="24"/>
      <c r="W65" s="24"/>
      <c r="X65" s="63"/>
      <c r="Y65" s="63"/>
      <c r="Z65" s="63"/>
      <c r="AA65" s="63"/>
      <c r="AB65" s="24"/>
      <c r="AC65" s="24"/>
    </row>
    <row r="66" spans="1:29" s="25" customFormat="1" x14ac:dyDescent="0.3">
      <c r="A66" s="24">
        <v>43</v>
      </c>
      <c r="B66" s="24" t="s">
        <v>2272</v>
      </c>
      <c r="C66" s="26">
        <v>75</v>
      </c>
      <c r="D66" s="25" t="s">
        <v>6497</v>
      </c>
      <c r="E66" s="19" t="s">
        <v>6498</v>
      </c>
      <c r="F66" s="19"/>
      <c r="G66" s="24" t="s">
        <v>138</v>
      </c>
      <c r="H66" s="19" t="s">
        <v>139</v>
      </c>
      <c r="I66" s="26" t="s">
        <v>37</v>
      </c>
      <c r="J66" s="26" t="s">
        <v>37</v>
      </c>
      <c r="K66" s="24"/>
      <c r="L66" s="24" t="s">
        <v>3143</v>
      </c>
      <c r="M66" s="24" t="s">
        <v>59</v>
      </c>
      <c r="N66" s="24"/>
      <c r="O66" s="26"/>
      <c r="P66" s="24"/>
      <c r="Q66" s="24"/>
      <c r="R66" s="26"/>
      <c r="S66" s="26"/>
      <c r="T66" s="26"/>
      <c r="U66" s="24"/>
      <c r="V66" s="24"/>
      <c r="W66" s="24"/>
      <c r="X66" s="63"/>
      <c r="Y66" s="63"/>
      <c r="Z66" s="63"/>
      <c r="AA66" s="63"/>
      <c r="AB66" s="24"/>
      <c r="AC66" s="24"/>
    </row>
    <row r="67" spans="1:29" s="28" customFormat="1" x14ac:dyDescent="0.3">
      <c r="A67" s="27" t="s">
        <v>6770</v>
      </c>
      <c r="B67" s="27" t="s">
        <v>2273</v>
      </c>
      <c r="C67" s="29">
        <v>75</v>
      </c>
      <c r="D67" s="28" t="s">
        <v>6771</v>
      </c>
      <c r="E67" s="20" t="s">
        <v>6498</v>
      </c>
      <c r="F67" s="20" t="s">
        <v>2303</v>
      </c>
      <c r="G67" s="27" t="s">
        <v>138</v>
      </c>
      <c r="H67" s="20" t="s">
        <v>6772</v>
      </c>
      <c r="I67" s="29"/>
      <c r="J67" s="29" t="s">
        <v>37</v>
      </c>
      <c r="K67" s="27"/>
      <c r="L67" s="27" t="s">
        <v>3143</v>
      </c>
      <c r="M67" s="27" t="s">
        <v>6773</v>
      </c>
      <c r="N67" s="27"/>
      <c r="O67" s="29" t="s">
        <v>6774</v>
      </c>
      <c r="P67" s="27"/>
      <c r="Q67" s="27"/>
      <c r="R67" s="29"/>
      <c r="S67" s="29"/>
      <c r="T67" s="29"/>
      <c r="U67" s="27"/>
      <c r="V67" s="27"/>
      <c r="W67" s="27"/>
      <c r="X67" s="64"/>
      <c r="Y67" s="64"/>
      <c r="Z67" s="64"/>
      <c r="AA67" s="64"/>
      <c r="AB67" s="27"/>
      <c r="AC67" s="27"/>
    </row>
    <row r="68" spans="1:29" s="28" customFormat="1" x14ac:dyDescent="0.3">
      <c r="A68" s="27" t="s">
        <v>6775</v>
      </c>
      <c r="B68" s="27" t="s">
        <v>2273</v>
      </c>
      <c r="C68" s="29">
        <v>75</v>
      </c>
      <c r="D68" s="28" t="s">
        <v>6771</v>
      </c>
      <c r="E68" s="20" t="s">
        <v>6498</v>
      </c>
      <c r="F68" s="20" t="s">
        <v>2304</v>
      </c>
      <c r="G68" s="27" t="s">
        <v>138</v>
      </c>
      <c r="H68" s="20" t="s">
        <v>6776</v>
      </c>
      <c r="I68" s="29"/>
      <c r="J68" s="29" t="s">
        <v>37</v>
      </c>
      <c r="K68" s="27"/>
      <c r="L68" s="27" t="s">
        <v>3143</v>
      </c>
      <c r="M68" s="27" t="s">
        <v>6777</v>
      </c>
      <c r="N68" s="27"/>
      <c r="O68" s="29" t="s">
        <v>6778</v>
      </c>
      <c r="P68" s="27"/>
      <c r="Q68" s="27"/>
      <c r="R68" s="29"/>
      <c r="S68" s="29"/>
      <c r="T68" s="29"/>
      <c r="U68" s="27"/>
      <c r="V68" s="27"/>
      <c r="W68" s="27"/>
      <c r="X68" s="64"/>
      <c r="Y68" s="64"/>
      <c r="Z68" s="64"/>
      <c r="AA68" s="64"/>
      <c r="AB68" s="27"/>
      <c r="AC68" s="27"/>
    </row>
    <row r="69" spans="1:29" s="25" customFormat="1" x14ac:dyDescent="0.3">
      <c r="A69" s="24">
        <v>44</v>
      </c>
      <c r="B69" s="24" t="s">
        <v>2272</v>
      </c>
      <c r="C69" s="26">
        <v>71</v>
      </c>
      <c r="D69" s="25" t="s">
        <v>123</v>
      </c>
      <c r="E69" s="19" t="s">
        <v>124</v>
      </c>
      <c r="F69" s="19"/>
      <c r="G69" s="24"/>
      <c r="H69" s="19"/>
      <c r="I69" s="26" t="s">
        <v>57</v>
      </c>
      <c r="J69" s="26" t="s">
        <v>57</v>
      </c>
      <c r="K69" s="24"/>
      <c r="L69" s="24" t="s">
        <v>3131</v>
      </c>
      <c r="M69" s="24" t="s">
        <v>5230</v>
      </c>
      <c r="N69" s="24"/>
      <c r="O69" s="26"/>
      <c r="P69" s="24"/>
      <c r="Q69" s="24"/>
      <c r="R69" s="26"/>
      <c r="S69" s="26"/>
      <c r="T69" s="26"/>
      <c r="U69" s="24"/>
      <c r="V69" s="24"/>
      <c r="W69" s="24"/>
      <c r="X69" s="63"/>
      <c r="Y69" s="63"/>
      <c r="Z69" s="63"/>
      <c r="AA69" s="63"/>
      <c r="AB69" s="24"/>
      <c r="AC69" s="24"/>
    </row>
    <row r="70" spans="1:29" s="28" customFormat="1" x14ac:dyDescent="0.3">
      <c r="A70" s="27" t="s">
        <v>2307</v>
      </c>
      <c r="B70" s="27" t="s">
        <v>2273</v>
      </c>
      <c r="C70" s="29"/>
      <c r="D70" s="28" t="s">
        <v>4779</v>
      </c>
      <c r="E70" s="20" t="s">
        <v>124</v>
      </c>
      <c r="F70" s="20" t="s">
        <v>2295</v>
      </c>
      <c r="G70" s="27"/>
      <c r="H70" s="20"/>
      <c r="I70" s="29"/>
      <c r="J70" s="29"/>
      <c r="K70" s="27"/>
      <c r="L70" s="27"/>
      <c r="M70" s="27" t="s">
        <v>6779</v>
      </c>
      <c r="N70" s="27"/>
      <c r="O70" s="29" t="s">
        <v>6780</v>
      </c>
      <c r="P70" s="27"/>
      <c r="Q70" s="27"/>
      <c r="R70" s="29"/>
      <c r="S70" s="29"/>
      <c r="T70" s="29"/>
      <c r="U70" s="27"/>
      <c r="V70" s="27"/>
      <c r="W70" s="27"/>
      <c r="X70" s="64"/>
      <c r="Y70" s="64"/>
      <c r="Z70" s="64"/>
      <c r="AA70" s="64"/>
      <c r="AB70" s="27"/>
      <c r="AC70" s="27"/>
    </row>
    <row r="71" spans="1:29" s="28" customFormat="1" x14ac:dyDescent="0.3">
      <c r="A71" s="27" t="s">
        <v>6183</v>
      </c>
      <c r="B71" s="27" t="s">
        <v>2273</v>
      </c>
      <c r="C71" s="29"/>
      <c r="D71" s="28" t="s">
        <v>4779</v>
      </c>
      <c r="E71" s="20" t="s">
        <v>124</v>
      </c>
      <c r="F71" s="20" t="s">
        <v>2296</v>
      </c>
      <c r="G71" s="27"/>
      <c r="H71" s="20"/>
      <c r="I71" s="29"/>
      <c r="J71" s="29"/>
      <c r="K71" s="27"/>
      <c r="L71" s="27"/>
      <c r="M71" s="27" t="s">
        <v>6781</v>
      </c>
      <c r="N71" s="27"/>
      <c r="O71" s="29" t="s">
        <v>6782</v>
      </c>
      <c r="P71" s="27"/>
      <c r="Q71" s="27"/>
      <c r="R71" s="29"/>
      <c r="S71" s="29"/>
      <c r="T71" s="29"/>
      <c r="U71" s="27"/>
      <c r="V71" s="27"/>
      <c r="W71" s="27"/>
      <c r="X71" s="64"/>
      <c r="Y71" s="64"/>
      <c r="Z71" s="64"/>
      <c r="AA71" s="64"/>
      <c r="AB71" s="27"/>
      <c r="AC71" s="27"/>
    </row>
    <row r="72" spans="1:29" s="28" customFormat="1" x14ac:dyDescent="0.3">
      <c r="A72" s="27" t="s">
        <v>6184</v>
      </c>
      <c r="B72" s="27" t="s">
        <v>2273</v>
      </c>
      <c r="C72" s="29"/>
      <c r="D72" s="28" t="s">
        <v>4779</v>
      </c>
      <c r="E72" s="20" t="s">
        <v>124</v>
      </c>
      <c r="F72" s="20" t="s">
        <v>2297</v>
      </c>
      <c r="G72" s="27"/>
      <c r="H72" s="20"/>
      <c r="I72" s="29"/>
      <c r="J72" s="29"/>
      <c r="K72" s="27"/>
      <c r="L72" s="27"/>
      <c r="M72" s="27" t="s">
        <v>6783</v>
      </c>
      <c r="N72" s="27"/>
      <c r="O72" s="29" t="s">
        <v>6784</v>
      </c>
      <c r="P72" s="27"/>
      <c r="Q72" s="27"/>
      <c r="R72" s="29"/>
      <c r="S72" s="29"/>
      <c r="T72" s="29"/>
      <c r="U72" s="27"/>
      <c r="V72" s="27"/>
      <c r="W72" s="27"/>
      <c r="X72" s="64"/>
      <c r="Y72" s="64"/>
      <c r="Z72" s="64"/>
      <c r="AA72" s="64"/>
      <c r="AB72" s="27"/>
      <c r="AC72" s="27"/>
    </row>
    <row r="73" spans="1:29" s="25" customFormat="1" x14ac:dyDescent="0.3">
      <c r="A73" s="24">
        <v>45</v>
      </c>
      <c r="B73" s="24" t="s">
        <v>2272</v>
      </c>
      <c r="C73" s="26">
        <v>71</v>
      </c>
      <c r="D73" s="25" t="s">
        <v>125</v>
      </c>
      <c r="E73" s="19" t="s">
        <v>126</v>
      </c>
      <c r="F73" s="19"/>
      <c r="G73" s="24" t="s">
        <v>3133</v>
      </c>
      <c r="H73" s="19" t="s">
        <v>4279</v>
      </c>
      <c r="I73" s="26" t="s">
        <v>57</v>
      </c>
      <c r="J73" s="26" t="s">
        <v>37</v>
      </c>
      <c r="K73" s="24"/>
      <c r="L73" s="24" t="s">
        <v>3134</v>
      </c>
      <c r="M73" s="24" t="s">
        <v>5231</v>
      </c>
      <c r="N73" s="24"/>
      <c r="O73" s="26" t="s">
        <v>1646</v>
      </c>
      <c r="P73" s="24"/>
      <c r="Q73" s="24"/>
      <c r="R73" s="26"/>
      <c r="S73" s="26"/>
      <c r="T73" s="26"/>
      <c r="U73" s="24"/>
      <c r="V73" s="24"/>
      <c r="W73" s="24"/>
      <c r="X73" s="63"/>
      <c r="Y73" s="63"/>
      <c r="Z73" s="63"/>
      <c r="AA73" s="63"/>
      <c r="AB73" s="24"/>
      <c r="AC73" s="24"/>
    </row>
    <row r="74" spans="1:29" s="25" customFormat="1" x14ac:dyDescent="0.3">
      <c r="A74" s="24">
        <v>46</v>
      </c>
      <c r="B74" s="24" t="s">
        <v>2272</v>
      </c>
      <c r="C74" s="26">
        <v>75</v>
      </c>
      <c r="D74" s="25" t="s">
        <v>142</v>
      </c>
      <c r="E74" s="19" t="s">
        <v>143</v>
      </c>
      <c r="F74" s="19"/>
      <c r="G74" s="24"/>
      <c r="H74" s="19"/>
      <c r="I74" s="26" t="s">
        <v>37</v>
      </c>
      <c r="J74" s="26" t="s">
        <v>37</v>
      </c>
      <c r="K74" s="24" t="s">
        <v>3019</v>
      </c>
      <c r="L74" s="24" t="s">
        <v>3145</v>
      </c>
      <c r="M74" s="24" t="s">
        <v>5232</v>
      </c>
      <c r="N74" s="24"/>
      <c r="O74" s="26"/>
      <c r="P74" s="24"/>
      <c r="Q74" s="24"/>
      <c r="R74" s="26"/>
      <c r="S74" s="26"/>
      <c r="T74" s="26"/>
      <c r="U74" s="24"/>
      <c r="V74" s="24"/>
      <c r="W74" s="24"/>
      <c r="X74" s="63"/>
      <c r="Y74" s="63"/>
      <c r="Z74" s="63"/>
      <c r="AA74" s="63"/>
      <c r="AB74" s="24"/>
      <c r="AC74" s="24"/>
    </row>
    <row r="75" spans="1:29" s="28" customFormat="1" x14ac:dyDescent="0.3">
      <c r="A75" s="27" t="s">
        <v>2311</v>
      </c>
      <c r="B75" s="27" t="s">
        <v>2273</v>
      </c>
      <c r="C75" s="29"/>
      <c r="D75" s="28" t="s">
        <v>4783</v>
      </c>
      <c r="E75" s="20" t="s">
        <v>143</v>
      </c>
      <c r="F75" s="20" t="s">
        <v>2305</v>
      </c>
      <c r="G75" s="27"/>
      <c r="H75" s="20"/>
      <c r="I75" s="29"/>
      <c r="J75" s="29"/>
      <c r="K75" s="27"/>
      <c r="L75" s="27"/>
      <c r="M75" s="27" t="s">
        <v>6785</v>
      </c>
      <c r="N75" s="27"/>
      <c r="O75" s="29" t="s">
        <v>6786</v>
      </c>
      <c r="P75" s="27"/>
      <c r="Q75" s="27"/>
      <c r="R75" s="29"/>
      <c r="S75" s="29"/>
      <c r="T75" s="29"/>
      <c r="U75" s="27"/>
      <c r="V75" s="27"/>
      <c r="W75" s="27"/>
      <c r="X75" s="64"/>
      <c r="Y75" s="64"/>
      <c r="Z75" s="64"/>
      <c r="AA75" s="64"/>
      <c r="AB75" s="27"/>
      <c r="AC75" s="27"/>
    </row>
    <row r="76" spans="1:29" s="25" customFormat="1" x14ac:dyDescent="0.3">
      <c r="A76" s="24">
        <v>47</v>
      </c>
      <c r="B76" s="24" t="s">
        <v>2272</v>
      </c>
      <c r="C76" s="26">
        <v>75</v>
      </c>
      <c r="D76" s="25" t="s">
        <v>144</v>
      </c>
      <c r="E76" s="19" t="s">
        <v>145</v>
      </c>
      <c r="F76" s="19"/>
      <c r="G76" s="24"/>
      <c r="H76" s="19"/>
      <c r="I76" s="26" t="s">
        <v>37</v>
      </c>
      <c r="J76" s="26" t="s">
        <v>37</v>
      </c>
      <c r="K76" s="24"/>
      <c r="L76" s="24" t="s">
        <v>3147</v>
      </c>
      <c r="M76" s="24" t="s">
        <v>4281</v>
      </c>
      <c r="N76" s="24"/>
      <c r="O76" s="26"/>
      <c r="P76" s="24"/>
      <c r="Q76" s="24"/>
      <c r="R76" s="26"/>
      <c r="S76" s="26"/>
      <c r="T76" s="26"/>
      <c r="U76" s="24"/>
      <c r="V76" s="24"/>
      <c r="W76" s="24"/>
      <c r="X76" s="63"/>
      <c r="Y76" s="63"/>
      <c r="Z76" s="63"/>
      <c r="AA76" s="63"/>
      <c r="AB76" s="24"/>
      <c r="AC76" s="24"/>
    </row>
    <row r="77" spans="1:29" s="28" customFormat="1" x14ac:dyDescent="0.3">
      <c r="A77" s="27" t="s">
        <v>4528</v>
      </c>
      <c r="B77" s="27" t="s">
        <v>2273</v>
      </c>
      <c r="C77" s="29"/>
      <c r="D77" s="28" t="s">
        <v>4784</v>
      </c>
      <c r="E77" s="20" t="s">
        <v>145</v>
      </c>
      <c r="F77" s="20" t="s">
        <v>2308</v>
      </c>
      <c r="G77" s="27"/>
      <c r="H77" s="20"/>
      <c r="I77" s="29"/>
      <c r="J77" s="29"/>
      <c r="K77" s="27"/>
      <c r="L77" s="27"/>
      <c r="M77" s="27" t="s">
        <v>6787</v>
      </c>
      <c r="N77" s="27"/>
      <c r="O77" s="29" t="s">
        <v>6788</v>
      </c>
      <c r="P77" s="27"/>
      <c r="Q77" s="27"/>
      <c r="R77" s="29"/>
      <c r="S77" s="29"/>
      <c r="T77" s="29"/>
      <c r="U77" s="27"/>
      <c r="V77" s="27"/>
      <c r="W77" s="27"/>
      <c r="X77" s="64"/>
      <c r="Y77" s="64"/>
      <c r="Z77" s="64"/>
      <c r="AA77" s="64"/>
      <c r="AB77" s="27"/>
      <c r="AC77" s="27"/>
    </row>
    <row r="78" spans="1:29" s="25" customFormat="1" x14ac:dyDescent="0.3">
      <c r="A78" s="24">
        <v>48</v>
      </c>
      <c r="B78" s="24" t="s">
        <v>2272</v>
      </c>
      <c r="C78" s="26">
        <v>79</v>
      </c>
      <c r="D78" s="25" t="s">
        <v>148</v>
      </c>
      <c r="E78" s="19" t="s">
        <v>149</v>
      </c>
      <c r="F78" s="19"/>
      <c r="G78" s="24" t="s">
        <v>3149</v>
      </c>
      <c r="H78" s="19" t="s">
        <v>4282</v>
      </c>
      <c r="I78" s="26" t="s">
        <v>57</v>
      </c>
      <c r="J78" s="26" t="s">
        <v>57</v>
      </c>
      <c r="K78" s="24"/>
      <c r="L78" s="24" t="s">
        <v>3150</v>
      </c>
      <c r="M78" s="24" t="s">
        <v>59</v>
      </c>
      <c r="N78" s="24"/>
      <c r="O78" s="26"/>
      <c r="P78" s="24"/>
      <c r="Q78" s="24"/>
      <c r="R78" s="26"/>
      <c r="S78" s="26"/>
      <c r="T78" s="26"/>
      <c r="U78" s="24"/>
      <c r="V78" s="24"/>
      <c r="W78" s="24"/>
      <c r="X78" s="63"/>
      <c r="Y78" s="63"/>
      <c r="Z78" s="63"/>
      <c r="AA78" s="63"/>
      <c r="AB78" s="24"/>
      <c r="AC78" s="24"/>
    </row>
    <row r="79" spans="1:29" s="28" customFormat="1" x14ac:dyDescent="0.3">
      <c r="A79" s="27" t="s">
        <v>6185</v>
      </c>
      <c r="B79" s="27" t="s">
        <v>2273</v>
      </c>
      <c r="C79" s="29"/>
      <c r="D79" s="28" t="s">
        <v>4785</v>
      </c>
      <c r="E79" s="20" t="s">
        <v>149</v>
      </c>
      <c r="F79" s="20" t="s">
        <v>2309</v>
      </c>
      <c r="G79" s="27"/>
      <c r="H79" s="20"/>
      <c r="I79" s="29"/>
      <c r="J79" s="29"/>
      <c r="K79" s="27"/>
      <c r="L79" s="27"/>
      <c r="M79" s="27" t="s">
        <v>6789</v>
      </c>
      <c r="N79" s="27"/>
      <c r="O79" s="29" t="s">
        <v>6790</v>
      </c>
      <c r="P79" s="27"/>
      <c r="Q79" s="27"/>
      <c r="R79" s="29"/>
      <c r="S79" s="29"/>
      <c r="T79" s="29"/>
      <c r="U79" s="27"/>
      <c r="V79" s="27"/>
      <c r="W79" s="27"/>
      <c r="X79" s="64"/>
      <c r="Y79" s="64"/>
      <c r="Z79" s="64"/>
      <c r="AA79" s="64"/>
      <c r="AB79" s="27"/>
      <c r="AC79" s="27"/>
    </row>
    <row r="80" spans="1:29" s="28" customFormat="1" x14ac:dyDescent="0.3">
      <c r="A80" s="27" t="s">
        <v>6186</v>
      </c>
      <c r="B80" s="27" t="s">
        <v>2273</v>
      </c>
      <c r="C80" s="29"/>
      <c r="D80" s="28" t="s">
        <v>4785</v>
      </c>
      <c r="E80" s="20" t="s">
        <v>149</v>
      </c>
      <c r="F80" s="20" t="s">
        <v>2310</v>
      </c>
      <c r="G80" s="27"/>
      <c r="H80" s="20"/>
      <c r="I80" s="29"/>
      <c r="J80" s="29"/>
      <c r="K80" s="27"/>
      <c r="L80" s="27"/>
      <c r="M80" s="27" t="s">
        <v>6791</v>
      </c>
      <c r="N80" s="27"/>
      <c r="O80" s="29" t="s">
        <v>6792</v>
      </c>
      <c r="P80" s="27"/>
      <c r="Q80" s="27"/>
      <c r="R80" s="29"/>
      <c r="S80" s="29"/>
      <c r="T80" s="29"/>
      <c r="U80" s="27"/>
      <c r="V80" s="27"/>
      <c r="W80" s="27"/>
      <c r="X80" s="64"/>
      <c r="Y80" s="64"/>
      <c r="Z80" s="64"/>
      <c r="AA80" s="64"/>
      <c r="AB80" s="27"/>
      <c r="AC80" s="27"/>
    </row>
    <row r="81" spans="1:29" s="25" customFormat="1" x14ac:dyDescent="0.3">
      <c r="A81" s="24">
        <v>49</v>
      </c>
      <c r="B81" s="24" t="s">
        <v>2272</v>
      </c>
      <c r="C81" s="26">
        <v>79</v>
      </c>
      <c r="D81" s="25" t="s">
        <v>150</v>
      </c>
      <c r="E81" s="19" t="s">
        <v>151</v>
      </c>
      <c r="F81" s="19"/>
      <c r="G81" s="24" t="s">
        <v>3149</v>
      </c>
      <c r="H81" s="19" t="s">
        <v>4282</v>
      </c>
      <c r="I81" s="26" t="s">
        <v>57</v>
      </c>
      <c r="J81" s="26"/>
      <c r="K81" s="24"/>
      <c r="L81" s="24"/>
      <c r="M81" s="24" t="s">
        <v>59</v>
      </c>
      <c r="N81" s="24"/>
      <c r="O81" s="26"/>
      <c r="P81" s="24"/>
      <c r="Q81" s="24"/>
      <c r="R81" s="26"/>
      <c r="S81" s="26"/>
      <c r="T81" s="26"/>
      <c r="U81" s="24"/>
      <c r="V81" s="24"/>
      <c r="W81" s="24"/>
      <c r="X81" s="63"/>
      <c r="Y81" s="63"/>
      <c r="Z81" s="63"/>
      <c r="AA81" s="63"/>
      <c r="AB81" s="24"/>
      <c r="AC81" s="24"/>
    </row>
    <row r="82" spans="1:29" s="28" customFormat="1" x14ac:dyDescent="0.3">
      <c r="A82" s="27" t="s">
        <v>6187</v>
      </c>
      <c r="B82" s="27" t="s">
        <v>2273</v>
      </c>
      <c r="C82" s="29"/>
      <c r="D82" s="28" t="s">
        <v>4786</v>
      </c>
      <c r="E82" s="20" t="s">
        <v>151</v>
      </c>
      <c r="F82" s="20" t="s">
        <v>2312</v>
      </c>
      <c r="G82" s="27"/>
      <c r="H82" s="20"/>
      <c r="I82" s="29"/>
      <c r="J82" s="29"/>
      <c r="K82" s="27"/>
      <c r="L82" s="27"/>
      <c r="M82" s="27" t="s">
        <v>6793</v>
      </c>
      <c r="N82" s="27"/>
      <c r="O82" s="29" t="s">
        <v>6794</v>
      </c>
      <c r="P82" s="27"/>
      <c r="Q82" s="27"/>
      <c r="R82" s="29"/>
      <c r="S82" s="29"/>
      <c r="T82" s="29"/>
      <c r="U82" s="27"/>
      <c r="V82" s="27"/>
      <c r="W82" s="27"/>
      <c r="X82" s="64"/>
      <c r="Y82" s="64"/>
      <c r="Z82" s="64"/>
      <c r="AA82" s="64"/>
      <c r="AB82" s="27"/>
      <c r="AC82" s="27"/>
    </row>
    <row r="83" spans="1:29" s="28" customFormat="1" x14ac:dyDescent="0.3">
      <c r="A83" s="27" t="s">
        <v>6188</v>
      </c>
      <c r="B83" s="27" t="s">
        <v>2273</v>
      </c>
      <c r="C83" s="29"/>
      <c r="D83" s="28" t="s">
        <v>4786</v>
      </c>
      <c r="E83" s="20" t="s">
        <v>151</v>
      </c>
      <c r="F83" s="20" t="s">
        <v>2313</v>
      </c>
      <c r="G83" s="27"/>
      <c r="H83" s="20"/>
      <c r="I83" s="29"/>
      <c r="J83" s="29"/>
      <c r="K83" s="27"/>
      <c r="L83" s="27"/>
      <c r="M83" s="27" t="s">
        <v>6795</v>
      </c>
      <c r="N83" s="27"/>
      <c r="O83" s="29" t="s">
        <v>6796</v>
      </c>
      <c r="P83" s="27"/>
      <c r="Q83" s="27"/>
      <c r="R83" s="29"/>
      <c r="S83" s="29"/>
      <c r="T83" s="29"/>
      <c r="U83" s="27"/>
      <c r="V83" s="27"/>
      <c r="W83" s="27"/>
      <c r="X83" s="64"/>
      <c r="Y83" s="64"/>
      <c r="Z83" s="64"/>
      <c r="AA83" s="64"/>
      <c r="AB83" s="27"/>
      <c r="AC83" s="27"/>
    </row>
    <row r="84" spans="1:29" s="25" customFormat="1" x14ac:dyDescent="0.3">
      <c r="A84" s="24">
        <v>50</v>
      </c>
      <c r="B84" s="24" t="s">
        <v>2272</v>
      </c>
      <c r="C84" s="26">
        <v>77</v>
      </c>
      <c r="D84" s="25" t="s">
        <v>152</v>
      </c>
      <c r="E84" s="19" t="s">
        <v>153</v>
      </c>
      <c r="F84" s="19"/>
      <c r="G84" s="24"/>
      <c r="H84" s="19"/>
      <c r="I84" s="26" t="s">
        <v>57</v>
      </c>
      <c r="J84" s="26" t="s">
        <v>57</v>
      </c>
      <c r="K84" s="24"/>
      <c r="L84" s="24" t="s">
        <v>3153</v>
      </c>
      <c r="M84" s="24" t="s">
        <v>59</v>
      </c>
      <c r="N84" s="24"/>
      <c r="O84" s="26" t="s">
        <v>1657</v>
      </c>
      <c r="P84" s="24"/>
      <c r="Q84" s="24"/>
      <c r="R84" s="26"/>
      <c r="S84" s="26"/>
      <c r="T84" s="26"/>
      <c r="U84" s="24"/>
      <c r="V84" s="24"/>
      <c r="W84" s="24"/>
      <c r="X84" s="63"/>
      <c r="Y84" s="63"/>
      <c r="Z84" s="63"/>
      <c r="AA84" s="63"/>
      <c r="AB84" s="24"/>
      <c r="AC84" s="24"/>
    </row>
    <row r="85" spans="1:29" s="25" customFormat="1" x14ac:dyDescent="0.3">
      <c r="A85" s="24">
        <v>51</v>
      </c>
      <c r="B85" s="24" t="s">
        <v>2272</v>
      </c>
      <c r="C85" s="26">
        <v>81</v>
      </c>
      <c r="D85" s="25" t="s">
        <v>154</v>
      </c>
      <c r="E85" s="19" t="s">
        <v>155</v>
      </c>
      <c r="F85" s="19"/>
      <c r="G85" s="24"/>
      <c r="H85" s="19"/>
      <c r="I85" s="26" t="s">
        <v>57</v>
      </c>
      <c r="J85" s="26" t="s">
        <v>57</v>
      </c>
      <c r="K85" s="24"/>
      <c r="L85" s="24" t="s">
        <v>3155</v>
      </c>
      <c r="M85" s="24" t="s">
        <v>59</v>
      </c>
      <c r="N85" s="24"/>
      <c r="O85" s="26" t="s">
        <v>1658</v>
      </c>
      <c r="P85" s="24"/>
      <c r="Q85" s="24"/>
      <c r="R85" s="26"/>
      <c r="S85" s="26"/>
      <c r="T85" s="26"/>
      <c r="U85" s="24"/>
      <c r="V85" s="24"/>
      <c r="W85" s="24"/>
      <c r="X85" s="63"/>
      <c r="Y85" s="63"/>
      <c r="Z85" s="63"/>
      <c r="AA85" s="63"/>
      <c r="AB85" s="24"/>
      <c r="AC85" s="24"/>
    </row>
    <row r="86" spans="1:29" s="25" customFormat="1" x14ac:dyDescent="0.3">
      <c r="A86" s="24">
        <v>52</v>
      </c>
      <c r="B86" s="24" t="s">
        <v>2272</v>
      </c>
      <c r="C86" s="26">
        <v>79</v>
      </c>
      <c r="D86" s="25" t="s">
        <v>156</v>
      </c>
      <c r="E86" s="19" t="s">
        <v>157</v>
      </c>
      <c r="F86" s="19"/>
      <c r="G86" s="24"/>
      <c r="H86" s="19"/>
      <c r="I86" s="26" t="s">
        <v>57</v>
      </c>
      <c r="J86" s="26" t="s">
        <v>57</v>
      </c>
      <c r="K86" s="24" t="s">
        <v>3017</v>
      </c>
      <c r="L86" s="24" t="s">
        <v>3157</v>
      </c>
      <c r="M86" s="24" t="s">
        <v>5233</v>
      </c>
      <c r="N86" s="24"/>
      <c r="O86" s="26"/>
      <c r="P86" s="24"/>
      <c r="Q86" s="24"/>
      <c r="R86" s="26"/>
      <c r="S86" s="26"/>
      <c r="T86" s="26"/>
      <c r="U86" s="24"/>
      <c r="V86" s="24"/>
      <c r="W86" s="24"/>
      <c r="X86" s="63"/>
      <c r="Y86" s="63"/>
      <c r="Z86" s="63"/>
      <c r="AA86" s="63"/>
      <c r="AB86" s="24"/>
      <c r="AC86" s="24"/>
    </row>
    <row r="87" spans="1:29" s="28" customFormat="1" x14ac:dyDescent="0.3">
      <c r="A87" s="27" t="s">
        <v>2320</v>
      </c>
      <c r="B87" s="27" t="s">
        <v>2273</v>
      </c>
      <c r="C87" s="29"/>
      <c r="D87" s="28" t="s">
        <v>4787</v>
      </c>
      <c r="E87" s="20" t="s">
        <v>157</v>
      </c>
      <c r="F87" s="20" t="s">
        <v>2314</v>
      </c>
      <c r="G87" s="27"/>
      <c r="H87" s="20"/>
      <c r="I87" s="29"/>
      <c r="J87" s="29"/>
      <c r="K87" s="27"/>
      <c r="L87" s="27"/>
      <c r="M87" s="27" t="s">
        <v>6797</v>
      </c>
      <c r="N87" s="27"/>
      <c r="O87" s="29" t="s">
        <v>6798</v>
      </c>
      <c r="P87" s="27"/>
      <c r="Q87" s="27"/>
      <c r="R87" s="29"/>
      <c r="S87" s="29"/>
      <c r="T87" s="29"/>
      <c r="U87" s="27"/>
      <c r="V87" s="27"/>
      <c r="W87" s="27"/>
      <c r="X87" s="64"/>
      <c r="Y87" s="64"/>
      <c r="Z87" s="64"/>
      <c r="AA87" s="64"/>
      <c r="AB87" s="27"/>
      <c r="AC87" s="27"/>
    </row>
    <row r="88" spans="1:29" s="28" customFormat="1" x14ac:dyDescent="0.3">
      <c r="A88" s="27" t="s">
        <v>2321</v>
      </c>
      <c r="B88" s="27" t="s">
        <v>2273</v>
      </c>
      <c r="C88" s="29"/>
      <c r="D88" s="28" t="s">
        <v>4787</v>
      </c>
      <c r="E88" s="20" t="s">
        <v>157</v>
      </c>
      <c r="F88" s="20" t="s">
        <v>2315</v>
      </c>
      <c r="G88" s="27"/>
      <c r="H88" s="20"/>
      <c r="I88" s="29"/>
      <c r="J88" s="29"/>
      <c r="K88" s="27"/>
      <c r="L88" s="27"/>
      <c r="M88" s="27" t="s">
        <v>6799</v>
      </c>
      <c r="N88" s="27"/>
      <c r="O88" s="29" t="s">
        <v>6800</v>
      </c>
      <c r="P88" s="27"/>
      <c r="Q88" s="27"/>
      <c r="R88" s="29"/>
      <c r="S88" s="29"/>
      <c r="T88" s="29"/>
      <c r="U88" s="27"/>
      <c r="V88" s="27"/>
      <c r="W88" s="27"/>
      <c r="X88" s="64"/>
      <c r="Y88" s="64"/>
      <c r="Z88" s="64"/>
      <c r="AA88" s="64"/>
      <c r="AB88" s="27"/>
      <c r="AC88" s="27"/>
    </row>
    <row r="89" spans="1:29" s="25" customFormat="1" x14ac:dyDescent="0.3">
      <c r="A89" s="24">
        <v>53</v>
      </c>
      <c r="B89" s="24" t="s">
        <v>2272</v>
      </c>
      <c r="C89" s="26">
        <v>81</v>
      </c>
      <c r="D89" s="25" t="s">
        <v>159</v>
      </c>
      <c r="E89" s="19" t="s">
        <v>160</v>
      </c>
      <c r="F89" s="19"/>
      <c r="G89" s="24"/>
      <c r="H89" s="19"/>
      <c r="I89" s="26" t="s">
        <v>63</v>
      </c>
      <c r="J89" s="26" t="s">
        <v>5121</v>
      </c>
      <c r="K89" s="24" t="s">
        <v>3019</v>
      </c>
      <c r="L89" s="24" t="s">
        <v>3159</v>
      </c>
      <c r="M89" s="24" t="s">
        <v>4285</v>
      </c>
      <c r="N89" s="24"/>
      <c r="O89" s="26"/>
      <c r="P89" s="24"/>
      <c r="Q89" s="24"/>
      <c r="R89" s="26"/>
      <c r="S89" s="26"/>
      <c r="T89" s="26"/>
      <c r="U89" s="24"/>
      <c r="V89" s="24"/>
      <c r="W89" s="24"/>
      <c r="X89" s="63"/>
      <c r="Y89" s="63"/>
      <c r="Z89" s="63"/>
      <c r="AA89" s="63"/>
      <c r="AB89" s="24"/>
      <c r="AC89" s="24"/>
    </row>
    <row r="90" spans="1:29" s="28" customFormat="1" x14ac:dyDescent="0.3">
      <c r="A90" s="27" t="s">
        <v>6189</v>
      </c>
      <c r="B90" s="27" t="s">
        <v>2273</v>
      </c>
      <c r="C90" s="29"/>
      <c r="D90" s="28" t="s">
        <v>4788</v>
      </c>
      <c r="E90" s="20" t="s">
        <v>160</v>
      </c>
      <c r="F90" s="20" t="s">
        <v>2316</v>
      </c>
      <c r="G90" s="27"/>
      <c r="H90" s="20"/>
      <c r="I90" s="29"/>
      <c r="J90" s="29"/>
      <c r="K90" s="27"/>
      <c r="L90" s="27"/>
      <c r="M90" s="27" t="s">
        <v>6801</v>
      </c>
      <c r="N90" s="27"/>
      <c r="O90" s="29" t="s">
        <v>6802</v>
      </c>
      <c r="P90" s="27"/>
      <c r="Q90" s="27"/>
      <c r="R90" s="29"/>
      <c r="S90" s="29"/>
      <c r="T90" s="29"/>
      <c r="U90" s="27"/>
      <c r="V90" s="27"/>
      <c r="W90" s="27"/>
      <c r="X90" s="64"/>
      <c r="Y90" s="64"/>
      <c r="Z90" s="64"/>
      <c r="AA90" s="64"/>
      <c r="AB90" s="27"/>
      <c r="AC90" s="27"/>
    </row>
    <row r="91" spans="1:29" s="28" customFormat="1" x14ac:dyDescent="0.3">
      <c r="A91" s="27" t="s">
        <v>6190</v>
      </c>
      <c r="B91" s="27" t="s">
        <v>2273</v>
      </c>
      <c r="C91" s="29"/>
      <c r="D91" s="28" t="s">
        <v>4788</v>
      </c>
      <c r="E91" s="20" t="s">
        <v>160</v>
      </c>
      <c r="F91" s="20" t="s">
        <v>2317</v>
      </c>
      <c r="G91" s="27"/>
      <c r="H91" s="20"/>
      <c r="I91" s="29"/>
      <c r="J91" s="29"/>
      <c r="K91" s="27"/>
      <c r="L91" s="27"/>
      <c r="M91" s="27" t="s">
        <v>6803</v>
      </c>
      <c r="N91" s="27"/>
      <c r="O91" s="29" t="s">
        <v>6804</v>
      </c>
      <c r="P91" s="27"/>
      <c r="Q91" s="27"/>
      <c r="R91" s="29"/>
      <c r="S91" s="29"/>
      <c r="T91" s="29"/>
      <c r="U91" s="27"/>
      <c r="V91" s="27"/>
      <c r="W91" s="27"/>
      <c r="X91" s="64"/>
      <c r="Y91" s="64"/>
      <c r="Z91" s="64"/>
      <c r="AA91" s="64"/>
      <c r="AB91" s="27"/>
      <c r="AC91" s="27"/>
    </row>
    <row r="92" spans="1:29" s="25" customFormat="1" ht="30.6" x14ac:dyDescent="0.3">
      <c r="A92" s="24">
        <v>54</v>
      </c>
      <c r="B92" s="24" t="s">
        <v>2272</v>
      </c>
      <c r="C92" s="26"/>
      <c r="D92" s="25" t="s">
        <v>161</v>
      </c>
      <c r="E92" s="19" t="s">
        <v>162</v>
      </c>
      <c r="F92" s="19"/>
      <c r="G92" s="24"/>
      <c r="H92" s="19"/>
      <c r="I92" s="26" t="s">
        <v>57</v>
      </c>
      <c r="J92" s="26"/>
      <c r="K92" s="24"/>
      <c r="L92" s="103" t="s">
        <v>3162</v>
      </c>
      <c r="M92" s="24" t="s">
        <v>5234</v>
      </c>
      <c r="N92" s="24"/>
      <c r="O92" s="26"/>
      <c r="P92" s="24"/>
      <c r="Q92" s="24"/>
      <c r="R92" s="26"/>
      <c r="S92" s="26"/>
      <c r="T92" s="26"/>
      <c r="U92" s="24"/>
      <c r="V92" s="24"/>
      <c r="W92" s="24"/>
      <c r="X92" s="63"/>
      <c r="Y92" s="63"/>
      <c r="Z92" s="63"/>
      <c r="AA92" s="63"/>
      <c r="AB92" s="24"/>
      <c r="AC92" s="24"/>
    </row>
    <row r="93" spans="1:29" s="28" customFormat="1" x14ac:dyDescent="0.3">
      <c r="A93" s="27" t="s">
        <v>4533</v>
      </c>
      <c r="B93" s="27" t="s">
        <v>2273</v>
      </c>
      <c r="C93" s="29">
        <v>79</v>
      </c>
      <c r="D93" s="28" t="s">
        <v>4789</v>
      </c>
      <c r="E93" s="20" t="s">
        <v>162</v>
      </c>
      <c r="F93" s="20" t="s">
        <v>2318</v>
      </c>
      <c r="G93" s="27" t="s">
        <v>3161</v>
      </c>
      <c r="H93" s="20" t="s">
        <v>4530</v>
      </c>
      <c r="I93" s="29"/>
      <c r="J93" s="29" t="s">
        <v>57</v>
      </c>
      <c r="K93" s="27"/>
      <c r="L93" s="27" t="s">
        <v>4529</v>
      </c>
      <c r="M93" s="27" t="s">
        <v>6787</v>
      </c>
      <c r="N93" s="27"/>
      <c r="O93" s="29" t="s">
        <v>6805</v>
      </c>
      <c r="P93" s="27"/>
      <c r="Q93" s="27"/>
      <c r="R93" s="29"/>
      <c r="S93" s="29"/>
      <c r="T93" s="29"/>
      <c r="U93" s="27"/>
      <c r="V93" s="27"/>
      <c r="W93" s="27"/>
      <c r="X93" s="64"/>
      <c r="Y93" s="64"/>
      <c r="Z93" s="64"/>
      <c r="AA93" s="64"/>
      <c r="AB93" s="27"/>
      <c r="AC93" s="27"/>
    </row>
    <row r="94" spans="1:29" s="28" customFormat="1" x14ac:dyDescent="0.3">
      <c r="A94" s="27" t="s">
        <v>6191</v>
      </c>
      <c r="B94" s="27" t="s">
        <v>2273</v>
      </c>
      <c r="C94" s="29">
        <v>79</v>
      </c>
      <c r="D94" s="28" t="s">
        <v>4789</v>
      </c>
      <c r="E94" s="20" t="s">
        <v>162</v>
      </c>
      <c r="F94" s="20" t="s">
        <v>2319</v>
      </c>
      <c r="G94" s="27" t="s">
        <v>4531</v>
      </c>
      <c r="H94" s="20" t="s">
        <v>4532</v>
      </c>
      <c r="I94" s="29"/>
      <c r="J94" s="29" t="s">
        <v>253</v>
      </c>
      <c r="K94" s="27"/>
      <c r="L94" s="27" t="s">
        <v>3140</v>
      </c>
      <c r="M94" s="27" t="s">
        <v>6806</v>
      </c>
      <c r="N94" s="27"/>
      <c r="O94" s="29" t="s">
        <v>1906</v>
      </c>
      <c r="P94" s="27"/>
      <c r="Q94" s="27"/>
      <c r="R94" s="29"/>
      <c r="S94" s="29"/>
      <c r="T94" s="29"/>
      <c r="U94" s="27"/>
      <c r="V94" s="27"/>
      <c r="W94" s="27"/>
      <c r="X94" s="64"/>
      <c r="Y94" s="64"/>
      <c r="Z94" s="64"/>
      <c r="AA94" s="64"/>
      <c r="AB94" s="27"/>
      <c r="AC94" s="27"/>
    </row>
    <row r="95" spans="1:29" s="25" customFormat="1" x14ac:dyDescent="0.3">
      <c r="A95" s="24">
        <v>55</v>
      </c>
      <c r="B95" s="24" t="s">
        <v>2272</v>
      </c>
      <c r="C95" s="26">
        <v>79</v>
      </c>
      <c r="D95" s="25" t="s">
        <v>163</v>
      </c>
      <c r="E95" s="19" t="s">
        <v>164</v>
      </c>
      <c r="F95" s="19"/>
      <c r="G95" s="24"/>
      <c r="H95" s="19"/>
      <c r="I95" s="26" t="s">
        <v>63</v>
      </c>
      <c r="J95" s="26" t="s">
        <v>5121</v>
      </c>
      <c r="K95" s="24" t="s">
        <v>3019</v>
      </c>
      <c r="L95" s="24" t="s">
        <v>3164</v>
      </c>
      <c r="M95" s="24" t="s">
        <v>4287</v>
      </c>
      <c r="N95" s="24"/>
      <c r="O95" s="26"/>
      <c r="P95" s="24"/>
      <c r="Q95" s="24"/>
      <c r="R95" s="26"/>
      <c r="S95" s="26"/>
      <c r="T95" s="26"/>
      <c r="U95" s="24"/>
      <c r="V95" s="24"/>
      <c r="W95" s="24"/>
      <c r="X95" s="63"/>
      <c r="Y95" s="63"/>
      <c r="Z95" s="63"/>
      <c r="AA95" s="63"/>
      <c r="AB95" s="24"/>
      <c r="AC95" s="24"/>
    </row>
    <row r="96" spans="1:29" s="28" customFormat="1" x14ac:dyDescent="0.3">
      <c r="A96" s="27" t="s">
        <v>6192</v>
      </c>
      <c r="B96" s="27" t="s">
        <v>2273</v>
      </c>
      <c r="C96" s="29"/>
      <c r="D96" s="28" t="s">
        <v>4790</v>
      </c>
      <c r="E96" s="20" t="s">
        <v>164</v>
      </c>
      <c r="F96" s="20" t="s">
        <v>2322</v>
      </c>
      <c r="G96" s="27"/>
      <c r="H96" s="20"/>
      <c r="I96" s="29"/>
      <c r="J96" s="29"/>
      <c r="K96" s="27"/>
      <c r="L96" s="27"/>
      <c r="M96" s="27" t="s">
        <v>6807</v>
      </c>
      <c r="N96" s="27"/>
      <c r="O96" s="29" t="s">
        <v>6808</v>
      </c>
      <c r="P96" s="27"/>
      <c r="Q96" s="27"/>
      <c r="R96" s="29"/>
      <c r="S96" s="29"/>
      <c r="T96" s="29"/>
      <c r="U96" s="27"/>
      <c r="V96" s="27"/>
      <c r="W96" s="27"/>
      <c r="X96" s="64"/>
      <c r="Y96" s="64"/>
      <c r="Z96" s="64"/>
      <c r="AA96" s="64"/>
      <c r="AB96" s="27"/>
      <c r="AC96" s="27"/>
    </row>
    <row r="97" spans="1:29" s="25" customFormat="1" x14ac:dyDescent="0.3">
      <c r="A97" s="24">
        <v>56</v>
      </c>
      <c r="B97" s="24" t="s">
        <v>2272</v>
      </c>
      <c r="C97" s="26">
        <v>81</v>
      </c>
      <c r="D97" s="25" t="s">
        <v>165</v>
      </c>
      <c r="E97" s="19" t="s">
        <v>166</v>
      </c>
      <c r="F97" s="19"/>
      <c r="G97" s="24"/>
      <c r="H97" s="19" t="s">
        <v>4288</v>
      </c>
      <c r="I97" s="26" t="s">
        <v>37</v>
      </c>
      <c r="J97" s="26" t="s">
        <v>37</v>
      </c>
      <c r="K97" s="24"/>
      <c r="L97" s="24" t="s">
        <v>3166</v>
      </c>
      <c r="M97" s="24" t="s">
        <v>5235</v>
      </c>
      <c r="N97" s="24"/>
      <c r="O97" s="26"/>
      <c r="P97" s="24"/>
      <c r="Q97" s="24"/>
      <c r="R97" s="26"/>
      <c r="S97" s="26"/>
      <c r="T97" s="26"/>
      <c r="U97" s="24"/>
      <c r="V97" s="24"/>
      <c r="W97" s="24"/>
      <c r="X97" s="63"/>
      <c r="Y97" s="63"/>
      <c r="Z97" s="63"/>
      <c r="AA97" s="63"/>
      <c r="AB97" s="24"/>
      <c r="AC97" s="24"/>
    </row>
    <row r="98" spans="1:29" s="28" customFormat="1" x14ac:dyDescent="0.3">
      <c r="A98" s="27" t="s">
        <v>2325</v>
      </c>
      <c r="B98" s="27" t="s">
        <v>2273</v>
      </c>
      <c r="C98" s="29"/>
      <c r="D98" s="28" t="s">
        <v>4791</v>
      </c>
      <c r="E98" s="20" t="s">
        <v>166</v>
      </c>
      <c r="F98" s="20" t="s">
        <v>2323</v>
      </c>
      <c r="G98" s="27"/>
      <c r="H98" s="20"/>
      <c r="I98" s="29"/>
      <c r="J98" s="29"/>
      <c r="K98" s="27"/>
      <c r="L98" s="27"/>
      <c r="M98" s="27" t="s">
        <v>6809</v>
      </c>
      <c r="N98" s="27"/>
      <c r="O98" s="29" t="s">
        <v>6810</v>
      </c>
      <c r="P98" s="27"/>
      <c r="Q98" s="27"/>
      <c r="R98" s="29"/>
      <c r="S98" s="29"/>
      <c r="T98" s="29"/>
      <c r="U98" s="27"/>
      <c r="V98" s="27"/>
      <c r="W98" s="27"/>
      <c r="X98" s="64"/>
      <c r="Y98" s="64"/>
      <c r="Z98" s="64"/>
      <c r="AA98" s="64"/>
      <c r="AB98" s="27"/>
      <c r="AC98" s="27"/>
    </row>
    <row r="99" spans="1:29" s="25" customFormat="1" x14ac:dyDescent="0.3">
      <c r="A99" s="24">
        <v>57</v>
      </c>
      <c r="B99" s="24" t="s">
        <v>2272</v>
      </c>
      <c r="C99" s="26">
        <v>77</v>
      </c>
      <c r="D99" s="25" t="s">
        <v>1663</v>
      </c>
      <c r="E99" s="19" t="s">
        <v>167</v>
      </c>
      <c r="F99" s="19"/>
      <c r="G99" s="24"/>
      <c r="H99" s="19"/>
      <c r="I99" s="26" t="s">
        <v>57</v>
      </c>
      <c r="J99" s="26" t="s">
        <v>57</v>
      </c>
      <c r="K99" s="24"/>
      <c r="L99" s="24" t="s">
        <v>3168</v>
      </c>
      <c r="M99" s="24" t="s">
        <v>5236</v>
      </c>
      <c r="N99" s="24"/>
      <c r="O99" s="26" t="s">
        <v>1661</v>
      </c>
      <c r="P99" s="24"/>
      <c r="Q99" s="24"/>
      <c r="R99" s="26"/>
      <c r="S99" s="26"/>
      <c r="T99" s="26"/>
      <c r="U99" s="24"/>
      <c r="V99" s="24"/>
      <c r="W99" s="24"/>
      <c r="X99" s="63"/>
      <c r="Y99" s="63"/>
      <c r="Z99" s="63"/>
      <c r="AA99" s="63"/>
      <c r="AB99" s="24"/>
      <c r="AC99" s="24"/>
    </row>
    <row r="100" spans="1:29" s="25" customFormat="1" x14ac:dyDescent="0.3">
      <c r="A100" s="24">
        <v>58</v>
      </c>
      <c r="B100" s="24" t="s">
        <v>2272</v>
      </c>
      <c r="C100" s="26">
        <v>77</v>
      </c>
      <c r="D100" s="25" t="s">
        <v>168</v>
      </c>
      <c r="E100" s="19" t="s">
        <v>169</v>
      </c>
      <c r="F100" s="19"/>
      <c r="G100" s="24"/>
      <c r="H100" s="19"/>
      <c r="I100" s="26" t="s">
        <v>49</v>
      </c>
      <c r="J100" s="26" t="s">
        <v>5121</v>
      </c>
      <c r="K100" s="24" t="s">
        <v>49</v>
      </c>
      <c r="L100" s="24" t="s">
        <v>3170</v>
      </c>
      <c r="M100" s="24" t="s">
        <v>5237</v>
      </c>
      <c r="N100" s="24" t="s">
        <v>1622</v>
      </c>
      <c r="O100" s="26"/>
      <c r="P100" s="24" t="s">
        <v>6499</v>
      </c>
      <c r="Q100" s="24"/>
      <c r="R100" s="26"/>
      <c r="S100" s="26"/>
      <c r="T100" s="26"/>
      <c r="U100" s="24"/>
      <c r="V100" s="24"/>
      <c r="W100" s="24"/>
      <c r="X100" s="63"/>
      <c r="Y100" s="63"/>
      <c r="Z100" s="63"/>
      <c r="AA100" s="63"/>
      <c r="AB100" s="24"/>
      <c r="AC100" s="24"/>
    </row>
    <row r="101" spans="1:29" s="28" customFormat="1" x14ac:dyDescent="0.3">
      <c r="A101" s="27" t="s">
        <v>6193</v>
      </c>
      <c r="B101" s="27" t="s">
        <v>2273</v>
      </c>
      <c r="C101" s="29">
        <v>77</v>
      </c>
      <c r="D101" s="28" t="s">
        <v>4792</v>
      </c>
      <c r="E101" s="20" t="s">
        <v>169</v>
      </c>
      <c r="F101" s="20" t="s">
        <v>2324</v>
      </c>
      <c r="G101" s="27"/>
      <c r="H101" s="20" t="s">
        <v>4534</v>
      </c>
      <c r="I101" s="29"/>
      <c r="J101" s="29" t="s">
        <v>5121</v>
      </c>
      <c r="K101" s="27"/>
      <c r="L101" s="27" t="s">
        <v>3170</v>
      </c>
      <c r="M101" s="27" t="s">
        <v>6811</v>
      </c>
      <c r="N101" s="27" t="s">
        <v>6812</v>
      </c>
      <c r="O101" s="29" t="s">
        <v>6813</v>
      </c>
      <c r="P101" s="27"/>
      <c r="Q101" s="27"/>
      <c r="R101" s="29"/>
      <c r="S101" s="29"/>
      <c r="T101" s="29"/>
      <c r="U101" s="27"/>
      <c r="V101" s="27"/>
      <c r="W101" s="27"/>
      <c r="X101" s="64"/>
      <c r="Y101" s="64"/>
      <c r="Z101" s="64"/>
      <c r="AA101" s="64"/>
      <c r="AB101" s="27"/>
      <c r="AC101" s="27"/>
    </row>
    <row r="102" spans="1:29" s="25" customFormat="1" x14ac:dyDescent="0.3">
      <c r="A102" s="24">
        <v>59</v>
      </c>
      <c r="B102" s="24" t="s">
        <v>2272</v>
      </c>
      <c r="C102" s="26">
        <v>77</v>
      </c>
      <c r="D102" s="25" t="s">
        <v>170</v>
      </c>
      <c r="E102" s="19" t="s">
        <v>171</v>
      </c>
      <c r="F102" s="19"/>
      <c r="G102" s="24"/>
      <c r="H102" s="19"/>
      <c r="I102" s="26" t="s">
        <v>37</v>
      </c>
      <c r="J102" s="26" t="s">
        <v>37</v>
      </c>
      <c r="K102" s="24"/>
      <c r="L102" s="24" t="s">
        <v>3172</v>
      </c>
      <c r="M102" s="24" t="s">
        <v>84</v>
      </c>
      <c r="N102" s="24"/>
      <c r="O102" s="26"/>
      <c r="P102" s="24"/>
      <c r="Q102" s="24"/>
      <c r="R102" s="26"/>
      <c r="S102" s="26"/>
      <c r="T102" s="26"/>
      <c r="U102" s="24"/>
      <c r="V102" s="24"/>
      <c r="W102" s="24"/>
      <c r="X102" s="63"/>
      <c r="Y102" s="63"/>
      <c r="Z102" s="63"/>
      <c r="AA102" s="63"/>
      <c r="AB102" s="24"/>
      <c r="AC102" s="24"/>
    </row>
    <row r="103" spans="1:29" s="28" customFormat="1" x14ac:dyDescent="0.3">
      <c r="A103" s="27" t="s">
        <v>6194</v>
      </c>
      <c r="B103" s="27" t="s">
        <v>2273</v>
      </c>
      <c r="C103" s="29"/>
      <c r="D103" s="28" t="s">
        <v>4793</v>
      </c>
      <c r="E103" s="20" t="s">
        <v>171</v>
      </c>
      <c r="F103" s="20" t="s">
        <v>2326</v>
      </c>
      <c r="G103" s="27"/>
      <c r="H103" s="20"/>
      <c r="I103" s="29"/>
      <c r="J103" s="29"/>
      <c r="K103" s="27"/>
      <c r="L103" s="27"/>
      <c r="M103" s="27" t="s">
        <v>6814</v>
      </c>
      <c r="N103" s="27"/>
      <c r="O103" s="29" t="s">
        <v>6815</v>
      </c>
      <c r="P103" s="27"/>
      <c r="Q103" s="27"/>
      <c r="R103" s="29"/>
      <c r="S103" s="29"/>
      <c r="T103" s="29"/>
      <c r="U103" s="27"/>
      <c r="V103" s="27"/>
      <c r="W103" s="27"/>
      <c r="X103" s="64"/>
      <c r="Y103" s="64"/>
      <c r="Z103" s="64"/>
      <c r="AA103" s="64"/>
      <c r="AB103" s="27"/>
      <c r="AC103" s="27"/>
    </row>
    <row r="104" spans="1:29" s="25" customFormat="1" x14ac:dyDescent="0.3">
      <c r="A104" s="24">
        <v>60</v>
      </c>
      <c r="B104" s="24" t="s">
        <v>2272</v>
      </c>
      <c r="C104" s="26">
        <v>77</v>
      </c>
      <c r="D104" s="25" t="s">
        <v>172</v>
      </c>
      <c r="E104" s="19" t="s">
        <v>173</v>
      </c>
      <c r="F104" s="19"/>
      <c r="G104" s="24"/>
      <c r="H104" s="19"/>
      <c r="I104" s="26" t="s">
        <v>37</v>
      </c>
      <c r="J104" s="26" t="s">
        <v>253</v>
      </c>
      <c r="K104" s="24"/>
      <c r="L104" s="24" t="s">
        <v>3174</v>
      </c>
      <c r="M104" s="24" t="s">
        <v>5238</v>
      </c>
      <c r="N104" s="24"/>
      <c r="O104" s="26" t="s">
        <v>1664</v>
      </c>
      <c r="P104" s="24"/>
      <c r="Q104" s="24"/>
      <c r="R104" s="26"/>
      <c r="S104" s="26"/>
      <c r="T104" s="26"/>
      <c r="U104" s="24"/>
      <c r="V104" s="24"/>
      <c r="W104" s="24"/>
      <c r="X104" s="63"/>
      <c r="Y104" s="63"/>
      <c r="Z104" s="63"/>
      <c r="AA104" s="63"/>
      <c r="AB104" s="24"/>
      <c r="AC104" s="24"/>
    </row>
    <row r="105" spans="1:29" s="25" customFormat="1" x14ac:dyDescent="0.3">
      <c r="A105" s="24">
        <v>61</v>
      </c>
      <c r="B105" s="24" t="s">
        <v>2272</v>
      </c>
      <c r="C105" s="26">
        <v>81</v>
      </c>
      <c r="D105" s="25" t="s">
        <v>174</v>
      </c>
      <c r="E105" s="19" t="s">
        <v>175</v>
      </c>
      <c r="F105" s="19"/>
      <c r="G105" s="24"/>
      <c r="H105" s="19"/>
      <c r="I105" s="26" t="s">
        <v>37</v>
      </c>
      <c r="J105" s="26" t="s">
        <v>37</v>
      </c>
      <c r="K105" s="24"/>
      <c r="L105" s="24" t="s">
        <v>3176</v>
      </c>
      <c r="M105" s="24" t="s">
        <v>84</v>
      </c>
      <c r="N105" s="24"/>
      <c r="O105" s="26"/>
      <c r="P105" s="24"/>
      <c r="Q105" s="24"/>
      <c r="R105" s="26"/>
      <c r="S105" s="26"/>
      <c r="T105" s="26"/>
      <c r="U105" s="24"/>
      <c r="V105" s="24"/>
      <c r="W105" s="24"/>
      <c r="X105" s="63"/>
      <c r="Y105" s="63"/>
      <c r="Z105" s="63"/>
      <c r="AA105" s="63"/>
      <c r="AB105" s="24"/>
      <c r="AC105" s="24"/>
    </row>
    <row r="106" spans="1:29" s="28" customFormat="1" x14ac:dyDescent="0.3">
      <c r="A106" s="27" t="s">
        <v>6195</v>
      </c>
      <c r="B106" s="27" t="s">
        <v>2273</v>
      </c>
      <c r="C106" s="29"/>
      <c r="D106" s="28" t="s">
        <v>4794</v>
      </c>
      <c r="E106" s="20" t="s">
        <v>175</v>
      </c>
      <c r="F106" s="20" t="s">
        <v>2327</v>
      </c>
      <c r="G106" s="27"/>
      <c r="H106" s="20"/>
      <c r="I106" s="29"/>
      <c r="J106" s="29"/>
      <c r="K106" s="27"/>
      <c r="L106" s="27"/>
      <c r="M106" s="27" t="s">
        <v>6816</v>
      </c>
      <c r="N106" s="27"/>
      <c r="O106" s="29" t="s">
        <v>1631</v>
      </c>
      <c r="P106" s="27"/>
      <c r="Q106" s="27"/>
      <c r="R106" s="29"/>
      <c r="S106" s="29"/>
      <c r="T106" s="29"/>
      <c r="U106" s="27"/>
      <c r="V106" s="27"/>
      <c r="W106" s="27"/>
      <c r="X106" s="64"/>
      <c r="Y106" s="64"/>
      <c r="Z106" s="64"/>
      <c r="AA106" s="64"/>
      <c r="AB106" s="27"/>
      <c r="AC106" s="27"/>
    </row>
    <row r="107" spans="1:29" s="25" customFormat="1" x14ac:dyDescent="0.3">
      <c r="A107" s="24">
        <v>62</v>
      </c>
      <c r="B107" s="24" t="s">
        <v>2272</v>
      </c>
      <c r="C107" s="26">
        <v>81</v>
      </c>
      <c r="D107" s="25" t="s">
        <v>176</v>
      </c>
      <c r="E107" s="19" t="s">
        <v>177</v>
      </c>
      <c r="F107" s="19"/>
      <c r="G107" s="24"/>
      <c r="H107" s="19" t="s">
        <v>4289</v>
      </c>
      <c r="I107" s="26" t="s">
        <v>695</v>
      </c>
      <c r="J107" s="26" t="s">
        <v>37</v>
      </c>
      <c r="K107" s="24"/>
      <c r="L107" s="24" t="s">
        <v>3178</v>
      </c>
      <c r="M107" s="24" t="s">
        <v>5239</v>
      </c>
      <c r="N107" s="24" t="s">
        <v>1665</v>
      </c>
      <c r="O107" s="26"/>
      <c r="P107" s="24" t="s">
        <v>9</v>
      </c>
      <c r="Q107" s="24"/>
      <c r="R107" s="26"/>
      <c r="S107" s="26"/>
      <c r="T107" s="26"/>
      <c r="U107" s="24"/>
      <c r="V107" s="24"/>
      <c r="W107" s="24"/>
      <c r="X107" s="63"/>
      <c r="Y107" s="63"/>
      <c r="Z107" s="63"/>
      <c r="AA107" s="63"/>
      <c r="AB107" s="24"/>
      <c r="AC107" s="24"/>
    </row>
    <row r="108" spans="1:29" s="28" customFormat="1" x14ac:dyDescent="0.3">
      <c r="A108" s="27" t="s">
        <v>6196</v>
      </c>
      <c r="B108" s="27" t="s">
        <v>2273</v>
      </c>
      <c r="C108" s="29"/>
      <c r="D108" s="28" t="s">
        <v>4795</v>
      </c>
      <c r="E108" s="20" t="s">
        <v>177</v>
      </c>
      <c r="F108" s="20" t="s">
        <v>2328</v>
      </c>
      <c r="G108" s="27"/>
      <c r="H108" s="20"/>
      <c r="I108" s="29"/>
      <c r="J108" s="29"/>
      <c r="K108" s="27"/>
      <c r="L108" s="27"/>
      <c r="M108" s="27" t="s">
        <v>6817</v>
      </c>
      <c r="N108" s="27" t="s">
        <v>6818</v>
      </c>
      <c r="O108" s="29" t="s">
        <v>6819</v>
      </c>
      <c r="P108" s="27"/>
      <c r="Q108" s="27"/>
      <c r="R108" s="29"/>
      <c r="S108" s="29"/>
      <c r="T108" s="29"/>
      <c r="U108" s="27"/>
      <c r="V108" s="27"/>
      <c r="W108" s="27"/>
      <c r="X108" s="64"/>
      <c r="Y108" s="64"/>
      <c r="Z108" s="64"/>
      <c r="AA108" s="64"/>
      <c r="AB108" s="27"/>
      <c r="AC108" s="27"/>
    </row>
    <row r="109" spans="1:29" s="28" customFormat="1" x14ac:dyDescent="0.3">
      <c r="A109" s="27" t="s">
        <v>6197</v>
      </c>
      <c r="B109" s="27" t="s">
        <v>2273</v>
      </c>
      <c r="C109" s="29"/>
      <c r="D109" s="28" t="s">
        <v>4795</v>
      </c>
      <c r="E109" s="20" t="s">
        <v>177</v>
      </c>
      <c r="F109" s="20" t="s">
        <v>2329</v>
      </c>
      <c r="G109" s="27"/>
      <c r="H109" s="20"/>
      <c r="I109" s="29"/>
      <c r="J109" s="29"/>
      <c r="K109" s="27"/>
      <c r="L109" s="27"/>
      <c r="M109" s="27" t="s">
        <v>6820</v>
      </c>
      <c r="N109" s="27" t="s">
        <v>6821</v>
      </c>
      <c r="O109" s="29"/>
      <c r="P109" s="27"/>
      <c r="Q109" s="27"/>
      <c r="R109" s="29"/>
      <c r="S109" s="29"/>
      <c r="T109" s="29"/>
      <c r="U109" s="27"/>
      <c r="V109" s="27"/>
      <c r="W109" s="27"/>
      <c r="X109" s="64"/>
      <c r="Y109" s="64"/>
      <c r="Z109" s="64"/>
      <c r="AA109" s="64"/>
      <c r="AB109" s="27"/>
      <c r="AC109" s="27"/>
    </row>
    <row r="110" spans="1:29" s="25" customFormat="1" x14ac:dyDescent="0.3">
      <c r="A110" s="24">
        <v>63</v>
      </c>
      <c r="B110" s="24" t="s">
        <v>2272</v>
      </c>
      <c r="C110" s="26">
        <v>83</v>
      </c>
      <c r="D110" s="25" t="s">
        <v>179</v>
      </c>
      <c r="E110" s="19" t="s">
        <v>180</v>
      </c>
      <c r="F110" s="19"/>
      <c r="G110" s="24"/>
      <c r="H110" s="19"/>
      <c r="I110" s="26" t="s">
        <v>37</v>
      </c>
      <c r="J110" s="26" t="s">
        <v>37</v>
      </c>
      <c r="K110" s="24"/>
      <c r="L110" s="24" t="s">
        <v>3180</v>
      </c>
      <c r="M110" s="24" t="s">
        <v>181</v>
      </c>
      <c r="N110" s="24"/>
      <c r="O110" s="26"/>
      <c r="P110" s="24"/>
      <c r="Q110" s="24"/>
      <c r="R110" s="26"/>
      <c r="S110" s="26"/>
      <c r="T110" s="26"/>
      <c r="U110" s="24"/>
      <c r="V110" s="24"/>
      <c r="W110" s="24"/>
      <c r="X110" s="63"/>
      <c r="Y110" s="63"/>
      <c r="Z110" s="63"/>
      <c r="AA110" s="63"/>
      <c r="AB110" s="24"/>
      <c r="AC110" s="24"/>
    </row>
    <row r="111" spans="1:29" s="28" customFormat="1" x14ac:dyDescent="0.3">
      <c r="A111" s="27" t="s">
        <v>6198</v>
      </c>
      <c r="B111" s="27" t="s">
        <v>2273</v>
      </c>
      <c r="C111" s="29"/>
      <c r="D111" s="28" t="s">
        <v>4796</v>
      </c>
      <c r="E111" s="20" t="s">
        <v>180</v>
      </c>
      <c r="F111" s="20" t="s">
        <v>2330</v>
      </c>
      <c r="G111" s="27"/>
      <c r="H111" s="20"/>
      <c r="I111" s="29"/>
      <c r="J111" s="29"/>
      <c r="K111" s="27"/>
      <c r="L111" s="27"/>
      <c r="M111" s="27" t="s">
        <v>6822</v>
      </c>
      <c r="N111" s="27"/>
      <c r="O111" s="29" t="s">
        <v>6823</v>
      </c>
      <c r="P111" s="27"/>
      <c r="Q111" s="27"/>
      <c r="R111" s="29"/>
      <c r="S111" s="29"/>
      <c r="T111" s="29"/>
      <c r="U111" s="27"/>
      <c r="V111" s="27"/>
      <c r="W111" s="27"/>
      <c r="X111" s="64"/>
      <c r="Y111" s="64"/>
      <c r="Z111" s="64"/>
      <c r="AA111" s="64"/>
      <c r="AB111" s="27"/>
      <c r="AC111" s="27"/>
    </row>
    <row r="112" spans="1:29" s="28" customFormat="1" x14ac:dyDescent="0.3">
      <c r="A112" s="27" t="s">
        <v>6199</v>
      </c>
      <c r="B112" s="27" t="s">
        <v>2273</v>
      </c>
      <c r="C112" s="29"/>
      <c r="D112" s="28" t="s">
        <v>4796</v>
      </c>
      <c r="E112" s="20" t="s">
        <v>180</v>
      </c>
      <c r="F112" s="20" t="s">
        <v>2331</v>
      </c>
      <c r="G112" s="27"/>
      <c r="H112" s="20"/>
      <c r="I112" s="29"/>
      <c r="J112" s="29"/>
      <c r="K112" s="27"/>
      <c r="L112" s="27"/>
      <c r="M112" s="27" t="s">
        <v>6824</v>
      </c>
      <c r="N112" s="27"/>
      <c r="O112" s="29" t="s">
        <v>6825</v>
      </c>
      <c r="P112" s="27"/>
      <c r="Q112" s="27"/>
      <c r="R112" s="29"/>
      <c r="S112" s="29"/>
      <c r="T112" s="29"/>
      <c r="U112" s="27"/>
      <c r="V112" s="27"/>
      <c r="W112" s="27"/>
      <c r="X112" s="64"/>
      <c r="Y112" s="64"/>
      <c r="Z112" s="64"/>
      <c r="AA112" s="64"/>
      <c r="AB112" s="27"/>
      <c r="AC112" s="27"/>
    </row>
    <row r="113" spans="1:29" s="25" customFormat="1" x14ac:dyDescent="0.3">
      <c r="A113" s="24">
        <v>64</v>
      </c>
      <c r="B113" s="24" t="s">
        <v>2272</v>
      </c>
      <c r="C113" s="26">
        <v>83</v>
      </c>
      <c r="D113" s="25" t="s">
        <v>184</v>
      </c>
      <c r="E113" s="19" t="s">
        <v>185</v>
      </c>
      <c r="F113" s="19"/>
      <c r="G113" s="24"/>
      <c r="H113" s="19"/>
      <c r="I113" s="26" t="s">
        <v>57</v>
      </c>
      <c r="J113" s="26" t="s">
        <v>57</v>
      </c>
      <c r="K113" s="24"/>
      <c r="L113" s="24" t="s">
        <v>3182</v>
      </c>
      <c r="M113" s="24" t="s">
        <v>5240</v>
      </c>
      <c r="N113" s="24"/>
      <c r="O113" s="26" t="s">
        <v>1667</v>
      </c>
      <c r="P113" s="24"/>
      <c r="Q113" s="24"/>
      <c r="R113" s="26"/>
      <c r="S113" s="26"/>
      <c r="T113" s="26"/>
      <c r="U113" s="24"/>
      <c r="V113" s="24"/>
      <c r="W113" s="24"/>
      <c r="X113" s="63"/>
      <c r="Y113" s="63"/>
      <c r="Z113" s="63"/>
      <c r="AA113" s="63"/>
      <c r="AB113" s="24"/>
      <c r="AC113" s="24"/>
    </row>
    <row r="114" spans="1:29" s="25" customFormat="1" x14ac:dyDescent="0.3">
      <c r="A114" s="24">
        <v>65</v>
      </c>
      <c r="B114" s="24" t="s">
        <v>2272</v>
      </c>
      <c r="C114" s="26">
        <v>83</v>
      </c>
      <c r="D114" s="25" t="s">
        <v>187</v>
      </c>
      <c r="E114" s="19" t="s">
        <v>188</v>
      </c>
      <c r="F114" s="19"/>
      <c r="G114" s="24"/>
      <c r="H114" s="19"/>
      <c r="I114" s="26" t="s">
        <v>57</v>
      </c>
      <c r="J114" s="26" t="s">
        <v>57</v>
      </c>
      <c r="K114" s="24"/>
      <c r="L114" s="24" t="s">
        <v>3184</v>
      </c>
      <c r="M114" s="24" t="s">
        <v>5241</v>
      </c>
      <c r="N114" s="24"/>
      <c r="O114" s="26" t="s">
        <v>6629</v>
      </c>
      <c r="P114" s="24"/>
      <c r="Q114" s="24"/>
      <c r="R114" s="26"/>
      <c r="S114" s="26"/>
      <c r="T114" s="26"/>
      <c r="U114" s="24"/>
      <c r="V114" s="24"/>
      <c r="W114" s="24"/>
      <c r="X114" s="63"/>
      <c r="Y114" s="63"/>
      <c r="Z114" s="63"/>
      <c r="AA114" s="63"/>
      <c r="AB114" s="24"/>
      <c r="AC114" s="24"/>
    </row>
    <row r="115" spans="1:29" s="25" customFormat="1" x14ac:dyDescent="0.3">
      <c r="A115" s="24">
        <v>66</v>
      </c>
      <c r="B115" s="24" t="s">
        <v>2272</v>
      </c>
      <c r="C115" s="26">
        <v>83</v>
      </c>
      <c r="D115" s="25" t="s">
        <v>189</v>
      </c>
      <c r="E115" s="19" t="s">
        <v>190</v>
      </c>
      <c r="F115" s="19"/>
      <c r="G115" s="24"/>
      <c r="H115" s="19"/>
      <c r="I115" s="26" t="s">
        <v>57</v>
      </c>
      <c r="J115" s="26" t="s">
        <v>57</v>
      </c>
      <c r="K115" s="24" t="s">
        <v>3027</v>
      </c>
      <c r="L115" s="24" t="s">
        <v>3186</v>
      </c>
      <c r="M115" s="24" t="s">
        <v>4383</v>
      </c>
      <c r="N115" s="24"/>
      <c r="O115" s="26" t="s">
        <v>1670</v>
      </c>
      <c r="P115" s="24"/>
      <c r="Q115" s="24"/>
      <c r="R115" s="26"/>
      <c r="S115" s="26"/>
      <c r="T115" s="26"/>
      <c r="U115" s="24"/>
      <c r="V115" s="24"/>
      <c r="W115" s="24"/>
      <c r="X115" s="63"/>
      <c r="Y115" s="63"/>
      <c r="Z115" s="63"/>
      <c r="AA115" s="63"/>
      <c r="AB115" s="24"/>
      <c r="AC115" s="24"/>
    </row>
    <row r="116" spans="1:29" s="25" customFormat="1" x14ac:dyDescent="0.3">
      <c r="A116" s="24">
        <v>67</v>
      </c>
      <c r="B116" s="24" t="s">
        <v>2272</v>
      </c>
      <c r="C116" s="26">
        <v>83</v>
      </c>
      <c r="D116" s="25" t="s">
        <v>191</v>
      </c>
      <c r="E116" s="19" t="s">
        <v>192</v>
      </c>
      <c r="F116" s="19"/>
      <c r="G116" s="24"/>
      <c r="H116" s="19"/>
      <c r="I116" s="26" t="s">
        <v>37</v>
      </c>
      <c r="J116" s="26" t="s">
        <v>37</v>
      </c>
      <c r="K116" s="24"/>
      <c r="L116" s="24" t="s">
        <v>3188</v>
      </c>
      <c r="M116" s="24" t="s">
        <v>5242</v>
      </c>
      <c r="N116" s="24"/>
      <c r="O116" s="26"/>
      <c r="P116" s="24"/>
      <c r="Q116" s="24"/>
      <c r="R116" s="26"/>
      <c r="S116" s="26"/>
      <c r="T116" s="26"/>
      <c r="U116" s="24"/>
      <c r="V116" s="24"/>
      <c r="W116" s="24"/>
      <c r="X116" s="63"/>
      <c r="Y116" s="63"/>
      <c r="Z116" s="63"/>
      <c r="AA116" s="63"/>
      <c r="AB116" s="24"/>
      <c r="AC116" s="24"/>
    </row>
    <row r="117" spans="1:29" s="28" customFormat="1" x14ac:dyDescent="0.3">
      <c r="A117" s="27" t="s">
        <v>2343</v>
      </c>
      <c r="B117" s="27" t="s">
        <v>2273</v>
      </c>
      <c r="C117" s="29"/>
      <c r="D117" s="28" t="s">
        <v>4797</v>
      </c>
      <c r="E117" s="20" t="s">
        <v>192</v>
      </c>
      <c r="F117" s="20" t="s">
        <v>2334</v>
      </c>
      <c r="G117" s="27"/>
      <c r="H117" s="20"/>
      <c r="I117" s="29"/>
      <c r="J117" s="29"/>
      <c r="K117" s="27"/>
      <c r="L117" s="27"/>
      <c r="M117" s="27" t="s">
        <v>6826</v>
      </c>
      <c r="N117" s="27"/>
      <c r="O117" s="29" t="s">
        <v>6827</v>
      </c>
      <c r="P117" s="27"/>
      <c r="Q117" s="27"/>
      <c r="R117" s="29"/>
      <c r="S117" s="29"/>
      <c r="T117" s="29"/>
      <c r="U117" s="27"/>
      <c r="V117" s="27"/>
      <c r="W117" s="27"/>
      <c r="X117" s="64"/>
      <c r="Y117" s="64"/>
      <c r="Z117" s="64"/>
      <c r="AA117" s="64"/>
      <c r="AB117" s="27"/>
      <c r="AC117" s="27"/>
    </row>
    <row r="118" spans="1:29" s="28" customFormat="1" x14ac:dyDescent="0.3">
      <c r="A118" s="27" t="s">
        <v>6200</v>
      </c>
      <c r="B118" s="27" t="s">
        <v>2273</v>
      </c>
      <c r="C118" s="29"/>
      <c r="D118" s="28" t="s">
        <v>4797</v>
      </c>
      <c r="E118" s="20" t="s">
        <v>192</v>
      </c>
      <c r="F118" s="20" t="s">
        <v>2335</v>
      </c>
      <c r="G118" s="27"/>
      <c r="H118" s="20"/>
      <c r="I118" s="29"/>
      <c r="J118" s="29"/>
      <c r="K118" s="27"/>
      <c r="L118" s="27"/>
      <c r="M118" s="27" t="s">
        <v>6828</v>
      </c>
      <c r="N118" s="27"/>
      <c r="O118" s="29" t="s">
        <v>6829</v>
      </c>
      <c r="P118" s="27"/>
      <c r="Q118" s="27"/>
      <c r="R118" s="29"/>
      <c r="S118" s="29"/>
      <c r="T118" s="29"/>
      <c r="U118" s="27"/>
      <c r="V118" s="27"/>
      <c r="W118" s="27"/>
      <c r="X118" s="64"/>
      <c r="Y118" s="64"/>
      <c r="Z118" s="64"/>
      <c r="AA118" s="64"/>
      <c r="AB118" s="27"/>
      <c r="AC118" s="27"/>
    </row>
    <row r="119" spans="1:29" s="25" customFormat="1" x14ac:dyDescent="0.3">
      <c r="A119" s="24">
        <v>68</v>
      </c>
      <c r="B119" s="24" t="s">
        <v>2272</v>
      </c>
      <c r="C119" s="26">
        <v>85</v>
      </c>
      <c r="D119" s="25" t="s">
        <v>193</v>
      </c>
      <c r="E119" s="19" t="s">
        <v>194</v>
      </c>
      <c r="F119" s="19"/>
      <c r="G119" s="24"/>
      <c r="H119" s="19"/>
      <c r="I119" s="26" t="s">
        <v>57</v>
      </c>
      <c r="J119" s="26" t="s">
        <v>57</v>
      </c>
      <c r="K119" s="24"/>
      <c r="L119" s="24" t="s">
        <v>3190</v>
      </c>
      <c r="M119" s="24" t="s">
        <v>5243</v>
      </c>
      <c r="N119" s="24"/>
      <c r="O119" s="26"/>
      <c r="P119" s="24"/>
      <c r="Q119" s="24"/>
      <c r="R119" s="26"/>
      <c r="S119" s="26"/>
      <c r="T119" s="26"/>
      <c r="U119" s="24"/>
      <c r="V119" s="24"/>
      <c r="W119" s="24"/>
      <c r="X119" s="63"/>
      <c r="Y119" s="63"/>
      <c r="Z119" s="63"/>
      <c r="AA119" s="63"/>
      <c r="AB119" s="24"/>
      <c r="AC119" s="24"/>
    </row>
    <row r="120" spans="1:29" s="28" customFormat="1" x14ac:dyDescent="0.3">
      <c r="A120" s="27" t="s">
        <v>6201</v>
      </c>
      <c r="B120" s="27" t="s">
        <v>2273</v>
      </c>
      <c r="C120" s="29"/>
      <c r="D120" s="28" t="s">
        <v>4798</v>
      </c>
      <c r="E120" s="20" t="s">
        <v>194</v>
      </c>
      <c r="F120" s="20" t="s">
        <v>2308</v>
      </c>
      <c r="G120" s="27"/>
      <c r="H120" s="20"/>
      <c r="I120" s="29"/>
      <c r="J120" s="29"/>
      <c r="K120" s="27"/>
      <c r="L120" s="27"/>
      <c r="M120" s="27" t="s">
        <v>6830</v>
      </c>
      <c r="N120" s="27"/>
      <c r="O120" s="29" t="s">
        <v>6831</v>
      </c>
      <c r="P120" s="27"/>
      <c r="Q120" s="27"/>
      <c r="R120" s="29"/>
      <c r="S120" s="29"/>
      <c r="T120" s="29"/>
      <c r="U120" s="27"/>
      <c r="V120" s="27"/>
      <c r="W120" s="27"/>
      <c r="X120" s="64"/>
      <c r="Y120" s="64"/>
      <c r="Z120" s="64"/>
      <c r="AA120" s="64"/>
      <c r="AB120" s="27"/>
      <c r="AC120" s="27"/>
    </row>
    <row r="121" spans="1:29" s="28" customFormat="1" x14ac:dyDescent="0.3">
      <c r="A121" s="27" t="s">
        <v>6202</v>
      </c>
      <c r="B121" s="27" t="s">
        <v>2273</v>
      </c>
      <c r="C121" s="29"/>
      <c r="D121" s="28" t="s">
        <v>4798</v>
      </c>
      <c r="E121" s="20" t="s">
        <v>194</v>
      </c>
      <c r="F121" s="20" t="s">
        <v>2336</v>
      </c>
      <c r="G121" s="27"/>
      <c r="H121" s="20"/>
      <c r="I121" s="29"/>
      <c r="J121" s="29"/>
      <c r="K121" s="27"/>
      <c r="L121" s="27"/>
      <c r="M121" s="27" t="s">
        <v>6832</v>
      </c>
      <c r="N121" s="27"/>
      <c r="O121" s="29" t="s">
        <v>2228</v>
      </c>
      <c r="P121" s="27"/>
      <c r="Q121" s="27"/>
      <c r="R121" s="29"/>
      <c r="S121" s="29"/>
      <c r="T121" s="29"/>
      <c r="U121" s="27"/>
      <c r="V121" s="27"/>
      <c r="W121" s="27"/>
      <c r="X121" s="64"/>
      <c r="Y121" s="64"/>
      <c r="Z121" s="64"/>
      <c r="AA121" s="64"/>
      <c r="AB121" s="27"/>
      <c r="AC121" s="27"/>
    </row>
    <row r="122" spans="1:29" s="28" customFormat="1" x14ac:dyDescent="0.3">
      <c r="A122" s="27" t="s">
        <v>6203</v>
      </c>
      <c r="B122" s="27" t="s">
        <v>2273</v>
      </c>
      <c r="C122" s="29"/>
      <c r="D122" s="28" t="s">
        <v>4798</v>
      </c>
      <c r="E122" s="20" t="s">
        <v>194</v>
      </c>
      <c r="F122" s="20" t="s">
        <v>2337</v>
      </c>
      <c r="G122" s="27"/>
      <c r="H122" s="20"/>
      <c r="I122" s="29"/>
      <c r="J122" s="29"/>
      <c r="K122" s="27"/>
      <c r="L122" s="27"/>
      <c r="M122" s="27" t="s">
        <v>6833</v>
      </c>
      <c r="N122" s="27"/>
      <c r="O122" s="29" t="s">
        <v>6834</v>
      </c>
      <c r="P122" s="27"/>
      <c r="Q122" s="27"/>
      <c r="R122" s="29"/>
      <c r="S122" s="29"/>
      <c r="T122" s="29"/>
      <c r="U122" s="27"/>
      <c r="V122" s="27"/>
      <c r="W122" s="27"/>
      <c r="X122" s="64"/>
      <c r="Y122" s="64"/>
      <c r="Z122" s="64"/>
      <c r="AA122" s="64"/>
      <c r="AB122" s="27"/>
      <c r="AC122" s="27"/>
    </row>
    <row r="123" spans="1:29" s="28" customFormat="1" x14ac:dyDescent="0.3">
      <c r="A123" s="27" t="s">
        <v>6204</v>
      </c>
      <c r="B123" s="27" t="s">
        <v>2273</v>
      </c>
      <c r="C123" s="29"/>
      <c r="D123" s="28" t="s">
        <v>4798</v>
      </c>
      <c r="E123" s="20" t="s">
        <v>194</v>
      </c>
      <c r="F123" s="20" t="s">
        <v>2338</v>
      </c>
      <c r="G123" s="27"/>
      <c r="H123" s="20"/>
      <c r="I123" s="29"/>
      <c r="J123" s="29"/>
      <c r="K123" s="27"/>
      <c r="L123" s="27"/>
      <c r="M123" s="27" t="s">
        <v>6835</v>
      </c>
      <c r="N123" s="27"/>
      <c r="O123" s="29" t="s">
        <v>6836</v>
      </c>
      <c r="P123" s="27"/>
      <c r="Q123" s="27"/>
      <c r="R123" s="29"/>
      <c r="S123" s="29"/>
      <c r="T123" s="29"/>
      <c r="U123" s="27"/>
      <c r="V123" s="27"/>
      <c r="W123" s="27"/>
      <c r="X123" s="64"/>
      <c r="Y123" s="64"/>
      <c r="Z123" s="64"/>
      <c r="AA123" s="64"/>
      <c r="AB123" s="27"/>
      <c r="AC123" s="27"/>
    </row>
    <row r="124" spans="1:29" s="25" customFormat="1" x14ac:dyDescent="0.3">
      <c r="A124" s="24">
        <v>69</v>
      </c>
      <c r="B124" s="24" t="s">
        <v>2272</v>
      </c>
      <c r="C124" s="26">
        <v>85</v>
      </c>
      <c r="D124" s="25" t="s">
        <v>195</v>
      </c>
      <c r="E124" s="19" t="s">
        <v>196</v>
      </c>
      <c r="F124" s="19"/>
      <c r="G124" s="24"/>
      <c r="H124" s="19"/>
      <c r="I124" s="26" t="s">
        <v>37</v>
      </c>
      <c r="J124" s="26" t="s">
        <v>37</v>
      </c>
      <c r="K124" s="24"/>
      <c r="L124" s="24" t="s">
        <v>3150</v>
      </c>
      <c r="M124" s="24" t="s">
        <v>52</v>
      </c>
      <c r="N124" s="24"/>
      <c r="O124" s="26"/>
      <c r="P124" s="24"/>
      <c r="Q124" s="24"/>
      <c r="R124" s="26"/>
      <c r="S124" s="26"/>
      <c r="T124" s="26"/>
      <c r="U124" s="24"/>
      <c r="V124" s="24"/>
      <c r="W124" s="24"/>
      <c r="X124" s="63"/>
      <c r="Y124" s="63"/>
      <c r="Z124" s="63"/>
      <c r="AA124" s="63"/>
      <c r="AB124" s="24"/>
      <c r="AC124" s="24"/>
    </row>
    <row r="125" spans="1:29" s="28" customFormat="1" x14ac:dyDescent="0.3">
      <c r="A125" s="27" t="s">
        <v>6205</v>
      </c>
      <c r="B125" s="27" t="s">
        <v>2273</v>
      </c>
      <c r="C125" s="29"/>
      <c r="D125" s="28" t="s">
        <v>4799</v>
      </c>
      <c r="E125" s="20" t="s">
        <v>196</v>
      </c>
      <c r="F125" s="20" t="s">
        <v>2340</v>
      </c>
      <c r="G125" s="27"/>
      <c r="H125" s="20"/>
      <c r="I125" s="29"/>
      <c r="J125" s="29"/>
      <c r="K125" s="27"/>
      <c r="L125" s="27"/>
      <c r="M125" s="27" t="s">
        <v>6837</v>
      </c>
      <c r="N125" s="27"/>
      <c r="O125" s="29" t="s">
        <v>6838</v>
      </c>
      <c r="P125" s="27"/>
      <c r="Q125" s="27"/>
      <c r="R125" s="29"/>
      <c r="S125" s="29"/>
      <c r="T125" s="29"/>
      <c r="U125" s="27"/>
      <c r="V125" s="27"/>
      <c r="W125" s="27"/>
      <c r="X125" s="64"/>
      <c r="Y125" s="64"/>
      <c r="Z125" s="64"/>
      <c r="AA125" s="64"/>
      <c r="AB125" s="27"/>
      <c r="AC125" s="27"/>
    </row>
    <row r="126" spans="1:29" s="28" customFormat="1" x14ac:dyDescent="0.3">
      <c r="A126" s="27" t="s">
        <v>6206</v>
      </c>
      <c r="B126" s="27" t="s">
        <v>2273</v>
      </c>
      <c r="C126" s="29"/>
      <c r="D126" s="28" t="s">
        <v>4799</v>
      </c>
      <c r="E126" s="20" t="s">
        <v>196</v>
      </c>
      <c r="F126" s="20" t="s">
        <v>2341</v>
      </c>
      <c r="G126" s="27"/>
      <c r="H126" s="20"/>
      <c r="I126" s="29"/>
      <c r="J126" s="29"/>
      <c r="K126" s="27"/>
      <c r="L126" s="27"/>
      <c r="M126" s="27" t="s">
        <v>6816</v>
      </c>
      <c r="N126" s="27"/>
      <c r="O126" s="29"/>
      <c r="P126" s="27"/>
      <c r="Q126" s="27"/>
      <c r="R126" s="29"/>
      <c r="S126" s="29"/>
      <c r="T126" s="29"/>
      <c r="U126" s="27"/>
      <c r="V126" s="27"/>
      <c r="W126" s="27"/>
      <c r="X126" s="64"/>
      <c r="Y126" s="64"/>
      <c r="Z126" s="64"/>
      <c r="AA126" s="64"/>
      <c r="AB126" s="27"/>
      <c r="AC126" s="27"/>
    </row>
    <row r="127" spans="1:29" s="25" customFormat="1" x14ac:dyDescent="0.3">
      <c r="A127" s="24">
        <v>70</v>
      </c>
      <c r="B127" s="24" t="s">
        <v>2272</v>
      </c>
      <c r="C127" s="26">
        <v>85</v>
      </c>
      <c r="D127" s="25" t="s">
        <v>197</v>
      </c>
      <c r="E127" s="19" t="s">
        <v>198</v>
      </c>
      <c r="F127" s="19"/>
      <c r="G127" s="24"/>
      <c r="H127" s="19"/>
      <c r="I127" s="26" t="s">
        <v>37</v>
      </c>
      <c r="J127" s="26" t="s">
        <v>37</v>
      </c>
      <c r="K127" s="24"/>
      <c r="L127" s="24" t="s">
        <v>3193</v>
      </c>
      <c r="M127" s="24" t="s">
        <v>5244</v>
      </c>
      <c r="N127" s="24"/>
      <c r="O127" s="26"/>
      <c r="P127" s="24" t="s">
        <v>9</v>
      </c>
      <c r="Q127" s="24"/>
      <c r="R127" s="26"/>
      <c r="S127" s="26"/>
      <c r="T127" s="26"/>
      <c r="U127" s="24"/>
      <c r="V127" s="24"/>
      <c r="W127" s="24"/>
      <c r="X127" s="63"/>
      <c r="Y127" s="63"/>
      <c r="Z127" s="63"/>
      <c r="AA127" s="63"/>
      <c r="AB127" s="24"/>
      <c r="AC127" s="24"/>
    </row>
    <row r="128" spans="1:29" s="28" customFormat="1" x14ac:dyDescent="0.3">
      <c r="A128" s="27" t="s">
        <v>6207</v>
      </c>
      <c r="B128" s="27" t="s">
        <v>2273</v>
      </c>
      <c r="C128" s="29"/>
      <c r="D128" s="28" t="s">
        <v>4800</v>
      </c>
      <c r="E128" s="20" t="s">
        <v>198</v>
      </c>
      <c r="F128" s="20" t="s">
        <v>2344</v>
      </c>
      <c r="G128" s="27"/>
      <c r="H128" s="20"/>
      <c r="I128" s="29"/>
      <c r="J128" s="29"/>
      <c r="K128" s="27"/>
      <c r="L128" s="27"/>
      <c r="M128" s="27" t="s">
        <v>6768</v>
      </c>
      <c r="N128" s="27"/>
      <c r="O128" s="29" t="s">
        <v>6839</v>
      </c>
      <c r="P128" s="27"/>
      <c r="Q128" s="27"/>
      <c r="R128" s="29"/>
      <c r="S128" s="29"/>
      <c r="T128" s="29"/>
      <c r="U128" s="27"/>
      <c r="V128" s="27"/>
      <c r="W128" s="27"/>
      <c r="X128" s="64"/>
      <c r="Y128" s="64"/>
      <c r="Z128" s="64"/>
      <c r="AA128" s="64"/>
      <c r="AB128" s="27"/>
      <c r="AC128" s="27"/>
    </row>
    <row r="129" spans="1:29" s="25" customFormat="1" x14ac:dyDescent="0.3">
      <c r="A129" s="24">
        <v>71</v>
      </c>
      <c r="B129" s="24" t="s">
        <v>2272</v>
      </c>
      <c r="C129" s="26">
        <v>85</v>
      </c>
      <c r="D129" s="25" t="s">
        <v>199</v>
      </c>
      <c r="E129" s="19" t="s">
        <v>200</v>
      </c>
      <c r="F129" s="19"/>
      <c r="G129" s="24" t="s">
        <v>1672</v>
      </c>
      <c r="H129" s="19"/>
      <c r="I129" s="26" t="s">
        <v>57</v>
      </c>
      <c r="J129" s="26" t="s">
        <v>57</v>
      </c>
      <c r="K129" s="24"/>
      <c r="L129" s="24" t="s">
        <v>3195</v>
      </c>
      <c r="M129" s="24" t="s">
        <v>5245</v>
      </c>
      <c r="N129" s="24"/>
      <c r="O129" s="26"/>
      <c r="P129" s="24"/>
      <c r="Q129" s="24"/>
      <c r="R129" s="26"/>
      <c r="S129" s="26"/>
      <c r="T129" s="26"/>
      <c r="U129" s="24"/>
      <c r="V129" s="24"/>
      <c r="W129" s="24"/>
      <c r="X129" s="63"/>
      <c r="Y129" s="63"/>
      <c r="Z129" s="63"/>
      <c r="AA129" s="63"/>
      <c r="AB129" s="24"/>
      <c r="AC129" s="24"/>
    </row>
    <row r="130" spans="1:29" s="28" customFormat="1" x14ac:dyDescent="0.3">
      <c r="A130" s="27" t="s">
        <v>6208</v>
      </c>
      <c r="B130" s="27" t="s">
        <v>2273</v>
      </c>
      <c r="C130" s="29"/>
      <c r="D130" s="28" t="s">
        <v>4801</v>
      </c>
      <c r="E130" s="20" t="s">
        <v>200</v>
      </c>
      <c r="F130" s="20" t="s">
        <v>2345</v>
      </c>
      <c r="G130" s="27"/>
      <c r="H130" s="20"/>
      <c r="I130" s="29"/>
      <c r="J130" s="29"/>
      <c r="K130" s="27"/>
      <c r="L130" s="27"/>
      <c r="M130" s="27" t="s">
        <v>6840</v>
      </c>
      <c r="N130" s="27"/>
      <c r="O130" s="29" t="s">
        <v>6841</v>
      </c>
      <c r="P130" s="27"/>
      <c r="Q130" s="27"/>
      <c r="R130" s="29"/>
      <c r="S130" s="29"/>
      <c r="T130" s="29"/>
      <c r="U130" s="27"/>
      <c r="V130" s="27"/>
      <c r="W130" s="27"/>
      <c r="X130" s="64"/>
      <c r="Y130" s="64"/>
      <c r="Z130" s="64"/>
      <c r="AA130" s="64"/>
      <c r="AB130" s="27"/>
      <c r="AC130" s="27"/>
    </row>
    <row r="131" spans="1:29" s="28" customFormat="1" x14ac:dyDescent="0.3">
      <c r="A131" s="27" t="s">
        <v>6209</v>
      </c>
      <c r="B131" s="27" t="s">
        <v>2273</v>
      </c>
      <c r="C131" s="29"/>
      <c r="D131" s="28" t="s">
        <v>4801</v>
      </c>
      <c r="E131" s="20" t="s">
        <v>200</v>
      </c>
      <c r="F131" s="20" t="s">
        <v>2346</v>
      </c>
      <c r="G131" s="27"/>
      <c r="H131" s="20"/>
      <c r="I131" s="29"/>
      <c r="J131" s="29"/>
      <c r="K131" s="27"/>
      <c r="L131" s="27"/>
      <c r="M131" s="27" t="s">
        <v>6842</v>
      </c>
      <c r="N131" s="27"/>
      <c r="O131" s="29" t="s">
        <v>6843</v>
      </c>
      <c r="P131" s="27"/>
      <c r="Q131" s="27"/>
      <c r="R131" s="29"/>
      <c r="S131" s="29"/>
      <c r="T131" s="29"/>
      <c r="U131" s="27"/>
      <c r="V131" s="27"/>
      <c r="W131" s="27"/>
      <c r="X131" s="64"/>
      <c r="Y131" s="64"/>
      <c r="Z131" s="64"/>
      <c r="AA131" s="64"/>
      <c r="AB131" s="27"/>
      <c r="AC131" s="27"/>
    </row>
    <row r="132" spans="1:29" s="25" customFormat="1" x14ac:dyDescent="0.3">
      <c r="A132" s="24">
        <v>72</v>
      </c>
      <c r="B132" s="24" t="s">
        <v>2272</v>
      </c>
      <c r="C132" s="26">
        <v>87</v>
      </c>
      <c r="D132" s="25" t="s">
        <v>201</v>
      </c>
      <c r="E132" s="19" t="s">
        <v>202</v>
      </c>
      <c r="F132" s="19"/>
      <c r="G132" s="24"/>
      <c r="H132" s="19" t="s">
        <v>1674</v>
      </c>
      <c r="I132" s="26" t="s">
        <v>57</v>
      </c>
      <c r="J132" s="26" t="s">
        <v>57</v>
      </c>
      <c r="K132" s="24"/>
      <c r="L132" s="24" t="s">
        <v>3195</v>
      </c>
      <c r="M132" s="24" t="s">
        <v>5245</v>
      </c>
      <c r="N132" s="24"/>
      <c r="O132" s="26" t="s">
        <v>1673</v>
      </c>
      <c r="P132" s="24"/>
      <c r="Q132" s="24"/>
      <c r="R132" s="26"/>
      <c r="S132" s="26"/>
      <c r="T132" s="26"/>
      <c r="U132" s="24"/>
      <c r="V132" s="24"/>
      <c r="W132" s="24"/>
      <c r="X132" s="63"/>
      <c r="Y132" s="63"/>
      <c r="Z132" s="63"/>
      <c r="AA132" s="63"/>
      <c r="AB132" s="24"/>
      <c r="AC132" s="24"/>
    </row>
    <row r="133" spans="1:29" s="25" customFormat="1" x14ac:dyDescent="0.3">
      <c r="A133" s="24">
        <v>73</v>
      </c>
      <c r="B133" s="24" t="s">
        <v>2272</v>
      </c>
      <c r="C133" s="26">
        <v>87</v>
      </c>
      <c r="D133" s="25" t="s">
        <v>203</v>
      </c>
      <c r="E133" s="19" t="s">
        <v>204</v>
      </c>
      <c r="F133" s="19"/>
      <c r="G133" s="24"/>
      <c r="H133" s="19"/>
      <c r="I133" s="26" t="s">
        <v>89</v>
      </c>
      <c r="J133" s="26" t="s">
        <v>37</v>
      </c>
      <c r="K133" s="24"/>
      <c r="L133" s="24" t="s">
        <v>3198</v>
      </c>
      <c r="M133" s="24" t="s">
        <v>5246</v>
      </c>
      <c r="N133" s="24" t="s">
        <v>5247</v>
      </c>
      <c r="O133" s="26" t="s">
        <v>1675</v>
      </c>
      <c r="P133" s="24"/>
      <c r="Q133" s="24"/>
      <c r="R133" s="26"/>
      <c r="S133" s="26"/>
      <c r="T133" s="26"/>
      <c r="U133" s="24"/>
      <c r="V133" s="24"/>
      <c r="W133" s="24"/>
      <c r="X133" s="63"/>
      <c r="Y133" s="63"/>
      <c r="Z133" s="63"/>
      <c r="AA133" s="63"/>
      <c r="AB133" s="24"/>
      <c r="AC133" s="24"/>
    </row>
    <row r="134" spans="1:29" s="25" customFormat="1" x14ac:dyDescent="0.3">
      <c r="A134" s="24">
        <v>74</v>
      </c>
      <c r="B134" s="24" t="s">
        <v>2272</v>
      </c>
      <c r="C134" s="26">
        <v>87</v>
      </c>
      <c r="D134" s="25" t="s">
        <v>205</v>
      </c>
      <c r="E134" s="19" t="s">
        <v>206</v>
      </c>
      <c r="F134" s="19"/>
      <c r="G134" s="24"/>
      <c r="H134" s="19"/>
      <c r="I134" s="26" t="s">
        <v>49</v>
      </c>
      <c r="J134" s="26" t="s">
        <v>5121</v>
      </c>
      <c r="K134" s="24" t="s">
        <v>49</v>
      </c>
      <c r="L134" s="24" t="s">
        <v>3200</v>
      </c>
      <c r="M134" s="24" t="s">
        <v>207</v>
      </c>
      <c r="N134" s="24"/>
      <c r="O134" s="26"/>
      <c r="P134" s="24" t="s">
        <v>6388</v>
      </c>
      <c r="Q134" s="24"/>
      <c r="R134" s="26"/>
      <c r="S134" s="26"/>
      <c r="T134" s="26"/>
      <c r="U134" s="24"/>
      <c r="V134" s="24"/>
      <c r="W134" s="24"/>
      <c r="X134" s="63"/>
      <c r="Y134" s="63"/>
      <c r="Z134" s="63"/>
      <c r="AA134" s="63"/>
      <c r="AB134" s="24"/>
      <c r="AC134" s="24"/>
    </row>
    <row r="135" spans="1:29" s="28" customFormat="1" x14ac:dyDescent="0.3">
      <c r="A135" s="27" t="s">
        <v>6210</v>
      </c>
      <c r="B135" s="27" t="s">
        <v>2273</v>
      </c>
      <c r="C135" s="29"/>
      <c r="D135" s="28" t="s">
        <v>4802</v>
      </c>
      <c r="E135" s="20" t="s">
        <v>206</v>
      </c>
      <c r="F135" s="20" t="s">
        <v>2348</v>
      </c>
      <c r="G135" s="27"/>
      <c r="H135" s="20"/>
      <c r="I135" s="29"/>
      <c r="J135" s="29"/>
      <c r="K135" s="27"/>
      <c r="L135" s="27"/>
      <c r="M135" s="27" t="s">
        <v>6844</v>
      </c>
      <c r="N135" s="27" t="s">
        <v>6845</v>
      </c>
      <c r="O135" s="29" t="s">
        <v>6846</v>
      </c>
      <c r="P135" s="27"/>
      <c r="Q135" s="27"/>
      <c r="R135" s="29"/>
      <c r="S135" s="29"/>
      <c r="T135" s="29"/>
      <c r="U135" s="27"/>
      <c r="V135" s="27"/>
      <c r="W135" s="27"/>
      <c r="X135" s="64"/>
      <c r="Y135" s="64"/>
      <c r="Z135" s="64"/>
      <c r="AA135" s="64"/>
      <c r="AB135" s="27"/>
      <c r="AC135" s="27"/>
    </row>
    <row r="136" spans="1:29" s="25" customFormat="1" x14ac:dyDescent="0.3">
      <c r="A136" s="24">
        <v>75</v>
      </c>
      <c r="B136" s="24" t="s">
        <v>2272</v>
      </c>
      <c r="C136" s="26">
        <v>87</v>
      </c>
      <c r="D136" s="25" t="s">
        <v>208</v>
      </c>
      <c r="E136" s="19" t="s">
        <v>209</v>
      </c>
      <c r="F136" s="19"/>
      <c r="G136" s="24" t="s">
        <v>1678</v>
      </c>
      <c r="H136" s="19"/>
      <c r="I136" s="26" t="s">
        <v>37</v>
      </c>
      <c r="J136" s="26" t="s">
        <v>37</v>
      </c>
      <c r="K136" s="24"/>
      <c r="L136" s="24" t="s">
        <v>3143</v>
      </c>
      <c r="M136" s="24" t="s">
        <v>4292</v>
      </c>
      <c r="N136" s="24"/>
      <c r="O136" s="26"/>
      <c r="P136" s="24"/>
      <c r="Q136" s="24"/>
      <c r="R136" s="26"/>
      <c r="S136" s="26"/>
      <c r="T136" s="26"/>
      <c r="U136" s="24"/>
      <c r="V136" s="24"/>
      <c r="W136" s="24"/>
      <c r="X136" s="63"/>
      <c r="Y136" s="63"/>
      <c r="Z136" s="63"/>
      <c r="AA136" s="63"/>
      <c r="AB136" s="24"/>
      <c r="AC136" s="24"/>
    </row>
    <row r="137" spans="1:29" s="28" customFormat="1" x14ac:dyDescent="0.3">
      <c r="A137" s="27" t="s">
        <v>2352</v>
      </c>
      <c r="B137" s="27" t="s">
        <v>2273</v>
      </c>
      <c r="C137" s="29"/>
      <c r="D137" s="28" t="s">
        <v>4803</v>
      </c>
      <c r="E137" s="20" t="s">
        <v>209</v>
      </c>
      <c r="F137" s="20" t="s">
        <v>2283</v>
      </c>
      <c r="G137" s="27"/>
      <c r="H137" s="20"/>
      <c r="I137" s="29"/>
      <c r="J137" s="29"/>
      <c r="K137" s="27"/>
      <c r="L137" s="27"/>
      <c r="M137" s="27" t="s">
        <v>6847</v>
      </c>
      <c r="N137" s="27" t="s">
        <v>6848</v>
      </c>
      <c r="O137" s="29" t="s">
        <v>6849</v>
      </c>
      <c r="P137" s="27"/>
      <c r="Q137" s="27"/>
      <c r="R137" s="29"/>
      <c r="S137" s="29"/>
      <c r="T137" s="29"/>
      <c r="U137" s="27"/>
      <c r="V137" s="27"/>
      <c r="W137" s="27"/>
      <c r="X137" s="64"/>
      <c r="Y137" s="64"/>
      <c r="Z137" s="64"/>
      <c r="AA137" s="64"/>
      <c r="AB137" s="27"/>
      <c r="AC137" s="27"/>
    </row>
    <row r="138" spans="1:29" s="28" customFormat="1" x14ac:dyDescent="0.3">
      <c r="A138" s="27" t="s">
        <v>6211</v>
      </c>
      <c r="B138" s="27" t="s">
        <v>2273</v>
      </c>
      <c r="C138" s="29"/>
      <c r="D138" s="28" t="s">
        <v>4803</v>
      </c>
      <c r="E138" s="20" t="s">
        <v>209</v>
      </c>
      <c r="F138" s="20" t="s">
        <v>2304</v>
      </c>
      <c r="G138" s="27"/>
      <c r="H138" s="20"/>
      <c r="I138" s="29"/>
      <c r="J138" s="29"/>
      <c r="K138" s="27"/>
      <c r="L138" s="27"/>
      <c r="M138" s="27" t="s">
        <v>6850</v>
      </c>
      <c r="N138" s="27"/>
      <c r="O138" s="29" t="s">
        <v>6851</v>
      </c>
      <c r="P138" s="27"/>
      <c r="Q138" s="27"/>
      <c r="R138" s="29"/>
      <c r="S138" s="29"/>
      <c r="T138" s="29"/>
      <c r="U138" s="27"/>
      <c r="V138" s="27"/>
      <c r="W138" s="27"/>
      <c r="X138" s="64"/>
      <c r="Y138" s="64"/>
      <c r="Z138" s="64"/>
      <c r="AA138" s="64"/>
      <c r="AB138" s="27"/>
      <c r="AC138" s="27"/>
    </row>
    <row r="139" spans="1:29" s="25" customFormat="1" x14ac:dyDescent="0.3">
      <c r="A139" s="24">
        <v>76</v>
      </c>
      <c r="B139" s="24" t="s">
        <v>2272</v>
      </c>
      <c r="C139" s="26">
        <v>87</v>
      </c>
      <c r="D139" s="25" t="s">
        <v>211</v>
      </c>
      <c r="E139" s="19" t="s">
        <v>212</v>
      </c>
      <c r="F139" s="19"/>
      <c r="G139" s="24"/>
      <c r="H139" s="19"/>
      <c r="I139" s="26" t="s">
        <v>49</v>
      </c>
      <c r="J139" s="26" t="s">
        <v>5121</v>
      </c>
      <c r="K139" s="24" t="s">
        <v>49</v>
      </c>
      <c r="L139" s="24" t="s">
        <v>3203</v>
      </c>
      <c r="M139" s="24" t="s">
        <v>5248</v>
      </c>
      <c r="N139" s="24"/>
      <c r="O139" s="26"/>
      <c r="P139" s="24" t="s">
        <v>6389</v>
      </c>
      <c r="Q139" s="24"/>
      <c r="R139" s="26"/>
      <c r="S139" s="26"/>
      <c r="T139" s="26"/>
      <c r="U139" s="24"/>
      <c r="V139" s="24"/>
      <c r="W139" s="24"/>
      <c r="X139" s="63"/>
      <c r="Y139" s="63"/>
      <c r="Z139" s="63"/>
      <c r="AA139" s="63"/>
      <c r="AB139" s="24"/>
      <c r="AC139" s="24"/>
    </row>
    <row r="140" spans="1:29" s="28" customFormat="1" x14ac:dyDescent="0.3">
      <c r="A140" s="27" t="s">
        <v>6212</v>
      </c>
      <c r="B140" s="27" t="s">
        <v>2273</v>
      </c>
      <c r="C140" s="29"/>
      <c r="D140" s="28" t="s">
        <v>4804</v>
      </c>
      <c r="E140" s="20" t="s">
        <v>212</v>
      </c>
      <c r="F140" s="20" t="s">
        <v>2349</v>
      </c>
      <c r="G140" s="27"/>
      <c r="H140" s="20"/>
      <c r="I140" s="29"/>
      <c r="J140" s="29"/>
      <c r="K140" s="27"/>
      <c r="L140" s="27"/>
      <c r="M140" s="27" t="s">
        <v>6852</v>
      </c>
      <c r="N140" s="27"/>
      <c r="O140" s="29" t="s">
        <v>6853</v>
      </c>
      <c r="P140" s="27"/>
      <c r="Q140" s="27"/>
      <c r="R140" s="29"/>
      <c r="S140" s="29"/>
      <c r="T140" s="29"/>
      <c r="U140" s="27"/>
      <c r="V140" s="27"/>
      <c r="W140" s="27"/>
      <c r="X140" s="64"/>
      <c r="Y140" s="64"/>
      <c r="Z140" s="64"/>
      <c r="AA140" s="64"/>
      <c r="AB140" s="27"/>
      <c r="AC140" s="27"/>
    </row>
    <row r="141" spans="1:29" s="25" customFormat="1" x14ac:dyDescent="0.3">
      <c r="A141" s="24">
        <v>77</v>
      </c>
      <c r="B141" s="24" t="s">
        <v>2272</v>
      </c>
      <c r="C141" s="26">
        <v>89</v>
      </c>
      <c r="D141" s="25" t="s">
        <v>214</v>
      </c>
      <c r="E141" s="19" t="s">
        <v>215</v>
      </c>
      <c r="F141" s="19"/>
      <c r="G141" s="24"/>
      <c r="H141" s="19"/>
      <c r="I141" s="26" t="s">
        <v>37</v>
      </c>
      <c r="J141" s="26" t="s">
        <v>37</v>
      </c>
      <c r="K141" s="24"/>
      <c r="L141" s="24" t="s">
        <v>3205</v>
      </c>
      <c r="M141" s="24" t="s">
        <v>5249</v>
      </c>
      <c r="N141" s="24"/>
      <c r="O141" s="26"/>
      <c r="P141" s="24"/>
      <c r="Q141" s="24"/>
      <c r="R141" s="26"/>
      <c r="S141" s="26"/>
      <c r="T141" s="26"/>
      <c r="U141" s="24"/>
      <c r="V141" s="24"/>
      <c r="W141" s="24"/>
      <c r="X141" s="63"/>
      <c r="Y141" s="63"/>
      <c r="Z141" s="63"/>
      <c r="AA141" s="63"/>
      <c r="AB141" s="24"/>
      <c r="AC141" s="24"/>
    </row>
    <row r="142" spans="1:29" s="28" customFormat="1" x14ac:dyDescent="0.3">
      <c r="A142" s="27" t="s">
        <v>6213</v>
      </c>
      <c r="B142" s="27" t="s">
        <v>2273</v>
      </c>
      <c r="C142" s="29"/>
      <c r="D142" s="28" t="s">
        <v>4805</v>
      </c>
      <c r="E142" s="20" t="s">
        <v>215</v>
      </c>
      <c r="F142" s="20" t="s">
        <v>2350</v>
      </c>
      <c r="G142" s="27"/>
      <c r="H142" s="20"/>
      <c r="I142" s="29"/>
      <c r="J142" s="29"/>
      <c r="K142" s="27"/>
      <c r="L142" s="27"/>
      <c r="M142" s="27" t="s">
        <v>6854</v>
      </c>
      <c r="N142" s="27"/>
      <c r="O142" s="29" t="s">
        <v>6855</v>
      </c>
      <c r="P142" s="27"/>
      <c r="Q142" s="27"/>
      <c r="R142" s="29"/>
      <c r="S142" s="29"/>
      <c r="T142" s="29"/>
      <c r="U142" s="27"/>
      <c r="V142" s="27"/>
      <c r="W142" s="27"/>
      <c r="X142" s="64"/>
      <c r="Y142" s="64"/>
      <c r="Z142" s="64"/>
      <c r="AA142" s="64"/>
      <c r="AB142" s="27"/>
      <c r="AC142" s="27"/>
    </row>
    <row r="143" spans="1:29" s="28" customFormat="1" x14ac:dyDescent="0.3">
      <c r="A143" s="27" t="s">
        <v>6214</v>
      </c>
      <c r="B143" s="27" t="s">
        <v>2273</v>
      </c>
      <c r="C143" s="29"/>
      <c r="D143" s="28" t="s">
        <v>4805</v>
      </c>
      <c r="E143" s="20" t="s">
        <v>215</v>
      </c>
      <c r="F143" s="20" t="s">
        <v>2351</v>
      </c>
      <c r="G143" s="27"/>
      <c r="H143" s="20"/>
      <c r="I143" s="29"/>
      <c r="J143" s="29"/>
      <c r="K143" s="27"/>
      <c r="L143" s="27"/>
      <c r="M143" s="27" t="s">
        <v>2185</v>
      </c>
      <c r="N143" s="27"/>
      <c r="O143" s="29" t="s">
        <v>1631</v>
      </c>
      <c r="P143" s="27"/>
      <c r="Q143" s="27"/>
      <c r="R143" s="29"/>
      <c r="S143" s="29"/>
      <c r="T143" s="29"/>
      <c r="U143" s="27"/>
      <c r="V143" s="27"/>
      <c r="W143" s="27"/>
      <c r="X143" s="64"/>
      <c r="Y143" s="64"/>
      <c r="Z143" s="64"/>
      <c r="AA143" s="64"/>
      <c r="AB143" s="27"/>
      <c r="AC143" s="27"/>
    </row>
    <row r="144" spans="1:29" s="25" customFormat="1" x14ac:dyDescent="0.3">
      <c r="A144" s="24">
        <v>78</v>
      </c>
      <c r="B144" s="24" t="s">
        <v>2272</v>
      </c>
      <c r="C144" s="26">
        <v>89</v>
      </c>
      <c r="D144" s="25" t="s">
        <v>216</v>
      </c>
      <c r="E144" s="19" t="s">
        <v>217</v>
      </c>
      <c r="F144" s="19"/>
      <c r="G144" s="24"/>
      <c r="H144" s="19" t="s">
        <v>1681</v>
      </c>
      <c r="I144" s="26" t="s">
        <v>37</v>
      </c>
      <c r="J144" s="26" t="s">
        <v>37</v>
      </c>
      <c r="K144" s="24"/>
      <c r="L144" s="24" t="s">
        <v>3207</v>
      </c>
      <c r="M144" s="24" t="s">
        <v>5250</v>
      </c>
      <c r="N144" s="24"/>
      <c r="O144" s="26"/>
      <c r="P144" s="24" t="s">
        <v>9</v>
      </c>
      <c r="Q144" s="24"/>
      <c r="R144" s="26"/>
      <c r="S144" s="26"/>
      <c r="T144" s="26"/>
      <c r="U144" s="24"/>
      <c r="V144" s="24"/>
      <c r="W144" s="24"/>
      <c r="X144" s="63"/>
      <c r="Y144" s="63"/>
      <c r="Z144" s="63"/>
      <c r="AA144" s="63"/>
      <c r="AB144" s="24"/>
      <c r="AC144" s="24"/>
    </row>
    <row r="145" spans="1:29" s="28" customFormat="1" x14ac:dyDescent="0.3">
      <c r="A145" s="27" t="s">
        <v>6215</v>
      </c>
      <c r="B145" s="27" t="s">
        <v>2273</v>
      </c>
      <c r="C145" s="29">
        <v>89</v>
      </c>
      <c r="D145" s="28" t="s">
        <v>4806</v>
      </c>
      <c r="E145" s="20" t="s">
        <v>217</v>
      </c>
      <c r="F145" s="20" t="s">
        <v>2353</v>
      </c>
      <c r="G145" s="27" t="s">
        <v>4535</v>
      </c>
      <c r="H145" s="20" t="s">
        <v>4536</v>
      </c>
      <c r="I145" s="29"/>
      <c r="J145" s="29" t="s">
        <v>37</v>
      </c>
      <c r="K145" s="27"/>
      <c r="L145" s="27" t="s">
        <v>3207</v>
      </c>
      <c r="M145" s="27" t="s">
        <v>6856</v>
      </c>
      <c r="N145" s="27"/>
      <c r="O145" s="29" t="s">
        <v>6857</v>
      </c>
      <c r="P145" s="27"/>
      <c r="Q145" s="27"/>
      <c r="R145" s="29"/>
      <c r="S145" s="29"/>
      <c r="T145" s="29"/>
      <c r="U145" s="27"/>
      <c r="V145" s="27"/>
      <c r="W145" s="27"/>
      <c r="X145" s="64"/>
      <c r="Y145" s="64"/>
      <c r="Z145" s="64"/>
      <c r="AA145" s="64"/>
      <c r="AB145" s="27"/>
      <c r="AC145" s="27"/>
    </row>
    <row r="146" spans="1:29" s="25" customFormat="1" x14ac:dyDescent="0.3">
      <c r="A146" s="24">
        <v>79</v>
      </c>
      <c r="B146" s="24" t="s">
        <v>2272</v>
      </c>
      <c r="C146" s="26">
        <v>89</v>
      </c>
      <c r="D146" s="25" t="s">
        <v>218</v>
      </c>
      <c r="E146" s="19" t="s">
        <v>219</v>
      </c>
      <c r="F146" s="19"/>
      <c r="G146" s="24"/>
      <c r="H146" s="19"/>
      <c r="I146" s="26" t="s">
        <v>695</v>
      </c>
      <c r="J146" s="26" t="s">
        <v>37</v>
      </c>
      <c r="K146" s="24"/>
      <c r="L146" s="24" t="s">
        <v>3209</v>
      </c>
      <c r="M146" s="24" t="s">
        <v>5251</v>
      </c>
      <c r="N146" s="24"/>
      <c r="O146" s="26"/>
      <c r="P146" s="24"/>
      <c r="Q146" s="24"/>
      <c r="R146" s="26"/>
      <c r="S146" s="26"/>
      <c r="T146" s="26"/>
      <c r="U146" s="24"/>
      <c r="V146" s="24"/>
      <c r="W146" s="24"/>
      <c r="X146" s="63"/>
      <c r="Y146" s="63"/>
      <c r="Z146" s="63"/>
      <c r="AA146" s="63"/>
      <c r="AB146" s="24"/>
      <c r="AC146" s="24"/>
    </row>
    <row r="147" spans="1:29" s="28" customFormat="1" x14ac:dyDescent="0.3">
      <c r="A147" s="27" t="s">
        <v>6216</v>
      </c>
      <c r="B147" s="27" t="s">
        <v>2273</v>
      </c>
      <c r="C147" s="29"/>
      <c r="D147" s="28" t="s">
        <v>4807</v>
      </c>
      <c r="E147" s="20" t="s">
        <v>219</v>
      </c>
      <c r="F147" s="20" t="s">
        <v>2354</v>
      </c>
      <c r="G147" s="27"/>
      <c r="H147" s="20"/>
      <c r="I147" s="29"/>
      <c r="J147" s="29"/>
      <c r="K147" s="27"/>
      <c r="L147" s="27"/>
      <c r="M147" s="27" t="s">
        <v>6858</v>
      </c>
      <c r="N147" s="27"/>
      <c r="O147" s="29" t="s">
        <v>6858</v>
      </c>
      <c r="P147" s="27"/>
      <c r="Q147" s="27"/>
      <c r="R147" s="29"/>
      <c r="S147" s="29"/>
      <c r="T147" s="29"/>
      <c r="U147" s="27"/>
      <c r="V147" s="27"/>
      <c r="W147" s="27"/>
      <c r="X147" s="64"/>
      <c r="Y147" s="64"/>
      <c r="Z147" s="64"/>
      <c r="AA147" s="64"/>
      <c r="AB147" s="27"/>
      <c r="AC147" s="27"/>
    </row>
    <row r="148" spans="1:29" s="25" customFormat="1" x14ac:dyDescent="0.3">
      <c r="A148" s="24">
        <v>80</v>
      </c>
      <c r="B148" s="24" t="s">
        <v>2272</v>
      </c>
      <c r="C148" s="26">
        <v>89</v>
      </c>
      <c r="D148" s="25" t="s">
        <v>220</v>
      </c>
      <c r="E148" s="19" t="s">
        <v>221</v>
      </c>
      <c r="F148" s="19"/>
      <c r="G148" s="24"/>
      <c r="H148" s="19"/>
      <c r="I148" s="26" t="s">
        <v>37</v>
      </c>
      <c r="J148" s="26" t="s">
        <v>37</v>
      </c>
      <c r="K148" s="24"/>
      <c r="L148" s="24" t="s">
        <v>3150</v>
      </c>
      <c r="M148" s="24" t="s">
        <v>5252</v>
      </c>
      <c r="N148" s="24"/>
      <c r="O148" s="26"/>
      <c r="P148" s="24"/>
      <c r="Q148" s="24"/>
      <c r="R148" s="26"/>
      <c r="S148" s="26"/>
      <c r="T148" s="26"/>
      <c r="U148" s="24"/>
      <c r="V148" s="24"/>
      <c r="W148" s="24"/>
      <c r="X148" s="63"/>
      <c r="Y148" s="63"/>
      <c r="Z148" s="63"/>
      <c r="AA148" s="63"/>
      <c r="AB148" s="24"/>
      <c r="AC148" s="24"/>
    </row>
    <row r="149" spans="1:29" s="28" customFormat="1" x14ac:dyDescent="0.3">
      <c r="A149" s="27" t="s">
        <v>6217</v>
      </c>
      <c r="B149" s="27" t="s">
        <v>2273</v>
      </c>
      <c r="C149" s="29"/>
      <c r="D149" s="28" t="s">
        <v>4808</v>
      </c>
      <c r="E149" s="20" t="s">
        <v>221</v>
      </c>
      <c r="F149" s="20" t="s">
        <v>2355</v>
      </c>
      <c r="G149" s="27"/>
      <c r="H149" s="20"/>
      <c r="I149" s="29"/>
      <c r="J149" s="29"/>
      <c r="K149" s="27"/>
      <c r="L149" s="27"/>
      <c r="M149" s="27" t="s">
        <v>6859</v>
      </c>
      <c r="N149" s="27"/>
      <c r="O149" s="29" t="s">
        <v>1631</v>
      </c>
      <c r="P149" s="27"/>
      <c r="Q149" s="27"/>
      <c r="R149" s="29"/>
      <c r="S149" s="29"/>
      <c r="T149" s="29"/>
      <c r="U149" s="27"/>
      <c r="V149" s="27"/>
      <c r="W149" s="27"/>
      <c r="X149" s="64"/>
      <c r="Y149" s="64"/>
      <c r="Z149" s="64"/>
      <c r="AA149" s="64"/>
      <c r="AB149" s="27"/>
      <c r="AC149" s="27"/>
    </row>
    <row r="150" spans="1:29" s="25" customFormat="1" x14ac:dyDescent="0.3">
      <c r="A150" s="24">
        <v>81</v>
      </c>
      <c r="B150" s="24" t="s">
        <v>2272</v>
      </c>
      <c r="C150" s="26">
        <v>91</v>
      </c>
      <c r="D150" s="25" t="s">
        <v>222</v>
      </c>
      <c r="E150" s="19" t="s">
        <v>223</v>
      </c>
      <c r="F150" s="19"/>
      <c r="G150" s="24"/>
      <c r="H150" s="19" t="s">
        <v>4294</v>
      </c>
      <c r="I150" s="26" t="s">
        <v>37</v>
      </c>
      <c r="J150" s="26" t="s">
        <v>37</v>
      </c>
      <c r="K150" s="24"/>
      <c r="L150" s="24" t="s">
        <v>3150</v>
      </c>
      <c r="M150" s="24" t="s">
        <v>5253</v>
      </c>
      <c r="N150" s="24"/>
      <c r="O150" s="26"/>
      <c r="P150" s="24"/>
      <c r="Q150" s="24"/>
      <c r="R150" s="26"/>
      <c r="S150" s="26"/>
      <c r="T150" s="26"/>
      <c r="U150" s="24"/>
      <c r="V150" s="24"/>
      <c r="W150" s="24"/>
      <c r="X150" s="63"/>
      <c r="Y150" s="63"/>
      <c r="Z150" s="63"/>
      <c r="AA150" s="63"/>
      <c r="AB150" s="24"/>
      <c r="AC150" s="24"/>
    </row>
    <row r="151" spans="1:29" s="28" customFormat="1" x14ac:dyDescent="0.3">
      <c r="A151" s="27" t="s">
        <v>6218</v>
      </c>
      <c r="B151" s="27" t="s">
        <v>2273</v>
      </c>
      <c r="C151" s="29"/>
      <c r="D151" s="28" t="s">
        <v>4809</v>
      </c>
      <c r="E151" s="20" t="s">
        <v>223</v>
      </c>
      <c r="F151" s="20" t="s">
        <v>2356</v>
      </c>
      <c r="G151" s="27"/>
      <c r="H151" s="20"/>
      <c r="I151" s="29"/>
      <c r="J151" s="29"/>
      <c r="K151" s="27"/>
      <c r="L151" s="27"/>
      <c r="M151" s="27" t="s">
        <v>6860</v>
      </c>
      <c r="N151" s="27"/>
      <c r="O151" s="29" t="s">
        <v>6861</v>
      </c>
      <c r="P151" s="27"/>
      <c r="Q151" s="27"/>
      <c r="R151" s="29"/>
      <c r="S151" s="29"/>
      <c r="T151" s="29"/>
      <c r="U151" s="27"/>
      <c r="V151" s="27"/>
      <c r="W151" s="27"/>
      <c r="X151" s="64"/>
      <c r="Y151" s="64"/>
      <c r="Z151" s="64"/>
      <c r="AA151" s="64"/>
      <c r="AB151" s="27"/>
      <c r="AC151" s="27"/>
    </row>
    <row r="152" spans="1:29" s="28" customFormat="1" x14ac:dyDescent="0.3">
      <c r="A152" s="27" t="s">
        <v>4537</v>
      </c>
      <c r="B152" s="27" t="s">
        <v>2273</v>
      </c>
      <c r="C152" s="29"/>
      <c r="D152" s="28" t="s">
        <v>4809</v>
      </c>
      <c r="E152" s="20" t="s">
        <v>223</v>
      </c>
      <c r="F152" s="20" t="s">
        <v>2357</v>
      </c>
      <c r="G152" s="27"/>
      <c r="H152" s="20"/>
      <c r="I152" s="29"/>
      <c r="J152" s="29"/>
      <c r="K152" s="27"/>
      <c r="L152" s="27"/>
      <c r="M152" s="27" t="s">
        <v>6828</v>
      </c>
      <c r="N152" s="27"/>
      <c r="O152" s="29" t="s">
        <v>6862</v>
      </c>
      <c r="P152" s="27"/>
      <c r="Q152" s="27"/>
      <c r="R152" s="29"/>
      <c r="S152" s="29"/>
      <c r="T152" s="29"/>
      <c r="U152" s="27"/>
      <c r="V152" s="27"/>
      <c r="W152" s="27"/>
      <c r="X152" s="64"/>
      <c r="Y152" s="64"/>
      <c r="Z152" s="64"/>
      <c r="AA152" s="64"/>
      <c r="AB152" s="27"/>
      <c r="AC152" s="27"/>
    </row>
    <row r="153" spans="1:29" s="25" customFormat="1" x14ac:dyDescent="0.3">
      <c r="A153" s="24">
        <v>82</v>
      </c>
      <c r="B153" s="24" t="s">
        <v>2272</v>
      </c>
      <c r="C153" s="26">
        <v>91</v>
      </c>
      <c r="D153" s="25" t="s">
        <v>224</v>
      </c>
      <c r="E153" s="19" t="s">
        <v>225</v>
      </c>
      <c r="F153" s="19"/>
      <c r="G153" s="24"/>
      <c r="H153" s="19"/>
      <c r="I153" s="26" t="s">
        <v>57</v>
      </c>
      <c r="J153" s="26" t="s">
        <v>57</v>
      </c>
      <c r="K153" s="24"/>
      <c r="L153" s="24" t="s">
        <v>3213</v>
      </c>
      <c r="M153" s="24" t="s">
        <v>5229</v>
      </c>
      <c r="N153" s="24"/>
      <c r="O153" s="26"/>
      <c r="P153" s="24"/>
      <c r="Q153" s="24"/>
      <c r="R153" s="26"/>
      <c r="S153" s="26"/>
      <c r="T153" s="26"/>
      <c r="U153" s="24"/>
      <c r="V153" s="24"/>
      <c r="W153" s="24"/>
      <c r="X153" s="63"/>
      <c r="Y153" s="63"/>
      <c r="Z153" s="63"/>
      <c r="AA153" s="63"/>
      <c r="AB153" s="24"/>
      <c r="AC153" s="24"/>
    </row>
    <row r="154" spans="1:29" s="28" customFormat="1" x14ac:dyDescent="0.3">
      <c r="A154" s="27" t="s">
        <v>6219</v>
      </c>
      <c r="B154" s="27" t="s">
        <v>2273</v>
      </c>
      <c r="C154" s="29"/>
      <c r="D154" s="28" t="s">
        <v>4810</v>
      </c>
      <c r="E154" s="20" t="s">
        <v>225</v>
      </c>
      <c r="F154" s="20" t="s">
        <v>2358</v>
      </c>
      <c r="G154" s="27"/>
      <c r="H154" s="20"/>
      <c r="I154" s="29"/>
      <c r="J154" s="29"/>
      <c r="K154" s="27"/>
      <c r="L154" s="27"/>
      <c r="M154" s="27" t="s">
        <v>6863</v>
      </c>
      <c r="N154" s="27"/>
      <c r="O154" s="29" t="s">
        <v>6864</v>
      </c>
      <c r="P154" s="27"/>
      <c r="Q154" s="27"/>
      <c r="R154" s="29"/>
      <c r="S154" s="29"/>
      <c r="T154" s="29"/>
      <c r="U154" s="27"/>
      <c r="V154" s="27"/>
      <c r="W154" s="27"/>
      <c r="X154" s="64"/>
      <c r="Y154" s="64"/>
      <c r="Z154" s="64"/>
      <c r="AA154" s="64"/>
      <c r="AB154" s="27"/>
      <c r="AC154" s="27"/>
    </row>
    <row r="155" spans="1:29" s="28" customFormat="1" x14ac:dyDescent="0.3">
      <c r="A155" s="27" t="s">
        <v>6220</v>
      </c>
      <c r="B155" s="27" t="s">
        <v>2273</v>
      </c>
      <c r="C155" s="29"/>
      <c r="D155" s="28" t="s">
        <v>4810</v>
      </c>
      <c r="E155" s="20" t="s">
        <v>225</v>
      </c>
      <c r="F155" s="20" t="s">
        <v>2359</v>
      </c>
      <c r="G155" s="27"/>
      <c r="H155" s="20"/>
      <c r="I155" s="29"/>
      <c r="J155" s="29"/>
      <c r="K155" s="27"/>
      <c r="L155" s="27"/>
      <c r="M155" s="27" t="s">
        <v>6865</v>
      </c>
      <c r="N155" s="27"/>
      <c r="O155" s="29" t="s">
        <v>6866</v>
      </c>
      <c r="P155" s="27"/>
      <c r="Q155" s="27"/>
      <c r="R155" s="29"/>
      <c r="S155" s="29"/>
      <c r="T155" s="29"/>
      <c r="U155" s="27"/>
      <c r="V155" s="27"/>
      <c r="W155" s="27"/>
      <c r="X155" s="64"/>
      <c r="Y155" s="64"/>
      <c r="Z155" s="64"/>
      <c r="AA155" s="64"/>
      <c r="AB155" s="27"/>
      <c r="AC155" s="27"/>
    </row>
    <row r="156" spans="1:29" s="28" customFormat="1" x14ac:dyDescent="0.3">
      <c r="A156" s="27" t="s">
        <v>6221</v>
      </c>
      <c r="B156" s="27" t="s">
        <v>2273</v>
      </c>
      <c r="C156" s="29"/>
      <c r="D156" s="28" t="s">
        <v>4810</v>
      </c>
      <c r="E156" s="20" t="s">
        <v>225</v>
      </c>
      <c r="F156" s="20" t="s">
        <v>2360</v>
      </c>
      <c r="G156" s="27"/>
      <c r="H156" s="20"/>
      <c r="I156" s="29"/>
      <c r="J156" s="29"/>
      <c r="K156" s="27"/>
      <c r="L156" s="27"/>
      <c r="M156" s="27" t="s">
        <v>6867</v>
      </c>
      <c r="N156" s="27"/>
      <c r="O156" s="29" t="s">
        <v>6868</v>
      </c>
      <c r="P156" s="27"/>
      <c r="Q156" s="27"/>
      <c r="R156" s="29"/>
      <c r="S156" s="29"/>
      <c r="T156" s="29"/>
      <c r="U156" s="27"/>
      <c r="V156" s="27"/>
      <c r="W156" s="27"/>
      <c r="X156" s="64"/>
      <c r="Y156" s="64"/>
      <c r="Z156" s="64"/>
      <c r="AA156" s="64"/>
      <c r="AB156" s="27"/>
      <c r="AC156" s="27"/>
    </row>
    <row r="157" spans="1:29" s="25" customFormat="1" x14ac:dyDescent="0.3">
      <c r="A157" s="24">
        <v>83</v>
      </c>
      <c r="B157" s="24" t="s">
        <v>2272</v>
      </c>
      <c r="C157" s="26">
        <v>91</v>
      </c>
      <c r="D157" s="25" t="s">
        <v>226</v>
      </c>
      <c r="E157" s="19" t="s">
        <v>227</v>
      </c>
      <c r="F157" s="19"/>
      <c r="G157" s="24"/>
      <c r="H157" s="19"/>
      <c r="I157" s="26" t="s">
        <v>37</v>
      </c>
      <c r="J157" s="26" t="s">
        <v>37</v>
      </c>
      <c r="K157" s="24"/>
      <c r="L157" s="24" t="s">
        <v>3215</v>
      </c>
      <c r="M157" s="24" t="s">
        <v>5254</v>
      </c>
      <c r="N157" s="24"/>
      <c r="O157" s="26"/>
      <c r="P157" s="24"/>
      <c r="Q157" s="24"/>
      <c r="R157" s="26"/>
      <c r="S157" s="26"/>
      <c r="T157" s="26"/>
      <c r="U157" s="24"/>
      <c r="V157" s="24"/>
      <c r="W157" s="24"/>
      <c r="X157" s="63"/>
      <c r="Y157" s="63"/>
      <c r="Z157" s="63"/>
      <c r="AA157" s="63"/>
      <c r="AB157" s="24"/>
      <c r="AC157" s="24"/>
    </row>
    <row r="158" spans="1:29" s="28" customFormat="1" x14ac:dyDescent="0.3">
      <c r="A158" s="27" t="s">
        <v>6222</v>
      </c>
      <c r="B158" s="27" t="s">
        <v>2273</v>
      </c>
      <c r="C158" s="29"/>
      <c r="D158" s="28" t="s">
        <v>4811</v>
      </c>
      <c r="E158" s="20" t="s">
        <v>227</v>
      </c>
      <c r="F158" s="20" t="s">
        <v>2361</v>
      </c>
      <c r="G158" s="27"/>
      <c r="H158" s="20"/>
      <c r="I158" s="29"/>
      <c r="J158" s="29"/>
      <c r="K158" s="27"/>
      <c r="L158" s="27"/>
      <c r="M158" s="27" t="s">
        <v>6869</v>
      </c>
      <c r="N158" s="27"/>
      <c r="O158" s="29" t="s">
        <v>6870</v>
      </c>
      <c r="P158" s="27"/>
      <c r="Q158" s="27"/>
      <c r="R158" s="29"/>
      <c r="S158" s="29"/>
      <c r="T158" s="29"/>
      <c r="U158" s="27"/>
      <c r="V158" s="27"/>
      <c r="W158" s="27"/>
      <c r="X158" s="64"/>
      <c r="Y158" s="64"/>
      <c r="Z158" s="64"/>
      <c r="AA158" s="64"/>
      <c r="AB158" s="27"/>
      <c r="AC158" s="27"/>
    </row>
    <row r="159" spans="1:29" s="25" customFormat="1" x14ac:dyDescent="0.3">
      <c r="A159" s="24">
        <v>84</v>
      </c>
      <c r="B159" s="24" t="s">
        <v>2272</v>
      </c>
      <c r="C159" s="26">
        <v>91</v>
      </c>
      <c r="D159" s="25" t="s">
        <v>228</v>
      </c>
      <c r="E159" s="19" t="s">
        <v>229</v>
      </c>
      <c r="F159" s="19"/>
      <c r="G159" s="24"/>
      <c r="H159" s="19"/>
      <c r="I159" s="26" t="s">
        <v>89</v>
      </c>
      <c r="J159" s="26" t="s">
        <v>37</v>
      </c>
      <c r="K159" s="24"/>
      <c r="L159" s="24" t="s">
        <v>3217</v>
      </c>
      <c r="M159" s="24" t="s">
        <v>5255</v>
      </c>
      <c r="N159" s="24" t="s">
        <v>5256</v>
      </c>
      <c r="O159" s="26" t="s">
        <v>1684</v>
      </c>
      <c r="P159" s="24"/>
      <c r="Q159" s="24"/>
      <c r="R159" s="26"/>
      <c r="S159" s="26"/>
      <c r="T159" s="26"/>
      <c r="U159" s="24"/>
      <c r="V159" s="24"/>
      <c r="W159" s="24"/>
      <c r="X159" s="63"/>
      <c r="Y159" s="63"/>
      <c r="Z159" s="63"/>
      <c r="AA159" s="63"/>
      <c r="AB159" s="24"/>
      <c r="AC159" s="24"/>
    </row>
    <row r="160" spans="1:29" s="25" customFormat="1" x14ac:dyDescent="0.3">
      <c r="A160" s="24">
        <v>85</v>
      </c>
      <c r="B160" s="24" t="s">
        <v>2272</v>
      </c>
      <c r="C160" s="26">
        <v>93</v>
      </c>
      <c r="D160" s="25" t="s">
        <v>230</v>
      </c>
      <c r="E160" s="19" t="s">
        <v>231</v>
      </c>
      <c r="F160" s="19"/>
      <c r="G160" s="24"/>
      <c r="H160" s="19"/>
      <c r="I160" s="26" t="s">
        <v>57</v>
      </c>
      <c r="J160" s="26" t="s">
        <v>57</v>
      </c>
      <c r="K160" s="24"/>
      <c r="L160" s="24" t="s">
        <v>3125</v>
      </c>
      <c r="M160" s="24" t="s">
        <v>5213</v>
      </c>
      <c r="N160" s="24"/>
      <c r="O160" s="26" t="s">
        <v>1631</v>
      </c>
      <c r="P160" s="24"/>
      <c r="Q160" s="24"/>
      <c r="R160" s="26"/>
      <c r="S160" s="26"/>
      <c r="T160" s="26"/>
      <c r="U160" s="24"/>
      <c r="V160" s="24"/>
      <c r="W160" s="24"/>
      <c r="X160" s="63"/>
      <c r="Y160" s="63"/>
      <c r="Z160" s="63"/>
      <c r="AA160" s="63"/>
      <c r="AB160" s="24"/>
      <c r="AC160" s="24"/>
    </row>
    <row r="161" spans="1:29" s="25" customFormat="1" x14ac:dyDescent="0.3">
      <c r="A161" s="24">
        <v>86</v>
      </c>
      <c r="B161" s="24" t="s">
        <v>2272</v>
      </c>
      <c r="C161" s="26">
        <v>93</v>
      </c>
      <c r="D161" s="25" t="s">
        <v>232</v>
      </c>
      <c r="E161" s="19" t="s">
        <v>233</v>
      </c>
      <c r="F161" s="19"/>
      <c r="G161" s="24"/>
      <c r="H161" s="19"/>
      <c r="I161" s="26" t="s">
        <v>89</v>
      </c>
      <c r="J161" s="26" t="s">
        <v>37</v>
      </c>
      <c r="K161" s="24" t="s">
        <v>1686</v>
      </c>
      <c r="L161" s="24" t="s">
        <v>8550</v>
      </c>
      <c r="M161" s="24" t="s">
        <v>5257</v>
      </c>
      <c r="N161" s="24"/>
      <c r="O161" s="26"/>
      <c r="P161" s="24"/>
      <c r="Q161" s="24"/>
      <c r="R161" s="26"/>
      <c r="S161" s="26"/>
      <c r="T161" s="26"/>
      <c r="U161" s="24"/>
      <c r="V161" s="24"/>
      <c r="W161" s="24"/>
      <c r="X161" s="63"/>
      <c r="Y161" s="63"/>
      <c r="Z161" s="63"/>
      <c r="AA161" s="63"/>
      <c r="AB161" s="24"/>
      <c r="AC161" s="24"/>
    </row>
    <row r="162" spans="1:29" s="28" customFormat="1" x14ac:dyDescent="0.3">
      <c r="A162" s="27" t="s">
        <v>6223</v>
      </c>
      <c r="B162" s="27" t="s">
        <v>2273</v>
      </c>
      <c r="C162" s="29"/>
      <c r="D162" s="28" t="s">
        <v>4812</v>
      </c>
      <c r="E162" s="20" t="s">
        <v>233</v>
      </c>
      <c r="F162" s="20" t="s">
        <v>2363</v>
      </c>
      <c r="G162" s="27"/>
      <c r="H162" s="20"/>
      <c r="I162" s="29"/>
      <c r="J162" s="29"/>
      <c r="K162" s="27"/>
      <c r="L162" s="27"/>
      <c r="M162" s="27" t="s">
        <v>6871</v>
      </c>
      <c r="N162" s="27" t="s">
        <v>6872</v>
      </c>
      <c r="O162" s="29" t="s">
        <v>6873</v>
      </c>
      <c r="P162" s="27"/>
      <c r="Q162" s="27"/>
      <c r="R162" s="29"/>
      <c r="S162" s="29"/>
      <c r="T162" s="29"/>
      <c r="U162" s="27"/>
      <c r="V162" s="27"/>
      <c r="W162" s="27"/>
      <c r="X162" s="64"/>
      <c r="Y162" s="64"/>
      <c r="Z162" s="64"/>
      <c r="AA162" s="64"/>
      <c r="AB162" s="27"/>
      <c r="AC162" s="27"/>
    </row>
    <row r="163" spans="1:29" s="25" customFormat="1" x14ac:dyDescent="0.3">
      <c r="A163" s="24">
        <v>87</v>
      </c>
      <c r="B163" s="24" t="s">
        <v>2272</v>
      </c>
      <c r="C163" s="26">
        <v>93</v>
      </c>
      <c r="D163" s="25" t="s">
        <v>235</v>
      </c>
      <c r="E163" s="19" t="s">
        <v>236</v>
      </c>
      <c r="F163" s="19"/>
      <c r="G163" s="24"/>
      <c r="H163" s="19" t="s">
        <v>4297</v>
      </c>
      <c r="I163" s="26" t="s">
        <v>89</v>
      </c>
      <c r="J163" s="26" t="s">
        <v>37</v>
      </c>
      <c r="K163" s="24"/>
      <c r="L163" s="24" t="s">
        <v>3221</v>
      </c>
      <c r="M163" s="24" t="s">
        <v>5258</v>
      </c>
      <c r="N163" s="24" t="s">
        <v>5259</v>
      </c>
      <c r="O163" s="26" t="s">
        <v>1687</v>
      </c>
      <c r="P163" s="24"/>
      <c r="Q163" s="24"/>
      <c r="R163" s="26"/>
      <c r="S163" s="26"/>
      <c r="T163" s="26"/>
      <c r="U163" s="24"/>
      <c r="V163" s="24"/>
      <c r="W163" s="24"/>
      <c r="X163" s="63"/>
      <c r="Y163" s="63"/>
      <c r="Z163" s="63"/>
      <c r="AA163" s="63"/>
      <c r="AB163" s="24"/>
      <c r="AC163" s="24"/>
    </row>
    <row r="164" spans="1:29" s="25" customFormat="1" x14ac:dyDescent="0.3">
      <c r="A164" s="24">
        <v>88</v>
      </c>
      <c r="B164" s="24" t="s">
        <v>2272</v>
      </c>
      <c r="C164" s="26">
        <v>93</v>
      </c>
      <c r="D164" s="25" t="s">
        <v>237</v>
      </c>
      <c r="E164" s="19" t="s">
        <v>238</v>
      </c>
      <c r="F164" s="19"/>
      <c r="G164" s="24"/>
      <c r="H164" s="19" t="s">
        <v>4299</v>
      </c>
      <c r="I164" s="26" t="s">
        <v>89</v>
      </c>
      <c r="J164" s="26" t="s">
        <v>37</v>
      </c>
      <c r="K164" s="24"/>
      <c r="L164" s="24" t="s">
        <v>3221</v>
      </c>
      <c r="M164" s="24" t="s">
        <v>5260</v>
      </c>
      <c r="N164" s="24" t="s">
        <v>5261</v>
      </c>
      <c r="O164" s="26" t="s">
        <v>1688</v>
      </c>
      <c r="P164" s="24"/>
      <c r="Q164" s="24"/>
      <c r="R164" s="26"/>
      <c r="S164" s="26"/>
      <c r="T164" s="26"/>
      <c r="U164" s="24"/>
      <c r="V164" s="24"/>
      <c r="W164" s="24"/>
      <c r="X164" s="63"/>
      <c r="Y164" s="63"/>
      <c r="Z164" s="63"/>
      <c r="AA164" s="63"/>
      <c r="AB164" s="24"/>
      <c r="AC164" s="24"/>
    </row>
    <row r="165" spans="1:29" s="25" customFormat="1" x14ac:dyDescent="0.3">
      <c r="A165" s="24">
        <v>89</v>
      </c>
      <c r="B165" s="24" t="s">
        <v>2272</v>
      </c>
      <c r="C165" s="26">
        <v>51</v>
      </c>
      <c r="D165" s="25" t="s">
        <v>240</v>
      </c>
      <c r="E165" s="19" t="s">
        <v>241</v>
      </c>
      <c r="F165" s="19"/>
      <c r="G165" s="24"/>
      <c r="H165" s="19"/>
      <c r="I165" s="26" t="s">
        <v>42</v>
      </c>
      <c r="J165" s="26" t="s">
        <v>42</v>
      </c>
      <c r="K165" s="24"/>
      <c r="L165" s="24" t="s">
        <v>3224</v>
      </c>
      <c r="M165" s="24" t="s">
        <v>5262</v>
      </c>
      <c r="N165" s="24"/>
      <c r="O165" s="26"/>
      <c r="P165" s="24" t="s">
        <v>243</v>
      </c>
      <c r="Q165" s="24"/>
      <c r="R165" s="26"/>
      <c r="S165" s="26"/>
      <c r="T165" s="26"/>
      <c r="U165" s="24"/>
      <c r="V165" s="24"/>
      <c r="W165" s="24"/>
      <c r="X165" s="63"/>
      <c r="Y165" s="63"/>
      <c r="Z165" s="63"/>
      <c r="AA165" s="63"/>
      <c r="AB165" s="24"/>
      <c r="AC165" s="24"/>
    </row>
    <row r="166" spans="1:29" s="25" customFormat="1" x14ac:dyDescent="0.3">
      <c r="A166" s="24">
        <v>90</v>
      </c>
      <c r="B166" s="24" t="s">
        <v>2272</v>
      </c>
      <c r="C166" s="26">
        <v>51</v>
      </c>
      <c r="D166" s="25" t="s">
        <v>244</v>
      </c>
      <c r="E166" s="19" t="s">
        <v>245</v>
      </c>
      <c r="F166" s="19"/>
      <c r="G166" s="24"/>
      <c r="H166" s="19"/>
      <c r="I166" s="26" t="s">
        <v>37</v>
      </c>
      <c r="J166" s="26" t="s">
        <v>37</v>
      </c>
      <c r="K166" s="24"/>
      <c r="L166" s="24" t="s">
        <v>3226</v>
      </c>
      <c r="M166" s="24" t="s">
        <v>5263</v>
      </c>
      <c r="N166" s="24"/>
      <c r="O166" s="26"/>
      <c r="P166" s="24"/>
      <c r="Q166" s="24"/>
      <c r="R166" s="26"/>
      <c r="S166" s="26"/>
      <c r="T166" s="26"/>
      <c r="U166" s="24"/>
      <c r="V166" s="24"/>
      <c r="W166" s="24"/>
      <c r="X166" s="63"/>
      <c r="Y166" s="63"/>
      <c r="Z166" s="63"/>
      <c r="AA166" s="63"/>
      <c r="AB166" s="24"/>
      <c r="AC166" s="24"/>
    </row>
    <row r="167" spans="1:29" s="28" customFormat="1" x14ac:dyDescent="0.3">
      <c r="A167" s="27" t="s">
        <v>6224</v>
      </c>
      <c r="B167" s="27" t="s">
        <v>2273</v>
      </c>
      <c r="C167" s="29"/>
      <c r="D167" s="28" t="s">
        <v>4813</v>
      </c>
      <c r="E167" s="20" t="s">
        <v>245</v>
      </c>
      <c r="F167" s="20" t="s">
        <v>2366</v>
      </c>
      <c r="G167" s="27"/>
      <c r="H167" s="20"/>
      <c r="I167" s="29"/>
      <c r="J167" s="29"/>
      <c r="K167" s="27"/>
      <c r="L167" s="27"/>
      <c r="M167" s="27" t="s">
        <v>6874</v>
      </c>
      <c r="N167" s="27"/>
      <c r="O167" s="29" t="s">
        <v>6875</v>
      </c>
      <c r="P167" s="27"/>
      <c r="Q167" s="27"/>
      <c r="R167" s="29"/>
      <c r="S167" s="29"/>
      <c r="T167" s="29"/>
      <c r="U167" s="27"/>
      <c r="V167" s="27"/>
      <c r="W167" s="27"/>
      <c r="X167" s="64"/>
      <c r="Y167" s="64"/>
      <c r="Z167" s="64"/>
      <c r="AA167" s="64"/>
      <c r="AB167" s="27"/>
      <c r="AC167" s="27"/>
    </row>
    <row r="168" spans="1:29" s="28" customFormat="1" x14ac:dyDescent="0.3">
      <c r="A168" s="27" t="s">
        <v>6225</v>
      </c>
      <c r="B168" s="27" t="s">
        <v>2273</v>
      </c>
      <c r="C168" s="29"/>
      <c r="D168" s="28" t="s">
        <v>4813</v>
      </c>
      <c r="E168" s="20" t="s">
        <v>245</v>
      </c>
      <c r="F168" s="20" t="s">
        <v>2367</v>
      </c>
      <c r="G168" s="27"/>
      <c r="H168" s="20"/>
      <c r="I168" s="29"/>
      <c r="J168" s="29"/>
      <c r="K168" s="27"/>
      <c r="L168" s="27"/>
      <c r="M168" s="27" t="s">
        <v>6876</v>
      </c>
      <c r="N168" s="27"/>
      <c r="O168" s="29" t="s">
        <v>6877</v>
      </c>
      <c r="P168" s="27"/>
      <c r="Q168" s="27"/>
      <c r="R168" s="29"/>
      <c r="S168" s="29"/>
      <c r="T168" s="29"/>
      <c r="U168" s="27"/>
      <c r="V168" s="27"/>
      <c r="W168" s="27"/>
      <c r="X168" s="64"/>
      <c r="Y168" s="64"/>
      <c r="Z168" s="64"/>
      <c r="AA168" s="64"/>
      <c r="AB168" s="27"/>
      <c r="AC168" s="27"/>
    </row>
    <row r="169" spans="1:29" s="25" customFormat="1" x14ac:dyDescent="0.3">
      <c r="A169" s="24">
        <v>91</v>
      </c>
      <c r="B169" s="24" t="s">
        <v>2272</v>
      </c>
      <c r="C169" s="26">
        <v>51</v>
      </c>
      <c r="D169" s="25" t="s">
        <v>246</v>
      </c>
      <c r="E169" s="19" t="s">
        <v>247</v>
      </c>
      <c r="F169" s="19"/>
      <c r="G169" s="24"/>
      <c r="H169" s="19"/>
      <c r="I169" s="26" t="s">
        <v>49</v>
      </c>
      <c r="J169" s="26" t="s">
        <v>5121</v>
      </c>
      <c r="K169" s="24" t="s">
        <v>49</v>
      </c>
      <c r="L169" s="24" t="s">
        <v>3078</v>
      </c>
      <c r="M169" s="24" t="s">
        <v>5264</v>
      </c>
      <c r="N169" s="24"/>
      <c r="O169" s="26"/>
      <c r="P169" s="24" t="s">
        <v>6500</v>
      </c>
      <c r="Q169" s="24"/>
      <c r="R169" s="26"/>
      <c r="S169" s="26"/>
      <c r="T169" s="26"/>
      <c r="U169" s="24"/>
      <c r="V169" s="24"/>
      <c r="W169" s="24"/>
      <c r="X169" s="63"/>
      <c r="Y169" s="63"/>
      <c r="Z169" s="63"/>
      <c r="AA169" s="63"/>
      <c r="AB169" s="24"/>
      <c r="AC169" s="24"/>
    </row>
    <row r="170" spans="1:29" s="28" customFormat="1" x14ac:dyDescent="0.3">
      <c r="A170" s="27" t="s">
        <v>6226</v>
      </c>
      <c r="B170" s="27" t="s">
        <v>2273</v>
      </c>
      <c r="C170" s="29"/>
      <c r="D170" s="28" t="s">
        <v>4814</v>
      </c>
      <c r="E170" s="20" t="s">
        <v>247</v>
      </c>
      <c r="F170" s="20" t="s">
        <v>2369</v>
      </c>
      <c r="G170" s="27"/>
      <c r="H170" s="20"/>
      <c r="I170" s="29"/>
      <c r="J170" s="29"/>
      <c r="K170" s="27"/>
      <c r="L170" s="27"/>
      <c r="M170" s="27" t="s">
        <v>6878</v>
      </c>
      <c r="N170" s="27" t="s">
        <v>6879</v>
      </c>
      <c r="O170" s="29" t="s">
        <v>6880</v>
      </c>
      <c r="P170" s="27"/>
      <c r="Q170" s="27"/>
      <c r="R170" s="29"/>
      <c r="S170" s="29"/>
      <c r="T170" s="29"/>
      <c r="U170" s="27"/>
      <c r="V170" s="27"/>
      <c r="W170" s="27"/>
      <c r="X170" s="64"/>
      <c r="Y170" s="64"/>
      <c r="Z170" s="64"/>
      <c r="AA170" s="64"/>
      <c r="AB170" s="27"/>
      <c r="AC170" s="27"/>
    </row>
    <row r="171" spans="1:29" s="25" customFormat="1" x14ac:dyDescent="0.3">
      <c r="A171" s="24">
        <v>92</v>
      </c>
      <c r="B171" s="24" t="s">
        <v>2272</v>
      </c>
      <c r="C171" s="26">
        <v>53</v>
      </c>
      <c r="D171" s="25" t="s">
        <v>5145</v>
      </c>
      <c r="E171" s="19" t="s">
        <v>1690</v>
      </c>
      <c r="F171" s="19"/>
      <c r="G171" s="24"/>
      <c r="H171" s="19"/>
      <c r="I171" s="26" t="s">
        <v>57</v>
      </c>
      <c r="J171" s="26" t="s">
        <v>253</v>
      </c>
      <c r="K171" s="24"/>
      <c r="L171" s="24" t="s">
        <v>3228</v>
      </c>
      <c r="M171" s="24" t="s">
        <v>59</v>
      </c>
      <c r="N171" s="24"/>
      <c r="O171" s="26" t="s">
        <v>4301</v>
      </c>
      <c r="P171" s="24"/>
      <c r="Q171" s="24"/>
      <c r="R171" s="26"/>
      <c r="S171" s="26"/>
      <c r="T171" s="26"/>
      <c r="U171" s="24"/>
      <c r="V171" s="24"/>
      <c r="W171" s="24"/>
      <c r="X171" s="63"/>
      <c r="Y171" s="63"/>
      <c r="Z171" s="63"/>
      <c r="AA171" s="63"/>
      <c r="AB171" s="24"/>
      <c r="AC171" s="24"/>
    </row>
    <row r="172" spans="1:29" s="25" customFormat="1" x14ac:dyDescent="0.3">
      <c r="A172" s="24">
        <v>93</v>
      </c>
      <c r="B172" s="24" t="s">
        <v>2272</v>
      </c>
      <c r="C172" s="26">
        <v>53</v>
      </c>
      <c r="D172" s="25" t="s">
        <v>3230</v>
      </c>
      <c r="E172" s="19" t="s">
        <v>248</v>
      </c>
      <c r="F172" s="19"/>
      <c r="G172" s="24" t="s">
        <v>1692</v>
      </c>
      <c r="H172" s="19"/>
      <c r="I172" s="26" t="s">
        <v>37</v>
      </c>
      <c r="J172" s="26" t="s">
        <v>37</v>
      </c>
      <c r="K172" s="24"/>
      <c r="L172" s="24" t="s">
        <v>3231</v>
      </c>
      <c r="M172" s="24" t="s">
        <v>84</v>
      </c>
      <c r="N172" s="24"/>
      <c r="O172" s="26"/>
      <c r="P172" s="24"/>
      <c r="Q172" s="24"/>
      <c r="R172" s="26"/>
      <c r="S172" s="26"/>
      <c r="T172" s="26"/>
      <c r="U172" s="24"/>
      <c r="V172" s="24"/>
      <c r="W172" s="24"/>
      <c r="X172" s="63"/>
      <c r="Y172" s="63"/>
      <c r="Z172" s="63"/>
      <c r="AA172" s="63"/>
      <c r="AB172" s="24"/>
      <c r="AC172" s="24"/>
    </row>
    <row r="173" spans="1:29" s="28" customFormat="1" x14ac:dyDescent="0.3">
      <c r="A173" s="27" t="s">
        <v>2374</v>
      </c>
      <c r="B173" s="27" t="s">
        <v>2273</v>
      </c>
      <c r="C173" s="29"/>
      <c r="D173" s="28" t="s">
        <v>4815</v>
      </c>
      <c r="E173" s="20" t="s">
        <v>248</v>
      </c>
      <c r="F173" s="20" t="s">
        <v>2370</v>
      </c>
      <c r="G173" s="27"/>
      <c r="H173" s="20"/>
      <c r="I173" s="29"/>
      <c r="J173" s="29"/>
      <c r="K173" s="27"/>
      <c r="L173" s="27"/>
      <c r="M173" s="27" t="s">
        <v>6881</v>
      </c>
      <c r="N173" s="27"/>
      <c r="O173" s="29" t="s">
        <v>6882</v>
      </c>
      <c r="P173" s="27"/>
      <c r="Q173" s="27"/>
      <c r="R173" s="29"/>
      <c r="S173" s="29"/>
      <c r="T173" s="29"/>
      <c r="U173" s="27"/>
      <c r="V173" s="27"/>
      <c r="W173" s="27"/>
      <c r="X173" s="64"/>
      <c r="Y173" s="64"/>
      <c r="Z173" s="64"/>
      <c r="AA173" s="64"/>
      <c r="AB173" s="27"/>
      <c r="AC173" s="27"/>
    </row>
    <row r="174" spans="1:29" s="25" customFormat="1" x14ac:dyDescent="0.3">
      <c r="A174" s="24">
        <v>94</v>
      </c>
      <c r="B174" s="24" t="s">
        <v>2272</v>
      </c>
      <c r="C174" s="26">
        <v>53</v>
      </c>
      <c r="D174" s="25" t="s">
        <v>249</v>
      </c>
      <c r="E174" s="19" t="s">
        <v>250</v>
      </c>
      <c r="F174" s="19"/>
      <c r="G174" s="24" t="s">
        <v>1693</v>
      </c>
      <c r="H174" s="19"/>
      <c r="I174" s="26" t="s">
        <v>37</v>
      </c>
      <c r="J174" s="26" t="s">
        <v>37</v>
      </c>
      <c r="K174" s="24"/>
      <c r="L174" s="24" t="s">
        <v>3233</v>
      </c>
      <c r="M174" s="24" t="s">
        <v>84</v>
      </c>
      <c r="N174" s="24"/>
      <c r="O174" s="26"/>
      <c r="P174" s="24"/>
      <c r="Q174" s="24"/>
      <c r="R174" s="26"/>
      <c r="S174" s="26"/>
      <c r="T174" s="26"/>
      <c r="U174" s="24"/>
      <c r="V174" s="24"/>
      <c r="W174" s="24"/>
      <c r="X174" s="63"/>
      <c r="Y174" s="63"/>
      <c r="Z174" s="63"/>
      <c r="AA174" s="63"/>
      <c r="AB174" s="24"/>
      <c r="AC174" s="24"/>
    </row>
    <row r="175" spans="1:29" s="28" customFormat="1" x14ac:dyDescent="0.3">
      <c r="A175" s="27" t="s">
        <v>6227</v>
      </c>
      <c r="B175" s="27" t="s">
        <v>2273</v>
      </c>
      <c r="C175" s="29"/>
      <c r="D175" s="28" t="s">
        <v>4816</v>
      </c>
      <c r="E175" s="20" t="s">
        <v>250</v>
      </c>
      <c r="F175" s="20" t="s">
        <v>2371</v>
      </c>
      <c r="G175" s="27"/>
      <c r="H175" s="20"/>
      <c r="I175" s="29"/>
      <c r="J175" s="29"/>
      <c r="K175" s="27"/>
      <c r="L175" s="27"/>
      <c r="M175" s="27" t="s">
        <v>6883</v>
      </c>
      <c r="N175" s="27"/>
      <c r="O175" s="29" t="s">
        <v>6884</v>
      </c>
      <c r="P175" s="27"/>
      <c r="Q175" s="27"/>
      <c r="R175" s="29"/>
      <c r="S175" s="29"/>
      <c r="T175" s="29"/>
      <c r="U175" s="27"/>
      <c r="V175" s="27"/>
      <c r="W175" s="27"/>
      <c r="X175" s="64"/>
      <c r="Y175" s="64"/>
      <c r="Z175" s="64"/>
      <c r="AA175" s="64"/>
      <c r="AB175" s="27"/>
      <c r="AC175" s="27"/>
    </row>
    <row r="176" spans="1:29" s="25" customFormat="1" x14ac:dyDescent="0.3">
      <c r="A176" s="24">
        <v>95</v>
      </c>
      <c r="B176" s="24" t="s">
        <v>2272</v>
      </c>
      <c r="C176" s="26">
        <v>53</v>
      </c>
      <c r="D176" s="25" t="s">
        <v>251</v>
      </c>
      <c r="E176" s="19" t="s">
        <v>252</v>
      </c>
      <c r="F176" s="19"/>
      <c r="G176" s="24"/>
      <c r="H176" s="19"/>
      <c r="I176" s="26" t="s">
        <v>253</v>
      </c>
      <c r="J176" s="26" t="s">
        <v>253</v>
      </c>
      <c r="K176" s="24"/>
      <c r="L176" s="24" t="s">
        <v>3125</v>
      </c>
      <c r="M176" s="24" t="s">
        <v>5267</v>
      </c>
      <c r="N176" s="24"/>
      <c r="O176" s="26"/>
      <c r="P176" s="24" t="s">
        <v>254</v>
      </c>
      <c r="Q176" s="24"/>
      <c r="R176" s="26"/>
      <c r="S176" s="26"/>
      <c r="T176" s="26"/>
      <c r="U176" s="24"/>
      <c r="V176" s="24"/>
      <c r="W176" s="24"/>
      <c r="X176" s="63"/>
      <c r="Y176" s="63"/>
      <c r="Z176" s="63"/>
      <c r="AA176" s="63"/>
      <c r="AB176" s="24"/>
      <c r="AC176" s="24"/>
    </row>
    <row r="177" spans="1:29" s="28" customFormat="1" x14ac:dyDescent="0.3">
      <c r="A177" s="27" t="s">
        <v>6228</v>
      </c>
      <c r="B177" s="27" t="s">
        <v>2273</v>
      </c>
      <c r="C177" s="29"/>
      <c r="D177" s="28" t="s">
        <v>4817</v>
      </c>
      <c r="E177" s="20" t="s">
        <v>252</v>
      </c>
      <c r="F177" s="20" t="s">
        <v>2372</v>
      </c>
      <c r="G177" s="27"/>
      <c r="H177" s="20"/>
      <c r="I177" s="29"/>
      <c r="J177" s="29"/>
      <c r="K177" s="27"/>
      <c r="L177" s="27"/>
      <c r="M177" s="27" t="s">
        <v>6885</v>
      </c>
      <c r="N177" s="27"/>
      <c r="O177" s="29" t="s">
        <v>6886</v>
      </c>
      <c r="P177" s="27"/>
      <c r="Q177" s="27"/>
      <c r="R177" s="29"/>
      <c r="S177" s="29"/>
      <c r="T177" s="29"/>
      <c r="U177" s="27"/>
      <c r="V177" s="27"/>
      <c r="W177" s="27"/>
      <c r="X177" s="64"/>
      <c r="Y177" s="64"/>
      <c r="Z177" s="64"/>
      <c r="AA177" s="64"/>
      <c r="AB177" s="27"/>
      <c r="AC177" s="27"/>
    </row>
    <row r="178" spans="1:29" s="28" customFormat="1" x14ac:dyDescent="0.3">
      <c r="A178" s="27" t="s">
        <v>6229</v>
      </c>
      <c r="B178" s="27" t="s">
        <v>2273</v>
      </c>
      <c r="C178" s="29"/>
      <c r="D178" s="28" t="s">
        <v>4817</v>
      </c>
      <c r="E178" s="20" t="s">
        <v>252</v>
      </c>
      <c r="F178" s="20" t="s">
        <v>2373</v>
      </c>
      <c r="G178" s="27"/>
      <c r="H178" s="20"/>
      <c r="I178" s="29"/>
      <c r="J178" s="29"/>
      <c r="K178" s="27"/>
      <c r="L178" s="27"/>
      <c r="M178" s="27" t="s">
        <v>6887</v>
      </c>
      <c r="N178" s="27"/>
      <c r="O178" s="29" t="s">
        <v>1632</v>
      </c>
      <c r="P178" s="27"/>
      <c r="Q178" s="27"/>
      <c r="R178" s="29"/>
      <c r="S178" s="29"/>
      <c r="T178" s="29"/>
      <c r="U178" s="27"/>
      <c r="V178" s="27"/>
      <c r="W178" s="27"/>
      <c r="X178" s="64"/>
      <c r="Y178" s="64"/>
      <c r="Z178" s="64"/>
      <c r="AA178" s="64"/>
      <c r="AB178" s="27"/>
      <c r="AC178" s="27"/>
    </row>
    <row r="179" spans="1:29" s="28" customFormat="1" x14ac:dyDescent="0.3">
      <c r="A179" s="27" t="s">
        <v>6230</v>
      </c>
      <c r="B179" s="27" t="s">
        <v>2273</v>
      </c>
      <c r="C179" s="29"/>
      <c r="D179" s="28" t="s">
        <v>4817</v>
      </c>
      <c r="E179" s="20" t="s">
        <v>252</v>
      </c>
      <c r="F179" s="20" t="s">
        <v>2309</v>
      </c>
      <c r="G179" s="27"/>
      <c r="H179" s="20"/>
      <c r="I179" s="29"/>
      <c r="J179" s="29"/>
      <c r="K179" s="27"/>
      <c r="L179" s="27"/>
      <c r="M179" s="27" t="s">
        <v>6888</v>
      </c>
      <c r="N179" s="27"/>
      <c r="O179" s="29" t="s">
        <v>6889</v>
      </c>
      <c r="P179" s="27"/>
      <c r="Q179" s="27"/>
      <c r="R179" s="29"/>
      <c r="S179" s="29"/>
      <c r="T179" s="29"/>
      <c r="U179" s="27"/>
      <c r="V179" s="27"/>
      <c r="W179" s="27"/>
      <c r="X179" s="64"/>
      <c r="Y179" s="64"/>
      <c r="Z179" s="64"/>
      <c r="AA179" s="64"/>
      <c r="AB179" s="27"/>
      <c r="AC179" s="27"/>
    </row>
    <row r="180" spans="1:29" s="25" customFormat="1" x14ac:dyDescent="0.3">
      <c r="A180" s="24">
        <v>96</v>
      </c>
      <c r="B180" s="24" t="s">
        <v>2272</v>
      </c>
      <c r="C180" s="26">
        <v>57</v>
      </c>
      <c r="D180" s="25" t="s">
        <v>255</v>
      </c>
      <c r="E180" s="19" t="s">
        <v>256</v>
      </c>
      <c r="F180" s="19"/>
      <c r="G180" s="24" t="s">
        <v>1697</v>
      </c>
      <c r="H180" s="19"/>
      <c r="I180" s="26" t="s">
        <v>37</v>
      </c>
      <c r="J180" s="26" t="s">
        <v>37</v>
      </c>
      <c r="K180" s="24"/>
      <c r="L180" s="24" t="s">
        <v>3233</v>
      </c>
      <c r="M180" s="24" t="s">
        <v>5268</v>
      </c>
      <c r="N180" s="24"/>
      <c r="O180" s="26"/>
      <c r="P180" s="24"/>
      <c r="Q180" s="24"/>
      <c r="R180" s="26"/>
      <c r="S180" s="26"/>
      <c r="T180" s="26"/>
      <c r="U180" s="24"/>
      <c r="V180" s="24"/>
      <c r="W180" s="24"/>
      <c r="X180" s="63"/>
      <c r="Y180" s="63"/>
      <c r="Z180" s="63"/>
      <c r="AA180" s="63"/>
      <c r="AB180" s="24"/>
      <c r="AC180" s="24"/>
    </row>
    <row r="181" spans="1:29" s="28" customFormat="1" x14ac:dyDescent="0.3">
      <c r="A181" s="27" t="s">
        <v>2377</v>
      </c>
      <c r="B181" s="27" t="s">
        <v>2273</v>
      </c>
      <c r="C181" s="29"/>
      <c r="D181" s="28" t="s">
        <v>4818</v>
      </c>
      <c r="E181" s="20" t="s">
        <v>256</v>
      </c>
      <c r="F181" s="20" t="s">
        <v>2375</v>
      </c>
      <c r="G181" s="27"/>
      <c r="H181" s="20"/>
      <c r="I181" s="29"/>
      <c r="J181" s="29"/>
      <c r="K181" s="27"/>
      <c r="L181" s="27"/>
      <c r="M181" s="27" t="s">
        <v>6890</v>
      </c>
      <c r="N181" s="27"/>
      <c r="O181" s="29" t="s">
        <v>6891</v>
      </c>
      <c r="P181" s="27"/>
      <c r="Q181" s="27"/>
      <c r="R181" s="29"/>
      <c r="S181" s="29"/>
      <c r="T181" s="29"/>
      <c r="U181" s="27"/>
      <c r="V181" s="27"/>
      <c r="W181" s="27"/>
      <c r="X181" s="64"/>
      <c r="Y181" s="64"/>
      <c r="Z181" s="64"/>
      <c r="AA181" s="64"/>
      <c r="AB181" s="27"/>
      <c r="AC181" s="27"/>
    </row>
    <row r="182" spans="1:29" s="25" customFormat="1" x14ac:dyDescent="0.3">
      <c r="A182" s="24">
        <v>97</v>
      </c>
      <c r="B182" s="24" t="s">
        <v>2272</v>
      </c>
      <c r="C182" s="26">
        <v>57</v>
      </c>
      <c r="D182" s="25" t="s">
        <v>257</v>
      </c>
      <c r="E182" s="19" t="s">
        <v>258</v>
      </c>
      <c r="F182" s="19"/>
      <c r="G182" s="24"/>
      <c r="H182" s="19"/>
      <c r="I182" s="26" t="s">
        <v>37</v>
      </c>
      <c r="J182" s="26" t="s">
        <v>37</v>
      </c>
      <c r="K182" s="24"/>
      <c r="L182" s="24" t="s">
        <v>3237</v>
      </c>
      <c r="M182" s="24" t="s">
        <v>5269</v>
      </c>
      <c r="N182" s="24"/>
      <c r="O182" s="26" t="s">
        <v>1698</v>
      </c>
      <c r="P182" s="24"/>
      <c r="Q182" s="24"/>
      <c r="R182" s="26"/>
      <c r="S182" s="26"/>
      <c r="T182" s="26"/>
      <c r="U182" s="24"/>
      <c r="V182" s="24"/>
      <c r="W182" s="24"/>
      <c r="X182" s="63"/>
      <c r="Y182" s="63"/>
      <c r="Z182" s="63"/>
      <c r="AA182" s="63"/>
      <c r="AB182" s="24"/>
      <c r="AC182" s="24"/>
    </row>
    <row r="183" spans="1:29" s="25" customFormat="1" x14ac:dyDescent="0.3">
      <c r="A183" s="24">
        <v>98</v>
      </c>
      <c r="B183" s="24" t="s">
        <v>2272</v>
      </c>
      <c r="C183" s="26">
        <v>57</v>
      </c>
      <c r="D183" s="25" t="s">
        <v>259</v>
      </c>
      <c r="E183" s="19" t="s">
        <v>260</v>
      </c>
      <c r="F183" s="19"/>
      <c r="G183" s="24"/>
      <c r="H183" s="19"/>
      <c r="I183" s="26" t="s">
        <v>37</v>
      </c>
      <c r="J183" s="26" t="s">
        <v>37</v>
      </c>
      <c r="K183" s="24"/>
      <c r="L183" s="24" t="s">
        <v>3239</v>
      </c>
      <c r="M183" s="24" t="s">
        <v>5270</v>
      </c>
      <c r="N183" s="24"/>
      <c r="O183" s="26"/>
      <c r="P183" s="24"/>
      <c r="Q183" s="24"/>
      <c r="R183" s="26"/>
      <c r="S183" s="26"/>
      <c r="T183" s="26"/>
      <c r="U183" s="24"/>
      <c r="V183" s="24"/>
      <c r="W183" s="24"/>
      <c r="X183" s="63"/>
      <c r="Y183" s="63"/>
      <c r="Z183" s="63"/>
      <c r="AA183" s="63"/>
      <c r="AB183" s="24"/>
      <c r="AC183" s="24"/>
    </row>
    <row r="184" spans="1:29" s="28" customFormat="1" x14ac:dyDescent="0.3">
      <c r="A184" s="27" t="s">
        <v>4538</v>
      </c>
      <c r="B184" s="27" t="s">
        <v>2273</v>
      </c>
      <c r="C184" s="29"/>
      <c r="D184" s="28" t="s">
        <v>4819</v>
      </c>
      <c r="E184" s="20" t="s">
        <v>260</v>
      </c>
      <c r="F184" s="20" t="s">
        <v>2376</v>
      </c>
      <c r="G184" s="27"/>
      <c r="H184" s="20"/>
      <c r="I184" s="29"/>
      <c r="J184" s="29"/>
      <c r="K184" s="27"/>
      <c r="L184" s="27"/>
      <c r="M184" s="27" t="s">
        <v>6892</v>
      </c>
      <c r="N184" s="27"/>
      <c r="O184" s="29" t="s">
        <v>6893</v>
      </c>
      <c r="P184" s="27"/>
      <c r="Q184" s="27"/>
      <c r="R184" s="29"/>
      <c r="S184" s="29"/>
      <c r="T184" s="29"/>
      <c r="U184" s="27"/>
      <c r="V184" s="27"/>
      <c r="W184" s="27"/>
      <c r="X184" s="64"/>
      <c r="Y184" s="64"/>
      <c r="Z184" s="64"/>
      <c r="AA184" s="64"/>
      <c r="AB184" s="27"/>
      <c r="AC184" s="27"/>
    </row>
    <row r="185" spans="1:29" s="25" customFormat="1" x14ac:dyDescent="0.3">
      <c r="A185" s="24">
        <v>99</v>
      </c>
      <c r="B185" s="24" t="s">
        <v>2272</v>
      </c>
      <c r="C185" s="26">
        <v>55</v>
      </c>
      <c r="D185" s="25" t="s">
        <v>261</v>
      </c>
      <c r="E185" s="19" t="s">
        <v>262</v>
      </c>
      <c r="F185" s="19"/>
      <c r="G185" s="24"/>
      <c r="H185" s="19"/>
      <c r="I185" s="26" t="s">
        <v>57</v>
      </c>
      <c r="J185" s="26" t="s">
        <v>57</v>
      </c>
      <c r="K185" s="24"/>
      <c r="L185" s="24" t="s">
        <v>3241</v>
      </c>
      <c r="M185" s="24" t="s">
        <v>5245</v>
      </c>
      <c r="N185" s="24"/>
      <c r="O185" s="26"/>
      <c r="P185" s="24"/>
      <c r="Q185" s="24"/>
      <c r="R185" s="26"/>
      <c r="S185" s="26"/>
      <c r="T185" s="26"/>
      <c r="U185" s="24"/>
      <c r="V185" s="24"/>
      <c r="W185" s="24"/>
      <c r="X185" s="63"/>
      <c r="Y185" s="63"/>
      <c r="Z185" s="63"/>
      <c r="AA185" s="63"/>
      <c r="AB185" s="24"/>
      <c r="AC185" s="24"/>
    </row>
    <row r="186" spans="1:29" s="28" customFormat="1" x14ac:dyDescent="0.3">
      <c r="A186" s="27" t="s">
        <v>6231</v>
      </c>
      <c r="B186" s="27" t="s">
        <v>2273</v>
      </c>
      <c r="C186" s="29"/>
      <c r="D186" s="28" t="s">
        <v>4820</v>
      </c>
      <c r="E186" s="20" t="s">
        <v>262</v>
      </c>
      <c r="F186" s="20" t="s">
        <v>2378</v>
      </c>
      <c r="G186" s="27"/>
      <c r="H186" s="20"/>
      <c r="I186" s="29"/>
      <c r="J186" s="29"/>
      <c r="K186" s="27"/>
      <c r="L186" s="27"/>
      <c r="M186" s="27" t="s">
        <v>6793</v>
      </c>
      <c r="N186" s="27"/>
      <c r="O186" s="29" t="s">
        <v>6894</v>
      </c>
      <c r="P186" s="27"/>
      <c r="Q186" s="27"/>
      <c r="R186" s="29"/>
      <c r="S186" s="29"/>
      <c r="T186" s="29"/>
      <c r="U186" s="27"/>
      <c r="V186" s="27"/>
      <c r="W186" s="27"/>
      <c r="X186" s="64"/>
      <c r="Y186" s="64"/>
      <c r="Z186" s="64"/>
      <c r="AA186" s="64"/>
      <c r="AB186" s="27"/>
      <c r="AC186" s="27"/>
    </row>
    <row r="187" spans="1:29" s="28" customFormat="1" x14ac:dyDescent="0.3">
      <c r="A187" s="27" t="s">
        <v>6232</v>
      </c>
      <c r="B187" s="27" t="s">
        <v>2273</v>
      </c>
      <c r="C187" s="29"/>
      <c r="D187" s="28" t="s">
        <v>4820</v>
      </c>
      <c r="E187" s="20" t="s">
        <v>262</v>
      </c>
      <c r="F187" s="20" t="s">
        <v>2379</v>
      </c>
      <c r="G187" s="27"/>
      <c r="H187" s="20"/>
      <c r="I187" s="29"/>
      <c r="J187" s="29"/>
      <c r="K187" s="27"/>
      <c r="L187" s="27"/>
      <c r="M187" s="27" t="s">
        <v>6895</v>
      </c>
      <c r="N187" s="27"/>
      <c r="O187" s="29" t="s">
        <v>6896</v>
      </c>
      <c r="P187" s="27"/>
      <c r="Q187" s="27"/>
      <c r="R187" s="29"/>
      <c r="S187" s="29"/>
      <c r="T187" s="29"/>
      <c r="U187" s="27"/>
      <c r="V187" s="27"/>
      <c r="W187" s="27"/>
      <c r="X187" s="64"/>
      <c r="Y187" s="64"/>
      <c r="Z187" s="64"/>
      <c r="AA187" s="64"/>
      <c r="AB187" s="27"/>
      <c r="AC187" s="27"/>
    </row>
    <row r="188" spans="1:29" s="28" customFormat="1" x14ac:dyDescent="0.3">
      <c r="A188" s="27" t="s">
        <v>6233</v>
      </c>
      <c r="B188" s="27" t="s">
        <v>2273</v>
      </c>
      <c r="C188" s="29"/>
      <c r="D188" s="28" t="s">
        <v>4820</v>
      </c>
      <c r="E188" s="20" t="s">
        <v>262</v>
      </c>
      <c r="F188" s="20" t="s">
        <v>2380</v>
      </c>
      <c r="G188" s="27"/>
      <c r="H188" s="20"/>
      <c r="I188" s="29"/>
      <c r="J188" s="29"/>
      <c r="K188" s="27"/>
      <c r="L188" s="27"/>
      <c r="M188" s="27" t="s">
        <v>6897</v>
      </c>
      <c r="N188" s="27"/>
      <c r="O188" s="29" t="s">
        <v>6898</v>
      </c>
      <c r="P188" s="27"/>
      <c r="Q188" s="27"/>
      <c r="R188" s="29"/>
      <c r="S188" s="29"/>
      <c r="T188" s="29"/>
      <c r="U188" s="27"/>
      <c r="V188" s="27"/>
      <c r="W188" s="27"/>
      <c r="X188" s="64"/>
      <c r="Y188" s="64"/>
      <c r="Z188" s="64"/>
      <c r="AA188" s="64"/>
      <c r="AB188" s="27"/>
      <c r="AC188" s="27"/>
    </row>
    <row r="189" spans="1:29" s="25" customFormat="1" ht="30.6" x14ac:dyDescent="0.3">
      <c r="A189" s="24">
        <v>100</v>
      </c>
      <c r="B189" s="24" t="s">
        <v>2272</v>
      </c>
      <c r="C189" s="26"/>
      <c r="D189" s="25" t="s">
        <v>263</v>
      </c>
      <c r="E189" s="19" t="s">
        <v>264</v>
      </c>
      <c r="F189" s="19"/>
      <c r="G189" s="24"/>
      <c r="H189" s="19"/>
      <c r="I189" s="26" t="s">
        <v>57</v>
      </c>
      <c r="J189" s="26"/>
      <c r="K189" s="24"/>
      <c r="L189" s="103" t="s">
        <v>6501</v>
      </c>
      <c r="M189" s="24" t="s">
        <v>5271</v>
      </c>
      <c r="N189" s="24"/>
      <c r="O189" s="26"/>
      <c r="P189" s="24"/>
      <c r="Q189" s="24"/>
      <c r="R189" s="26"/>
      <c r="S189" s="26"/>
      <c r="T189" s="26"/>
      <c r="U189" s="24"/>
      <c r="V189" s="24"/>
      <c r="W189" s="24"/>
      <c r="X189" s="63"/>
      <c r="Y189" s="63"/>
      <c r="Z189" s="63"/>
      <c r="AA189" s="63"/>
      <c r="AB189" s="24"/>
      <c r="AC189" s="24"/>
    </row>
    <row r="190" spans="1:29" s="28" customFormat="1" x14ac:dyDescent="0.3">
      <c r="A190" s="27" t="s">
        <v>6234</v>
      </c>
      <c r="B190" s="27" t="s">
        <v>2273</v>
      </c>
      <c r="C190" s="29">
        <v>55</v>
      </c>
      <c r="D190" s="28" t="s">
        <v>4821</v>
      </c>
      <c r="E190" s="20" t="s">
        <v>264</v>
      </c>
      <c r="F190" s="20" t="s">
        <v>2381</v>
      </c>
      <c r="G190" s="27" t="s">
        <v>4540</v>
      </c>
      <c r="H190" s="20" t="s">
        <v>4541</v>
      </c>
      <c r="I190" s="29"/>
      <c r="J190" s="29" t="s">
        <v>57</v>
      </c>
      <c r="K190" s="27"/>
      <c r="L190" s="27" t="s">
        <v>4539</v>
      </c>
      <c r="M190" s="27" t="s">
        <v>6899</v>
      </c>
      <c r="N190" s="27"/>
      <c r="O190" s="29" t="s">
        <v>6900</v>
      </c>
      <c r="P190" s="27"/>
      <c r="Q190" s="27"/>
      <c r="R190" s="29"/>
      <c r="S190" s="29"/>
      <c r="T190" s="29"/>
      <c r="U190" s="27"/>
      <c r="V190" s="27"/>
      <c r="W190" s="27"/>
      <c r="X190" s="64"/>
      <c r="Y190" s="64"/>
      <c r="Z190" s="64"/>
      <c r="AA190" s="64"/>
      <c r="AB190" s="27"/>
      <c r="AC190" s="27"/>
    </row>
    <row r="191" spans="1:29" s="28" customFormat="1" x14ac:dyDescent="0.3">
      <c r="A191" s="27" t="s">
        <v>6235</v>
      </c>
      <c r="B191" s="27" t="s">
        <v>2273</v>
      </c>
      <c r="C191" s="29">
        <v>55</v>
      </c>
      <c r="D191" s="28" t="s">
        <v>4821</v>
      </c>
      <c r="E191" s="20" t="s">
        <v>264</v>
      </c>
      <c r="F191" s="20" t="s">
        <v>2382</v>
      </c>
      <c r="G191" s="27"/>
      <c r="H191" s="20" t="s">
        <v>4543</v>
      </c>
      <c r="I191" s="29"/>
      <c r="J191" s="29" t="s">
        <v>57</v>
      </c>
      <c r="K191" s="27"/>
      <c r="L191" s="27" t="s">
        <v>4542</v>
      </c>
      <c r="M191" s="27" t="s">
        <v>6901</v>
      </c>
      <c r="N191" s="27"/>
      <c r="O191" s="29" t="s">
        <v>6902</v>
      </c>
      <c r="P191" s="27"/>
      <c r="Q191" s="27"/>
      <c r="R191" s="29"/>
      <c r="S191" s="29"/>
      <c r="T191" s="29"/>
      <c r="U191" s="27"/>
      <c r="V191" s="27"/>
      <c r="W191" s="27"/>
      <c r="X191" s="64"/>
      <c r="Y191" s="64"/>
      <c r="Z191" s="64"/>
      <c r="AA191" s="64"/>
      <c r="AB191" s="27"/>
      <c r="AC191" s="27"/>
    </row>
    <row r="192" spans="1:29" s="28" customFormat="1" x14ac:dyDescent="0.3">
      <c r="A192" s="27" t="s">
        <v>6236</v>
      </c>
      <c r="B192" s="27" t="s">
        <v>2273</v>
      </c>
      <c r="C192" s="29">
        <v>55</v>
      </c>
      <c r="D192" s="28" t="s">
        <v>4821</v>
      </c>
      <c r="E192" s="20" t="s">
        <v>264</v>
      </c>
      <c r="F192" s="20" t="s">
        <v>2383</v>
      </c>
      <c r="G192" s="27"/>
      <c r="H192" s="20" t="s">
        <v>4543</v>
      </c>
      <c r="I192" s="29"/>
      <c r="J192" s="29" t="s">
        <v>57</v>
      </c>
      <c r="K192" s="27"/>
      <c r="L192" s="27" t="s">
        <v>4542</v>
      </c>
      <c r="M192" s="27" t="s">
        <v>6903</v>
      </c>
      <c r="N192" s="27"/>
      <c r="O192" s="29" t="s">
        <v>6904</v>
      </c>
      <c r="P192" s="27"/>
      <c r="Q192" s="27"/>
      <c r="R192" s="29"/>
      <c r="S192" s="29"/>
      <c r="T192" s="29"/>
      <c r="U192" s="27"/>
      <c r="V192" s="27"/>
      <c r="W192" s="27"/>
      <c r="X192" s="64"/>
      <c r="Y192" s="64"/>
      <c r="Z192" s="64"/>
      <c r="AA192" s="64"/>
      <c r="AB192" s="27"/>
      <c r="AC192" s="27"/>
    </row>
    <row r="193" spans="1:29" s="25" customFormat="1" x14ac:dyDescent="0.3">
      <c r="A193" s="24">
        <v>101</v>
      </c>
      <c r="B193" s="24" t="s">
        <v>2272</v>
      </c>
      <c r="C193" s="26">
        <v>55</v>
      </c>
      <c r="D193" s="25" t="s">
        <v>265</v>
      </c>
      <c r="E193" s="19" t="s">
        <v>266</v>
      </c>
      <c r="F193" s="19"/>
      <c r="G193" s="24"/>
      <c r="H193" s="19"/>
      <c r="I193" s="26" t="s">
        <v>57</v>
      </c>
      <c r="J193" s="26" t="s">
        <v>57</v>
      </c>
      <c r="K193" s="24" t="s">
        <v>3017</v>
      </c>
      <c r="L193" s="24" t="s">
        <v>3186</v>
      </c>
      <c r="M193" s="24" t="s">
        <v>5272</v>
      </c>
      <c r="N193" s="24"/>
      <c r="O193" s="26" t="s">
        <v>1699</v>
      </c>
      <c r="P193" s="24"/>
      <c r="Q193" s="24"/>
      <c r="R193" s="26"/>
      <c r="S193" s="26"/>
      <c r="T193" s="26"/>
      <c r="U193" s="24"/>
      <c r="V193" s="24"/>
      <c r="W193" s="24"/>
      <c r="X193" s="63"/>
      <c r="Y193" s="63"/>
      <c r="Z193" s="63"/>
      <c r="AA193" s="63"/>
      <c r="AB193" s="24"/>
      <c r="AC193" s="24"/>
    </row>
    <row r="194" spans="1:29" s="25" customFormat="1" x14ac:dyDescent="0.3">
      <c r="A194" s="24">
        <v>102</v>
      </c>
      <c r="B194" s="24" t="s">
        <v>2272</v>
      </c>
      <c r="C194" s="26">
        <v>57</v>
      </c>
      <c r="D194" s="25" t="s">
        <v>267</v>
      </c>
      <c r="E194" s="19" t="s">
        <v>268</v>
      </c>
      <c r="F194" s="19"/>
      <c r="G194" s="24"/>
      <c r="H194" s="19"/>
      <c r="I194" s="26" t="s">
        <v>57</v>
      </c>
      <c r="J194" s="26" t="s">
        <v>57</v>
      </c>
      <c r="K194" s="24" t="s">
        <v>5274</v>
      </c>
      <c r="L194" s="24" t="s">
        <v>3245</v>
      </c>
      <c r="M194" s="24" t="s">
        <v>5273</v>
      </c>
      <c r="N194" s="24"/>
      <c r="O194" s="26" t="s">
        <v>1700</v>
      </c>
      <c r="P194" s="24"/>
      <c r="Q194" s="24"/>
      <c r="R194" s="26"/>
      <c r="S194" s="26"/>
      <c r="T194" s="26"/>
      <c r="U194" s="24"/>
      <c r="V194" s="24"/>
      <c r="W194" s="24"/>
      <c r="X194" s="63"/>
      <c r="Y194" s="63"/>
      <c r="Z194" s="63"/>
      <c r="AA194" s="63"/>
      <c r="AB194" s="24"/>
      <c r="AC194" s="24"/>
    </row>
    <row r="195" spans="1:29" s="25" customFormat="1" x14ac:dyDescent="0.3">
      <c r="A195" s="24">
        <v>103</v>
      </c>
      <c r="B195" s="24" t="s">
        <v>2272</v>
      </c>
      <c r="C195" s="26">
        <v>57</v>
      </c>
      <c r="D195" s="25" t="s">
        <v>269</v>
      </c>
      <c r="E195" s="19" t="s">
        <v>270</v>
      </c>
      <c r="F195" s="19"/>
      <c r="G195" s="24"/>
      <c r="H195" s="19"/>
      <c r="I195" s="26" t="s">
        <v>57</v>
      </c>
      <c r="J195" s="26" t="s">
        <v>57</v>
      </c>
      <c r="K195" s="24" t="s">
        <v>3017</v>
      </c>
      <c r="L195" s="24" t="s">
        <v>3247</v>
      </c>
      <c r="M195" s="24" t="s">
        <v>5275</v>
      </c>
      <c r="N195" s="24"/>
      <c r="O195" s="26" t="s">
        <v>1702</v>
      </c>
      <c r="P195" s="24" t="s">
        <v>271</v>
      </c>
      <c r="Q195" s="24"/>
      <c r="R195" s="26"/>
      <c r="S195" s="26"/>
      <c r="T195" s="26"/>
      <c r="U195" s="24"/>
      <c r="V195" s="24"/>
      <c r="W195" s="24"/>
      <c r="X195" s="63"/>
      <c r="Y195" s="63"/>
      <c r="Z195" s="63"/>
      <c r="AA195" s="63"/>
      <c r="AB195" s="24"/>
      <c r="AC195" s="24"/>
    </row>
    <row r="196" spans="1:29" s="25" customFormat="1" ht="40.799999999999997" x14ac:dyDescent="0.3">
      <c r="A196" s="24">
        <v>104</v>
      </c>
      <c r="B196" s="24" t="s">
        <v>2272</v>
      </c>
      <c r="C196" s="26"/>
      <c r="D196" s="25" t="s">
        <v>272</v>
      </c>
      <c r="E196" s="19" t="s">
        <v>273</v>
      </c>
      <c r="F196" s="19"/>
      <c r="G196" s="24"/>
      <c r="H196" s="19"/>
      <c r="I196" s="26" t="s">
        <v>57</v>
      </c>
      <c r="J196" s="26"/>
      <c r="K196" s="24"/>
      <c r="L196" s="103" t="s">
        <v>6502</v>
      </c>
      <c r="M196" s="24" t="s">
        <v>5229</v>
      </c>
      <c r="N196" s="24"/>
      <c r="O196" s="26"/>
      <c r="P196" s="24"/>
      <c r="Q196" s="24"/>
      <c r="R196" s="26"/>
      <c r="S196" s="26"/>
      <c r="T196" s="26"/>
      <c r="U196" s="24"/>
      <c r="V196" s="24"/>
      <c r="W196" s="24"/>
      <c r="X196" s="63"/>
      <c r="Y196" s="63"/>
      <c r="Z196" s="63"/>
      <c r="AA196" s="63"/>
      <c r="AB196" s="24"/>
      <c r="AC196" s="24"/>
    </row>
    <row r="197" spans="1:29" s="28" customFormat="1" x14ac:dyDescent="0.3">
      <c r="A197" s="27" t="s">
        <v>6237</v>
      </c>
      <c r="B197" s="27" t="s">
        <v>2273</v>
      </c>
      <c r="C197" s="29">
        <v>59</v>
      </c>
      <c r="D197" s="28" t="s">
        <v>4822</v>
      </c>
      <c r="E197" s="20" t="s">
        <v>273</v>
      </c>
      <c r="F197" s="20" t="s">
        <v>2384</v>
      </c>
      <c r="G197" s="27"/>
      <c r="H197" s="20" t="s">
        <v>273</v>
      </c>
      <c r="I197" s="29"/>
      <c r="J197" s="29" t="s">
        <v>57</v>
      </c>
      <c r="K197" s="27"/>
      <c r="L197" s="27" t="s">
        <v>5139</v>
      </c>
      <c r="M197" s="27" t="s">
        <v>6905</v>
      </c>
      <c r="N197" s="27"/>
      <c r="O197" s="29" t="s">
        <v>6906</v>
      </c>
      <c r="P197" s="27"/>
      <c r="Q197" s="27"/>
      <c r="R197" s="29"/>
      <c r="S197" s="29"/>
      <c r="T197" s="29"/>
      <c r="U197" s="27"/>
      <c r="V197" s="27"/>
      <c r="W197" s="27"/>
      <c r="X197" s="64"/>
      <c r="Y197" s="64"/>
      <c r="Z197" s="64"/>
      <c r="AA197" s="64"/>
      <c r="AB197" s="27"/>
      <c r="AC197" s="27"/>
    </row>
    <row r="198" spans="1:29" s="28" customFormat="1" x14ac:dyDescent="0.3">
      <c r="A198" s="27" t="s">
        <v>6238</v>
      </c>
      <c r="B198" s="27" t="s">
        <v>2273</v>
      </c>
      <c r="C198" s="29">
        <v>59</v>
      </c>
      <c r="D198" s="28" t="s">
        <v>4822</v>
      </c>
      <c r="E198" s="20" t="s">
        <v>273</v>
      </c>
      <c r="F198" s="20" t="s">
        <v>2385</v>
      </c>
      <c r="G198" s="27" t="s">
        <v>2386</v>
      </c>
      <c r="H198" s="20" t="s">
        <v>2387</v>
      </c>
      <c r="I198" s="29"/>
      <c r="J198" s="29" t="s">
        <v>57</v>
      </c>
      <c r="K198" s="27"/>
      <c r="L198" s="27" t="s">
        <v>4544</v>
      </c>
      <c r="M198" s="27" t="s">
        <v>6907</v>
      </c>
      <c r="N198" s="27"/>
      <c r="O198" s="29" t="s">
        <v>6908</v>
      </c>
      <c r="P198" s="27"/>
      <c r="Q198" s="27"/>
      <c r="R198" s="29"/>
      <c r="S198" s="29"/>
      <c r="T198" s="29"/>
      <c r="U198" s="27"/>
      <c r="V198" s="27"/>
      <c r="W198" s="27"/>
      <c r="X198" s="64"/>
      <c r="Y198" s="64"/>
      <c r="Z198" s="64"/>
      <c r="AA198" s="64"/>
      <c r="AB198" s="27"/>
      <c r="AC198" s="27"/>
    </row>
    <row r="199" spans="1:29" s="28" customFormat="1" x14ac:dyDescent="0.3">
      <c r="A199" s="27" t="s">
        <v>6239</v>
      </c>
      <c r="B199" s="27" t="s">
        <v>2273</v>
      </c>
      <c r="C199" s="29">
        <v>59</v>
      </c>
      <c r="D199" s="28" t="s">
        <v>4822</v>
      </c>
      <c r="E199" s="20" t="s">
        <v>273</v>
      </c>
      <c r="F199" s="20" t="s">
        <v>2388</v>
      </c>
      <c r="G199" s="27" t="s">
        <v>2389</v>
      </c>
      <c r="H199" s="20" t="s">
        <v>2390</v>
      </c>
      <c r="I199" s="29"/>
      <c r="J199" s="29" t="s">
        <v>57</v>
      </c>
      <c r="K199" s="27"/>
      <c r="L199" s="27" t="s">
        <v>4545</v>
      </c>
      <c r="M199" s="27" t="s">
        <v>6909</v>
      </c>
      <c r="N199" s="27"/>
      <c r="O199" s="29" t="s">
        <v>6910</v>
      </c>
      <c r="P199" s="27"/>
      <c r="Q199" s="27"/>
      <c r="R199" s="29"/>
      <c r="S199" s="29"/>
      <c r="T199" s="29"/>
      <c r="U199" s="27"/>
      <c r="V199" s="27"/>
      <c r="W199" s="27"/>
      <c r="X199" s="64"/>
      <c r="Y199" s="64"/>
      <c r="Z199" s="64"/>
      <c r="AA199" s="64"/>
      <c r="AB199" s="27"/>
      <c r="AC199" s="27"/>
    </row>
    <row r="200" spans="1:29" s="28" customFormat="1" x14ac:dyDescent="0.3">
      <c r="A200" s="27" t="s">
        <v>6240</v>
      </c>
      <c r="B200" s="27" t="s">
        <v>2273</v>
      </c>
      <c r="C200" s="29">
        <v>59</v>
      </c>
      <c r="D200" s="28" t="s">
        <v>4822</v>
      </c>
      <c r="E200" s="20" t="s">
        <v>273</v>
      </c>
      <c r="F200" s="20" t="s">
        <v>2391</v>
      </c>
      <c r="G200" s="27" t="s">
        <v>2389</v>
      </c>
      <c r="H200" s="20" t="s">
        <v>2390</v>
      </c>
      <c r="I200" s="29"/>
      <c r="J200" s="29" t="s">
        <v>57</v>
      </c>
      <c r="K200" s="27"/>
      <c r="L200" s="27" t="s">
        <v>4545</v>
      </c>
      <c r="M200" s="27" t="s">
        <v>6828</v>
      </c>
      <c r="N200" s="27"/>
      <c r="O200" s="29" t="s">
        <v>6911</v>
      </c>
      <c r="P200" s="27"/>
      <c r="Q200" s="27"/>
      <c r="R200" s="29"/>
      <c r="S200" s="29"/>
      <c r="T200" s="29"/>
      <c r="U200" s="27"/>
      <c r="V200" s="27"/>
      <c r="W200" s="27"/>
      <c r="X200" s="64"/>
      <c r="Y200" s="64"/>
      <c r="Z200" s="64"/>
      <c r="AA200" s="64"/>
      <c r="AB200" s="27"/>
      <c r="AC200" s="27"/>
    </row>
    <row r="201" spans="1:29" s="25" customFormat="1" ht="40.799999999999997" x14ac:dyDescent="0.3">
      <c r="A201" s="24">
        <v>105</v>
      </c>
      <c r="B201" s="24" t="s">
        <v>2272</v>
      </c>
      <c r="C201" s="26"/>
      <c r="D201" s="25" t="s">
        <v>274</v>
      </c>
      <c r="E201" s="19" t="s">
        <v>275</v>
      </c>
      <c r="F201" s="19"/>
      <c r="G201" s="24"/>
      <c r="H201" s="19"/>
      <c r="I201" s="26" t="s">
        <v>57</v>
      </c>
      <c r="J201" s="26"/>
      <c r="K201" s="24"/>
      <c r="L201" s="103" t="s">
        <v>6503</v>
      </c>
      <c r="M201" s="24" t="s">
        <v>5276</v>
      </c>
      <c r="N201" s="24"/>
      <c r="O201" s="26"/>
      <c r="P201" s="24"/>
      <c r="Q201" s="24"/>
      <c r="R201" s="26"/>
      <c r="S201" s="26"/>
      <c r="T201" s="26"/>
      <c r="U201" s="24"/>
      <c r="V201" s="24"/>
      <c r="W201" s="24"/>
      <c r="X201" s="63"/>
      <c r="Y201" s="63"/>
      <c r="Z201" s="63"/>
      <c r="AA201" s="63"/>
      <c r="AB201" s="24"/>
      <c r="AC201" s="24"/>
    </row>
    <row r="202" spans="1:29" s="28" customFormat="1" x14ac:dyDescent="0.3">
      <c r="A202" s="27" t="s">
        <v>6241</v>
      </c>
      <c r="B202" s="27" t="s">
        <v>2273</v>
      </c>
      <c r="C202" s="29">
        <v>59</v>
      </c>
      <c r="D202" s="28" t="s">
        <v>4823</v>
      </c>
      <c r="E202" s="20" t="s">
        <v>275</v>
      </c>
      <c r="F202" s="20" t="s">
        <v>2351</v>
      </c>
      <c r="G202" s="27"/>
      <c r="H202" s="20" t="s">
        <v>275</v>
      </c>
      <c r="I202" s="29"/>
      <c r="J202" s="29" t="s">
        <v>57</v>
      </c>
      <c r="K202" s="27"/>
      <c r="L202" s="27" t="s">
        <v>5140</v>
      </c>
      <c r="M202" s="27" t="s">
        <v>6912</v>
      </c>
      <c r="N202" s="27"/>
      <c r="O202" s="29" t="s">
        <v>6913</v>
      </c>
      <c r="P202" s="27"/>
      <c r="Q202" s="27"/>
      <c r="R202" s="29"/>
      <c r="S202" s="29"/>
      <c r="T202" s="29"/>
      <c r="U202" s="27"/>
      <c r="V202" s="27"/>
      <c r="W202" s="27"/>
      <c r="X202" s="64"/>
      <c r="Y202" s="64"/>
      <c r="Z202" s="64"/>
      <c r="AA202" s="64"/>
      <c r="AB202" s="27"/>
      <c r="AC202" s="27"/>
    </row>
    <row r="203" spans="1:29" s="28" customFormat="1" x14ac:dyDescent="0.3">
      <c r="A203" s="27" t="s">
        <v>6242</v>
      </c>
      <c r="B203" s="27" t="s">
        <v>2273</v>
      </c>
      <c r="C203" s="29">
        <v>59</v>
      </c>
      <c r="D203" s="28" t="s">
        <v>4823</v>
      </c>
      <c r="E203" s="20" t="s">
        <v>275</v>
      </c>
      <c r="F203" s="20" t="s">
        <v>2392</v>
      </c>
      <c r="G203" s="27"/>
      <c r="H203" s="20" t="s">
        <v>275</v>
      </c>
      <c r="I203" s="29"/>
      <c r="J203" s="29" t="s">
        <v>57</v>
      </c>
      <c r="K203" s="27"/>
      <c r="L203" s="27" t="s">
        <v>5140</v>
      </c>
      <c r="M203" s="27" t="s">
        <v>6914</v>
      </c>
      <c r="N203" s="27"/>
      <c r="O203" s="29" t="s">
        <v>6915</v>
      </c>
      <c r="P203" s="27"/>
      <c r="Q203" s="27"/>
      <c r="R203" s="29"/>
      <c r="S203" s="29"/>
      <c r="T203" s="29"/>
      <c r="U203" s="27"/>
      <c r="V203" s="27"/>
      <c r="W203" s="27"/>
      <c r="X203" s="64"/>
      <c r="Y203" s="64"/>
      <c r="Z203" s="64"/>
      <c r="AA203" s="64"/>
      <c r="AB203" s="27"/>
      <c r="AC203" s="27"/>
    </row>
    <row r="204" spans="1:29" s="28" customFormat="1" x14ac:dyDescent="0.3">
      <c r="A204" s="27" t="s">
        <v>6243</v>
      </c>
      <c r="B204" s="27" t="s">
        <v>2273</v>
      </c>
      <c r="C204" s="29">
        <v>61</v>
      </c>
      <c r="D204" s="28" t="s">
        <v>4823</v>
      </c>
      <c r="E204" s="20" t="s">
        <v>275</v>
      </c>
      <c r="F204" s="20" t="s">
        <v>2393</v>
      </c>
      <c r="G204" s="27" t="s">
        <v>2394</v>
      </c>
      <c r="H204" s="20" t="s">
        <v>2395</v>
      </c>
      <c r="I204" s="29"/>
      <c r="J204" s="29" t="s">
        <v>57</v>
      </c>
      <c r="K204" s="27"/>
      <c r="L204" s="27" t="s">
        <v>4546</v>
      </c>
      <c r="M204" s="27" t="s">
        <v>6916</v>
      </c>
      <c r="N204" s="27"/>
      <c r="O204" s="29" t="s">
        <v>6917</v>
      </c>
      <c r="P204" s="27"/>
      <c r="Q204" s="27"/>
      <c r="R204" s="29"/>
      <c r="S204" s="29"/>
      <c r="T204" s="29"/>
      <c r="U204" s="27"/>
      <c r="V204" s="27"/>
      <c r="W204" s="27"/>
      <c r="X204" s="64"/>
      <c r="Y204" s="64"/>
      <c r="Z204" s="64"/>
      <c r="AA204" s="64"/>
      <c r="AB204" s="27"/>
      <c r="AC204" s="27"/>
    </row>
    <row r="205" spans="1:29" s="28" customFormat="1" x14ac:dyDescent="0.3">
      <c r="A205" s="27" t="s">
        <v>6244</v>
      </c>
      <c r="B205" s="27" t="s">
        <v>2273</v>
      </c>
      <c r="C205" s="29">
        <v>61</v>
      </c>
      <c r="D205" s="28" t="s">
        <v>4823</v>
      </c>
      <c r="E205" s="20" t="s">
        <v>275</v>
      </c>
      <c r="F205" s="20" t="s">
        <v>2396</v>
      </c>
      <c r="G205" s="27" t="s">
        <v>2397</v>
      </c>
      <c r="H205" s="20" t="s">
        <v>2398</v>
      </c>
      <c r="I205" s="29"/>
      <c r="J205" s="29" t="s">
        <v>57</v>
      </c>
      <c r="K205" s="27"/>
      <c r="L205" s="27" t="s">
        <v>4547</v>
      </c>
      <c r="M205" s="27" t="s">
        <v>6918</v>
      </c>
      <c r="N205" s="27"/>
      <c r="O205" s="29" t="s">
        <v>6919</v>
      </c>
      <c r="P205" s="27"/>
      <c r="Q205" s="27"/>
      <c r="R205" s="29"/>
      <c r="S205" s="29"/>
      <c r="T205" s="29"/>
      <c r="U205" s="27"/>
      <c r="V205" s="27"/>
      <c r="W205" s="27"/>
      <c r="X205" s="64"/>
      <c r="Y205" s="64"/>
      <c r="Z205" s="64"/>
      <c r="AA205" s="64"/>
      <c r="AB205" s="27"/>
      <c r="AC205" s="27"/>
    </row>
    <row r="206" spans="1:29" s="25" customFormat="1" x14ac:dyDescent="0.3">
      <c r="A206" s="24">
        <v>106</v>
      </c>
      <c r="B206" s="24" t="s">
        <v>2272</v>
      </c>
      <c r="C206" s="26">
        <v>61</v>
      </c>
      <c r="D206" s="25" t="s">
        <v>276</v>
      </c>
      <c r="E206" s="19" t="s">
        <v>277</v>
      </c>
      <c r="F206" s="19"/>
      <c r="G206" s="24"/>
      <c r="H206" s="19"/>
      <c r="I206" s="26" t="s">
        <v>57</v>
      </c>
      <c r="J206" s="26" t="s">
        <v>57</v>
      </c>
      <c r="K206" s="24"/>
      <c r="L206" s="24" t="s">
        <v>3251</v>
      </c>
      <c r="M206" s="24" t="s">
        <v>5275</v>
      </c>
      <c r="N206" s="24"/>
      <c r="O206" s="26" t="s">
        <v>1704</v>
      </c>
      <c r="P206" s="24"/>
      <c r="Q206" s="24"/>
      <c r="R206" s="26"/>
      <c r="S206" s="26"/>
      <c r="T206" s="26"/>
      <c r="U206" s="24"/>
      <c r="V206" s="24"/>
      <c r="W206" s="24"/>
      <c r="X206" s="63"/>
      <c r="Y206" s="63"/>
      <c r="Z206" s="63"/>
      <c r="AA206" s="63"/>
      <c r="AB206" s="24"/>
      <c r="AC206" s="24"/>
    </row>
    <row r="207" spans="1:29" s="25" customFormat="1" x14ac:dyDescent="0.3">
      <c r="A207" s="24">
        <v>107</v>
      </c>
      <c r="B207" s="24" t="s">
        <v>2272</v>
      </c>
      <c r="C207" s="26">
        <v>61</v>
      </c>
      <c r="D207" s="25" t="s">
        <v>278</v>
      </c>
      <c r="E207" s="19" t="s">
        <v>279</v>
      </c>
      <c r="F207" s="19"/>
      <c r="G207" s="24" t="s">
        <v>1707</v>
      </c>
      <c r="H207" s="19"/>
      <c r="I207" s="26" t="s">
        <v>57</v>
      </c>
      <c r="J207" s="26" t="s">
        <v>57</v>
      </c>
      <c r="K207" s="24" t="s">
        <v>3028</v>
      </c>
      <c r="L207" s="24" t="s">
        <v>3253</v>
      </c>
      <c r="M207" s="24" t="s">
        <v>5277</v>
      </c>
      <c r="N207" s="24"/>
      <c r="O207" s="26" t="s">
        <v>1706</v>
      </c>
      <c r="P207" s="24"/>
      <c r="Q207" s="24"/>
      <c r="R207" s="26"/>
      <c r="S207" s="26"/>
      <c r="T207" s="26"/>
      <c r="U207" s="24"/>
      <c r="V207" s="24"/>
      <c r="W207" s="24"/>
      <c r="X207" s="63"/>
      <c r="Y207" s="63"/>
      <c r="Z207" s="63"/>
      <c r="AA207" s="63"/>
      <c r="AB207" s="24"/>
      <c r="AC207" s="24"/>
    </row>
    <row r="208" spans="1:29" s="25" customFormat="1" x14ac:dyDescent="0.3">
      <c r="A208" s="24">
        <v>108</v>
      </c>
      <c r="B208" s="24" t="s">
        <v>2272</v>
      </c>
      <c r="C208" s="26">
        <v>61</v>
      </c>
      <c r="D208" s="25" t="s">
        <v>280</v>
      </c>
      <c r="E208" s="19" t="s">
        <v>281</v>
      </c>
      <c r="F208" s="19"/>
      <c r="G208" s="24"/>
      <c r="H208" s="19"/>
      <c r="I208" s="26" t="s">
        <v>37</v>
      </c>
      <c r="J208" s="26" t="s">
        <v>37</v>
      </c>
      <c r="K208" s="24"/>
      <c r="L208" s="24" t="s">
        <v>3233</v>
      </c>
      <c r="M208" s="24" t="s">
        <v>5278</v>
      </c>
      <c r="N208" s="24"/>
      <c r="O208" s="26" t="s">
        <v>1708</v>
      </c>
      <c r="P208" s="24"/>
      <c r="Q208" s="24"/>
      <c r="R208" s="26"/>
      <c r="S208" s="26"/>
      <c r="T208" s="26"/>
      <c r="U208" s="24"/>
      <c r="V208" s="24"/>
      <c r="W208" s="24"/>
      <c r="X208" s="63"/>
      <c r="Y208" s="63"/>
      <c r="Z208" s="63"/>
      <c r="AA208" s="63"/>
      <c r="AB208" s="24"/>
      <c r="AC208" s="24"/>
    </row>
    <row r="209" spans="1:29" s="25" customFormat="1" x14ac:dyDescent="0.3">
      <c r="A209" s="24">
        <v>109</v>
      </c>
      <c r="B209" s="24" t="s">
        <v>2272</v>
      </c>
      <c r="C209" s="26">
        <v>63</v>
      </c>
      <c r="D209" s="25" t="s">
        <v>282</v>
      </c>
      <c r="E209" s="19" t="s">
        <v>283</v>
      </c>
      <c r="F209" s="19"/>
      <c r="G209" s="24"/>
      <c r="H209" s="19"/>
      <c r="I209" s="26" t="s">
        <v>57</v>
      </c>
      <c r="J209" s="26" t="s">
        <v>57</v>
      </c>
      <c r="K209" s="24"/>
      <c r="L209" s="24" t="s">
        <v>3256</v>
      </c>
      <c r="M209" s="24" t="s">
        <v>5229</v>
      </c>
      <c r="N209" s="24"/>
      <c r="O209" s="26"/>
      <c r="P209" s="24"/>
      <c r="Q209" s="24"/>
      <c r="R209" s="26"/>
      <c r="S209" s="26"/>
      <c r="T209" s="26"/>
      <c r="U209" s="24"/>
      <c r="V209" s="24"/>
      <c r="W209" s="24"/>
      <c r="X209" s="63"/>
      <c r="Y209" s="63"/>
      <c r="Z209" s="63"/>
      <c r="AA209" s="63"/>
      <c r="AB209" s="24"/>
      <c r="AC209" s="24"/>
    </row>
    <row r="210" spans="1:29" s="28" customFormat="1" x14ac:dyDescent="0.3">
      <c r="A210" s="27" t="s">
        <v>6245</v>
      </c>
      <c r="B210" s="27" t="s">
        <v>2273</v>
      </c>
      <c r="C210" s="29"/>
      <c r="D210" s="28" t="s">
        <v>4824</v>
      </c>
      <c r="E210" s="20" t="s">
        <v>283</v>
      </c>
      <c r="F210" s="20" t="s">
        <v>2399</v>
      </c>
      <c r="G210" s="27"/>
      <c r="H210" s="20"/>
      <c r="I210" s="29"/>
      <c r="J210" s="29"/>
      <c r="K210" s="27"/>
      <c r="L210" s="27"/>
      <c r="M210" s="27" t="s">
        <v>6793</v>
      </c>
      <c r="N210" s="27"/>
      <c r="O210" s="29" t="s">
        <v>6894</v>
      </c>
      <c r="P210" s="27"/>
      <c r="Q210" s="27"/>
      <c r="R210" s="29"/>
      <c r="S210" s="29"/>
      <c r="T210" s="29"/>
      <c r="U210" s="27"/>
      <c r="V210" s="27"/>
      <c r="W210" s="27"/>
      <c r="X210" s="64"/>
      <c r="Y210" s="64"/>
      <c r="Z210" s="64"/>
      <c r="AA210" s="64"/>
      <c r="AB210" s="27"/>
      <c r="AC210" s="27"/>
    </row>
    <row r="211" spans="1:29" s="28" customFormat="1" x14ac:dyDescent="0.3">
      <c r="A211" s="27" t="s">
        <v>5747</v>
      </c>
      <c r="B211" s="27" t="s">
        <v>2273</v>
      </c>
      <c r="C211" s="29"/>
      <c r="D211" s="28" t="s">
        <v>4824</v>
      </c>
      <c r="E211" s="20" t="s">
        <v>283</v>
      </c>
      <c r="F211" s="20" t="s">
        <v>2400</v>
      </c>
      <c r="G211" s="27"/>
      <c r="H211" s="20"/>
      <c r="I211" s="29"/>
      <c r="J211" s="29"/>
      <c r="K211" s="27"/>
      <c r="L211" s="27"/>
      <c r="M211" s="27" t="s">
        <v>6920</v>
      </c>
      <c r="N211" s="27"/>
      <c r="O211" s="29" t="s">
        <v>6921</v>
      </c>
      <c r="P211" s="27"/>
      <c r="Q211" s="27"/>
      <c r="R211" s="29"/>
      <c r="S211" s="29"/>
      <c r="T211" s="29"/>
      <c r="U211" s="27"/>
      <c r="V211" s="27"/>
      <c r="W211" s="27"/>
      <c r="X211" s="64"/>
      <c r="Y211" s="64"/>
      <c r="Z211" s="64"/>
      <c r="AA211" s="64"/>
      <c r="AB211" s="27"/>
      <c r="AC211" s="27"/>
    </row>
    <row r="212" spans="1:29" s="28" customFormat="1" x14ac:dyDescent="0.3">
      <c r="A212" s="27" t="s">
        <v>6246</v>
      </c>
      <c r="B212" s="27" t="s">
        <v>2273</v>
      </c>
      <c r="C212" s="29"/>
      <c r="D212" s="28" t="s">
        <v>4824</v>
      </c>
      <c r="E212" s="20" t="s">
        <v>283</v>
      </c>
      <c r="F212" s="20" t="s">
        <v>2401</v>
      </c>
      <c r="G212" s="27"/>
      <c r="H212" s="20"/>
      <c r="I212" s="29"/>
      <c r="J212" s="29"/>
      <c r="K212" s="27"/>
      <c r="L212" s="27"/>
      <c r="M212" s="27" t="s">
        <v>6922</v>
      </c>
      <c r="N212" s="27"/>
      <c r="O212" s="29" t="s">
        <v>6923</v>
      </c>
      <c r="P212" s="27"/>
      <c r="Q212" s="27"/>
      <c r="R212" s="29"/>
      <c r="S212" s="29"/>
      <c r="T212" s="29"/>
      <c r="U212" s="27"/>
      <c r="V212" s="27"/>
      <c r="W212" s="27"/>
      <c r="X212" s="64"/>
      <c r="Y212" s="64"/>
      <c r="Z212" s="64"/>
      <c r="AA212" s="64"/>
      <c r="AB212" s="27"/>
      <c r="AC212" s="27"/>
    </row>
    <row r="213" spans="1:29" s="28" customFormat="1" x14ac:dyDescent="0.3">
      <c r="A213" s="27" t="s">
        <v>6247</v>
      </c>
      <c r="B213" s="27" t="s">
        <v>2273</v>
      </c>
      <c r="C213" s="29"/>
      <c r="D213" s="28" t="s">
        <v>4824</v>
      </c>
      <c r="E213" s="20" t="s">
        <v>283</v>
      </c>
      <c r="F213" s="20" t="s">
        <v>2357</v>
      </c>
      <c r="G213" s="27"/>
      <c r="H213" s="20"/>
      <c r="I213" s="29"/>
      <c r="J213" s="29"/>
      <c r="K213" s="27"/>
      <c r="L213" s="27"/>
      <c r="M213" s="27" t="s">
        <v>6867</v>
      </c>
      <c r="N213" s="27"/>
      <c r="O213" s="29" t="s">
        <v>6924</v>
      </c>
      <c r="P213" s="27"/>
      <c r="Q213" s="27"/>
      <c r="R213" s="29"/>
      <c r="S213" s="29"/>
      <c r="T213" s="29"/>
      <c r="U213" s="27"/>
      <c r="V213" s="27"/>
      <c r="W213" s="27"/>
      <c r="X213" s="64"/>
      <c r="Y213" s="64"/>
      <c r="Z213" s="64"/>
      <c r="AA213" s="64"/>
      <c r="AB213" s="27"/>
      <c r="AC213" s="27"/>
    </row>
    <row r="214" spans="1:29" s="25" customFormat="1" x14ac:dyDescent="0.3">
      <c r="A214" s="24">
        <v>110</v>
      </c>
      <c r="B214" s="24" t="s">
        <v>2272</v>
      </c>
      <c r="C214" s="26">
        <v>63</v>
      </c>
      <c r="D214" s="25" t="s">
        <v>284</v>
      </c>
      <c r="E214" s="19" t="s">
        <v>285</v>
      </c>
      <c r="F214" s="19"/>
      <c r="G214" s="24"/>
      <c r="H214" s="19"/>
      <c r="I214" s="26" t="s">
        <v>37</v>
      </c>
      <c r="J214" s="26" t="s">
        <v>37</v>
      </c>
      <c r="K214" s="24"/>
      <c r="L214" s="24" t="s">
        <v>3258</v>
      </c>
      <c r="M214" s="24" t="s">
        <v>84</v>
      </c>
      <c r="N214" s="24"/>
      <c r="O214" s="26"/>
      <c r="P214" s="24"/>
      <c r="Q214" s="24"/>
      <c r="R214" s="26"/>
      <c r="S214" s="26"/>
      <c r="T214" s="26"/>
      <c r="U214" s="24"/>
      <c r="V214" s="24"/>
      <c r="W214" s="24"/>
      <c r="X214" s="63"/>
      <c r="Y214" s="63"/>
      <c r="Z214" s="63"/>
      <c r="AA214" s="63"/>
      <c r="AB214" s="24"/>
      <c r="AC214" s="24"/>
    </row>
    <row r="215" spans="1:29" s="28" customFormat="1" x14ac:dyDescent="0.3">
      <c r="A215" s="27" t="s">
        <v>6925</v>
      </c>
      <c r="B215" s="27" t="s">
        <v>2273</v>
      </c>
      <c r="C215" s="29"/>
      <c r="D215" s="28" t="s">
        <v>4825</v>
      </c>
      <c r="E215" s="20" t="s">
        <v>285</v>
      </c>
      <c r="F215" s="20" t="s">
        <v>6926</v>
      </c>
      <c r="G215" s="27"/>
      <c r="H215" s="20"/>
      <c r="I215" s="29"/>
      <c r="J215" s="29"/>
      <c r="K215" s="27"/>
      <c r="L215" s="27"/>
      <c r="M215" s="27" t="s">
        <v>6927</v>
      </c>
      <c r="N215" s="27"/>
      <c r="O215" s="29" t="s">
        <v>6928</v>
      </c>
      <c r="P215" s="27"/>
      <c r="Q215" s="27"/>
      <c r="R215" s="29"/>
      <c r="S215" s="29"/>
      <c r="T215" s="29"/>
      <c r="U215" s="27"/>
      <c r="V215" s="27"/>
      <c r="W215" s="27"/>
      <c r="X215" s="64"/>
      <c r="Y215" s="64"/>
      <c r="Z215" s="64"/>
      <c r="AA215" s="64"/>
      <c r="AB215" s="27"/>
      <c r="AC215" s="27"/>
    </row>
    <row r="216" spans="1:29" s="28" customFormat="1" x14ac:dyDescent="0.3">
      <c r="A216" s="27" t="s">
        <v>6248</v>
      </c>
      <c r="B216" s="27" t="s">
        <v>2273</v>
      </c>
      <c r="C216" s="29"/>
      <c r="D216" s="28" t="s">
        <v>4825</v>
      </c>
      <c r="E216" s="20" t="s">
        <v>285</v>
      </c>
      <c r="F216" s="20" t="s">
        <v>2402</v>
      </c>
      <c r="G216" s="27"/>
      <c r="H216" s="20"/>
      <c r="I216" s="29"/>
      <c r="J216" s="29"/>
      <c r="K216" s="27"/>
      <c r="L216" s="27"/>
      <c r="M216" s="27" t="s">
        <v>6929</v>
      </c>
      <c r="N216" s="27"/>
      <c r="O216" s="29"/>
      <c r="P216" s="27"/>
      <c r="Q216" s="27"/>
      <c r="R216" s="29"/>
      <c r="S216" s="29"/>
      <c r="T216" s="29"/>
      <c r="U216" s="27"/>
      <c r="V216" s="27"/>
      <c r="W216" s="27"/>
      <c r="X216" s="64"/>
      <c r="Y216" s="64"/>
      <c r="Z216" s="64"/>
      <c r="AA216" s="64"/>
      <c r="AB216" s="27"/>
      <c r="AC216" s="27"/>
    </row>
    <row r="217" spans="1:29" s="25" customFormat="1" x14ac:dyDescent="0.3">
      <c r="A217" s="24">
        <v>111</v>
      </c>
      <c r="B217" s="24" t="s">
        <v>2272</v>
      </c>
      <c r="C217" s="26">
        <v>63</v>
      </c>
      <c r="D217" s="25" t="s">
        <v>5146</v>
      </c>
      <c r="E217" s="19" t="s">
        <v>286</v>
      </c>
      <c r="F217" s="19"/>
      <c r="G217" s="24"/>
      <c r="H217" s="19"/>
      <c r="I217" s="26" t="s">
        <v>37</v>
      </c>
      <c r="J217" s="26" t="s">
        <v>37</v>
      </c>
      <c r="K217" s="24"/>
      <c r="L217" s="24" t="s">
        <v>3260</v>
      </c>
      <c r="M217" s="24" t="s">
        <v>5280</v>
      </c>
      <c r="N217" s="24"/>
      <c r="O217" s="26"/>
      <c r="P217" s="24"/>
      <c r="Q217" s="24"/>
      <c r="R217" s="26"/>
      <c r="S217" s="26"/>
      <c r="T217" s="26"/>
      <c r="U217" s="24"/>
      <c r="V217" s="24"/>
      <c r="W217" s="24"/>
      <c r="X217" s="63"/>
      <c r="Y217" s="63"/>
      <c r="Z217" s="63"/>
      <c r="AA217" s="63"/>
      <c r="AB217" s="24"/>
      <c r="AC217" s="24"/>
    </row>
    <row r="218" spans="1:29" s="28" customFormat="1" x14ac:dyDescent="0.3">
      <c r="A218" s="27" t="s">
        <v>2406</v>
      </c>
      <c r="B218" s="27" t="s">
        <v>2273</v>
      </c>
      <c r="C218" s="29"/>
      <c r="D218" s="28" t="s">
        <v>5748</v>
      </c>
      <c r="E218" s="20" t="s">
        <v>286</v>
      </c>
      <c r="F218" s="20" t="s">
        <v>2403</v>
      </c>
      <c r="G218" s="27"/>
      <c r="H218" s="20"/>
      <c r="I218" s="29"/>
      <c r="J218" s="29"/>
      <c r="K218" s="27"/>
      <c r="L218" s="27"/>
      <c r="M218" s="27" t="s">
        <v>6930</v>
      </c>
      <c r="N218" s="27"/>
      <c r="O218" s="29" t="s">
        <v>6931</v>
      </c>
      <c r="P218" s="27"/>
      <c r="Q218" s="27"/>
      <c r="R218" s="29"/>
      <c r="S218" s="29"/>
      <c r="T218" s="29"/>
      <c r="U218" s="27"/>
      <c r="V218" s="27"/>
      <c r="W218" s="27"/>
      <c r="X218" s="64"/>
      <c r="Y218" s="64"/>
      <c r="Z218" s="64"/>
      <c r="AA218" s="64"/>
      <c r="AB218" s="27"/>
      <c r="AC218" s="27"/>
    </row>
    <row r="219" spans="1:29" s="25" customFormat="1" x14ac:dyDescent="0.3">
      <c r="A219" s="24">
        <v>112</v>
      </c>
      <c r="B219" s="24" t="s">
        <v>2272</v>
      </c>
      <c r="C219" s="26">
        <v>69</v>
      </c>
      <c r="D219" s="25" t="s">
        <v>287</v>
      </c>
      <c r="E219" s="19" t="s">
        <v>288</v>
      </c>
      <c r="F219" s="19"/>
      <c r="G219" s="24"/>
      <c r="H219" s="19" t="s">
        <v>1713</v>
      </c>
      <c r="I219" s="26" t="s">
        <v>57</v>
      </c>
      <c r="J219" s="26" t="s">
        <v>57</v>
      </c>
      <c r="K219" s="24"/>
      <c r="L219" s="24" t="s">
        <v>3262</v>
      </c>
      <c r="M219" s="24" t="s">
        <v>5282</v>
      </c>
      <c r="N219" s="24"/>
      <c r="O219" s="26" t="s">
        <v>1711</v>
      </c>
      <c r="P219" s="24"/>
      <c r="Q219" s="24"/>
      <c r="R219" s="26"/>
      <c r="S219" s="26"/>
      <c r="T219" s="26"/>
      <c r="U219" s="24"/>
      <c r="V219" s="24"/>
      <c r="W219" s="24"/>
      <c r="X219" s="63"/>
      <c r="Y219" s="63"/>
      <c r="Z219" s="63"/>
      <c r="AA219" s="63"/>
      <c r="AB219" s="24"/>
      <c r="AC219" s="24"/>
    </row>
    <row r="220" spans="1:29" s="25" customFormat="1" ht="20.399999999999999" x14ac:dyDescent="0.3">
      <c r="A220" s="24">
        <v>113</v>
      </c>
      <c r="B220" s="24" t="s">
        <v>2272</v>
      </c>
      <c r="C220" s="26">
        <v>67</v>
      </c>
      <c r="D220" s="25" t="s">
        <v>289</v>
      </c>
      <c r="E220" s="19" t="s">
        <v>290</v>
      </c>
      <c r="F220" s="19"/>
      <c r="G220" s="24" t="s">
        <v>1715</v>
      </c>
      <c r="H220" s="19" t="s">
        <v>1716</v>
      </c>
      <c r="I220" s="26" t="s">
        <v>57</v>
      </c>
      <c r="J220" s="26" t="s">
        <v>57</v>
      </c>
      <c r="K220" s="24"/>
      <c r="L220" s="103" t="s">
        <v>3264</v>
      </c>
      <c r="M220" s="24" t="s">
        <v>5245</v>
      </c>
      <c r="N220" s="24"/>
      <c r="O220" s="26"/>
      <c r="P220" s="24"/>
      <c r="Q220" s="24"/>
      <c r="R220" s="26"/>
      <c r="S220" s="26"/>
      <c r="T220" s="26"/>
      <c r="U220" s="24"/>
      <c r="V220" s="24"/>
      <c r="W220" s="24"/>
      <c r="X220" s="63"/>
      <c r="Y220" s="63"/>
      <c r="Z220" s="63"/>
      <c r="AA220" s="63"/>
      <c r="AB220" s="24"/>
      <c r="AC220" s="24"/>
    </row>
    <row r="221" spans="1:29" s="28" customFormat="1" x14ac:dyDescent="0.3">
      <c r="A221" s="27" t="s">
        <v>6249</v>
      </c>
      <c r="B221" s="27" t="s">
        <v>2273</v>
      </c>
      <c r="C221" s="29">
        <v>67</v>
      </c>
      <c r="D221" s="28" t="s">
        <v>4826</v>
      </c>
      <c r="E221" s="20" t="s">
        <v>290</v>
      </c>
      <c r="F221" s="20" t="s">
        <v>2404</v>
      </c>
      <c r="G221" s="27" t="s">
        <v>4549</v>
      </c>
      <c r="H221" s="20" t="s">
        <v>4550</v>
      </c>
      <c r="I221" s="29"/>
      <c r="J221" s="29" t="s">
        <v>57</v>
      </c>
      <c r="K221" s="27"/>
      <c r="L221" s="27" t="s">
        <v>4548</v>
      </c>
      <c r="M221" s="27" t="s">
        <v>6793</v>
      </c>
      <c r="N221" s="27"/>
      <c r="O221" s="29" t="s">
        <v>6894</v>
      </c>
      <c r="P221" s="27"/>
      <c r="Q221" s="27"/>
      <c r="R221" s="29"/>
      <c r="S221" s="29"/>
      <c r="T221" s="29"/>
      <c r="U221" s="27"/>
      <c r="V221" s="27"/>
      <c r="W221" s="27"/>
      <c r="X221" s="64"/>
      <c r="Y221" s="64"/>
      <c r="Z221" s="64"/>
      <c r="AA221" s="64"/>
      <c r="AB221" s="27"/>
      <c r="AC221" s="27"/>
    </row>
    <row r="222" spans="1:29" s="28" customFormat="1" x14ac:dyDescent="0.3">
      <c r="A222" s="27" t="s">
        <v>2412</v>
      </c>
      <c r="B222" s="27" t="s">
        <v>2273</v>
      </c>
      <c r="C222" s="29">
        <v>67</v>
      </c>
      <c r="D222" s="28" t="s">
        <v>4826</v>
      </c>
      <c r="E222" s="20" t="s">
        <v>290</v>
      </c>
      <c r="F222" s="20" t="s">
        <v>2405</v>
      </c>
      <c r="G222" s="27" t="s">
        <v>4552</v>
      </c>
      <c r="H222" s="20" t="s">
        <v>4553</v>
      </c>
      <c r="I222" s="29"/>
      <c r="J222" s="29" t="s">
        <v>57</v>
      </c>
      <c r="K222" s="27"/>
      <c r="L222" s="27" t="s">
        <v>4551</v>
      </c>
      <c r="M222" s="27" t="s">
        <v>6932</v>
      </c>
      <c r="N222" s="27"/>
      <c r="O222" s="29" t="s">
        <v>6933</v>
      </c>
      <c r="P222" s="27"/>
      <c r="Q222" s="27"/>
      <c r="R222" s="29"/>
      <c r="S222" s="29"/>
      <c r="T222" s="29"/>
      <c r="U222" s="27"/>
      <c r="V222" s="27"/>
      <c r="W222" s="27"/>
      <c r="X222" s="64"/>
      <c r="Y222" s="64"/>
      <c r="Z222" s="64"/>
      <c r="AA222" s="64"/>
      <c r="AB222" s="27"/>
      <c r="AC222" s="27"/>
    </row>
    <row r="223" spans="1:29" s="25" customFormat="1" x14ac:dyDescent="0.3">
      <c r="A223" s="24">
        <v>114</v>
      </c>
      <c r="B223" s="24" t="s">
        <v>2272</v>
      </c>
      <c r="C223" s="26">
        <v>69</v>
      </c>
      <c r="D223" s="25" t="s">
        <v>291</v>
      </c>
      <c r="E223" s="19" t="s">
        <v>292</v>
      </c>
      <c r="F223" s="19"/>
      <c r="G223" s="24"/>
      <c r="H223" s="19" t="s">
        <v>1717</v>
      </c>
      <c r="I223" s="26" t="s">
        <v>57</v>
      </c>
      <c r="J223" s="26" t="s">
        <v>57</v>
      </c>
      <c r="K223" s="24"/>
      <c r="L223" s="24" t="s">
        <v>3266</v>
      </c>
      <c r="M223" s="24" t="s">
        <v>5276</v>
      </c>
      <c r="N223" s="24"/>
      <c r="O223" s="26"/>
      <c r="P223" s="24"/>
      <c r="Q223" s="24"/>
      <c r="R223" s="26"/>
      <c r="S223" s="26"/>
      <c r="T223" s="26"/>
      <c r="U223" s="24"/>
      <c r="V223" s="24"/>
      <c r="W223" s="24"/>
      <c r="X223" s="63"/>
      <c r="Y223" s="63"/>
      <c r="Z223" s="63"/>
      <c r="AA223" s="63"/>
      <c r="AB223" s="24"/>
      <c r="AC223" s="24"/>
    </row>
    <row r="224" spans="1:29" s="28" customFormat="1" x14ac:dyDescent="0.3">
      <c r="A224" s="27" t="s">
        <v>2413</v>
      </c>
      <c r="B224" s="27" t="s">
        <v>2273</v>
      </c>
      <c r="C224" s="29"/>
      <c r="D224" s="28" t="s">
        <v>4827</v>
      </c>
      <c r="E224" s="20" t="s">
        <v>292</v>
      </c>
      <c r="F224" s="20" t="s">
        <v>2391</v>
      </c>
      <c r="G224" s="27"/>
      <c r="H224" s="20"/>
      <c r="I224" s="29"/>
      <c r="J224" s="29"/>
      <c r="K224" s="27"/>
      <c r="L224" s="27"/>
      <c r="M224" s="27" t="s">
        <v>6773</v>
      </c>
      <c r="N224" s="27"/>
      <c r="O224" s="29" t="s">
        <v>6934</v>
      </c>
      <c r="P224" s="27"/>
      <c r="Q224" s="27"/>
      <c r="R224" s="29"/>
      <c r="S224" s="29"/>
      <c r="T224" s="29"/>
      <c r="U224" s="27"/>
      <c r="V224" s="27"/>
      <c r="W224" s="27"/>
      <c r="X224" s="64"/>
      <c r="Y224" s="64"/>
      <c r="Z224" s="64"/>
      <c r="AA224" s="64"/>
      <c r="AB224" s="27"/>
      <c r="AC224" s="27"/>
    </row>
    <row r="225" spans="1:29" s="28" customFormat="1" x14ac:dyDescent="0.3">
      <c r="A225" s="27" t="s">
        <v>6250</v>
      </c>
      <c r="B225" s="27" t="s">
        <v>2273</v>
      </c>
      <c r="C225" s="29"/>
      <c r="D225" s="28" t="s">
        <v>4827</v>
      </c>
      <c r="E225" s="20" t="s">
        <v>292</v>
      </c>
      <c r="F225" s="20" t="s">
        <v>2407</v>
      </c>
      <c r="G225" s="27"/>
      <c r="H225" s="20"/>
      <c r="I225" s="29"/>
      <c r="J225" s="29"/>
      <c r="K225" s="27"/>
      <c r="L225" s="27"/>
      <c r="M225" s="27" t="s">
        <v>6777</v>
      </c>
      <c r="N225" s="27"/>
      <c r="O225" s="29" t="s">
        <v>6935</v>
      </c>
      <c r="P225" s="27"/>
      <c r="Q225" s="27"/>
      <c r="R225" s="29"/>
      <c r="S225" s="29"/>
      <c r="T225" s="29"/>
      <c r="U225" s="27"/>
      <c r="V225" s="27"/>
      <c r="W225" s="27"/>
      <c r="X225" s="64"/>
      <c r="Y225" s="64"/>
      <c r="Z225" s="64"/>
      <c r="AA225" s="64"/>
      <c r="AB225" s="27"/>
      <c r="AC225" s="27"/>
    </row>
    <row r="226" spans="1:29" s="25" customFormat="1" x14ac:dyDescent="0.3">
      <c r="A226" s="24">
        <v>115</v>
      </c>
      <c r="B226" s="24" t="s">
        <v>2272</v>
      </c>
      <c r="C226" s="26">
        <v>69</v>
      </c>
      <c r="D226" s="25" t="s">
        <v>293</v>
      </c>
      <c r="E226" s="19" t="s">
        <v>294</v>
      </c>
      <c r="F226" s="19"/>
      <c r="G226" s="24"/>
      <c r="H226" s="19" t="s">
        <v>1718</v>
      </c>
      <c r="I226" s="26" t="s">
        <v>253</v>
      </c>
      <c r="J226" s="26" t="s">
        <v>253</v>
      </c>
      <c r="K226" s="24"/>
      <c r="L226" s="24" t="s">
        <v>3153</v>
      </c>
      <c r="M226" s="24" t="s">
        <v>295</v>
      </c>
      <c r="N226" s="24"/>
      <c r="O226" s="26"/>
      <c r="P226" s="24" t="s">
        <v>296</v>
      </c>
      <c r="Q226" s="24"/>
      <c r="R226" s="26"/>
      <c r="S226" s="26"/>
      <c r="T226" s="26"/>
      <c r="U226" s="24"/>
      <c r="V226" s="24"/>
      <c r="W226" s="24"/>
      <c r="X226" s="63"/>
      <c r="Y226" s="63"/>
      <c r="Z226" s="63"/>
      <c r="AA226" s="63"/>
      <c r="AB226" s="24"/>
      <c r="AC226" s="24"/>
    </row>
    <row r="227" spans="1:29" s="28" customFormat="1" x14ac:dyDescent="0.3">
      <c r="A227" s="27" t="s">
        <v>6251</v>
      </c>
      <c r="B227" s="27" t="s">
        <v>2273</v>
      </c>
      <c r="C227" s="29"/>
      <c r="D227" s="28" t="s">
        <v>4828</v>
      </c>
      <c r="E227" s="20" t="s">
        <v>294</v>
      </c>
      <c r="F227" s="20" t="s">
        <v>2408</v>
      </c>
      <c r="G227" s="27"/>
      <c r="H227" s="20"/>
      <c r="I227" s="29"/>
      <c r="J227" s="29"/>
      <c r="K227" s="27"/>
      <c r="L227" s="27"/>
      <c r="M227" s="27" t="s">
        <v>6936</v>
      </c>
      <c r="N227" s="27"/>
      <c r="O227" s="29" t="s">
        <v>6937</v>
      </c>
      <c r="P227" s="27"/>
      <c r="Q227" s="27"/>
      <c r="R227" s="29"/>
      <c r="S227" s="29"/>
      <c r="T227" s="29"/>
      <c r="U227" s="27"/>
      <c r="V227" s="27"/>
      <c r="W227" s="27"/>
      <c r="X227" s="64"/>
      <c r="Y227" s="64"/>
      <c r="Z227" s="64"/>
      <c r="AA227" s="64"/>
      <c r="AB227" s="27"/>
      <c r="AC227" s="27"/>
    </row>
    <row r="228" spans="1:29" s="28" customFormat="1" x14ac:dyDescent="0.3">
      <c r="A228" s="27" t="s">
        <v>6252</v>
      </c>
      <c r="B228" s="27" t="s">
        <v>2273</v>
      </c>
      <c r="C228" s="29"/>
      <c r="D228" s="28" t="s">
        <v>4828</v>
      </c>
      <c r="E228" s="20" t="s">
        <v>294</v>
      </c>
      <c r="F228" s="20" t="s">
        <v>2409</v>
      </c>
      <c r="G228" s="27"/>
      <c r="H228" s="20"/>
      <c r="I228" s="29"/>
      <c r="J228" s="29"/>
      <c r="K228" s="27"/>
      <c r="L228" s="27"/>
      <c r="M228" s="27" t="s">
        <v>6938</v>
      </c>
      <c r="N228" s="27"/>
      <c r="O228" s="29" t="s">
        <v>6939</v>
      </c>
      <c r="P228" s="27"/>
      <c r="Q228" s="27"/>
      <c r="R228" s="29"/>
      <c r="S228" s="29"/>
      <c r="T228" s="29"/>
      <c r="U228" s="27"/>
      <c r="V228" s="27"/>
      <c r="W228" s="27"/>
      <c r="X228" s="64"/>
      <c r="Y228" s="64"/>
      <c r="Z228" s="64"/>
      <c r="AA228" s="64"/>
      <c r="AB228" s="27"/>
      <c r="AC228" s="27"/>
    </row>
    <row r="229" spans="1:29" s="28" customFormat="1" x14ac:dyDescent="0.3">
      <c r="A229" s="27" t="s">
        <v>6253</v>
      </c>
      <c r="B229" s="27" t="s">
        <v>2273</v>
      </c>
      <c r="C229" s="29"/>
      <c r="D229" s="28" t="s">
        <v>4828</v>
      </c>
      <c r="E229" s="20" t="s">
        <v>294</v>
      </c>
      <c r="F229" s="20" t="s">
        <v>2410</v>
      </c>
      <c r="G229" s="27"/>
      <c r="H229" s="20"/>
      <c r="I229" s="29"/>
      <c r="J229" s="29"/>
      <c r="K229" s="27"/>
      <c r="L229" s="27"/>
      <c r="M229" s="27" t="s">
        <v>6768</v>
      </c>
      <c r="N229" s="27"/>
      <c r="O229" s="29" t="s">
        <v>1906</v>
      </c>
      <c r="P229" s="27"/>
      <c r="Q229" s="27"/>
      <c r="R229" s="29"/>
      <c r="S229" s="29"/>
      <c r="T229" s="29"/>
      <c r="U229" s="27"/>
      <c r="V229" s="27"/>
      <c r="W229" s="27"/>
      <c r="X229" s="64"/>
      <c r="Y229" s="64"/>
      <c r="Z229" s="64"/>
      <c r="AA229" s="64"/>
      <c r="AB229" s="27"/>
      <c r="AC229" s="27"/>
    </row>
    <row r="230" spans="1:29" s="25" customFormat="1" x14ac:dyDescent="0.3">
      <c r="A230" s="24">
        <v>116</v>
      </c>
      <c r="B230" s="24" t="s">
        <v>2272</v>
      </c>
      <c r="C230" s="26"/>
      <c r="D230" s="25" t="s">
        <v>297</v>
      </c>
      <c r="E230" s="19" t="s">
        <v>298</v>
      </c>
      <c r="F230" s="19"/>
      <c r="G230" s="24"/>
      <c r="H230" s="19"/>
      <c r="I230" s="26" t="s">
        <v>49</v>
      </c>
      <c r="J230" s="26"/>
      <c r="K230" s="24" t="s">
        <v>49</v>
      </c>
      <c r="L230" s="24" t="s">
        <v>3270</v>
      </c>
      <c r="M230" s="24" t="s">
        <v>5283</v>
      </c>
      <c r="N230" s="24"/>
      <c r="O230" s="26"/>
      <c r="P230" s="24" t="s">
        <v>6390</v>
      </c>
      <c r="Q230" s="24"/>
      <c r="R230" s="26"/>
      <c r="S230" s="26"/>
      <c r="T230" s="26"/>
      <c r="U230" s="24"/>
      <c r="V230" s="24"/>
      <c r="W230" s="24"/>
      <c r="X230" s="63"/>
      <c r="Y230" s="63"/>
      <c r="Z230" s="63"/>
      <c r="AA230" s="63"/>
      <c r="AB230" s="24"/>
      <c r="AC230" s="24"/>
    </row>
    <row r="231" spans="1:29" s="28" customFormat="1" x14ac:dyDescent="0.3">
      <c r="A231" s="27" t="s">
        <v>6254</v>
      </c>
      <c r="B231" s="27" t="s">
        <v>2273</v>
      </c>
      <c r="C231" s="29">
        <v>71</v>
      </c>
      <c r="D231" s="28" t="s">
        <v>4829</v>
      </c>
      <c r="E231" s="20" t="s">
        <v>298</v>
      </c>
      <c r="F231" s="20" t="s">
        <v>2411</v>
      </c>
      <c r="G231" s="27" t="s">
        <v>3269</v>
      </c>
      <c r="H231" s="20" t="s">
        <v>4554</v>
      </c>
      <c r="I231" s="29"/>
      <c r="J231" s="29" t="s">
        <v>5121</v>
      </c>
      <c r="K231" s="27"/>
      <c r="L231" s="27" t="s">
        <v>3270</v>
      </c>
      <c r="M231" s="27" t="s">
        <v>6940</v>
      </c>
      <c r="N231" s="27"/>
      <c r="O231" s="29" t="s">
        <v>6941</v>
      </c>
      <c r="P231" s="27"/>
      <c r="Q231" s="27"/>
      <c r="R231" s="29"/>
      <c r="S231" s="29"/>
      <c r="T231" s="29"/>
      <c r="U231" s="27"/>
      <c r="V231" s="27"/>
      <c r="W231" s="27"/>
      <c r="X231" s="64"/>
      <c r="Y231" s="64"/>
      <c r="Z231" s="64"/>
      <c r="AA231" s="64"/>
      <c r="AB231" s="27"/>
      <c r="AC231" s="27"/>
    </row>
    <row r="232" spans="1:29" s="25" customFormat="1" x14ac:dyDescent="0.3">
      <c r="A232" s="24">
        <v>117</v>
      </c>
      <c r="B232" s="24" t="s">
        <v>2272</v>
      </c>
      <c r="C232" s="26">
        <v>71</v>
      </c>
      <c r="D232" s="25" t="s">
        <v>299</v>
      </c>
      <c r="E232" s="19" t="s">
        <v>300</v>
      </c>
      <c r="F232" s="19"/>
      <c r="G232" s="24"/>
      <c r="H232" s="19"/>
      <c r="I232" s="26" t="s">
        <v>37</v>
      </c>
      <c r="J232" s="26" t="s">
        <v>37</v>
      </c>
      <c r="K232" s="24"/>
      <c r="L232" s="24" t="s">
        <v>3272</v>
      </c>
      <c r="M232" s="24" t="s">
        <v>5284</v>
      </c>
      <c r="N232" s="24"/>
      <c r="O232" s="26"/>
      <c r="P232" s="24"/>
      <c r="Q232" s="24"/>
      <c r="R232" s="26"/>
      <c r="S232" s="26"/>
      <c r="T232" s="26"/>
      <c r="U232" s="24"/>
      <c r="V232" s="24"/>
      <c r="W232" s="24"/>
      <c r="X232" s="63"/>
      <c r="Y232" s="63"/>
      <c r="Z232" s="63"/>
      <c r="AA232" s="63"/>
      <c r="AB232" s="24"/>
      <c r="AC232" s="24"/>
    </row>
    <row r="233" spans="1:29" s="28" customFormat="1" x14ac:dyDescent="0.3">
      <c r="A233" s="27" t="s">
        <v>6255</v>
      </c>
      <c r="B233" s="27" t="s">
        <v>2273</v>
      </c>
      <c r="C233" s="29"/>
      <c r="D233" s="28" t="s">
        <v>4830</v>
      </c>
      <c r="E233" s="20" t="s">
        <v>300</v>
      </c>
      <c r="F233" s="20" t="s">
        <v>2414</v>
      </c>
      <c r="G233" s="27"/>
      <c r="H233" s="20"/>
      <c r="I233" s="29"/>
      <c r="J233" s="29"/>
      <c r="K233" s="27"/>
      <c r="L233" s="27"/>
      <c r="M233" s="27" t="s">
        <v>6942</v>
      </c>
      <c r="N233" s="27"/>
      <c r="O233" s="29" t="s">
        <v>6943</v>
      </c>
      <c r="P233" s="27"/>
      <c r="Q233" s="27"/>
      <c r="R233" s="29"/>
      <c r="S233" s="29"/>
      <c r="T233" s="29"/>
      <c r="U233" s="27"/>
      <c r="V233" s="27"/>
      <c r="W233" s="27"/>
      <c r="X233" s="64"/>
      <c r="Y233" s="64"/>
      <c r="Z233" s="64"/>
      <c r="AA233" s="64"/>
      <c r="AB233" s="27"/>
      <c r="AC233" s="27"/>
    </row>
    <row r="234" spans="1:29" s="25" customFormat="1" x14ac:dyDescent="0.3">
      <c r="A234" s="24">
        <v>118</v>
      </c>
      <c r="B234" s="24" t="s">
        <v>2272</v>
      </c>
      <c r="C234" s="26">
        <v>69</v>
      </c>
      <c r="D234" s="25" t="s">
        <v>301</v>
      </c>
      <c r="E234" s="19" t="s">
        <v>302</v>
      </c>
      <c r="F234" s="19"/>
      <c r="G234" s="24"/>
      <c r="H234" s="19"/>
      <c r="I234" s="26" t="s">
        <v>57</v>
      </c>
      <c r="J234" s="26" t="s">
        <v>57</v>
      </c>
      <c r="K234" s="24" t="s">
        <v>3017</v>
      </c>
      <c r="L234" s="24" t="s">
        <v>3274</v>
      </c>
      <c r="M234" s="24" t="s">
        <v>5285</v>
      </c>
      <c r="N234" s="24"/>
      <c r="O234" s="26" t="s">
        <v>1719</v>
      </c>
      <c r="P234" s="24" t="s">
        <v>303</v>
      </c>
      <c r="Q234" s="24"/>
      <c r="R234" s="26"/>
      <c r="S234" s="26"/>
      <c r="T234" s="26"/>
      <c r="U234" s="24"/>
      <c r="V234" s="24"/>
      <c r="W234" s="24"/>
      <c r="X234" s="63"/>
      <c r="Y234" s="63"/>
      <c r="Z234" s="63"/>
      <c r="AA234" s="63"/>
      <c r="AB234" s="24"/>
      <c r="AC234" s="24"/>
    </row>
    <row r="235" spans="1:29" s="25" customFormat="1" x14ac:dyDescent="0.3">
      <c r="A235" s="24">
        <v>119</v>
      </c>
      <c r="B235" s="24" t="s">
        <v>2272</v>
      </c>
      <c r="C235" s="26">
        <v>63</v>
      </c>
      <c r="D235" s="25" t="s">
        <v>304</v>
      </c>
      <c r="E235" s="19" t="s">
        <v>305</v>
      </c>
      <c r="F235" s="19"/>
      <c r="G235" s="24"/>
      <c r="H235" s="19"/>
      <c r="I235" s="26" t="s">
        <v>57</v>
      </c>
      <c r="J235" s="26" t="s">
        <v>57</v>
      </c>
      <c r="K235" s="24"/>
      <c r="L235" s="24" t="s">
        <v>3276</v>
      </c>
      <c r="M235" s="24" t="s">
        <v>5229</v>
      </c>
      <c r="N235" s="24"/>
      <c r="O235" s="26" t="s">
        <v>1721</v>
      </c>
      <c r="P235" s="24"/>
      <c r="Q235" s="24"/>
      <c r="R235" s="26"/>
      <c r="S235" s="26"/>
      <c r="T235" s="26"/>
      <c r="U235" s="24"/>
      <c r="V235" s="24"/>
      <c r="W235" s="24"/>
      <c r="X235" s="63"/>
      <c r="Y235" s="63"/>
      <c r="Z235" s="63"/>
      <c r="AA235" s="63"/>
      <c r="AB235" s="24"/>
      <c r="AC235" s="24"/>
    </row>
    <row r="236" spans="1:29" s="25" customFormat="1" x14ac:dyDescent="0.3">
      <c r="A236" s="24">
        <v>120</v>
      </c>
      <c r="B236" s="24" t="s">
        <v>2272</v>
      </c>
      <c r="C236" s="26">
        <v>65</v>
      </c>
      <c r="D236" s="25" t="s">
        <v>306</v>
      </c>
      <c r="E236" s="19" t="s">
        <v>307</v>
      </c>
      <c r="F236" s="19"/>
      <c r="G236" s="24"/>
      <c r="H236" s="19"/>
      <c r="I236" s="26" t="s">
        <v>57</v>
      </c>
      <c r="J236" s="26" t="s">
        <v>57</v>
      </c>
      <c r="K236" s="24"/>
      <c r="L236" s="24" t="s">
        <v>3278</v>
      </c>
      <c r="M236" s="24" t="s">
        <v>5286</v>
      </c>
      <c r="N236" s="24"/>
      <c r="O236" s="26" t="s">
        <v>1722</v>
      </c>
      <c r="P236" s="24"/>
      <c r="Q236" s="24"/>
      <c r="R236" s="26"/>
      <c r="S236" s="26"/>
      <c r="T236" s="26"/>
      <c r="U236" s="24"/>
      <c r="V236" s="24"/>
      <c r="W236" s="24"/>
      <c r="X236" s="63"/>
      <c r="Y236" s="63"/>
      <c r="Z236" s="63"/>
      <c r="AA236" s="63"/>
      <c r="AB236" s="24"/>
      <c r="AC236" s="24"/>
    </row>
    <row r="237" spans="1:29" s="25" customFormat="1" ht="20.399999999999999" x14ac:dyDescent="0.3">
      <c r="A237" s="24">
        <v>121</v>
      </c>
      <c r="B237" s="24" t="s">
        <v>2272</v>
      </c>
      <c r="C237" s="26">
        <v>65</v>
      </c>
      <c r="D237" s="25" t="s">
        <v>308</v>
      </c>
      <c r="E237" s="19" t="s">
        <v>309</v>
      </c>
      <c r="F237" s="19"/>
      <c r="G237" s="24"/>
      <c r="H237" s="19"/>
      <c r="I237" s="26" t="s">
        <v>57</v>
      </c>
      <c r="J237" s="26" t="s">
        <v>57</v>
      </c>
      <c r="K237" s="24"/>
      <c r="L237" s="103" t="s">
        <v>6504</v>
      </c>
      <c r="M237" s="24" t="s">
        <v>5287</v>
      </c>
      <c r="N237" s="24"/>
      <c r="O237" s="26"/>
      <c r="P237" s="24"/>
      <c r="Q237" s="24"/>
      <c r="R237" s="26"/>
      <c r="S237" s="26"/>
      <c r="T237" s="26"/>
      <c r="U237" s="24"/>
      <c r="V237" s="24"/>
      <c r="W237" s="24"/>
      <c r="X237" s="63"/>
      <c r="Y237" s="63"/>
      <c r="Z237" s="63"/>
      <c r="AA237" s="63"/>
      <c r="AB237" s="24"/>
      <c r="AC237" s="24"/>
    </row>
    <row r="238" spans="1:29" s="28" customFormat="1" x14ac:dyDescent="0.3">
      <c r="A238" s="27" t="s">
        <v>6256</v>
      </c>
      <c r="B238" s="27" t="s">
        <v>2273</v>
      </c>
      <c r="C238" s="29">
        <v>65</v>
      </c>
      <c r="D238" s="28" t="s">
        <v>4831</v>
      </c>
      <c r="E238" s="20" t="s">
        <v>309</v>
      </c>
      <c r="F238" s="20" t="s">
        <v>2415</v>
      </c>
      <c r="G238" s="27"/>
      <c r="H238" s="20" t="s">
        <v>4556</v>
      </c>
      <c r="I238" s="29"/>
      <c r="J238" s="29" t="s">
        <v>57</v>
      </c>
      <c r="K238" s="27"/>
      <c r="L238" s="27" t="s">
        <v>4555</v>
      </c>
      <c r="M238" s="27" t="s">
        <v>6944</v>
      </c>
      <c r="N238" s="27"/>
      <c r="O238" s="29" t="s">
        <v>6945</v>
      </c>
      <c r="P238" s="27"/>
      <c r="Q238" s="27"/>
      <c r="R238" s="29"/>
      <c r="S238" s="29"/>
      <c r="T238" s="29"/>
      <c r="U238" s="27"/>
      <c r="V238" s="27"/>
      <c r="W238" s="27"/>
      <c r="X238" s="64"/>
      <c r="Y238" s="64"/>
      <c r="Z238" s="64"/>
      <c r="AA238" s="64"/>
      <c r="AB238" s="27"/>
      <c r="AC238" s="27"/>
    </row>
    <row r="239" spans="1:29" s="28" customFormat="1" x14ac:dyDescent="0.3">
      <c r="A239" s="27" t="s">
        <v>6257</v>
      </c>
      <c r="B239" s="27" t="s">
        <v>2273</v>
      </c>
      <c r="C239" s="29">
        <v>65</v>
      </c>
      <c r="D239" s="28" t="s">
        <v>4831</v>
      </c>
      <c r="E239" s="20" t="s">
        <v>309</v>
      </c>
      <c r="F239" s="20" t="s">
        <v>2385</v>
      </c>
      <c r="G239" s="27" t="s">
        <v>4558</v>
      </c>
      <c r="H239" s="20" t="s">
        <v>4559</v>
      </c>
      <c r="I239" s="29"/>
      <c r="J239" s="29" t="s">
        <v>57</v>
      </c>
      <c r="K239" s="27"/>
      <c r="L239" s="27" t="s">
        <v>4557</v>
      </c>
      <c r="M239" s="27" t="s">
        <v>6946</v>
      </c>
      <c r="N239" s="27"/>
      <c r="O239" s="29" t="s">
        <v>6947</v>
      </c>
      <c r="P239" s="27"/>
      <c r="Q239" s="27"/>
      <c r="R239" s="29"/>
      <c r="S239" s="29"/>
      <c r="T239" s="29"/>
      <c r="U239" s="27"/>
      <c r="V239" s="27"/>
      <c r="W239" s="27"/>
      <c r="X239" s="64"/>
      <c r="Y239" s="64"/>
      <c r="Z239" s="64"/>
      <c r="AA239" s="64"/>
      <c r="AB239" s="27"/>
      <c r="AC239" s="27"/>
    </row>
    <row r="240" spans="1:29" s="28" customFormat="1" x14ac:dyDescent="0.3">
      <c r="A240" s="27" t="s">
        <v>6258</v>
      </c>
      <c r="B240" s="27" t="s">
        <v>2273</v>
      </c>
      <c r="C240" s="29">
        <v>65</v>
      </c>
      <c r="D240" s="28" t="s">
        <v>4831</v>
      </c>
      <c r="E240" s="20" t="s">
        <v>309</v>
      </c>
      <c r="F240" s="20" t="s">
        <v>2304</v>
      </c>
      <c r="G240" s="27" t="s">
        <v>4558</v>
      </c>
      <c r="H240" s="20" t="s">
        <v>4559</v>
      </c>
      <c r="I240" s="29"/>
      <c r="J240" s="29" t="s">
        <v>57</v>
      </c>
      <c r="K240" s="27"/>
      <c r="L240" s="27" t="s">
        <v>4557</v>
      </c>
      <c r="M240" s="27" t="s">
        <v>1914</v>
      </c>
      <c r="N240" s="27"/>
      <c r="O240" s="29" t="s">
        <v>2117</v>
      </c>
      <c r="P240" s="27"/>
      <c r="Q240" s="27"/>
      <c r="R240" s="29"/>
      <c r="S240" s="29"/>
      <c r="T240" s="29"/>
      <c r="U240" s="27"/>
      <c r="V240" s="27"/>
      <c r="W240" s="27"/>
      <c r="X240" s="64"/>
      <c r="Y240" s="64"/>
      <c r="Z240" s="64"/>
      <c r="AA240" s="64"/>
      <c r="AB240" s="27"/>
      <c r="AC240" s="27"/>
    </row>
    <row r="241" spans="1:29" s="25" customFormat="1" x14ac:dyDescent="0.3">
      <c r="A241" s="24">
        <v>122</v>
      </c>
      <c r="B241" s="24" t="s">
        <v>2272</v>
      </c>
      <c r="C241" s="26">
        <v>65</v>
      </c>
      <c r="D241" s="25" t="s">
        <v>310</v>
      </c>
      <c r="E241" s="19" t="s">
        <v>311</v>
      </c>
      <c r="F241" s="19"/>
      <c r="G241" s="24"/>
      <c r="H241" s="19"/>
      <c r="I241" s="26" t="s">
        <v>37</v>
      </c>
      <c r="J241" s="26" t="s">
        <v>37</v>
      </c>
      <c r="K241" s="24"/>
      <c r="L241" s="24" t="s">
        <v>3281</v>
      </c>
      <c r="M241" s="24" t="s">
        <v>84</v>
      </c>
      <c r="N241" s="24"/>
      <c r="O241" s="26"/>
      <c r="P241" s="24"/>
      <c r="Q241" s="24"/>
      <c r="R241" s="26"/>
      <c r="S241" s="26"/>
      <c r="T241" s="26"/>
      <c r="U241" s="24"/>
      <c r="V241" s="24"/>
      <c r="W241" s="24"/>
      <c r="X241" s="63"/>
      <c r="Y241" s="63"/>
      <c r="Z241" s="63"/>
      <c r="AA241" s="63"/>
      <c r="AB241" s="24"/>
      <c r="AC241" s="24"/>
    </row>
    <row r="242" spans="1:29" s="28" customFormat="1" x14ac:dyDescent="0.3">
      <c r="A242" s="27" t="s">
        <v>6259</v>
      </c>
      <c r="B242" s="27" t="s">
        <v>2273</v>
      </c>
      <c r="C242" s="29"/>
      <c r="D242" s="28" t="s">
        <v>4832</v>
      </c>
      <c r="E242" s="20" t="s">
        <v>311</v>
      </c>
      <c r="F242" s="20" t="s">
        <v>2319</v>
      </c>
      <c r="G242" s="27"/>
      <c r="H242" s="20"/>
      <c r="I242" s="29"/>
      <c r="J242" s="29"/>
      <c r="K242" s="27"/>
      <c r="L242" s="27"/>
      <c r="M242" s="27" t="s">
        <v>6948</v>
      </c>
      <c r="N242" s="27"/>
      <c r="O242" s="29" t="s">
        <v>6949</v>
      </c>
      <c r="P242" s="27"/>
      <c r="Q242" s="27"/>
      <c r="R242" s="29"/>
      <c r="S242" s="29"/>
      <c r="T242" s="29"/>
      <c r="U242" s="27"/>
      <c r="V242" s="27"/>
      <c r="W242" s="27"/>
      <c r="X242" s="64"/>
      <c r="Y242" s="64"/>
      <c r="Z242" s="64"/>
      <c r="AA242" s="64"/>
      <c r="AB242" s="27"/>
      <c r="AC242" s="27"/>
    </row>
    <row r="243" spans="1:29" s="28" customFormat="1" x14ac:dyDescent="0.3">
      <c r="A243" s="27" t="s">
        <v>6260</v>
      </c>
      <c r="B243" s="27" t="s">
        <v>2273</v>
      </c>
      <c r="C243" s="29"/>
      <c r="D243" s="28" t="s">
        <v>4832</v>
      </c>
      <c r="E243" s="20" t="s">
        <v>311</v>
      </c>
      <c r="F243" s="20" t="s">
        <v>2417</v>
      </c>
      <c r="G243" s="27"/>
      <c r="H243" s="20"/>
      <c r="I243" s="29"/>
      <c r="J243" s="29"/>
      <c r="K243" s="27"/>
      <c r="L243" s="27"/>
      <c r="M243" s="27" t="s">
        <v>6950</v>
      </c>
      <c r="N243" s="27"/>
      <c r="O243" s="29" t="s">
        <v>6951</v>
      </c>
      <c r="P243" s="27"/>
      <c r="Q243" s="27"/>
      <c r="R243" s="29"/>
      <c r="S243" s="29"/>
      <c r="T243" s="29"/>
      <c r="U243" s="27"/>
      <c r="V243" s="27"/>
      <c r="W243" s="27"/>
      <c r="X243" s="64"/>
      <c r="Y243" s="64"/>
      <c r="Z243" s="64"/>
      <c r="AA243" s="64"/>
      <c r="AB243" s="27"/>
      <c r="AC243" s="27"/>
    </row>
    <row r="244" spans="1:29" s="28" customFormat="1" x14ac:dyDescent="0.3">
      <c r="A244" s="27" t="s">
        <v>6261</v>
      </c>
      <c r="B244" s="27" t="s">
        <v>2273</v>
      </c>
      <c r="C244" s="29"/>
      <c r="D244" s="28" t="s">
        <v>4832</v>
      </c>
      <c r="E244" s="20" t="s">
        <v>311</v>
      </c>
      <c r="F244" s="20" t="s">
        <v>2418</v>
      </c>
      <c r="G244" s="27"/>
      <c r="H244" s="20"/>
      <c r="I244" s="29"/>
      <c r="J244" s="29"/>
      <c r="K244" s="27"/>
      <c r="L244" s="27"/>
      <c r="M244" s="27" t="s">
        <v>6793</v>
      </c>
      <c r="N244" s="27"/>
      <c r="O244" s="29" t="s">
        <v>6894</v>
      </c>
      <c r="P244" s="27"/>
      <c r="Q244" s="27"/>
      <c r="R244" s="29"/>
      <c r="S244" s="29"/>
      <c r="T244" s="29"/>
      <c r="U244" s="27"/>
      <c r="V244" s="27"/>
      <c r="W244" s="27"/>
      <c r="X244" s="64"/>
      <c r="Y244" s="64"/>
      <c r="Z244" s="64"/>
      <c r="AA244" s="64"/>
      <c r="AB244" s="27"/>
      <c r="AC244" s="27"/>
    </row>
    <row r="245" spans="1:29" s="28" customFormat="1" x14ac:dyDescent="0.3">
      <c r="A245" s="27" t="s">
        <v>6262</v>
      </c>
      <c r="B245" s="27" t="s">
        <v>2273</v>
      </c>
      <c r="C245" s="29"/>
      <c r="D245" s="28" t="s">
        <v>4832</v>
      </c>
      <c r="E245" s="20" t="s">
        <v>311</v>
      </c>
      <c r="F245" s="20" t="s">
        <v>2419</v>
      </c>
      <c r="G245" s="27"/>
      <c r="H245" s="20"/>
      <c r="I245" s="29"/>
      <c r="J245" s="29"/>
      <c r="K245" s="27"/>
      <c r="L245" s="27"/>
      <c r="M245" s="27" t="s">
        <v>6952</v>
      </c>
      <c r="N245" s="27"/>
      <c r="O245" s="29" t="s">
        <v>6953</v>
      </c>
      <c r="P245" s="27"/>
      <c r="Q245" s="27"/>
      <c r="R245" s="29"/>
      <c r="S245" s="29"/>
      <c r="T245" s="29"/>
      <c r="U245" s="27"/>
      <c r="V245" s="27"/>
      <c r="W245" s="27"/>
      <c r="X245" s="64"/>
      <c r="Y245" s="64"/>
      <c r="Z245" s="64"/>
      <c r="AA245" s="64"/>
      <c r="AB245" s="27"/>
      <c r="AC245" s="27"/>
    </row>
    <row r="246" spans="1:29" s="25" customFormat="1" x14ac:dyDescent="0.3">
      <c r="A246" s="24">
        <v>123</v>
      </c>
      <c r="B246" s="24" t="s">
        <v>2272</v>
      </c>
      <c r="C246" s="26">
        <v>67</v>
      </c>
      <c r="D246" s="25" t="s">
        <v>312</v>
      </c>
      <c r="E246" s="19" t="s">
        <v>313</v>
      </c>
      <c r="F246" s="19"/>
      <c r="G246" s="24"/>
      <c r="H246" s="19"/>
      <c r="I246" s="26" t="s">
        <v>253</v>
      </c>
      <c r="J246" s="26" t="s">
        <v>253</v>
      </c>
      <c r="K246" s="24"/>
      <c r="L246" s="24" t="s">
        <v>3283</v>
      </c>
      <c r="M246" s="24" t="s">
        <v>5288</v>
      </c>
      <c r="N246" s="24"/>
      <c r="O246" s="26" t="s">
        <v>6632</v>
      </c>
      <c r="P246" s="24" t="s">
        <v>314</v>
      </c>
      <c r="Q246" s="24"/>
      <c r="R246" s="26"/>
      <c r="S246" s="26"/>
      <c r="T246" s="26"/>
      <c r="U246" s="24"/>
      <c r="V246" s="24"/>
      <c r="W246" s="24"/>
      <c r="X246" s="63"/>
      <c r="Y246" s="63"/>
      <c r="Z246" s="63"/>
      <c r="AA246" s="63"/>
      <c r="AB246" s="24"/>
      <c r="AC246" s="24"/>
    </row>
    <row r="247" spans="1:29" s="25" customFormat="1" x14ac:dyDescent="0.3">
      <c r="A247" s="24">
        <v>124</v>
      </c>
      <c r="B247" s="24" t="s">
        <v>2272</v>
      </c>
      <c r="C247" s="26">
        <v>67</v>
      </c>
      <c r="D247" s="25" t="s">
        <v>315</v>
      </c>
      <c r="E247" s="19" t="s">
        <v>316</v>
      </c>
      <c r="F247" s="19"/>
      <c r="G247" s="24"/>
      <c r="H247" s="19"/>
      <c r="I247" s="26" t="s">
        <v>37</v>
      </c>
      <c r="J247" s="26" t="s">
        <v>37</v>
      </c>
      <c r="K247" s="24"/>
      <c r="L247" s="24" t="s">
        <v>3285</v>
      </c>
      <c r="M247" s="24" t="s">
        <v>5289</v>
      </c>
      <c r="N247" s="24"/>
      <c r="O247" s="26"/>
      <c r="P247" s="24"/>
      <c r="Q247" s="24"/>
      <c r="R247" s="26"/>
      <c r="S247" s="26"/>
      <c r="T247" s="26"/>
      <c r="U247" s="24"/>
      <c r="V247" s="24"/>
      <c r="W247" s="24"/>
      <c r="X247" s="63"/>
      <c r="Y247" s="63"/>
      <c r="Z247" s="63"/>
      <c r="AA247" s="63"/>
      <c r="AB247" s="24"/>
      <c r="AC247" s="24"/>
    </row>
    <row r="248" spans="1:29" s="25" customFormat="1" x14ac:dyDescent="0.3">
      <c r="A248" s="24">
        <v>125</v>
      </c>
      <c r="B248" s="24" t="s">
        <v>2272</v>
      </c>
      <c r="C248" s="26">
        <v>95</v>
      </c>
      <c r="D248" s="25" t="s">
        <v>328</v>
      </c>
      <c r="E248" s="19" t="s">
        <v>1729</v>
      </c>
      <c r="F248" s="19"/>
      <c r="G248" s="24"/>
      <c r="H248" s="19"/>
      <c r="I248" s="26" t="s">
        <v>37</v>
      </c>
      <c r="J248" s="26" t="s">
        <v>37</v>
      </c>
      <c r="K248" s="24"/>
      <c r="L248" s="24" t="s">
        <v>3153</v>
      </c>
      <c r="M248" s="24" t="s">
        <v>52</v>
      </c>
      <c r="N248" s="24"/>
      <c r="O248" s="26"/>
      <c r="P248" s="24"/>
      <c r="Q248" s="24"/>
      <c r="R248" s="26"/>
      <c r="S248" s="26"/>
      <c r="T248" s="26"/>
      <c r="U248" s="24"/>
      <c r="V248" s="24"/>
      <c r="W248" s="24"/>
      <c r="X248" s="63"/>
      <c r="Y248" s="63"/>
      <c r="Z248" s="63"/>
      <c r="AA248" s="63"/>
      <c r="AB248" s="24"/>
      <c r="AC248" s="24"/>
    </row>
    <row r="249" spans="1:29" s="28" customFormat="1" x14ac:dyDescent="0.3">
      <c r="A249" s="27" t="s">
        <v>6263</v>
      </c>
      <c r="B249" s="27" t="s">
        <v>2273</v>
      </c>
      <c r="C249" s="29"/>
      <c r="D249" s="28" t="s">
        <v>4833</v>
      </c>
      <c r="E249" s="20" t="s">
        <v>1729</v>
      </c>
      <c r="F249" s="20" t="s">
        <v>2506</v>
      </c>
      <c r="G249" s="27"/>
      <c r="H249" s="20"/>
      <c r="I249" s="29"/>
      <c r="J249" s="29"/>
      <c r="K249" s="27"/>
      <c r="L249" s="27"/>
      <c r="M249" s="27" t="s">
        <v>6954</v>
      </c>
      <c r="N249" s="27"/>
      <c r="O249" s="29" t="s">
        <v>6955</v>
      </c>
      <c r="P249" s="27"/>
      <c r="Q249" s="27"/>
      <c r="R249" s="29"/>
      <c r="S249" s="29"/>
      <c r="T249" s="29"/>
      <c r="U249" s="27"/>
      <c r="V249" s="27"/>
      <c r="W249" s="27"/>
      <c r="X249" s="64"/>
      <c r="Y249" s="64"/>
      <c r="Z249" s="64"/>
      <c r="AA249" s="64"/>
      <c r="AB249" s="27"/>
      <c r="AC249" s="27"/>
    </row>
    <row r="250" spans="1:29" s="25" customFormat="1" x14ac:dyDescent="0.3">
      <c r="A250" s="24">
        <v>126</v>
      </c>
      <c r="B250" s="24" t="s">
        <v>2272</v>
      </c>
      <c r="C250" s="26">
        <v>95</v>
      </c>
      <c r="D250" s="25" t="s">
        <v>329</v>
      </c>
      <c r="E250" s="19" t="s">
        <v>330</v>
      </c>
      <c r="F250" s="19"/>
      <c r="G250" s="24"/>
      <c r="H250" s="19"/>
      <c r="I250" s="26" t="s">
        <v>57</v>
      </c>
      <c r="J250" s="26" t="s">
        <v>57</v>
      </c>
      <c r="K250" s="24" t="s">
        <v>3017</v>
      </c>
      <c r="L250" s="24" t="s">
        <v>3288</v>
      </c>
      <c r="M250" s="24" t="s">
        <v>5290</v>
      </c>
      <c r="N250" s="24"/>
      <c r="O250" s="26" t="s">
        <v>1730</v>
      </c>
      <c r="P250" s="24"/>
      <c r="Q250" s="24"/>
      <c r="R250" s="26"/>
      <c r="S250" s="26"/>
      <c r="T250" s="26"/>
      <c r="U250" s="24"/>
      <c r="V250" s="24"/>
      <c r="W250" s="24"/>
      <c r="X250" s="63"/>
      <c r="Y250" s="63"/>
      <c r="Z250" s="63"/>
      <c r="AA250" s="63"/>
      <c r="AB250" s="24"/>
      <c r="AC250" s="24"/>
    </row>
    <row r="251" spans="1:29" s="25" customFormat="1" x14ac:dyDescent="0.3">
      <c r="A251" s="24">
        <v>127</v>
      </c>
      <c r="B251" s="24" t="s">
        <v>2272</v>
      </c>
      <c r="C251" s="26">
        <v>95</v>
      </c>
      <c r="D251" s="25" t="s">
        <v>322</v>
      </c>
      <c r="E251" s="19" t="s">
        <v>5801</v>
      </c>
      <c r="F251" s="19"/>
      <c r="G251" s="24"/>
      <c r="H251" s="19"/>
      <c r="I251" s="26" t="s">
        <v>57</v>
      </c>
      <c r="J251" s="26" t="s">
        <v>57</v>
      </c>
      <c r="K251" s="24"/>
      <c r="L251" s="24" t="s">
        <v>3289</v>
      </c>
      <c r="M251" s="24" t="s">
        <v>5291</v>
      </c>
      <c r="N251" s="24"/>
      <c r="O251" s="26" t="s">
        <v>1725</v>
      </c>
      <c r="P251" s="24" t="s">
        <v>3000</v>
      </c>
      <c r="Q251" s="24"/>
      <c r="R251" s="26"/>
      <c r="S251" s="26"/>
      <c r="T251" s="26"/>
      <c r="U251" s="24"/>
      <c r="V251" s="24"/>
      <c r="W251" s="24"/>
      <c r="X251" s="63"/>
      <c r="Y251" s="63"/>
      <c r="Z251" s="63"/>
      <c r="AA251" s="63"/>
      <c r="AB251" s="24"/>
      <c r="AC251" s="24"/>
    </row>
    <row r="252" spans="1:29" s="25" customFormat="1" x14ac:dyDescent="0.3">
      <c r="A252" s="24">
        <v>128</v>
      </c>
      <c r="B252" s="24" t="s">
        <v>2272</v>
      </c>
      <c r="C252" s="26">
        <v>97</v>
      </c>
      <c r="D252" s="25" t="s">
        <v>324</v>
      </c>
      <c r="E252" s="19" t="s">
        <v>1727</v>
      </c>
      <c r="F252" s="19"/>
      <c r="G252" s="24"/>
      <c r="H252" s="19"/>
      <c r="I252" s="26" t="s">
        <v>37</v>
      </c>
      <c r="J252" s="26" t="s">
        <v>37</v>
      </c>
      <c r="K252" s="24"/>
      <c r="L252" s="24" t="s">
        <v>3291</v>
      </c>
      <c r="M252" s="24" t="s">
        <v>5292</v>
      </c>
      <c r="N252" s="24"/>
      <c r="O252" s="26"/>
      <c r="P252" s="24"/>
      <c r="Q252" s="24"/>
      <c r="R252" s="26"/>
      <c r="S252" s="26"/>
      <c r="T252" s="26"/>
      <c r="U252" s="24"/>
      <c r="V252" s="24"/>
      <c r="W252" s="24"/>
      <c r="X252" s="63"/>
      <c r="Y252" s="63"/>
      <c r="Z252" s="63"/>
      <c r="AA252" s="63"/>
      <c r="AB252" s="24"/>
      <c r="AC252" s="24"/>
    </row>
    <row r="253" spans="1:29" s="28" customFormat="1" x14ac:dyDescent="0.3">
      <c r="A253" s="27" t="s">
        <v>4561</v>
      </c>
      <c r="B253" s="27" t="s">
        <v>2273</v>
      </c>
      <c r="C253" s="29"/>
      <c r="D253" s="28" t="s">
        <v>4834</v>
      </c>
      <c r="E253" s="20" t="s">
        <v>1727</v>
      </c>
      <c r="F253" s="20" t="s">
        <v>4560</v>
      </c>
      <c r="G253" s="27"/>
      <c r="H253" s="20"/>
      <c r="I253" s="29"/>
      <c r="J253" s="29"/>
      <c r="K253" s="27"/>
      <c r="L253" s="27"/>
      <c r="M253" s="27" t="s">
        <v>6956</v>
      </c>
      <c r="N253" s="27"/>
      <c r="O253" s="29"/>
      <c r="P253" s="27"/>
      <c r="Q253" s="27"/>
      <c r="R253" s="29"/>
      <c r="S253" s="29"/>
      <c r="T253" s="29"/>
      <c r="U253" s="27"/>
      <c r="V253" s="27"/>
      <c r="W253" s="27"/>
      <c r="X253" s="64"/>
      <c r="Y253" s="64"/>
      <c r="Z253" s="64"/>
      <c r="AA253" s="64"/>
      <c r="AB253" s="27"/>
      <c r="AC253" s="27"/>
    </row>
    <row r="254" spans="1:29" s="25" customFormat="1" x14ac:dyDescent="0.3">
      <c r="A254" s="24">
        <v>129</v>
      </c>
      <c r="B254" s="24" t="s">
        <v>2272</v>
      </c>
      <c r="C254" s="26">
        <v>97</v>
      </c>
      <c r="D254" s="25" t="s">
        <v>326</v>
      </c>
      <c r="E254" s="19" t="s">
        <v>1728</v>
      </c>
      <c r="F254" s="19"/>
      <c r="G254" s="24"/>
      <c r="H254" s="19"/>
      <c r="I254" s="26" t="s">
        <v>37</v>
      </c>
      <c r="J254" s="26" t="s">
        <v>37</v>
      </c>
      <c r="K254" s="24"/>
      <c r="L254" s="24" t="s">
        <v>3293</v>
      </c>
      <c r="M254" s="24" t="s">
        <v>5293</v>
      </c>
      <c r="N254" s="24"/>
      <c r="O254" s="26"/>
      <c r="P254" s="24"/>
      <c r="Q254" s="24"/>
      <c r="R254" s="26"/>
      <c r="S254" s="26"/>
      <c r="T254" s="26"/>
      <c r="U254" s="24"/>
      <c r="V254" s="24"/>
      <c r="W254" s="24"/>
      <c r="X254" s="63"/>
      <c r="Y254" s="63"/>
      <c r="Z254" s="63"/>
      <c r="AA254" s="63"/>
      <c r="AB254" s="24"/>
      <c r="AC254" s="24"/>
    </row>
    <row r="255" spans="1:29" s="28" customFormat="1" x14ac:dyDescent="0.3">
      <c r="A255" s="27" t="s">
        <v>6264</v>
      </c>
      <c r="B255" s="27" t="s">
        <v>2273</v>
      </c>
      <c r="C255" s="29"/>
      <c r="D255" s="28" t="s">
        <v>4835</v>
      </c>
      <c r="E255" s="20" t="s">
        <v>1728</v>
      </c>
      <c r="F255" s="20" t="s">
        <v>2423</v>
      </c>
      <c r="G255" s="27"/>
      <c r="H255" s="20"/>
      <c r="I255" s="29"/>
      <c r="J255" s="29"/>
      <c r="K255" s="27"/>
      <c r="L255" s="27"/>
      <c r="M255" s="27" t="s">
        <v>6957</v>
      </c>
      <c r="N255" s="27"/>
      <c r="O255" s="29" t="s">
        <v>6958</v>
      </c>
      <c r="P255" s="27"/>
      <c r="Q255" s="27"/>
      <c r="R255" s="29"/>
      <c r="S255" s="29"/>
      <c r="T255" s="29"/>
      <c r="U255" s="27"/>
      <c r="V255" s="27"/>
      <c r="W255" s="27"/>
      <c r="X255" s="64"/>
      <c r="Y255" s="64"/>
      <c r="Z255" s="64"/>
      <c r="AA255" s="64"/>
      <c r="AB255" s="27"/>
      <c r="AC255" s="27"/>
    </row>
    <row r="256" spans="1:29" s="25" customFormat="1" x14ac:dyDescent="0.3">
      <c r="A256" s="24">
        <v>130</v>
      </c>
      <c r="B256" s="24" t="s">
        <v>2272</v>
      </c>
      <c r="C256" s="26">
        <v>101</v>
      </c>
      <c r="D256" s="25" t="s">
        <v>344</v>
      </c>
      <c r="E256" s="19" t="s">
        <v>345</v>
      </c>
      <c r="F256" s="19"/>
      <c r="G256" s="24"/>
      <c r="H256" s="19"/>
      <c r="I256" s="26" t="s">
        <v>346</v>
      </c>
      <c r="J256" s="26" t="s">
        <v>37</v>
      </c>
      <c r="K256" s="24"/>
      <c r="L256" s="24" t="s">
        <v>3295</v>
      </c>
      <c r="M256" s="24" t="s">
        <v>5294</v>
      </c>
      <c r="N256" s="24"/>
      <c r="O256" s="26"/>
      <c r="P256" s="24"/>
      <c r="Q256" s="24"/>
      <c r="R256" s="26"/>
      <c r="S256" s="26"/>
      <c r="T256" s="26"/>
      <c r="U256" s="24"/>
      <c r="V256" s="24"/>
      <c r="W256" s="24"/>
      <c r="X256" s="63"/>
      <c r="Y256" s="63"/>
      <c r="Z256" s="63"/>
      <c r="AA256" s="63"/>
      <c r="AB256" s="24"/>
      <c r="AC256" s="24"/>
    </row>
    <row r="257" spans="1:29" s="28" customFormat="1" x14ac:dyDescent="0.3">
      <c r="A257" s="27" t="s">
        <v>6265</v>
      </c>
      <c r="B257" s="27" t="s">
        <v>2273</v>
      </c>
      <c r="C257" s="29"/>
      <c r="D257" s="28" t="s">
        <v>4836</v>
      </c>
      <c r="E257" s="20" t="s">
        <v>345</v>
      </c>
      <c r="F257" s="20" t="s">
        <v>2433</v>
      </c>
      <c r="G257" s="27"/>
      <c r="H257" s="20"/>
      <c r="I257" s="29"/>
      <c r="J257" s="29"/>
      <c r="K257" s="27"/>
      <c r="L257" s="27"/>
      <c r="M257" s="27" t="s">
        <v>6959</v>
      </c>
      <c r="N257" s="27"/>
      <c r="O257" s="29" t="s">
        <v>6960</v>
      </c>
      <c r="P257" s="27"/>
      <c r="Q257" s="27"/>
      <c r="R257" s="29"/>
      <c r="S257" s="29"/>
      <c r="T257" s="29"/>
      <c r="U257" s="27"/>
      <c r="V257" s="27"/>
      <c r="W257" s="27"/>
      <c r="X257" s="64"/>
      <c r="Y257" s="64"/>
      <c r="Z257" s="64"/>
      <c r="AA257" s="64"/>
      <c r="AB257" s="27"/>
      <c r="AC257" s="27"/>
    </row>
    <row r="258" spans="1:29" s="28" customFormat="1" x14ac:dyDescent="0.3">
      <c r="A258" s="27" t="s">
        <v>6266</v>
      </c>
      <c r="B258" s="27" t="s">
        <v>2273</v>
      </c>
      <c r="C258" s="29"/>
      <c r="D258" s="28" t="s">
        <v>4836</v>
      </c>
      <c r="E258" s="20" t="s">
        <v>345</v>
      </c>
      <c r="F258" s="20" t="s">
        <v>2369</v>
      </c>
      <c r="G258" s="27"/>
      <c r="H258" s="20"/>
      <c r="I258" s="29"/>
      <c r="J258" s="29"/>
      <c r="K258" s="27"/>
      <c r="L258" s="27"/>
      <c r="M258" s="27" t="s">
        <v>6961</v>
      </c>
      <c r="N258" s="27"/>
      <c r="O258" s="29" t="s">
        <v>6962</v>
      </c>
      <c r="P258" s="27"/>
      <c r="Q258" s="27"/>
      <c r="R258" s="29"/>
      <c r="S258" s="29"/>
      <c r="T258" s="29"/>
      <c r="U258" s="27"/>
      <c r="V258" s="27"/>
      <c r="W258" s="27"/>
      <c r="X258" s="64"/>
      <c r="Y258" s="64"/>
      <c r="Z258" s="64"/>
      <c r="AA258" s="64"/>
      <c r="AB258" s="27"/>
      <c r="AC258" s="27"/>
    </row>
    <row r="259" spans="1:29" s="25" customFormat="1" x14ac:dyDescent="0.3">
      <c r="A259" s="24">
        <v>131</v>
      </c>
      <c r="B259" s="24" t="s">
        <v>2272</v>
      </c>
      <c r="C259" s="26">
        <v>101</v>
      </c>
      <c r="D259" s="25" t="s">
        <v>347</v>
      </c>
      <c r="E259" s="19" t="s">
        <v>348</v>
      </c>
      <c r="F259" s="19"/>
      <c r="G259" s="24" t="s">
        <v>1743</v>
      </c>
      <c r="H259" s="19"/>
      <c r="I259" s="26" t="s">
        <v>89</v>
      </c>
      <c r="J259" s="26" t="s">
        <v>37</v>
      </c>
      <c r="K259" s="24"/>
      <c r="L259" s="24" t="s">
        <v>3217</v>
      </c>
      <c r="M259" s="24" t="s">
        <v>5295</v>
      </c>
      <c r="N259" s="24" t="s">
        <v>5296</v>
      </c>
      <c r="O259" s="26"/>
      <c r="P259" s="24"/>
      <c r="Q259" s="24"/>
      <c r="R259" s="26"/>
      <c r="S259" s="26"/>
      <c r="T259" s="26"/>
      <c r="U259" s="24"/>
      <c r="V259" s="24"/>
      <c r="W259" s="24"/>
      <c r="X259" s="63"/>
      <c r="Y259" s="63"/>
      <c r="Z259" s="63"/>
      <c r="AA259" s="63"/>
      <c r="AB259" s="24"/>
      <c r="AC259" s="24"/>
    </row>
    <row r="260" spans="1:29" s="28" customFormat="1" x14ac:dyDescent="0.3">
      <c r="A260" s="27" t="s">
        <v>2430</v>
      </c>
      <c r="B260" s="27" t="s">
        <v>2273</v>
      </c>
      <c r="C260" s="29"/>
      <c r="D260" s="28" t="s">
        <v>4837</v>
      </c>
      <c r="E260" s="20" t="s">
        <v>348</v>
      </c>
      <c r="F260" s="20" t="s">
        <v>2435</v>
      </c>
      <c r="G260" s="27"/>
      <c r="H260" s="20"/>
      <c r="I260" s="29"/>
      <c r="J260" s="29"/>
      <c r="K260" s="27"/>
      <c r="L260" s="27"/>
      <c r="M260" s="27" t="s">
        <v>6963</v>
      </c>
      <c r="N260" s="27"/>
      <c r="O260" s="29" t="s">
        <v>6964</v>
      </c>
      <c r="P260" s="27"/>
      <c r="Q260" s="27"/>
      <c r="R260" s="29"/>
      <c r="S260" s="29"/>
      <c r="T260" s="29"/>
      <c r="U260" s="27"/>
      <c r="V260" s="27"/>
      <c r="W260" s="27"/>
      <c r="X260" s="64"/>
      <c r="Y260" s="64"/>
      <c r="Z260" s="64"/>
      <c r="AA260" s="64"/>
      <c r="AB260" s="27"/>
      <c r="AC260" s="27"/>
    </row>
    <row r="261" spans="1:29" s="25" customFormat="1" x14ac:dyDescent="0.3">
      <c r="A261" s="24">
        <v>132</v>
      </c>
      <c r="B261" s="24" t="s">
        <v>2272</v>
      </c>
      <c r="C261" s="26">
        <v>101</v>
      </c>
      <c r="D261" s="25" t="s">
        <v>341</v>
      </c>
      <c r="E261" s="19" t="s">
        <v>342</v>
      </c>
      <c r="F261" s="19"/>
      <c r="G261" s="24"/>
      <c r="H261" s="19" t="s">
        <v>4311</v>
      </c>
      <c r="I261" s="26" t="s">
        <v>57</v>
      </c>
      <c r="J261" s="26" t="s">
        <v>57</v>
      </c>
      <c r="K261" s="24"/>
      <c r="L261" s="24" t="s">
        <v>3298</v>
      </c>
      <c r="M261" s="24" t="s">
        <v>5297</v>
      </c>
      <c r="N261" s="24"/>
      <c r="O261" s="26" t="s">
        <v>1739</v>
      </c>
      <c r="P261" s="24" t="s">
        <v>343</v>
      </c>
      <c r="Q261" s="24"/>
      <c r="R261" s="26"/>
      <c r="S261" s="26"/>
      <c r="T261" s="26"/>
      <c r="U261" s="24"/>
      <c r="V261" s="24"/>
      <c r="W261" s="24"/>
      <c r="X261" s="63"/>
      <c r="Y261" s="63"/>
      <c r="Z261" s="63"/>
      <c r="AA261" s="63"/>
      <c r="AB261" s="24"/>
      <c r="AC261" s="24"/>
    </row>
    <row r="262" spans="1:29" s="25" customFormat="1" x14ac:dyDescent="0.3">
      <c r="A262" s="24">
        <v>133</v>
      </c>
      <c r="B262" s="24" t="s">
        <v>2272</v>
      </c>
      <c r="C262" s="26">
        <v>97</v>
      </c>
      <c r="D262" s="25" t="s">
        <v>336</v>
      </c>
      <c r="E262" s="19" t="s">
        <v>1734</v>
      </c>
      <c r="F262" s="19"/>
      <c r="G262" s="24"/>
      <c r="H262" s="19"/>
      <c r="I262" s="26" t="s">
        <v>37</v>
      </c>
      <c r="J262" s="26" t="s">
        <v>37</v>
      </c>
      <c r="K262" s="24"/>
      <c r="L262" s="24" t="s">
        <v>3300</v>
      </c>
      <c r="M262" s="24" t="s">
        <v>234</v>
      </c>
      <c r="N262" s="24"/>
      <c r="O262" s="26"/>
      <c r="P262" s="24"/>
      <c r="Q262" s="24"/>
      <c r="R262" s="26"/>
      <c r="S262" s="26"/>
      <c r="T262" s="26"/>
      <c r="U262" s="24"/>
      <c r="V262" s="24"/>
      <c r="W262" s="24"/>
      <c r="X262" s="63"/>
      <c r="Y262" s="63"/>
      <c r="Z262" s="63"/>
      <c r="AA262" s="63"/>
      <c r="AB262" s="24"/>
      <c r="AC262" s="24"/>
    </row>
    <row r="263" spans="1:29" s="28" customFormat="1" x14ac:dyDescent="0.3">
      <c r="A263" s="27" t="s">
        <v>6267</v>
      </c>
      <c r="B263" s="27" t="s">
        <v>2273</v>
      </c>
      <c r="C263" s="29"/>
      <c r="D263" s="28" t="s">
        <v>4838</v>
      </c>
      <c r="E263" s="20" t="s">
        <v>1734</v>
      </c>
      <c r="F263" s="20" t="s">
        <v>2432</v>
      </c>
      <c r="G263" s="27"/>
      <c r="H263" s="20"/>
      <c r="I263" s="29"/>
      <c r="J263" s="29"/>
      <c r="K263" s="27"/>
      <c r="L263" s="27"/>
      <c r="M263" s="27" t="s">
        <v>6965</v>
      </c>
      <c r="N263" s="27"/>
      <c r="O263" s="29" t="s">
        <v>6966</v>
      </c>
      <c r="P263" s="27"/>
      <c r="Q263" s="27"/>
      <c r="R263" s="29"/>
      <c r="S263" s="29"/>
      <c r="T263" s="29"/>
      <c r="U263" s="27"/>
      <c r="V263" s="27"/>
      <c r="W263" s="27"/>
      <c r="X263" s="64"/>
      <c r="Y263" s="64"/>
      <c r="Z263" s="64"/>
      <c r="AA263" s="64"/>
      <c r="AB263" s="27"/>
      <c r="AC263" s="27"/>
    </row>
    <row r="264" spans="1:29" s="25" customFormat="1" x14ac:dyDescent="0.3">
      <c r="A264" s="24">
        <v>134</v>
      </c>
      <c r="B264" s="24" t="s">
        <v>2272</v>
      </c>
      <c r="C264" s="26">
        <v>97</v>
      </c>
      <c r="D264" s="25" t="s">
        <v>335</v>
      </c>
      <c r="E264" s="19" t="s">
        <v>1733</v>
      </c>
      <c r="F264" s="19"/>
      <c r="G264" s="24"/>
      <c r="H264" s="19"/>
      <c r="I264" s="26" t="s">
        <v>89</v>
      </c>
      <c r="J264" s="26" t="s">
        <v>37</v>
      </c>
      <c r="K264" s="24"/>
      <c r="L264" s="24" t="s">
        <v>3302</v>
      </c>
      <c r="M264" s="24" t="s">
        <v>5298</v>
      </c>
      <c r="N264" s="24"/>
      <c r="O264" s="26"/>
      <c r="P264" s="24"/>
      <c r="Q264" s="24"/>
      <c r="R264" s="26"/>
      <c r="S264" s="26"/>
      <c r="T264" s="26"/>
      <c r="U264" s="24"/>
      <c r="V264" s="24"/>
      <c r="W264" s="24"/>
      <c r="X264" s="63"/>
      <c r="Y264" s="63"/>
      <c r="Z264" s="63"/>
      <c r="AA264" s="63"/>
      <c r="AB264" s="24"/>
      <c r="AC264" s="24"/>
    </row>
    <row r="265" spans="1:29" s="28" customFormat="1" x14ac:dyDescent="0.3">
      <c r="A265" s="27" t="s">
        <v>6268</v>
      </c>
      <c r="B265" s="27" t="s">
        <v>2273</v>
      </c>
      <c r="C265" s="29">
        <v>97</v>
      </c>
      <c r="D265" s="28" t="s">
        <v>4839</v>
      </c>
      <c r="E265" s="20" t="s">
        <v>1733</v>
      </c>
      <c r="F265" s="20" t="s">
        <v>2416</v>
      </c>
      <c r="G265" s="27" t="s">
        <v>4562</v>
      </c>
      <c r="H265" s="20" t="s">
        <v>4563</v>
      </c>
      <c r="I265" s="29"/>
      <c r="J265" s="29" t="s">
        <v>37</v>
      </c>
      <c r="K265" s="27"/>
      <c r="L265" s="27" t="s">
        <v>3302</v>
      </c>
      <c r="M265" s="27" t="s">
        <v>6967</v>
      </c>
      <c r="N265" s="27" t="s">
        <v>6968</v>
      </c>
      <c r="O265" s="29" t="s">
        <v>6969</v>
      </c>
      <c r="P265" s="27"/>
      <c r="Q265" s="27"/>
      <c r="R265" s="29"/>
      <c r="S265" s="29"/>
      <c r="T265" s="29"/>
      <c r="U265" s="27"/>
      <c r="V265" s="27"/>
      <c r="W265" s="27"/>
      <c r="X265" s="64"/>
      <c r="Y265" s="64"/>
      <c r="Z265" s="64"/>
      <c r="AA265" s="64"/>
      <c r="AB265" s="27"/>
      <c r="AC265" s="27"/>
    </row>
    <row r="266" spans="1:29" s="25" customFormat="1" x14ac:dyDescent="0.3">
      <c r="A266" s="24">
        <v>135</v>
      </c>
      <c r="B266" s="24" t="s">
        <v>2272</v>
      </c>
      <c r="C266" s="26">
        <v>97</v>
      </c>
      <c r="D266" s="25" t="s">
        <v>337</v>
      </c>
      <c r="E266" s="19" t="s">
        <v>1735</v>
      </c>
      <c r="F266" s="19"/>
      <c r="G266" s="24"/>
      <c r="H266" s="19"/>
      <c r="I266" s="26" t="s">
        <v>37</v>
      </c>
      <c r="J266" s="26" t="s">
        <v>37</v>
      </c>
      <c r="K266" s="24" t="s">
        <v>3019</v>
      </c>
      <c r="L266" s="24" t="s">
        <v>3304</v>
      </c>
      <c r="M266" s="24" t="s">
        <v>5299</v>
      </c>
      <c r="N266" s="24"/>
      <c r="O266" s="26" t="s">
        <v>6634</v>
      </c>
      <c r="P266" s="24"/>
      <c r="Q266" s="24"/>
      <c r="R266" s="26"/>
      <c r="S266" s="26"/>
      <c r="T266" s="26"/>
      <c r="U266" s="24"/>
      <c r="V266" s="24"/>
      <c r="W266" s="24"/>
      <c r="X266" s="63"/>
      <c r="Y266" s="63"/>
      <c r="Z266" s="63"/>
      <c r="AA266" s="63"/>
      <c r="AB266" s="24"/>
      <c r="AC266" s="24"/>
    </row>
    <row r="267" spans="1:29" s="25" customFormat="1" x14ac:dyDescent="0.3">
      <c r="A267" s="24">
        <v>136</v>
      </c>
      <c r="B267" s="24" t="s">
        <v>2272</v>
      </c>
      <c r="C267" s="26">
        <v>95</v>
      </c>
      <c r="D267" s="25" t="s">
        <v>320</v>
      </c>
      <c r="E267" s="19" t="s">
        <v>321</v>
      </c>
      <c r="F267" s="19"/>
      <c r="G267" s="24"/>
      <c r="H267" s="19"/>
      <c r="I267" s="26" t="s">
        <v>37</v>
      </c>
      <c r="J267" s="26" t="s">
        <v>37</v>
      </c>
      <c r="K267" s="24"/>
      <c r="L267" s="24" t="s">
        <v>3306</v>
      </c>
      <c r="M267" s="24" t="s">
        <v>52</v>
      </c>
      <c r="N267" s="24"/>
      <c r="O267" s="26"/>
      <c r="P267" s="24"/>
      <c r="Q267" s="24"/>
      <c r="R267" s="26"/>
      <c r="S267" s="26"/>
      <c r="T267" s="26"/>
      <c r="U267" s="24"/>
      <c r="V267" s="24"/>
      <c r="W267" s="24"/>
      <c r="X267" s="63"/>
      <c r="Y267" s="63"/>
      <c r="Z267" s="63"/>
      <c r="AA267" s="63"/>
      <c r="AB267" s="24"/>
      <c r="AC267" s="24"/>
    </row>
    <row r="268" spans="1:29" s="28" customFormat="1" x14ac:dyDescent="0.3">
      <c r="A268" s="27" t="s">
        <v>6269</v>
      </c>
      <c r="B268" s="27" t="s">
        <v>2273</v>
      </c>
      <c r="C268" s="29"/>
      <c r="D268" s="28" t="s">
        <v>4840</v>
      </c>
      <c r="E268" s="20" t="s">
        <v>321</v>
      </c>
      <c r="F268" s="20" t="s">
        <v>2420</v>
      </c>
      <c r="G268" s="27"/>
      <c r="H268" s="20"/>
      <c r="I268" s="29"/>
      <c r="J268" s="29"/>
      <c r="K268" s="27"/>
      <c r="L268" s="27"/>
      <c r="M268" s="27" t="s">
        <v>6970</v>
      </c>
      <c r="N268" s="27"/>
      <c r="O268" s="29" t="s">
        <v>6971</v>
      </c>
      <c r="P268" s="27"/>
      <c r="Q268" s="27"/>
      <c r="R268" s="29"/>
      <c r="S268" s="29"/>
      <c r="T268" s="29"/>
      <c r="U268" s="27"/>
      <c r="V268" s="27"/>
      <c r="W268" s="27"/>
      <c r="X268" s="64"/>
      <c r="Y268" s="64"/>
      <c r="Z268" s="64"/>
      <c r="AA268" s="64"/>
      <c r="AB268" s="27"/>
      <c r="AC268" s="27"/>
    </row>
    <row r="269" spans="1:29" s="28" customFormat="1" x14ac:dyDescent="0.3">
      <c r="A269" s="27" t="s">
        <v>6270</v>
      </c>
      <c r="B269" s="27" t="s">
        <v>2273</v>
      </c>
      <c r="C269" s="29"/>
      <c r="D269" s="28" t="s">
        <v>4840</v>
      </c>
      <c r="E269" s="20" t="s">
        <v>321</v>
      </c>
      <c r="F269" s="20" t="s">
        <v>2422</v>
      </c>
      <c r="G269" s="27"/>
      <c r="H269" s="20"/>
      <c r="I269" s="29"/>
      <c r="J269" s="29"/>
      <c r="K269" s="27"/>
      <c r="L269" s="27"/>
      <c r="M269" s="27" t="s">
        <v>6972</v>
      </c>
      <c r="N269" s="27"/>
      <c r="O269" s="29" t="s">
        <v>6973</v>
      </c>
      <c r="P269" s="27"/>
      <c r="Q269" s="27"/>
      <c r="R269" s="29"/>
      <c r="S269" s="29"/>
      <c r="T269" s="29"/>
      <c r="U269" s="27"/>
      <c r="V269" s="27"/>
      <c r="W269" s="27"/>
      <c r="X269" s="64"/>
      <c r="Y269" s="64"/>
      <c r="Z269" s="64"/>
      <c r="AA269" s="64"/>
      <c r="AB269" s="27"/>
      <c r="AC269" s="27"/>
    </row>
    <row r="270" spans="1:29" s="25" customFormat="1" x14ac:dyDescent="0.3">
      <c r="A270" s="24">
        <v>137</v>
      </c>
      <c r="B270" s="24" t="s">
        <v>2272</v>
      </c>
      <c r="C270" s="26">
        <v>95</v>
      </c>
      <c r="D270" s="25" t="s">
        <v>318</v>
      </c>
      <c r="E270" s="19" t="s">
        <v>319</v>
      </c>
      <c r="F270" s="19"/>
      <c r="G270" s="24"/>
      <c r="H270" s="19"/>
      <c r="I270" s="26" t="s">
        <v>63</v>
      </c>
      <c r="J270" s="26" t="s">
        <v>37</v>
      </c>
      <c r="K270" s="24"/>
      <c r="L270" s="24" t="s">
        <v>3308</v>
      </c>
      <c r="M270" s="24" t="s">
        <v>5301</v>
      </c>
      <c r="N270" s="24"/>
      <c r="O270" s="26" t="s">
        <v>1724</v>
      </c>
      <c r="P270" s="24"/>
      <c r="Q270" s="24"/>
      <c r="R270" s="26"/>
      <c r="S270" s="26"/>
      <c r="T270" s="26"/>
      <c r="U270" s="24"/>
      <c r="V270" s="24"/>
      <c r="W270" s="24"/>
      <c r="X270" s="63"/>
      <c r="Y270" s="63"/>
      <c r="Z270" s="63"/>
      <c r="AA270" s="63"/>
      <c r="AB270" s="24"/>
      <c r="AC270" s="24"/>
    </row>
    <row r="271" spans="1:29" s="25" customFormat="1" x14ac:dyDescent="0.3">
      <c r="A271" s="24">
        <v>138</v>
      </c>
      <c r="B271" s="24" t="s">
        <v>2272</v>
      </c>
      <c r="C271" s="26">
        <v>99</v>
      </c>
      <c r="D271" s="25" t="s">
        <v>338</v>
      </c>
      <c r="E271" s="19" t="s">
        <v>3310</v>
      </c>
      <c r="F271" s="19"/>
      <c r="G271" s="24"/>
      <c r="H271" s="19" t="s">
        <v>1737</v>
      </c>
      <c r="I271" s="26" t="s">
        <v>37</v>
      </c>
      <c r="J271" s="26" t="s">
        <v>37</v>
      </c>
      <c r="K271" s="24"/>
      <c r="L271" s="24" t="s">
        <v>3233</v>
      </c>
      <c r="M271" s="24" t="s">
        <v>5302</v>
      </c>
      <c r="N271" s="24"/>
      <c r="O271" s="26" t="s">
        <v>1736</v>
      </c>
      <c r="P271" s="24"/>
      <c r="Q271" s="24"/>
      <c r="R271" s="26"/>
      <c r="S271" s="26"/>
      <c r="T271" s="26"/>
      <c r="U271" s="24"/>
      <c r="V271" s="24"/>
      <c r="W271" s="24"/>
      <c r="X271" s="63"/>
      <c r="Y271" s="63"/>
      <c r="Z271" s="63"/>
      <c r="AA271" s="63"/>
      <c r="AB271" s="24"/>
      <c r="AC271" s="24"/>
    </row>
    <row r="272" spans="1:29" s="25" customFormat="1" x14ac:dyDescent="0.3">
      <c r="A272" s="24">
        <v>139</v>
      </c>
      <c r="B272" s="24" t="s">
        <v>2272</v>
      </c>
      <c r="C272" s="26">
        <v>99</v>
      </c>
      <c r="D272" s="25" t="s">
        <v>339</v>
      </c>
      <c r="E272" s="19" t="s">
        <v>340</v>
      </c>
      <c r="F272" s="19"/>
      <c r="G272" s="24"/>
      <c r="H272" s="19"/>
      <c r="I272" s="26" t="s">
        <v>37</v>
      </c>
      <c r="J272" s="26" t="s">
        <v>37</v>
      </c>
      <c r="K272" s="24"/>
      <c r="L272" s="24" t="s">
        <v>3312</v>
      </c>
      <c r="M272" s="24" t="s">
        <v>5303</v>
      </c>
      <c r="N272" s="24" t="s">
        <v>5304</v>
      </c>
      <c r="O272" s="26" t="s">
        <v>1738</v>
      </c>
      <c r="P272" s="24"/>
      <c r="Q272" s="24"/>
      <c r="R272" s="26"/>
      <c r="S272" s="26"/>
      <c r="T272" s="26"/>
      <c r="U272" s="24"/>
      <c r="V272" s="24"/>
      <c r="W272" s="24"/>
      <c r="X272" s="63"/>
      <c r="Y272" s="63"/>
      <c r="Z272" s="63"/>
      <c r="AA272" s="63"/>
      <c r="AB272" s="24"/>
      <c r="AC272" s="24"/>
    </row>
    <row r="273" spans="1:29" s="25" customFormat="1" x14ac:dyDescent="0.3">
      <c r="A273" s="24">
        <v>140</v>
      </c>
      <c r="B273" s="24" t="s">
        <v>2272</v>
      </c>
      <c r="C273" s="26">
        <v>99</v>
      </c>
      <c r="D273" s="25" t="s">
        <v>333</v>
      </c>
      <c r="E273" s="19" t="s">
        <v>334</v>
      </c>
      <c r="F273" s="19"/>
      <c r="G273" s="24"/>
      <c r="H273" s="19"/>
      <c r="I273" s="26" t="s">
        <v>37</v>
      </c>
      <c r="J273" s="26" t="s">
        <v>37</v>
      </c>
      <c r="K273" s="24"/>
      <c r="L273" s="24" t="s">
        <v>3314</v>
      </c>
      <c r="M273" s="24" t="s">
        <v>5305</v>
      </c>
      <c r="N273" s="24"/>
      <c r="O273" s="26"/>
      <c r="P273" s="24"/>
      <c r="Q273" s="24"/>
      <c r="R273" s="26"/>
      <c r="S273" s="26"/>
      <c r="T273" s="26"/>
      <c r="U273" s="24"/>
      <c r="V273" s="24"/>
      <c r="W273" s="24"/>
      <c r="X273" s="63"/>
      <c r="Y273" s="63"/>
      <c r="Z273" s="63"/>
      <c r="AA273" s="63"/>
      <c r="AB273" s="24"/>
      <c r="AC273" s="24"/>
    </row>
    <row r="274" spans="1:29" s="28" customFormat="1" x14ac:dyDescent="0.3">
      <c r="A274" s="27" t="s">
        <v>6271</v>
      </c>
      <c r="B274" s="27" t="s">
        <v>2273</v>
      </c>
      <c r="C274" s="29"/>
      <c r="D274" s="28" t="s">
        <v>4841</v>
      </c>
      <c r="E274" s="20" t="s">
        <v>334</v>
      </c>
      <c r="F274" s="20" t="s">
        <v>2429</v>
      </c>
      <c r="G274" s="27"/>
      <c r="H274" s="20"/>
      <c r="I274" s="29"/>
      <c r="J274" s="29"/>
      <c r="K274" s="27"/>
      <c r="L274" s="27"/>
      <c r="M274" s="27" t="s">
        <v>6974</v>
      </c>
      <c r="N274" s="27"/>
      <c r="O274" s="29" t="s">
        <v>6975</v>
      </c>
      <c r="P274" s="27"/>
      <c r="Q274" s="27"/>
      <c r="R274" s="29"/>
      <c r="S274" s="29"/>
      <c r="T274" s="29"/>
      <c r="U274" s="27"/>
      <c r="V274" s="27"/>
      <c r="W274" s="27"/>
      <c r="X274" s="64"/>
      <c r="Y274" s="64"/>
      <c r="Z274" s="64"/>
      <c r="AA274" s="64"/>
      <c r="AB274" s="27"/>
      <c r="AC274" s="27"/>
    </row>
    <row r="275" spans="1:29" s="25" customFormat="1" x14ac:dyDescent="0.3">
      <c r="A275" s="24">
        <v>141</v>
      </c>
      <c r="B275" s="24" t="s">
        <v>2272</v>
      </c>
      <c r="C275" s="26">
        <v>99</v>
      </c>
      <c r="D275" s="25" t="s">
        <v>331</v>
      </c>
      <c r="E275" s="19" t="s">
        <v>332</v>
      </c>
      <c r="F275" s="19"/>
      <c r="G275" s="24" t="s">
        <v>1732</v>
      </c>
      <c r="H275" s="19"/>
      <c r="I275" s="26" t="s">
        <v>57</v>
      </c>
      <c r="J275" s="26" t="s">
        <v>57</v>
      </c>
      <c r="K275" s="24"/>
      <c r="L275" s="24" t="s">
        <v>3316</v>
      </c>
      <c r="M275" s="24" t="s">
        <v>5229</v>
      </c>
      <c r="N275" s="24"/>
      <c r="O275" s="26" t="s">
        <v>1653</v>
      </c>
      <c r="P275" s="24"/>
      <c r="Q275" s="24"/>
      <c r="R275" s="26"/>
      <c r="S275" s="26"/>
      <c r="T275" s="26"/>
      <c r="U275" s="24"/>
      <c r="V275" s="24"/>
      <c r="W275" s="24"/>
      <c r="X275" s="63"/>
      <c r="Y275" s="63"/>
      <c r="Z275" s="63"/>
      <c r="AA275" s="63"/>
      <c r="AB275" s="24"/>
      <c r="AC275" s="24"/>
    </row>
    <row r="276" spans="1:29" s="25" customFormat="1" x14ac:dyDescent="0.3">
      <c r="A276" s="24">
        <v>142</v>
      </c>
      <c r="B276" s="24" t="s">
        <v>2272</v>
      </c>
      <c r="C276" s="26">
        <v>103</v>
      </c>
      <c r="D276" s="25" t="s">
        <v>351</v>
      </c>
      <c r="E276" s="19" t="s">
        <v>352</v>
      </c>
      <c r="F276" s="19"/>
      <c r="G276" s="24"/>
      <c r="H276" s="19"/>
      <c r="I276" s="26" t="s">
        <v>353</v>
      </c>
      <c r="J276" s="26" t="s">
        <v>353</v>
      </c>
      <c r="K276" s="24" t="s">
        <v>3019</v>
      </c>
      <c r="L276" s="24" t="s">
        <v>3318</v>
      </c>
      <c r="M276" s="24" t="s">
        <v>4316</v>
      </c>
      <c r="N276" s="24"/>
      <c r="O276" s="26"/>
      <c r="P276" s="24" t="s">
        <v>354</v>
      </c>
      <c r="Q276" s="24"/>
      <c r="R276" s="26"/>
      <c r="S276" s="26"/>
      <c r="T276" s="26"/>
      <c r="U276" s="24"/>
      <c r="V276" s="24"/>
      <c r="W276" s="24"/>
      <c r="X276" s="63"/>
      <c r="Y276" s="63"/>
      <c r="Z276" s="63"/>
      <c r="AA276" s="63"/>
      <c r="AB276" s="24"/>
      <c r="AC276" s="24"/>
    </row>
    <row r="277" spans="1:29" s="28" customFormat="1" x14ac:dyDescent="0.3">
      <c r="A277" s="27" t="s">
        <v>6272</v>
      </c>
      <c r="B277" s="27" t="s">
        <v>2273</v>
      </c>
      <c r="C277" s="29"/>
      <c r="D277" s="28" t="s">
        <v>4842</v>
      </c>
      <c r="E277" s="20" t="s">
        <v>352</v>
      </c>
      <c r="F277" s="20" t="s">
        <v>2436</v>
      </c>
      <c r="G277" s="27"/>
      <c r="H277" s="20"/>
      <c r="I277" s="29"/>
      <c r="J277" s="29"/>
      <c r="K277" s="27"/>
      <c r="L277" s="27"/>
      <c r="M277" s="27" t="s">
        <v>6976</v>
      </c>
      <c r="N277" s="27"/>
      <c r="O277" s="29" t="s">
        <v>6977</v>
      </c>
      <c r="P277" s="27"/>
      <c r="Q277" s="27"/>
      <c r="R277" s="29"/>
      <c r="S277" s="29"/>
      <c r="T277" s="29"/>
      <c r="U277" s="27"/>
      <c r="V277" s="27"/>
      <c r="W277" s="27"/>
      <c r="X277" s="64"/>
      <c r="Y277" s="64"/>
      <c r="Z277" s="64"/>
      <c r="AA277" s="64"/>
      <c r="AB277" s="27"/>
      <c r="AC277" s="27"/>
    </row>
    <row r="278" spans="1:29" s="25" customFormat="1" x14ac:dyDescent="0.3">
      <c r="A278" s="24">
        <v>143</v>
      </c>
      <c r="B278" s="24" t="s">
        <v>2272</v>
      </c>
      <c r="C278" s="26">
        <v>103</v>
      </c>
      <c r="D278" s="25" t="s">
        <v>355</v>
      </c>
      <c r="E278" s="19" t="s">
        <v>356</v>
      </c>
      <c r="F278" s="19"/>
      <c r="G278" s="24"/>
      <c r="H278" s="19" t="s">
        <v>1746</v>
      </c>
      <c r="I278" s="26" t="s">
        <v>49</v>
      </c>
      <c r="J278" s="26" t="s">
        <v>5121</v>
      </c>
      <c r="K278" s="24" t="s">
        <v>49</v>
      </c>
      <c r="L278" s="24" t="s">
        <v>3200</v>
      </c>
      <c r="M278" s="24" t="s">
        <v>5306</v>
      </c>
      <c r="N278" s="24" t="s">
        <v>4318</v>
      </c>
      <c r="O278" s="26" t="s">
        <v>1744</v>
      </c>
      <c r="P278" s="24" t="s">
        <v>6391</v>
      </c>
      <c r="Q278" s="24"/>
      <c r="R278" s="26"/>
      <c r="S278" s="26"/>
      <c r="T278" s="26"/>
      <c r="U278" s="24"/>
      <c r="V278" s="24"/>
      <c r="W278" s="24"/>
      <c r="X278" s="63"/>
      <c r="Y278" s="63"/>
      <c r="Z278" s="63"/>
      <c r="AA278" s="63"/>
      <c r="AB278" s="24"/>
      <c r="AC278" s="24"/>
    </row>
    <row r="279" spans="1:29" s="25" customFormat="1" x14ac:dyDescent="0.3">
      <c r="A279" s="24">
        <v>144</v>
      </c>
      <c r="B279" s="24" t="s">
        <v>2272</v>
      </c>
      <c r="C279" s="26">
        <v>103</v>
      </c>
      <c r="D279" s="25" t="s">
        <v>3321</v>
      </c>
      <c r="E279" s="19" t="s">
        <v>3322</v>
      </c>
      <c r="F279" s="19"/>
      <c r="G279" s="24"/>
      <c r="H279" s="19"/>
      <c r="I279" s="26" t="s">
        <v>49</v>
      </c>
      <c r="J279" s="26" t="s">
        <v>5121</v>
      </c>
      <c r="K279" s="24" t="s">
        <v>49</v>
      </c>
      <c r="L279" s="24" t="s">
        <v>3323</v>
      </c>
      <c r="M279" s="24" t="s">
        <v>5216</v>
      </c>
      <c r="N279" s="24"/>
      <c r="O279" s="26" t="s">
        <v>4319</v>
      </c>
      <c r="P279" s="24" t="s">
        <v>6392</v>
      </c>
      <c r="Q279" s="24"/>
      <c r="R279" s="26"/>
      <c r="S279" s="26"/>
      <c r="T279" s="26"/>
      <c r="U279" s="24"/>
      <c r="V279" s="24"/>
      <c r="W279" s="24"/>
      <c r="X279" s="63"/>
      <c r="Y279" s="63"/>
      <c r="Z279" s="63"/>
      <c r="AA279" s="63"/>
      <c r="AB279" s="24"/>
      <c r="AC279" s="24"/>
    </row>
    <row r="280" spans="1:29" s="25" customFormat="1" x14ac:dyDescent="0.3">
      <c r="A280" s="24">
        <v>145</v>
      </c>
      <c r="B280" s="24" t="s">
        <v>2272</v>
      </c>
      <c r="C280" s="26">
        <v>49</v>
      </c>
      <c r="D280" s="25" t="s">
        <v>359</v>
      </c>
      <c r="E280" s="19" t="s">
        <v>360</v>
      </c>
      <c r="F280" s="19"/>
      <c r="G280" s="24"/>
      <c r="H280" s="19" t="s">
        <v>4320</v>
      </c>
      <c r="I280" s="26" t="s">
        <v>37</v>
      </c>
      <c r="J280" s="26" t="s">
        <v>37</v>
      </c>
      <c r="K280" s="24"/>
      <c r="L280" s="24" t="s">
        <v>3325</v>
      </c>
      <c r="M280" s="24" t="s">
        <v>5307</v>
      </c>
      <c r="N280" s="24"/>
      <c r="O280" s="26"/>
      <c r="P280" s="24"/>
      <c r="Q280" s="24"/>
      <c r="R280" s="26"/>
      <c r="S280" s="26"/>
      <c r="T280" s="26"/>
      <c r="U280" s="24"/>
      <c r="V280" s="24"/>
      <c r="W280" s="24"/>
      <c r="X280" s="63"/>
      <c r="Y280" s="63"/>
      <c r="Z280" s="63"/>
      <c r="AA280" s="63"/>
      <c r="AB280" s="24"/>
      <c r="AC280" s="24"/>
    </row>
    <row r="281" spans="1:29" s="28" customFormat="1" x14ac:dyDescent="0.3">
      <c r="A281" s="27" t="s">
        <v>2443</v>
      </c>
      <c r="B281" s="27" t="s">
        <v>2273</v>
      </c>
      <c r="C281" s="29"/>
      <c r="D281" s="28" t="s">
        <v>4843</v>
      </c>
      <c r="E281" s="20" t="s">
        <v>360</v>
      </c>
      <c r="F281" s="20" t="s">
        <v>2423</v>
      </c>
      <c r="G281" s="27"/>
      <c r="H281" s="20"/>
      <c r="I281" s="29"/>
      <c r="J281" s="29"/>
      <c r="K281" s="27"/>
      <c r="L281" s="27"/>
      <c r="M281" s="27" t="s">
        <v>6978</v>
      </c>
      <c r="N281" s="27"/>
      <c r="O281" s="29" t="s">
        <v>6979</v>
      </c>
      <c r="P281" s="27"/>
      <c r="Q281" s="27"/>
      <c r="R281" s="29"/>
      <c r="S281" s="29"/>
      <c r="T281" s="29"/>
      <c r="U281" s="27"/>
      <c r="V281" s="27"/>
      <c r="W281" s="27"/>
      <c r="X281" s="64"/>
      <c r="Y281" s="64"/>
      <c r="Z281" s="64"/>
      <c r="AA281" s="64"/>
      <c r="AB281" s="27"/>
      <c r="AC281" s="27"/>
    </row>
    <row r="282" spans="1:29" s="28" customFormat="1" x14ac:dyDescent="0.3">
      <c r="A282" s="27" t="s">
        <v>2444</v>
      </c>
      <c r="B282" s="27" t="s">
        <v>2273</v>
      </c>
      <c r="C282" s="29"/>
      <c r="D282" s="28" t="s">
        <v>4843</v>
      </c>
      <c r="E282" s="20" t="s">
        <v>360</v>
      </c>
      <c r="F282" s="20" t="s">
        <v>2438</v>
      </c>
      <c r="G282" s="27"/>
      <c r="H282" s="20"/>
      <c r="I282" s="29"/>
      <c r="J282" s="29"/>
      <c r="K282" s="27"/>
      <c r="L282" s="27"/>
      <c r="M282" s="27" t="s">
        <v>6777</v>
      </c>
      <c r="N282" s="27"/>
      <c r="O282" s="29" t="s">
        <v>6777</v>
      </c>
      <c r="P282" s="27"/>
      <c r="Q282" s="27"/>
      <c r="R282" s="29"/>
      <c r="S282" s="29"/>
      <c r="T282" s="29"/>
      <c r="U282" s="27"/>
      <c r="V282" s="27"/>
      <c r="W282" s="27"/>
      <c r="X282" s="64"/>
      <c r="Y282" s="64"/>
      <c r="Z282" s="64"/>
      <c r="AA282" s="64"/>
      <c r="AB282" s="27"/>
      <c r="AC282" s="27"/>
    </row>
    <row r="283" spans="1:29" s="25" customFormat="1" x14ac:dyDescent="0.3">
      <c r="A283" s="24">
        <v>146</v>
      </c>
      <c r="B283" s="24" t="s">
        <v>2272</v>
      </c>
      <c r="C283" s="26">
        <v>49</v>
      </c>
      <c r="D283" s="25" t="s">
        <v>361</v>
      </c>
      <c r="E283" s="19" t="s">
        <v>362</v>
      </c>
      <c r="F283" s="19"/>
      <c r="G283" s="24"/>
      <c r="H283" s="19"/>
      <c r="I283" s="26" t="s">
        <v>49</v>
      </c>
      <c r="J283" s="26" t="s">
        <v>5121</v>
      </c>
      <c r="K283" s="24" t="s">
        <v>49</v>
      </c>
      <c r="L283" s="24" t="s">
        <v>3083</v>
      </c>
      <c r="M283" s="24" t="s">
        <v>5308</v>
      </c>
      <c r="N283" s="24" t="s">
        <v>5309</v>
      </c>
      <c r="O283" s="26"/>
      <c r="P283" s="24" t="s">
        <v>6505</v>
      </c>
      <c r="Q283" s="24"/>
      <c r="R283" s="26"/>
      <c r="S283" s="26"/>
      <c r="T283" s="26"/>
      <c r="U283" s="24"/>
      <c r="V283" s="24"/>
      <c r="W283" s="24"/>
      <c r="X283" s="63"/>
      <c r="Y283" s="63"/>
      <c r="Z283" s="63"/>
      <c r="AA283" s="63"/>
      <c r="AB283" s="24"/>
      <c r="AC283" s="24"/>
    </row>
    <row r="284" spans="1:29" s="28" customFormat="1" x14ac:dyDescent="0.3">
      <c r="A284" s="27" t="s">
        <v>4564</v>
      </c>
      <c r="B284" s="27" t="s">
        <v>2273</v>
      </c>
      <c r="C284" s="29"/>
      <c r="D284" s="28" t="s">
        <v>4844</v>
      </c>
      <c r="E284" s="20" t="s">
        <v>362</v>
      </c>
      <c r="F284" s="20" t="s">
        <v>2439</v>
      </c>
      <c r="G284" s="27"/>
      <c r="H284" s="20"/>
      <c r="I284" s="29"/>
      <c r="J284" s="29"/>
      <c r="K284" s="27"/>
      <c r="L284" s="27"/>
      <c r="M284" s="27" t="s">
        <v>6980</v>
      </c>
      <c r="N284" s="27" t="s">
        <v>6981</v>
      </c>
      <c r="O284" s="29" t="s">
        <v>6982</v>
      </c>
      <c r="P284" s="27"/>
      <c r="Q284" s="27"/>
      <c r="R284" s="29"/>
      <c r="S284" s="29"/>
      <c r="T284" s="29"/>
      <c r="U284" s="27"/>
      <c r="V284" s="27"/>
      <c r="W284" s="27"/>
      <c r="X284" s="64"/>
      <c r="Y284" s="64"/>
      <c r="Z284" s="64"/>
      <c r="AA284" s="64"/>
      <c r="AB284" s="27"/>
      <c r="AC284" s="27"/>
    </row>
    <row r="285" spans="1:29" s="25" customFormat="1" x14ac:dyDescent="0.3">
      <c r="A285" s="24">
        <v>147</v>
      </c>
      <c r="B285" s="24" t="s">
        <v>2272</v>
      </c>
      <c r="C285" s="26">
        <v>159</v>
      </c>
      <c r="D285" s="25" t="s">
        <v>368</v>
      </c>
      <c r="E285" s="19" t="s">
        <v>369</v>
      </c>
      <c r="F285" s="19"/>
      <c r="G285" s="24"/>
      <c r="H285" s="19" t="s">
        <v>4322</v>
      </c>
      <c r="I285" s="26" t="s">
        <v>37</v>
      </c>
      <c r="J285" s="26" t="s">
        <v>37</v>
      </c>
      <c r="K285" s="24"/>
      <c r="L285" s="24" t="s">
        <v>3332</v>
      </c>
      <c r="M285" s="24" t="s">
        <v>84</v>
      </c>
      <c r="N285" s="24"/>
      <c r="O285" s="26"/>
      <c r="P285" s="24"/>
      <c r="Q285" s="24"/>
      <c r="R285" s="26"/>
      <c r="S285" s="26"/>
      <c r="T285" s="26"/>
      <c r="U285" s="24"/>
      <c r="V285" s="24"/>
      <c r="W285" s="24"/>
      <c r="X285" s="63"/>
      <c r="Y285" s="63"/>
      <c r="Z285" s="63"/>
      <c r="AA285" s="63"/>
      <c r="AB285" s="24"/>
      <c r="AC285" s="24"/>
    </row>
    <row r="286" spans="1:29" s="28" customFormat="1" x14ac:dyDescent="0.3">
      <c r="A286" s="27" t="s">
        <v>6983</v>
      </c>
      <c r="B286" s="27" t="s">
        <v>2273</v>
      </c>
      <c r="C286" s="29"/>
      <c r="D286" s="28" t="s">
        <v>4847</v>
      </c>
      <c r="E286" s="20" t="s">
        <v>369</v>
      </c>
      <c r="F286" s="20" t="s">
        <v>2446</v>
      </c>
      <c r="G286" s="27"/>
      <c r="H286" s="20"/>
      <c r="I286" s="29"/>
      <c r="J286" s="29"/>
      <c r="K286" s="27"/>
      <c r="L286" s="27"/>
      <c r="M286" s="27" t="s">
        <v>6768</v>
      </c>
      <c r="N286" s="27"/>
      <c r="O286" s="29" t="s">
        <v>6984</v>
      </c>
      <c r="P286" s="27"/>
      <c r="Q286" s="27"/>
      <c r="R286" s="29"/>
      <c r="S286" s="29"/>
      <c r="T286" s="29"/>
      <c r="U286" s="27"/>
      <c r="V286" s="27"/>
      <c r="W286" s="27"/>
      <c r="X286" s="64"/>
      <c r="Y286" s="64"/>
      <c r="Z286" s="64"/>
      <c r="AA286" s="64"/>
      <c r="AB286" s="27"/>
      <c r="AC286" s="27"/>
    </row>
    <row r="287" spans="1:29" s="28" customFormat="1" x14ac:dyDescent="0.3">
      <c r="A287" s="27" t="s">
        <v>6985</v>
      </c>
      <c r="B287" s="27" t="s">
        <v>2273</v>
      </c>
      <c r="C287" s="29"/>
      <c r="D287" s="28" t="s">
        <v>4847</v>
      </c>
      <c r="E287" s="20" t="s">
        <v>369</v>
      </c>
      <c r="F287" s="20" t="s">
        <v>2447</v>
      </c>
      <c r="G287" s="27"/>
      <c r="H287" s="20"/>
      <c r="I287" s="29"/>
      <c r="J287" s="29"/>
      <c r="K287" s="27"/>
      <c r="L287" s="27"/>
      <c r="M287" s="27" t="s">
        <v>6986</v>
      </c>
      <c r="N287" s="27"/>
      <c r="O287" s="29" t="s">
        <v>6987</v>
      </c>
      <c r="P287" s="27"/>
      <c r="Q287" s="27"/>
      <c r="R287" s="29"/>
      <c r="S287" s="29"/>
      <c r="T287" s="29"/>
      <c r="U287" s="27"/>
      <c r="V287" s="27"/>
      <c r="W287" s="27"/>
      <c r="X287" s="64"/>
      <c r="Y287" s="64"/>
      <c r="Z287" s="64"/>
      <c r="AA287" s="64"/>
      <c r="AB287" s="27"/>
      <c r="AC287" s="27"/>
    </row>
    <row r="288" spans="1:29" s="28" customFormat="1" x14ac:dyDescent="0.3">
      <c r="A288" s="27" t="s">
        <v>6988</v>
      </c>
      <c r="B288" s="27" t="s">
        <v>2273</v>
      </c>
      <c r="C288" s="29"/>
      <c r="D288" s="28" t="s">
        <v>4847</v>
      </c>
      <c r="E288" s="20" t="s">
        <v>369</v>
      </c>
      <c r="F288" s="20" t="s">
        <v>2448</v>
      </c>
      <c r="G288" s="27"/>
      <c r="H288" s="20"/>
      <c r="I288" s="29"/>
      <c r="J288" s="29"/>
      <c r="K288" s="27"/>
      <c r="L288" s="27"/>
      <c r="M288" s="27" t="s">
        <v>6989</v>
      </c>
      <c r="N288" s="27"/>
      <c r="O288" s="29" t="s">
        <v>6990</v>
      </c>
      <c r="P288" s="27"/>
      <c r="Q288" s="27"/>
      <c r="R288" s="29"/>
      <c r="S288" s="29"/>
      <c r="T288" s="29"/>
      <c r="U288" s="27"/>
      <c r="V288" s="27"/>
      <c r="W288" s="27"/>
      <c r="X288" s="64"/>
      <c r="Y288" s="64"/>
      <c r="Z288" s="64"/>
      <c r="AA288" s="64"/>
      <c r="AB288" s="27"/>
      <c r="AC288" s="27"/>
    </row>
    <row r="289" spans="1:29" s="25" customFormat="1" x14ac:dyDescent="0.3">
      <c r="A289" s="24">
        <v>148</v>
      </c>
      <c r="B289" s="24" t="s">
        <v>2272</v>
      </c>
      <c r="C289" s="26">
        <v>157</v>
      </c>
      <c r="D289" s="25" t="s">
        <v>366</v>
      </c>
      <c r="E289" s="19" t="s">
        <v>367</v>
      </c>
      <c r="F289" s="19"/>
      <c r="G289" s="24"/>
      <c r="H289" s="19"/>
      <c r="I289" s="26" t="s">
        <v>57</v>
      </c>
      <c r="J289" s="26" t="s">
        <v>57</v>
      </c>
      <c r="K289" s="24"/>
      <c r="L289" s="24" t="s">
        <v>3330</v>
      </c>
      <c r="M289" s="24" t="s">
        <v>5311</v>
      </c>
      <c r="N289" s="24"/>
      <c r="O289" s="26"/>
      <c r="P289" s="24"/>
      <c r="Q289" s="24"/>
      <c r="R289" s="26"/>
      <c r="S289" s="26"/>
      <c r="T289" s="26"/>
      <c r="U289" s="24"/>
      <c r="V289" s="24"/>
      <c r="W289" s="24"/>
      <c r="X289" s="63"/>
      <c r="Y289" s="63"/>
      <c r="Z289" s="63"/>
      <c r="AA289" s="63"/>
      <c r="AB289" s="24"/>
      <c r="AC289" s="24"/>
    </row>
    <row r="290" spans="1:29" s="28" customFormat="1" x14ac:dyDescent="0.3">
      <c r="A290" s="27" t="s">
        <v>6273</v>
      </c>
      <c r="B290" s="27" t="s">
        <v>2273</v>
      </c>
      <c r="C290" s="29"/>
      <c r="D290" s="28" t="s">
        <v>4846</v>
      </c>
      <c r="E290" s="20" t="s">
        <v>367</v>
      </c>
      <c r="F290" s="20" t="s">
        <v>2441</v>
      </c>
      <c r="G290" s="27"/>
      <c r="H290" s="20"/>
      <c r="I290" s="29"/>
      <c r="J290" s="29"/>
      <c r="K290" s="27"/>
      <c r="L290" s="27"/>
      <c r="M290" s="27" t="s">
        <v>6991</v>
      </c>
      <c r="N290" s="27"/>
      <c r="O290" s="29" t="s">
        <v>6992</v>
      </c>
      <c r="P290" s="27"/>
      <c r="Q290" s="27"/>
      <c r="R290" s="29"/>
      <c r="S290" s="29"/>
      <c r="T290" s="29"/>
      <c r="U290" s="27"/>
      <c r="V290" s="27"/>
      <c r="W290" s="27"/>
      <c r="X290" s="64"/>
      <c r="Y290" s="64"/>
      <c r="Z290" s="64"/>
      <c r="AA290" s="64"/>
      <c r="AB290" s="27"/>
      <c r="AC290" s="27"/>
    </row>
    <row r="291" spans="1:29" s="28" customFormat="1" x14ac:dyDescent="0.3">
      <c r="A291" s="27" t="s">
        <v>6274</v>
      </c>
      <c r="B291" s="27" t="s">
        <v>2273</v>
      </c>
      <c r="C291" s="29"/>
      <c r="D291" s="28" t="s">
        <v>4846</v>
      </c>
      <c r="E291" s="20" t="s">
        <v>367</v>
      </c>
      <c r="F291" s="20" t="s">
        <v>2442</v>
      </c>
      <c r="G291" s="27"/>
      <c r="H291" s="20"/>
      <c r="I291" s="29"/>
      <c r="J291" s="29"/>
      <c r="K291" s="27"/>
      <c r="L291" s="27"/>
      <c r="M291" s="27" t="s">
        <v>6993</v>
      </c>
      <c r="N291" s="27"/>
      <c r="O291" s="29" t="s">
        <v>6994</v>
      </c>
      <c r="P291" s="27"/>
      <c r="Q291" s="27"/>
      <c r="R291" s="29"/>
      <c r="S291" s="29"/>
      <c r="T291" s="29"/>
      <c r="U291" s="27"/>
      <c r="V291" s="27"/>
      <c r="W291" s="27"/>
      <c r="X291" s="64"/>
      <c r="Y291" s="64"/>
      <c r="Z291" s="64"/>
      <c r="AA291" s="64"/>
      <c r="AB291" s="27"/>
      <c r="AC291" s="27"/>
    </row>
    <row r="292" spans="1:29" s="25" customFormat="1" x14ac:dyDescent="0.3">
      <c r="A292" s="24">
        <v>149</v>
      </c>
      <c r="B292" s="24" t="s">
        <v>2272</v>
      </c>
      <c r="C292" s="26">
        <v>157</v>
      </c>
      <c r="D292" s="25" t="s">
        <v>364</v>
      </c>
      <c r="E292" s="19" t="s">
        <v>365</v>
      </c>
      <c r="F292" s="19"/>
      <c r="G292" s="24"/>
      <c r="H292" s="19"/>
      <c r="I292" s="26" t="s">
        <v>37</v>
      </c>
      <c r="J292" s="26" t="s">
        <v>37</v>
      </c>
      <c r="K292" s="24" t="s">
        <v>3019</v>
      </c>
      <c r="L292" s="24" t="s">
        <v>3328</v>
      </c>
      <c r="M292" s="24" t="s">
        <v>5310</v>
      </c>
      <c r="N292" s="24"/>
      <c r="O292" s="26"/>
      <c r="P292" s="24"/>
      <c r="Q292" s="24"/>
      <c r="R292" s="26"/>
      <c r="S292" s="26"/>
      <c r="T292" s="26"/>
      <c r="U292" s="24"/>
      <c r="V292" s="24"/>
      <c r="W292" s="24"/>
      <c r="X292" s="63"/>
      <c r="Y292" s="63"/>
      <c r="Z292" s="63"/>
      <c r="AA292" s="63"/>
      <c r="AB292" s="24"/>
      <c r="AC292" s="24"/>
    </row>
    <row r="293" spans="1:29" s="28" customFormat="1" x14ac:dyDescent="0.3">
      <c r="A293" s="27" t="s">
        <v>6995</v>
      </c>
      <c r="B293" s="27" t="s">
        <v>2273</v>
      </c>
      <c r="C293" s="29"/>
      <c r="D293" s="28" t="s">
        <v>4845</v>
      </c>
      <c r="E293" s="20" t="s">
        <v>365</v>
      </c>
      <c r="F293" s="20" t="s">
        <v>2314</v>
      </c>
      <c r="G293" s="27"/>
      <c r="H293" s="20"/>
      <c r="I293" s="29"/>
      <c r="J293" s="29"/>
      <c r="K293" s="27"/>
      <c r="L293" s="27"/>
      <c r="M293" s="27" t="s">
        <v>6996</v>
      </c>
      <c r="N293" s="27"/>
      <c r="O293" s="29" t="s">
        <v>1749</v>
      </c>
      <c r="P293" s="27"/>
      <c r="Q293" s="27"/>
      <c r="R293" s="29"/>
      <c r="S293" s="29"/>
      <c r="T293" s="29"/>
      <c r="U293" s="27"/>
      <c r="V293" s="27"/>
      <c r="W293" s="27"/>
      <c r="X293" s="64"/>
      <c r="Y293" s="64"/>
      <c r="Z293" s="64"/>
      <c r="AA293" s="64"/>
      <c r="AB293" s="27"/>
      <c r="AC293" s="27"/>
    </row>
    <row r="294" spans="1:29" s="28" customFormat="1" x14ac:dyDescent="0.3">
      <c r="A294" s="27" t="s">
        <v>6997</v>
      </c>
      <c r="B294" s="27" t="s">
        <v>2273</v>
      </c>
      <c r="C294" s="29"/>
      <c r="D294" s="28" t="s">
        <v>4845</v>
      </c>
      <c r="E294" s="20" t="s">
        <v>365</v>
      </c>
      <c r="F294" s="20" t="s">
        <v>2440</v>
      </c>
      <c r="G294" s="27"/>
      <c r="H294" s="20"/>
      <c r="I294" s="29"/>
      <c r="J294" s="29"/>
      <c r="K294" s="27"/>
      <c r="L294" s="27"/>
      <c r="M294" s="27" t="s">
        <v>6998</v>
      </c>
      <c r="N294" s="27"/>
      <c r="O294" s="29" t="s">
        <v>6999</v>
      </c>
      <c r="P294" s="27"/>
      <c r="Q294" s="27"/>
      <c r="R294" s="29"/>
      <c r="S294" s="29"/>
      <c r="T294" s="29"/>
      <c r="U294" s="27"/>
      <c r="V294" s="27"/>
      <c r="W294" s="27"/>
      <c r="X294" s="64"/>
      <c r="Y294" s="64"/>
      <c r="Z294" s="64"/>
      <c r="AA294" s="64"/>
      <c r="AB294" s="27"/>
      <c r="AC294" s="27"/>
    </row>
    <row r="295" spans="1:29" s="28" customFormat="1" x14ac:dyDescent="0.3">
      <c r="A295" s="27" t="s">
        <v>7000</v>
      </c>
      <c r="B295" s="27" t="s">
        <v>2273</v>
      </c>
      <c r="C295" s="29"/>
      <c r="D295" s="28" t="s">
        <v>4845</v>
      </c>
      <c r="E295" s="20" t="s">
        <v>365</v>
      </c>
      <c r="F295" s="20" t="s">
        <v>2385</v>
      </c>
      <c r="G295" s="27"/>
      <c r="H295" s="20"/>
      <c r="I295" s="29"/>
      <c r="J295" s="29"/>
      <c r="K295" s="27"/>
      <c r="L295" s="27"/>
      <c r="M295" s="27" t="s">
        <v>7001</v>
      </c>
      <c r="N295" s="27"/>
      <c r="O295" s="29" t="s">
        <v>7002</v>
      </c>
      <c r="P295" s="27"/>
      <c r="Q295" s="27"/>
      <c r="R295" s="29"/>
      <c r="S295" s="29"/>
      <c r="T295" s="29"/>
      <c r="U295" s="27"/>
      <c r="V295" s="27"/>
      <c r="W295" s="27"/>
      <c r="X295" s="64"/>
      <c r="Y295" s="64"/>
      <c r="Z295" s="64"/>
      <c r="AA295" s="64"/>
      <c r="AB295" s="27"/>
      <c r="AC295" s="27"/>
    </row>
    <row r="296" spans="1:29" s="28" customFormat="1" x14ac:dyDescent="0.3">
      <c r="A296" s="27" t="s">
        <v>7003</v>
      </c>
      <c r="B296" s="27" t="s">
        <v>2273</v>
      </c>
      <c r="C296" s="29"/>
      <c r="D296" s="28" t="s">
        <v>4845</v>
      </c>
      <c r="E296" s="20" t="s">
        <v>365</v>
      </c>
      <c r="F296" s="20" t="s">
        <v>2360</v>
      </c>
      <c r="G296" s="27"/>
      <c r="H296" s="20"/>
      <c r="I296" s="29"/>
      <c r="J296" s="29"/>
      <c r="K296" s="27"/>
      <c r="L296" s="27"/>
      <c r="M296" s="27" t="s">
        <v>6867</v>
      </c>
      <c r="N296" s="27"/>
      <c r="O296" s="29" t="s">
        <v>2003</v>
      </c>
      <c r="P296" s="27"/>
      <c r="Q296" s="27"/>
      <c r="R296" s="29"/>
      <c r="S296" s="29"/>
      <c r="T296" s="29"/>
      <c r="U296" s="27"/>
      <c r="V296" s="27"/>
      <c r="W296" s="27"/>
      <c r="X296" s="64"/>
      <c r="Y296" s="64"/>
      <c r="Z296" s="64"/>
      <c r="AA296" s="64"/>
      <c r="AB296" s="27"/>
      <c r="AC296" s="27"/>
    </row>
    <row r="297" spans="1:29" s="25" customFormat="1" x14ac:dyDescent="0.3">
      <c r="A297" s="24">
        <v>150</v>
      </c>
      <c r="B297" s="24" t="s">
        <v>2272</v>
      </c>
      <c r="C297" s="26">
        <v>157</v>
      </c>
      <c r="D297" s="25" t="s">
        <v>1750</v>
      </c>
      <c r="E297" s="19" t="s">
        <v>370</v>
      </c>
      <c r="F297" s="19"/>
      <c r="G297" s="24"/>
      <c r="H297" s="19"/>
      <c r="I297" s="26" t="s">
        <v>57</v>
      </c>
      <c r="J297" s="26" t="s">
        <v>57</v>
      </c>
      <c r="K297" s="24" t="s">
        <v>3017</v>
      </c>
      <c r="L297" s="24" t="s">
        <v>3334</v>
      </c>
      <c r="M297" s="24" t="s">
        <v>4377</v>
      </c>
      <c r="N297" s="24"/>
      <c r="O297" s="26" t="s">
        <v>1749</v>
      </c>
      <c r="P297" s="24"/>
      <c r="Q297" s="24"/>
      <c r="R297" s="26"/>
      <c r="S297" s="26"/>
      <c r="T297" s="26"/>
      <c r="U297" s="24"/>
      <c r="V297" s="24"/>
      <c r="W297" s="24"/>
      <c r="X297" s="63"/>
      <c r="Y297" s="63"/>
      <c r="Z297" s="63"/>
      <c r="AA297" s="63"/>
      <c r="AB297" s="24"/>
      <c r="AC297" s="24"/>
    </row>
    <row r="298" spans="1:29" s="25" customFormat="1" x14ac:dyDescent="0.3">
      <c r="A298" s="24">
        <v>151</v>
      </c>
      <c r="B298" s="24" t="s">
        <v>2272</v>
      </c>
      <c r="C298" s="26">
        <v>129</v>
      </c>
      <c r="D298" s="25" t="s">
        <v>373</v>
      </c>
      <c r="E298" s="19" t="s">
        <v>374</v>
      </c>
      <c r="F298" s="19"/>
      <c r="G298" s="24" t="s">
        <v>1752</v>
      </c>
      <c r="H298" s="19"/>
      <c r="I298" s="26" t="s">
        <v>37</v>
      </c>
      <c r="J298" s="26" t="s">
        <v>37</v>
      </c>
      <c r="K298" s="24" t="s">
        <v>5313</v>
      </c>
      <c r="L298" s="24" t="s">
        <v>3336</v>
      </c>
      <c r="M298" s="24" t="s">
        <v>5312</v>
      </c>
      <c r="N298" s="24"/>
      <c r="O298" s="26" t="s">
        <v>1751</v>
      </c>
      <c r="P298" s="24" t="s">
        <v>6506</v>
      </c>
      <c r="Q298" s="24"/>
      <c r="R298" s="26"/>
      <c r="S298" s="26"/>
      <c r="T298" s="26"/>
      <c r="U298" s="24"/>
      <c r="V298" s="24"/>
      <c r="W298" s="24"/>
      <c r="X298" s="63"/>
      <c r="Y298" s="63"/>
      <c r="Z298" s="63"/>
      <c r="AA298" s="63"/>
      <c r="AB298" s="24"/>
      <c r="AC298" s="24"/>
    </row>
    <row r="299" spans="1:29" s="25" customFormat="1" x14ac:dyDescent="0.3">
      <c r="A299" s="24">
        <v>152</v>
      </c>
      <c r="B299" s="24" t="s">
        <v>2272</v>
      </c>
      <c r="C299" s="26">
        <v>129</v>
      </c>
      <c r="D299" s="25" t="s">
        <v>377</v>
      </c>
      <c r="E299" s="19" t="s">
        <v>378</v>
      </c>
      <c r="F299" s="19"/>
      <c r="G299" s="24"/>
      <c r="H299" s="19"/>
      <c r="I299" s="26" t="s">
        <v>49</v>
      </c>
      <c r="J299" s="26" t="s">
        <v>5121</v>
      </c>
      <c r="K299" s="24" t="s">
        <v>49</v>
      </c>
      <c r="L299" s="24" t="s">
        <v>3338</v>
      </c>
      <c r="M299" s="24" t="s">
        <v>5314</v>
      </c>
      <c r="N299" s="24" t="s">
        <v>1753</v>
      </c>
      <c r="O299" s="26"/>
      <c r="P299" s="24" t="s">
        <v>6507</v>
      </c>
      <c r="Q299" s="24"/>
      <c r="R299" s="26"/>
      <c r="S299" s="26"/>
      <c r="T299" s="26"/>
      <c r="U299" s="24"/>
      <c r="V299" s="24"/>
      <c r="W299" s="24"/>
      <c r="X299" s="63"/>
      <c r="Y299" s="63"/>
      <c r="Z299" s="63"/>
      <c r="AA299" s="63"/>
      <c r="AB299" s="24"/>
      <c r="AC299" s="24"/>
    </row>
    <row r="300" spans="1:29" s="28" customFormat="1" x14ac:dyDescent="0.3">
      <c r="A300" s="27" t="s">
        <v>6275</v>
      </c>
      <c r="B300" s="27" t="s">
        <v>2273</v>
      </c>
      <c r="C300" s="29"/>
      <c r="D300" s="28" t="s">
        <v>4848</v>
      </c>
      <c r="E300" s="20" t="s">
        <v>378</v>
      </c>
      <c r="F300" s="20" t="s">
        <v>2449</v>
      </c>
      <c r="G300" s="27"/>
      <c r="H300" s="20"/>
      <c r="I300" s="29"/>
      <c r="J300" s="29"/>
      <c r="K300" s="27"/>
      <c r="L300" s="27"/>
      <c r="M300" s="27" t="s">
        <v>7004</v>
      </c>
      <c r="N300" s="27" t="s">
        <v>7005</v>
      </c>
      <c r="O300" s="29" t="s">
        <v>7006</v>
      </c>
      <c r="P300" s="27"/>
      <c r="Q300" s="27"/>
      <c r="R300" s="29"/>
      <c r="S300" s="29"/>
      <c r="T300" s="29"/>
      <c r="U300" s="27"/>
      <c r="V300" s="27"/>
      <c r="W300" s="27"/>
      <c r="X300" s="64"/>
      <c r="Y300" s="64"/>
      <c r="Z300" s="64"/>
      <c r="AA300" s="64"/>
      <c r="AB300" s="27"/>
      <c r="AC300" s="27"/>
    </row>
    <row r="301" spans="1:29" s="25" customFormat="1" x14ac:dyDescent="0.3">
      <c r="A301" s="24">
        <v>153</v>
      </c>
      <c r="B301" s="24" t="s">
        <v>2272</v>
      </c>
      <c r="C301" s="26">
        <v>131</v>
      </c>
      <c r="D301" s="25" t="s">
        <v>380</v>
      </c>
      <c r="E301" s="19" t="s">
        <v>381</v>
      </c>
      <c r="F301" s="19"/>
      <c r="G301" s="24"/>
      <c r="H301" s="19" t="s">
        <v>4324</v>
      </c>
      <c r="I301" s="26" t="s">
        <v>178</v>
      </c>
      <c r="J301" s="26" t="s">
        <v>37</v>
      </c>
      <c r="K301" s="24"/>
      <c r="L301" s="24" t="s">
        <v>3340</v>
      </c>
      <c r="M301" s="24" t="s">
        <v>5895</v>
      </c>
      <c r="N301" s="24" t="s">
        <v>5315</v>
      </c>
      <c r="O301" s="26" t="s">
        <v>1754</v>
      </c>
      <c r="P301" s="24" t="s">
        <v>9</v>
      </c>
      <c r="Q301" s="24"/>
      <c r="R301" s="26"/>
      <c r="S301" s="26"/>
      <c r="T301" s="26"/>
      <c r="U301" s="24"/>
      <c r="V301" s="24"/>
      <c r="W301" s="24"/>
      <c r="X301" s="63"/>
      <c r="Y301" s="63"/>
      <c r="Z301" s="63"/>
      <c r="AA301" s="63"/>
      <c r="AB301" s="24"/>
      <c r="AC301" s="24"/>
    </row>
    <row r="302" spans="1:29" s="25" customFormat="1" x14ac:dyDescent="0.3">
      <c r="A302" s="24">
        <v>154</v>
      </c>
      <c r="B302" s="24" t="s">
        <v>2272</v>
      </c>
      <c r="C302" s="26">
        <v>131</v>
      </c>
      <c r="D302" s="25" t="s">
        <v>382</v>
      </c>
      <c r="E302" s="19" t="s">
        <v>383</v>
      </c>
      <c r="F302" s="19"/>
      <c r="G302" s="24"/>
      <c r="H302" s="19" t="s">
        <v>4325</v>
      </c>
      <c r="I302" s="26" t="s">
        <v>346</v>
      </c>
      <c r="J302" s="26" t="s">
        <v>37</v>
      </c>
      <c r="K302" s="24" t="s">
        <v>1756</v>
      </c>
      <c r="L302" s="24" t="s">
        <v>3342</v>
      </c>
      <c r="M302" s="24" t="s">
        <v>5316</v>
      </c>
      <c r="N302" s="24" t="s">
        <v>5317</v>
      </c>
      <c r="O302" s="26" t="s">
        <v>1755</v>
      </c>
      <c r="P302" s="24" t="s">
        <v>3343</v>
      </c>
      <c r="Q302" s="24"/>
      <c r="R302" s="26"/>
      <c r="S302" s="26"/>
      <c r="T302" s="26"/>
      <c r="U302" s="24"/>
      <c r="V302" s="24"/>
      <c r="W302" s="24"/>
      <c r="X302" s="63"/>
      <c r="Y302" s="63"/>
      <c r="Z302" s="63"/>
      <c r="AA302" s="63"/>
      <c r="AB302" s="24"/>
      <c r="AC302" s="24"/>
    </row>
    <row r="303" spans="1:29" s="25" customFormat="1" x14ac:dyDescent="0.3">
      <c r="A303" s="24">
        <v>155</v>
      </c>
      <c r="B303" s="24" t="s">
        <v>2272</v>
      </c>
      <c r="C303" s="26">
        <v>131</v>
      </c>
      <c r="D303" s="25" t="s">
        <v>384</v>
      </c>
      <c r="E303" s="19" t="s">
        <v>385</v>
      </c>
      <c r="F303" s="19"/>
      <c r="G303" s="24"/>
      <c r="H303" s="19"/>
      <c r="I303" s="26" t="s">
        <v>89</v>
      </c>
      <c r="J303" s="26" t="s">
        <v>37</v>
      </c>
      <c r="K303" s="24"/>
      <c r="L303" s="24" t="s">
        <v>8551</v>
      </c>
      <c r="M303" s="24" t="s">
        <v>5318</v>
      </c>
      <c r="N303" s="24" t="s">
        <v>5319</v>
      </c>
      <c r="O303" s="26" t="s">
        <v>1757</v>
      </c>
      <c r="P303" s="24" t="s">
        <v>6393</v>
      </c>
      <c r="Q303" s="24"/>
      <c r="R303" s="26"/>
      <c r="S303" s="26"/>
      <c r="T303" s="26"/>
      <c r="U303" s="24"/>
      <c r="V303" s="24"/>
      <c r="W303" s="24"/>
      <c r="X303" s="63"/>
      <c r="Y303" s="63"/>
      <c r="Z303" s="63"/>
      <c r="AA303" s="63"/>
      <c r="AB303" s="24"/>
      <c r="AC303" s="24"/>
    </row>
    <row r="304" spans="1:29" s="25" customFormat="1" x14ac:dyDescent="0.3">
      <c r="A304" s="24">
        <v>156</v>
      </c>
      <c r="B304" s="24" t="s">
        <v>2272</v>
      </c>
      <c r="C304" s="26">
        <v>131</v>
      </c>
      <c r="D304" s="25" t="s">
        <v>394</v>
      </c>
      <c r="E304" s="19" t="s">
        <v>395</v>
      </c>
      <c r="F304" s="19"/>
      <c r="G304" s="24"/>
      <c r="H304" s="19"/>
      <c r="I304" s="26" t="s">
        <v>89</v>
      </c>
      <c r="J304" s="26" t="s">
        <v>37</v>
      </c>
      <c r="K304" s="24"/>
      <c r="L304" s="24" t="s">
        <v>3352</v>
      </c>
      <c r="M304" s="24" t="s">
        <v>5326</v>
      </c>
      <c r="N304" s="24" t="s">
        <v>5327</v>
      </c>
      <c r="O304" s="26" t="s">
        <v>1764</v>
      </c>
      <c r="P304" s="24"/>
      <c r="Q304" s="24"/>
      <c r="R304" s="26"/>
      <c r="S304" s="26"/>
      <c r="T304" s="26"/>
      <c r="U304" s="24"/>
      <c r="V304" s="24"/>
      <c r="W304" s="24"/>
      <c r="X304" s="63"/>
      <c r="Y304" s="63"/>
      <c r="Z304" s="63"/>
      <c r="AA304" s="63"/>
      <c r="AB304" s="24"/>
      <c r="AC304" s="24"/>
    </row>
    <row r="305" spans="1:29" s="28" customFormat="1" x14ac:dyDescent="0.3">
      <c r="A305" s="27" t="s">
        <v>7007</v>
      </c>
      <c r="B305" s="27" t="s">
        <v>2273</v>
      </c>
      <c r="C305" s="29"/>
      <c r="D305" s="28" t="s">
        <v>4849</v>
      </c>
      <c r="E305" s="20" t="s">
        <v>395</v>
      </c>
      <c r="F305" s="20" t="s">
        <v>2450</v>
      </c>
      <c r="G305" s="27"/>
      <c r="H305" s="20"/>
      <c r="I305" s="29"/>
      <c r="J305" s="29"/>
      <c r="K305" s="27"/>
      <c r="L305" s="27"/>
      <c r="M305" s="27" t="s">
        <v>7008</v>
      </c>
      <c r="N305" s="27" t="s">
        <v>7009</v>
      </c>
      <c r="O305" s="29"/>
      <c r="P305" s="27"/>
      <c r="Q305" s="27"/>
      <c r="R305" s="29"/>
      <c r="S305" s="29"/>
      <c r="T305" s="29"/>
      <c r="U305" s="27"/>
      <c r="V305" s="27"/>
      <c r="W305" s="27"/>
      <c r="X305" s="64"/>
      <c r="Y305" s="64"/>
      <c r="Z305" s="64"/>
      <c r="AA305" s="64"/>
      <c r="AB305" s="27"/>
      <c r="AC305" s="27"/>
    </row>
    <row r="306" spans="1:29" s="28" customFormat="1" x14ac:dyDescent="0.3">
      <c r="A306" s="27" t="s">
        <v>7010</v>
      </c>
      <c r="B306" s="27" t="s">
        <v>2273</v>
      </c>
      <c r="C306" s="29"/>
      <c r="D306" s="28" t="s">
        <v>4849</v>
      </c>
      <c r="E306" s="20" t="s">
        <v>395</v>
      </c>
      <c r="F306" s="20" t="s">
        <v>2451</v>
      </c>
      <c r="G306" s="27"/>
      <c r="H306" s="20"/>
      <c r="I306" s="29"/>
      <c r="J306" s="29"/>
      <c r="K306" s="27"/>
      <c r="L306" s="27"/>
      <c r="M306" s="27" t="s">
        <v>7011</v>
      </c>
      <c r="N306" s="27"/>
      <c r="O306" s="29"/>
      <c r="P306" s="27"/>
      <c r="Q306" s="27"/>
      <c r="R306" s="29"/>
      <c r="S306" s="29"/>
      <c r="T306" s="29"/>
      <c r="U306" s="27"/>
      <c r="V306" s="27"/>
      <c r="W306" s="27"/>
      <c r="X306" s="64"/>
      <c r="Y306" s="64"/>
      <c r="Z306" s="64"/>
      <c r="AA306" s="64"/>
      <c r="AB306" s="27"/>
      <c r="AC306" s="27"/>
    </row>
    <row r="307" spans="1:29" s="25" customFormat="1" x14ac:dyDescent="0.3">
      <c r="A307" s="24">
        <v>157</v>
      </c>
      <c r="B307" s="24" t="s">
        <v>2272</v>
      </c>
      <c r="C307" s="26">
        <v>131</v>
      </c>
      <c r="D307" s="25" t="s">
        <v>392</v>
      </c>
      <c r="E307" s="19" t="s">
        <v>393</v>
      </c>
      <c r="F307" s="19"/>
      <c r="G307" s="24"/>
      <c r="H307" s="19"/>
      <c r="I307" s="26" t="s">
        <v>89</v>
      </c>
      <c r="J307" s="26" t="s">
        <v>37</v>
      </c>
      <c r="K307" s="24"/>
      <c r="L307" s="24" t="s">
        <v>3350</v>
      </c>
      <c r="M307" s="24" t="s">
        <v>5324</v>
      </c>
      <c r="N307" s="24" t="s">
        <v>5325</v>
      </c>
      <c r="O307" s="26" t="s">
        <v>1762</v>
      </c>
      <c r="P307" s="24"/>
      <c r="Q307" s="24"/>
      <c r="R307" s="26"/>
      <c r="S307" s="26"/>
      <c r="T307" s="26"/>
      <c r="U307" s="24"/>
      <c r="V307" s="24"/>
      <c r="W307" s="24"/>
      <c r="X307" s="63"/>
      <c r="Y307" s="63"/>
      <c r="Z307" s="63"/>
      <c r="AA307" s="63"/>
      <c r="AB307" s="24"/>
      <c r="AC307" s="24"/>
    </row>
    <row r="308" spans="1:29" s="25" customFormat="1" x14ac:dyDescent="0.3">
      <c r="A308" s="24">
        <v>158</v>
      </c>
      <c r="B308" s="24" t="s">
        <v>2272</v>
      </c>
      <c r="C308" s="26">
        <v>131</v>
      </c>
      <c r="D308" s="25" t="s">
        <v>396</v>
      </c>
      <c r="E308" s="19" t="s">
        <v>397</v>
      </c>
      <c r="F308" s="19"/>
      <c r="G308" s="24"/>
      <c r="H308" s="19"/>
      <c r="I308" s="26" t="s">
        <v>49</v>
      </c>
      <c r="J308" s="26" t="s">
        <v>5121</v>
      </c>
      <c r="K308" s="24" t="s">
        <v>49</v>
      </c>
      <c r="L308" s="24" t="s">
        <v>3086</v>
      </c>
      <c r="M308" s="24" t="s">
        <v>5328</v>
      </c>
      <c r="N308" s="24" t="s">
        <v>5896</v>
      </c>
      <c r="O308" s="26"/>
      <c r="P308" s="24" t="s">
        <v>6508</v>
      </c>
      <c r="Q308" s="24"/>
      <c r="R308" s="26"/>
      <c r="S308" s="26"/>
      <c r="T308" s="26"/>
      <c r="U308" s="24"/>
      <c r="V308" s="24"/>
      <c r="W308" s="24"/>
      <c r="X308" s="63"/>
      <c r="Y308" s="63"/>
      <c r="Z308" s="63"/>
      <c r="AA308" s="63"/>
      <c r="AB308" s="24"/>
      <c r="AC308" s="24"/>
    </row>
    <row r="309" spans="1:29" s="28" customFormat="1" x14ac:dyDescent="0.3">
      <c r="A309" s="27" t="s">
        <v>7012</v>
      </c>
      <c r="B309" s="27" t="s">
        <v>2273</v>
      </c>
      <c r="C309" s="29"/>
      <c r="D309" s="28" t="s">
        <v>4850</v>
      </c>
      <c r="E309" s="20" t="s">
        <v>397</v>
      </c>
      <c r="F309" s="20" t="s">
        <v>2452</v>
      </c>
      <c r="G309" s="27"/>
      <c r="H309" s="20"/>
      <c r="I309" s="29"/>
      <c r="J309" s="29"/>
      <c r="K309" s="27"/>
      <c r="L309" s="27"/>
      <c r="M309" s="27" t="s">
        <v>7013</v>
      </c>
      <c r="N309" s="27" t="s">
        <v>7014</v>
      </c>
      <c r="O309" s="29" t="s">
        <v>7015</v>
      </c>
      <c r="P309" s="27"/>
      <c r="Q309" s="27"/>
      <c r="R309" s="29"/>
      <c r="S309" s="29"/>
      <c r="T309" s="29"/>
      <c r="U309" s="27"/>
      <c r="V309" s="27"/>
      <c r="W309" s="27"/>
      <c r="X309" s="64"/>
      <c r="Y309" s="64"/>
      <c r="Z309" s="64"/>
      <c r="AA309" s="64"/>
      <c r="AB309" s="27"/>
      <c r="AC309" s="27"/>
    </row>
    <row r="310" spans="1:29" s="25" customFormat="1" x14ac:dyDescent="0.3">
      <c r="A310" s="24">
        <v>159</v>
      </c>
      <c r="B310" s="24" t="s">
        <v>2272</v>
      </c>
      <c r="C310" s="26">
        <v>133</v>
      </c>
      <c r="D310" s="25" t="s">
        <v>398</v>
      </c>
      <c r="E310" s="19" t="s">
        <v>399</v>
      </c>
      <c r="F310" s="19"/>
      <c r="G310" s="24"/>
      <c r="H310" s="19"/>
      <c r="I310" s="26" t="s">
        <v>346</v>
      </c>
      <c r="J310" s="26" t="s">
        <v>37</v>
      </c>
      <c r="K310" s="24"/>
      <c r="L310" s="24" t="s">
        <v>3355</v>
      </c>
      <c r="M310" s="24" t="s">
        <v>5329</v>
      </c>
      <c r="N310" s="24" t="s">
        <v>5900</v>
      </c>
      <c r="O310" s="26"/>
      <c r="P310" s="24"/>
      <c r="Q310" s="24"/>
      <c r="R310" s="26"/>
      <c r="S310" s="26"/>
      <c r="T310" s="26"/>
      <c r="U310" s="24"/>
      <c r="V310" s="24"/>
      <c r="W310" s="24"/>
      <c r="X310" s="63"/>
      <c r="Y310" s="63"/>
      <c r="Z310" s="63"/>
      <c r="AA310" s="63"/>
      <c r="AB310" s="24"/>
      <c r="AC310" s="24"/>
    </row>
    <row r="311" spans="1:29" s="28" customFormat="1" x14ac:dyDescent="0.3">
      <c r="A311" s="27" t="s">
        <v>4565</v>
      </c>
      <c r="B311" s="27" t="s">
        <v>2273</v>
      </c>
      <c r="C311" s="29"/>
      <c r="D311" s="28" t="s">
        <v>4851</v>
      </c>
      <c r="E311" s="20" t="s">
        <v>399</v>
      </c>
      <c r="F311" s="20" t="s">
        <v>2453</v>
      </c>
      <c r="G311" s="27"/>
      <c r="H311" s="20"/>
      <c r="I311" s="29"/>
      <c r="J311" s="29"/>
      <c r="K311" s="27"/>
      <c r="L311" s="27"/>
      <c r="M311" s="27" t="s">
        <v>7016</v>
      </c>
      <c r="N311" s="27" t="s">
        <v>7017</v>
      </c>
      <c r="O311" s="29" t="s">
        <v>7018</v>
      </c>
      <c r="P311" s="27"/>
      <c r="Q311" s="27"/>
      <c r="R311" s="29"/>
      <c r="S311" s="29"/>
      <c r="T311" s="29"/>
      <c r="U311" s="27"/>
      <c r="V311" s="27"/>
      <c r="W311" s="27"/>
      <c r="X311" s="64"/>
      <c r="Y311" s="64"/>
      <c r="Z311" s="64"/>
      <c r="AA311" s="64"/>
      <c r="AB311" s="27"/>
      <c r="AC311" s="27"/>
    </row>
    <row r="312" spans="1:29" s="28" customFormat="1" x14ac:dyDescent="0.3">
      <c r="A312" s="27" t="s">
        <v>7019</v>
      </c>
      <c r="B312" s="27" t="s">
        <v>2273</v>
      </c>
      <c r="C312" s="29"/>
      <c r="D312" s="28" t="s">
        <v>4851</v>
      </c>
      <c r="E312" s="20" t="s">
        <v>399</v>
      </c>
      <c r="F312" s="20" t="s">
        <v>2454</v>
      </c>
      <c r="G312" s="27"/>
      <c r="H312" s="20"/>
      <c r="I312" s="29"/>
      <c r="J312" s="29"/>
      <c r="K312" s="27"/>
      <c r="L312" s="27"/>
      <c r="M312" s="27" t="s">
        <v>7020</v>
      </c>
      <c r="N312" s="27"/>
      <c r="O312" s="29" t="s">
        <v>7021</v>
      </c>
      <c r="P312" s="27"/>
      <c r="Q312" s="27"/>
      <c r="R312" s="29"/>
      <c r="S312" s="29"/>
      <c r="T312" s="29"/>
      <c r="U312" s="27"/>
      <c r="V312" s="27"/>
      <c r="W312" s="27"/>
      <c r="X312" s="64"/>
      <c r="Y312" s="64"/>
      <c r="Z312" s="64"/>
      <c r="AA312" s="64"/>
      <c r="AB312" s="27"/>
      <c r="AC312" s="27"/>
    </row>
    <row r="313" spans="1:29" s="25" customFormat="1" x14ac:dyDescent="0.3">
      <c r="A313" s="24">
        <v>160</v>
      </c>
      <c r="B313" s="24" t="s">
        <v>2272</v>
      </c>
      <c r="C313" s="26"/>
      <c r="D313" s="25" t="s">
        <v>5805</v>
      </c>
      <c r="E313" s="19" t="s">
        <v>5806</v>
      </c>
      <c r="F313" s="19"/>
      <c r="G313" s="24"/>
      <c r="H313" s="19"/>
      <c r="I313" s="26" t="s">
        <v>49</v>
      </c>
      <c r="J313" s="26"/>
      <c r="K313" s="24" t="s">
        <v>49</v>
      </c>
      <c r="L313" s="24"/>
      <c r="M313" s="24" t="s">
        <v>5897</v>
      </c>
      <c r="N313" s="24" t="s">
        <v>5898</v>
      </c>
      <c r="O313" s="26" t="s">
        <v>5899</v>
      </c>
      <c r="P313" s="24" t="s">
        <v>8552</v>
      </c>
      <c r="Q313" s="24"/>
      <c r="R313" s="26"/>
      <c r="S313" s="26"/>
      <c r="T313" s="26"/>
      <c r="U313" s="24"/>
      <c r="V313" s="24"/>
      <c r="W313" s="24"/>
      <c r="X313" s="63"/>
      <c r="Y313" s="63"/>
      <c r="Z313" s="63"/>
      <c r="AA313" s="63"/>
      <c r="AB313" s="24"/>
      <c r="AC313" s="24"/>
    </row>
    <row r="314" spans="1:29" s="25" customFormat="1" x14ac:dyDescent="0.3">
      <c r="A314" s="24">
        <v>161</v>
      </c>
      <c r="B314" s="24" t="s">
        <v>2272</v>
      </c>
      <c r="C314" s="26">
        <v>135</v>
      </c>
      <c r="D314" s="25" t="s">
        <v>388</v>
      </c>
      <c r="E314" s="19" t="s">
        <v>389</v>
      </c>
      <c r="F314" s="19"/>
      <c r="G314" s="24"/>
      <c r="H314" s="19"/>
      <c r="I314" s="26" t="s">
        <v>89</v>
      </c>
      <c r="J314" s="26" t="s">
        <v>5121</v>
      </c>
      <c r="K314" s="24"/>
      <c r="L314" s="24" t="s">
        <v>3346</v>
      </c>
      <c r="M314" s="24" t="s">
        <v>5320</v>
      </c>
      <c r="N314" s="24" t="s">
        <v>5321</v>
      </c>
      <c r="O314" s="26" t="s">
        <v>1758</v>
      </c>
      <c r="P314" s="24" t="s">
        <v>6509</v>
      </c>
      <c r="Q314" s="24"/>
      <c r="R314" s="26"/>
      <c r="S314" s="26"/>
      <c r="T314" s="26"/>
      <c r="U314" s="24"/>
      <c r="V314" s="24"/>
      <c r="W314" s="24"/>
      <c r="X314" s="63"/>
      <c r="Y314" s="63"/>
      <c r="Z314" s="63"/>
      <c r="AA314" s="63"/>
      <c r="AB314" s="24"/>
      <c r="AC314" s="24"/>
    </row>
    <row r="315" spans="1:29" s="25" customFormat="1" x14ac:dyDescent="0.3">
      <c r="A315" s="24">
        <v>162</v>
      </c>
      <c r="B315" s="24" t="s">
        <v>2272</v>
      </c>
      <c r="C315" s="26">
        <v>135</v>
      </c>
      <c r="D315" s="25" t="s">
        <v>390</v>
      </c>
      <c r="E315" s="19" t="s">
        <v>391</v>
      </c>
      <c r="F315" s="19"/>
      <c r="G315" s="24"/>
      <c r="H315" s="19"/>
      <c r="I315" s="26" t="s">
        <v>49</v>
      </c>
      <c r="J315" s="26" t="s">
        <v>5121</v>
      </c>
      <c r="K315" s="24" t="s">
        <v>49</v>
      </c>
      <c r="L315" s="24" t="s">
        <v>3348</v>
      </c>
      <c r="M315" s="24" t="s">
        <v>5322</v>
      </c>
      <c r="N315" s="24" t="s">
        <v>5323</v>
      </c>
      <c r="O315" s="26" t="s">
        <v>1760</v>
      </c>
      <c r="P315" s="24" t="s">
        <v>6510</v>
      </c>
      <c r="Q315" s="24"/>
      <c r="R315" s="26"/>
      <c r="S315" s="26"/>
      <c r="T315" s="26"/>
      <c r="U315" s="24"/>
      <c r="V315" s="24"/>
      <c r="W315" s="24"/>
      <c r="X315" s="63"/>
      <c r="Y315" s="63"/>
      <c r="Z315" s="63"/>
      <c r="AA315" s="63"/>
      <c r="AB315" s="24"/>
      <c r="AC315" s="24"/>
    </row>
    <row r="316" spans="1:29" s="25" customFormat="1" x14ac:dyDescent="0.3">
      <c r="A316" s="24">
        <v>163</v>
      </c>
      <c r="B316" s="24" t="s">
        <v>2272</v>
      </c>
      <c r="C316" s="26">
        <v>135</v>
      </c>
      <c r="D316" s="25" t="s">
        <v>407</v>
      </c>
      <c r="E316" s="19" t="s">
        <v>6512</v>
      </c>
      <c r="F316" s="19"/>
      <c r="G316" s="24"/>
      <c r="H316" s="19" t="s">
        <v>408</v>
      </c>
      <c r="I316" s="26" t="s">
        <v>49</v>
      </c>
      <c r="J316" s="26" t="s">
        <v>5121</v>
      </c>
      <c r="K316" s="24" t="s">
        <v>49</v>
      </c>
      <c r="L316" s="24" t="s">
        <v>3357</v>
      </c>
      <c r="M316" s="24" t="s">
        <v>5334</v>
      </c>
      <c r="N316" s="24" t="s">
        <v>5335</v>
      </c>
      <c r="O316" s="26" t="s">
        <v>1768</v>
      </c>
      <c r="P316" s="24" t="s">
        <v>6513</v>
      </c>
      <c r="Q316" s="24"/>
      <c r="R316" s="26"/>
      <c r="S316" s="26"/>
      <c r="T316" s="26"/>
      <c r="U316" s="24"/>
      <c r="V316" s="24"/>
      <c r="W316" s="24"/>
      <c r="X316" s="63"/>
      <c r="Y316" s="63"/>
      <c r="Z316" s="63"/>
      <c r="AA316" s="63"/>
      <c r="AB316" s="24"/>
      <c r="AC316" s="24"/>
    </row>
    <row r="317" spans="1:29" s="25" customFormat="1" x14ac:dyDescent="0.3">
      <c r="A317" s="24">
        <v>164</v>
      </c>
      <c r="B317" s="24" t="s">
        <v>2272</v>
      </c>
      <c r="C317" s="26"/>
      <c r="D317" s="25" t="s">
        <v>6515</v>
      </c>
      <c r="E317" s="19" t="s">
        <v>6516</v>
      </c>
      <c r="F317" s="19"/>
      <c r="G317" s="24"/>
      <c r="H317" s="19"/>
      <c r="I317" s="26" t="s">
        <v>89</v>
      </c>
      <c r="J317" s="26"/>
      <c r="K317" s="24"/>
      <c r="L317" s="24"/>
      <c r="M317" s="24" t="s">
        <v>6638</v>
      </c>
      <c r="N317" s="24" t="s">
        <v>6639</v>
      </c>
      <c r="O317" s="26"/>
      <c r="P317" s="24" t="s">
        <v>8553</v>
      </c>
      <c r="Q317" s="24"/>
      <c r="R317" s="26"/>
      <c r="S317" s="26"/>
      <c r="T317" s="26"/>
      <c r="U317" s="24"/>
      <c r="V317" s="24"/>
      <c r="W317" s="24"/>
      <c r="X317" s="63"/>
      <c r="Y317" s="63"/>
      <c r="Z317" s="63"/>
      <c r="AA317" s="63"/>
      <c r="AB317" s="24"/>
      <c r="AC317" s="24"/>
    </row>
    <row r="318" spans="1:29" s="25" customFormat="1" x14ac:dyDescent="0.3">
      <c r="A318" s="24">
        <v>165</v>
      </c>
      <c r="B318" s="24" t="s">
        <v>2272</v>
      </c>
      <c r="C318" s="26">
        <v>133</v>
      </c>
      <c r="D318" s="25" t="s">
        <v>6518</v>
      </c>
      <c r="E318" s="19" t="s">
        <v>6519</v>
      </c>
      <c r="F318" s="19"/>
      <c r="G318" s="24" t="s">
        <v>4566</v>
      </c>
      <c r="H318" s="19" t="s">
        <v>404</v>
      </c>
      <c r="I318" s="26" t="s">
        <v>89</v>
      </c>
      <c r="J318" s="26" t="s">
        <v>37</v>
      </c>
      <c r="K318" s="24"/>
      <c r="L318" s="24" t="s">
        <v>3350</v>
      </c>
      <c r="M318" s="24" t="s">
        <v>6643</v>
      </c>
      <c r="N318" s="24" t="s">
        <v>6644</v>
      </c>
      <c r="O318" s="26"/>
      <c r="P318" s="24"/>
      <c r="Q318" s="24"/>
      <c r="R318" s="26"/>
      <c r="S318" s="26"/>
      <c r="T318" s="26"/>
      <c r="U318" s="24"/>
      <c r="V318" s="24"/>
      <c r="W318" s="24"/>
      <c r="X318" s="63"/>
      <c r="Y318" s="63"/>
      <c r="Z318" s="63"/>
      <c r="AA318" s="63"/>
      <c r="AB318" s="24"/>
      <c r="AC318" s="24"/>
    </row>
    <row r="319" spans="1:29" s="28" customFormat="1" x14ac:dyDescent="0.3">
      <c r="A319" s="27" t="s">
        <v>7022</v>
      </c>
      <c r="B319" s="27" t="s">
        <v>2273</v>
      </c>
      <c r="C319" s="29"/>
      <c r="D319" s="28" t="s">
        <v>7023</v>
      </c>
      <c r="E319" s="20" t="s">
        <v>6519</v>
      </c>
      <c r="F319" s="20" t="s">
        <v>2457</v>
      </c>
      <c r="G319" s="27"/>
      <c r="H319" s="20"/>
      <c r="I319" s="29"/>
      <c r="J319" s="29"/>
      <c r="K319" s="27"/>
      <c r="L319" s="27"/>
      <c r="M319" s="27" t="s">
        <v>7024</v>
      </c>
      <c r="N319" s="27" t="s">
        <v>7025</v>
      </c>
      <c r="O319" s="29" t="s">
        <v>7026</v>
      </c>
      <c r="P319" s="27"/>
      <c r="Q319" s="27"/>
      <c r="R319" s="29"/>
      <c r="S319" s="29"/>
      <c r="T319" s="29"/>
      <c r="U319" s="27"/>
      <c r="V319" s="27"/>
      <c r="W319" s="27"/>
      <c r="X319" s="64"/>
      <c r="Y319" s="64"/>
      <c r="Z319" s="64"/>
      <c r="AA319" s="64"/>
      <c r="AB319" s="27"/>
      <c r="AC319" s="27"/>
    </row>
    <row r="320" spans="1:29" s="25" customFormat="1" x14ac:dyDescent="0.3">
      <c r="A320" s="24">
        <v>166</v>
      </c>
      <c r="B320" s="24" t="s">
        <v>2272</v>
      </c>
      <c r="C320" s="26">
        <v>135</v>
      </c>
      <c r="D320" s="25" t="s">
        <v>405</v>
      </c>
      <c r="E320" s="19" t="s">
        <v>6521</v>
      </c>
      <c r="F320" s="19"/>
      <c r="G320" s="24"/>
      <c r="H320" s="19" t="s">
        <v>406</v>
      </c>
      <c r="I320" s="26" t="s">
        <v>89</v>
      </c>
      <c r="J320" s="26" t="s">
        <v>37</v>
      </c>
      <c r="K320" s="24"/>
      <c r="L320" s="24" t="s">
        <v>3350</v>
      </c>
      <c r="M320" s="24" t="s">
        <v>5333</v>
      </c>
      <c r="N320" s="24" t="s">
        <v>5901</v>
      </c>
      <c r="O320" s="26"/>
      <c r="P320" s="24" t="s">
        <v>9</v>
      </c>
      <c r="Q320" s="24"/>
      <c r="R320" s="26"/>
      <c r="S320" s="26"/>
      <c r="T320" s="26"/>
      <c r="U320" s="24"/>
      <c r="V320" s="24"/>
      <c r="W320" s="24"/>
      <c r="X320" s="63"/>
      <c r="Y320" s="63"/>
      <c r="Z320" s="63"/>
      <c r="AA320" s="63"/>
      <c r="AB320" s="24"/>
      <c r="AC320" s="24"/>
    </row>
    <row r="321" spans="1:29" s="28" customFormat="1" x14ac:dyDescent="0.3">
      <c r="A321" s="27" t="s">
        <v>6276</v>
      </c>
      <c r="B321" s="27" t="s">
        <v>2273</v>
      </c>
      <c r="C321" s="29"/>
      <c r="D321" s="28" t="s">
        <v>4853</v>
      </c>
      <c r="E321" s="20" t="s">
        <v>6521</v>
      </c>
      <c r="F321" s="20" t="s">
        <v>2458</v>
      </c>
      <c r="G321" s="27"/>
      <c r="H321" s="20"/>
      <c r="I321" s="29"/>
      <c r="J321" s="29"/>
      <c r="K321" s="27"/>
      <c r="L321" s="27"/>
      <c r="M321" s="27" t="s">
        <v>7027</v>
      </c>
      <c r="N321" s="27" t="s">
        <v>7028</v>
      </c>
      <c r="O321" s="29" t="s">
        <v>7029</v>
      </c>
      <c r="P321" s="27"/>
      <c r="Q321" s="27"/>
      <c r="R321" s="29"/>
      <c r="S321" s="29"/>
      <c r="T321" s="29"/>
      <c r="U321" s="27"/>
      <c r="V321" s="27"/>
      <c r="W321" s="27"/>
      <c r="X321" s="64"/>
      <c r="Y321" s="64"/>
      <c r="Z321" s="64"/>
      <c r="AA321" s="64"/>
      <c r="AB321" s="27"/>
      <c r="AC321" s="27"/>
    </row>
    <row r="322" spans="1:29" s="25" customFormat="1" x14ac:dyDescent="0.3">
      <c r="A322" s="24">
        <v>167</v>
      </c>
      <c r="B322" s="24" t="s">
        <v>2272</v>
      </c>
      <c r="C322" s="26">
        <v>133</v>
      </c>
      <c r="D322" s="25" t="s">
        <v>402</v>
      </c>
      <c r="E322" s="19" t="s">
        <v>6523</v>
      </c>
      <c r="F322" s="19"/>
      <c r="G322" s="24" t="s">
        <v>1767</v>
      </c>
      <c r="H322" s="19" t="s">
        <v>403</v>
      </c>
      <c r="I322" s="26" t="s">
        <v>37</v>
      </c>
      <c r="J322" s="26" t="s">
        <v>37</v>
      </c>
      <c r="K322" s="24"/>
      <c r="L322" s="24" t="s">
        <v>3356</v>
      </c>
      <c r="M322" s="24" t="s">
        <v>5332</v>
      </c>
      <c r="N322" s="24"/>
      <c r="O322" s="26" t="s">
        <v>1766</v>
      </c>
      <c r="P322" s="24"/>
      <c r="Q322" s="24"/>
      <c r="R322" s="26"/>
      <c r="S322" s="26"/>
      <c r="T322" s="26"/>
      <c r="U322" s="24"/>
      <c r="V322" s="24"/>
      <c r="W322" s="24"/>
      <c r="X322" s="63"/>
      <c r="Y322" s="63"/>
      <c r="Z322" s="63"/>
      <c r="AA322" s="63"/>
      <c r="AB322" s="24"/>
      <c r="AC322" s="24"/>
    </row>
    <row r="323" spans="1:29" s="25" customFormat="1" x14ac:dyDescent="0.3">
      <c r="A323" s="24">
        <v>168</v>
      </c>
      <c r="B323" s="24" t="s">
        <v>2272</v>
      </c>
      <c r="C323" s="26">
        <v>133</v>
      </c>
      <c r="D323" s="25" t="s">
        <v>400</v>
      </c>
      <c r="E323" s="19" t="s">
        <v>6525</v>
      </c>
      <c r="F323" s="19"/>
      <c r="G323" s="24"/>
      <c r="H323" s="19" t="s">
        <v>401</v>
      </c>
      <c r="I323" s="26" t="s">
        <v>89</v>
      </c>
      <c r="J323" s="26" t="s">
        <v>37</v>
      </c>
      <c r="K323" s="24"/>
      <c r="L323" s="24" t="s">
        <v>3350</v>
      </c>
      <c r="M323" s="24" t="s">
        <v>5330</v>
      </c>
      <c r="N323" s="24" t="s">
        <v>5331</v>
      </c>
      <c r="O323" s="26"/>
      <c r="P323" s="24"/>
      <c r="Q323" s="24"/>
      <c r="R323" s="26"/>
      <c r="S323" s="26"/>
      <c r="T323" s="26"/>
      <c r="U323" s="24"/>
      <c r="V323" s="24"/>
      <c r="W323" s="24"/>
      <c r="X323" s="63"/>
      <c r="Y323" s="63"/>
      <c r="Z323" s="63"/>
      <c r="AA323" s="63"/>
      <c r="AB323" s="24"/>
      <c r="AC323" s="24"/>
    </row>
    <row r="324" spans="1:29" s="28" customFormat="1" x14ac:dyDescent="0.3">
      <c r="A324" s="27" t="s">
        <v>7030</v>
      </c>
      <c r="B324" s="27" t="s">
        <v>2273</v>
      </c>
      <c r="C324" s="29"/>
      <c r="D324" s="28" t="s">
        <v>4852</v>
      </c>
      <c r="E324" s="20" t="s">
        <v>6525</v>
      </c>
      <c r="F324" s="20" t="s">
        <v>2455</v>
      </c>
      <c r="G324" s="27"/>
      <c r="H324" s="20"/>
      <c r="I324" s="29"/>
      <c r="J324" s="29"/>
      <c r="K324" s="27"/>
      <c r="L324" s="27"/>
      <c r="M324" s="27" t="s">
        <v>7031</v>
      </c>
      <c r="N324" s="27" t="s">
        <v>7032</v>
      </c>
      <c r="O324" s="29" t="s">
        <v>7033</v>
      </c>
      <c r="P324" s="27"/>
      <c r="Q324" s="27"/>
      <c r="R324" s="29"/>
      <c r="S324" s="29"/>
      <c r="T324" s="29"/>
      <c r="U324" s="27"/>
      <c r="V324" s="27"/>
      <c r="W324" s="27"/>
      <c r="X324" s="64"/>
      <c r="Y324" s="64"/>
      <c r="Z324" s="64"/>
      <c r="AA324" s="64"/>
      <c r="AB324" s="27"/>
      <c r="AC324" s="27"/>
    </row>
    <row r="325" spans="1:29" s="28" customFormat="1" x14ac:dyDescent="0.3">
      <c r="A325" s="27" t="s">
        <v>7034</v>
      </c>
      <c r="B325" s="27" t="s">
        <v>2273</v>
      </c>
      <c r="C325" s="29"/>
      <c r="D325" s="28" t="s">
        <v>4852</v>
      </c>
      <c r="E325" s="20" t="s">
        <v>6525</v>
      </c>
      <c r="F325" s="20" t="s">
        <v>2456</v>
      </c>
      <c r="G325" s="27"/>
      <c r="H325" s="20"/>
      <c r="I325" s="29"/>
      <c r="J325" s="29"/>
      <c r="K325" s="27"/>
      <c r="L325" s="27"/>
      <c r="M325" s="27" t="s">
        <v>7035</v>
      </c>
      <c r="N325" s="27" t="s">
        <v>7036</v>
      </c>
      <c r="O325" s="29" t="s">
        <v>7037</v>
      </c>
      <c r="P325" s="27"/>
      <c r="Q325" s="27"/>
      <c r="R325" s="29"/>
      <c r="S325" s="29"/>
      <c r="T325" s="29"/>
      <c r="U325" s="27"/>
      <c r="V325" s="27"/>
      <c r="W325" s="27"/>
      <c r="X325" s="64"/>
      <c r="Y325" s="64"/>
      <c r="Z325" s="64"/>
      <c r="AA325" s="64"/>
      <c r="AB325" s="27"/>
      <c r="AC325" s="27"/>
    </row>
    <row r="326" spans="1:29" s="25" customFormat="1" x14ac:dyDescent="0.3">
      <c r="A326" s="24">
        <v>169</v>
      </c>
      <c r="B326" s="24" t="s">
        <v>2272</v>
      </c>
      <c r="C326" s="26">
        <v>135</v>
      </c>
      <c r="D326" s="25" t="s">
        <v>411</v>
      </c>
      <c r="E326" s="19" t="s">
        <v>412</v>
      </c>
      <c r="F326" s="19"/>
      <c r="G326" s="24"/>
      <c r="H326" s="19"/>
      <c r="I326" s="26" t="s">
        <v>37</v>
      </c>
      <c r="J326" s="26" t="s">
        <v>37</v>
      </c>
      <c r="K326" s="24"/>
      <c r="L326" s="24" t="s">
        <v>3233</v>
      </c>
      <c r="M326" s="24" t="s">
        <v>5336</v>
      </c>
      <c r="N326" s="24"/>
      <c r="O326" s="26" t="s">
        <v>1769</v>
      </c>
      <c r="P326" s="24"/>
      <c r="Q326" s="24"/>
      <c r="R326" s="26"/>
      <c r="S326" s="26"/>
      <c r="T326" s="26"/>
      <c r="U326" s="24"/>
      <c r="V326" s="24"/>
      <c r="W326" s="24"/>
      <c r="X326" s="63"/>
      <c r="Y326" s="63"/>
      <c r="Z326" s="63"/>
      <c r="AA326" s="63"/>
      <c r="AB326" s="24"/>
      <c r="AC326" s="24"/>
    </row>
    <row r="327" spans="1:29" s="25" customFormat="1" x14ac:dyDescent="0.3">
      <c r="A327" s="24">
        <v>170</v>
      </c>
      <c r="B327" s="24" t="s">
        <v>2272</v>
      </c>
      <c r="C327" s="26">
        <v>137</v>
      </c>
      <c r="D327" s="25" t="s">
        <v>417</v>
      </c>
      <c r="E327" s="19" t="s">
        <v>418</v>
      </c>
      <c r="F327" s="19"/>
      <c r="G327" s="24"/>
      <c r="H327" s="19"/>
      <c r="I327" s="26" t="s">
        <v>37</v>
      </c>
      <c r="J327" s="26" t="s">
        <v>37</v>
      </c>
      <c r="K327" s="24"/>
      <c r="L327" s="24" t="s">
        <v>3363</v>
      </c>
      <c r="M327" s="24" t="s">
        <v>5338</v>
      </c>
      <c r="N327" s="24" t="s">
        <v>5339</v>
      </c>
      <c r="O327" s="26" t="s">
        <v>1770</v>
      </c>
      <c r="P327" s="24"/>
      <c r="Q327" s="24"/>
      <c r="R327" s="26"/>
      <c r="S327" s="26"/>
      <c r="T327" s="26"/>
      <c r="U327" s="24"/>
      <c r="V327" s="24"/>
      <c r="W327" s="24"/>
      <c r="X327" s="63"/>
      <c r="Y327" s="63"/>
      <c r="Z327" s="63"/>
      <c r="AA327" s="63"/>
      <c r="AB327" s="24"/>
      <c r="AC327" s="24"/>
    </row>
    <row r="328" spans="1:29" s="25" customFormat="1" x14ac:dyDescent="0.3">
      <c r="A328" s="24">
        <v>171</v>
      </c>
      <c r="B328" s="24" t="s">
        <v>2272</v>
      </c>
      <c r="C328" s="26">
        <v>137</v>
      </c>
      <c r="D328" s="25" t="s">
        <v>415</v>
      </c>
      <c r="E328" s="19" t="s">
        <v>416</v>
      </c>
      <c r="F328" s="19"/>
      <c r="G328" s="24"/>
      <c r="H328" s="19"/>
      <c r="I328" s="26" t="s">
        <v>37</v>
      </c>
      <c r="J328" s="26" t="s">
        <v>37</v>
      </c>
      <c r="K328" s="24" t="s">
        <v>4329</v>
      </c>
      <c r="L328" s="24" t="s">
        <v>3360</v>
      </c>
      <c r="M328" s="24" t="s">
        <v>5337</v>
      </c>
      <c r="N328" s="24"/>
      <c r="O328" s="26" t="s">
        <v>6649</v>
      </c>
      <c r="P328" s="24" t="s">
        <v>3361</v>
      </c>
      <c r="Q328" s="24"/>
      <c r="R328" s="26"/>
      <c r="S328" s="26"/>
      <c r="T328" s="26"/>
      <c r="U328" s="24"/>
      <c r="V328" s="24"/>
      <c r="W328" s="24"/>
      <c r="X328" s="63"/>
      <c r="Y328" s="63"/>
      <c r="Z328" s="63"/>
      <c r="AA328" s="63"/>
      <c r="AB328" s="24"/>
      <c r="AC328" s="24"/>
    </row>
    <row r="329" spans="1:29" s="25" customFormat="1" x14ac:dyDescent="0.3">
      <c r="A329" s="24">
        <v>172</v>
      </c>
      <c r="B329" s="24" t="s">
        <v>2272</v>
      </c>
      <c r="C329" s="26">
        <v>137</v>
      </c>
      <c r="D329" s="25" t="s">
        <v>420</v>
      </c>
      <c r="E329" s="19" t="s">
        <v>421</v>
      </c>
      <c r="F329" s="19"/>
      <c r="G329" s="24"/>
      <c r="H329" s="19"/>
      <c r="I329" s="26" t="s">
        <v>49</v>
      </c>
      <c r="J329" s="26" t="s">
        <v>5121</v>
      </c>
      <c r="K329" s="24" t="s">
        <v>49</v>
      </c>
      <c r="L329" s="24" t="s">
        <v>3164</v>
      </c>
      <c r="M329" s="24" t="s">
        <v>5902</v>
      </c>
      <c r="N329" s="24" t="s">
        <v>5903</v>
      </c>
      <c r="O329" s="26" t="s">
        <v>1771</v>
      </c>
      <c r="P329" s="24" t="s">
        <v>6394</v>
      </c>
      <c r="Q329" s="24"/>
      <c r="R329" s="26"/>
      <c r="S329" s="26"/>
      <c r="T329" s="26"/>
      <c r="U329" s="24"/>
      <c r="V329" s="24"/>
      <c r="W329" s="24"/>
      <c r="X329" s="63"/>
      <c r="Y329" s="63"/>
      <c r="Z329" s="63"/>
      <c r="AA329" s="63"/>
      <c r="AB329" s="24"/>
      <c r="AC329" s="24"/>
    </row>
    <row r="330" spans="1:29" s="25" customFormat="1" x14ac:dyDescent="0.3">
      <c r="A330" s="24">
        <v>173</v>
      </c>
      <c r="B330" s="24" t="s">
        <v>2272</v>
      </c>
      <c r="C330" s="26">
        <v>137</v>
      </c>
      <c r="D330" s="25" t="s">
        <v>2956</v>
      </c>
      <c r="E330" s="19" t="s">
        <v>423</v>
      </c>
      <c r="F330" s="19"/>
      <c r="G330" s="24"/>
      <c r="H330" s="19" t="s">
        <v>4331</v>
      </c>
      <c r="I330" s="26" t="s">
        <v>89</v>
      </c>
      <c r="J330" s="26" t="s">
        <v>37</v>
      </c>
      <c r="K330" s="24"/>
      <c r="L330" s="24" t="s">
        <v>3350</v>
      </c>
      <c r="M330" s="24" t="s">
        <v>5904</v>
      </c>
      <c r="N330" s="24" t="s">
        <v>5905</v>
      </c>
      <c r="O330" s="26"/>
      <c r="P330" s="24"/>
      <c r="Q330" s="24"/>
      <c r="R330" s="26"/>
      <c r="S330" s="26"/>
      <c r="T330" s="26"/>
      <c r="U330" s="24"/>
      <c r="V330" s="24"/>
      <c r="W330" s="24"/>
      <c r="X330" s="63"/>
      <c r="Y330" s="63"/>
      <c r="Z330" s="63"/>
      <c r="AA330" s="63"/>
      <c r="AB330" s="24"/>
      <c r="AC330" s="24"/>
    </row>
    <row r="331" spans="1:29" s="28" customFormat="1" x14ac:dyDescent="0.3">
      <c r="A331" s="27" t="s">
        <v>7038</v>
      </c>
      <c r="B331" s="27" t="s">
        <v>2273</v>
      </c>
      <c r="C331" s="29"/>
      <c r="D331" s="28" t="s">
        <v>4854</v>
      </c>
      <c r="E331" s="20" t="s">
        <v>423</v>
      </c>
      <c r="F331" s="20" t="s">
        <v>2459</v>
      </c>
      <c r="G331" s="27"/>
      <c r="H331" s="20"/>
      <c r="I331" s="29"/>
      <c r="J331" s="29"/>
      <c r="K331" s="27"/>
      <c r="L331" s="27"/>
      <c r="M331" s="27" t="s">
        <v>6725</v>
      </c>
      <c r="N331" s="27" t="s">
        <v>7039</v>
      </c>
      <c r="O331" s="29" t="s">
        <v>7040</v>
      </c>
      <c r="P331" s="27"/>
      <c r="Q331" s="27"/>
      <c r="R331" s="29"/>
      <c r="S331" s="29"/>
      <c r="T331" s="29"/>
      <c r="U331" s="27"/>
      <c r="V331" s="27"/>
      <c r="W331" s="27"/>
      <c r="X331" s="64"/>
      <c r="Y331" s="64"/>
      <c r="Z331" s="64"/>
      <c r="AA331" s="64"/>
      <c r="AB331" s="27"/>
      <c r="AC331" s="27"/>
    </row>
    <row r="332" spans="1:29" s="25" customFormat="1" x14ac:dyDescent="0.3">
      <c r="A332" s="24">
        <v>174</v>
      </c>
      <c r="B332" s="24" t="s">
        <v>2272</v>
      </c>
      <c r="C332" s="26">
        <v>139</v>
      </c>
      <c r="D332" s="25" t="s">
        <v>424</v>
      </c>
      <c r="E332" s="19" t="s">
        <v>425</v>
      </c>
      <c r="F332" s="19"/>
      <c r="G332" s="24"/>
      <c r="H332" s="19"/>
      <c r="I332" s="26" t="s">
        <v>89</v>
      </c>
      <c r="J332" s="26" t="s">
        <v>37</v>
      </c>
      <c r="K332" s="24" t="s">
        <v>3019</v>
      </c>
      <c r="L332" s="24" t="s">
        <v>3367</v>
      </c>
      <c r="M332" s="24" t="s">
        <v>5906</v>
      </c>
      <c r="N332" s="24" t="s">
        <v>5907</v>
      </c>
      <c r="O332" s="26" t="s">
        <v>1772</v>
      </c>
      <c r="P332" s="24"/>
      <c r="Q332" s="24"/>
      <c r="R332" s="26"/>
      <c r="S332" s="26"/>
      <c r="T332" s="26"/>
      <c r="U332" s="24"/>
      <c r="V332" s="24"/>
      <c r="W332" s="24"/>
      <c r="X332" s="63"/>
      <c r="Y332" s="63"/>
      <c r="Z332" s="63"/>
      <c r="AA332" s="63"/>
      <c r="AB332" s="24"/>
      <c r="AC332" s="24"/>
    </row>
    <row r="333" spans="1:29" s="25" customFormat="1" x14ac:dyDescent="0.3">
      <c r="A333" s="24">
        <v>175</v>
      </c>
      <c r="B333" s="24" t="s">
        <v>2272</v>
      </c>
      <c r="C333" s="26">
        <v>139</v>
      </c>
      <c r="D333" s="25" t="s">
        <v>426</v>
      </c>
      <c r="E333" s="19" t="s">
        <v>427</v>
      </c>
      <c r="F333" s="19"/>
      <c r="G333" s="24"/>
      <c r="H333" s="19"/>
      <c r="I333" s="26" t="s">
        <v>89</v>
      </c>
      <c r="J333" s="26" t="s">
        <v>37</v>
      </c>
      <c r="K333" s="24"/>
      <c r="L333" s="24" t="s">
        <v>3369</v>
      </c>
      <c r="M333" s="24" t="s">
        <v>5908</v>
      </c>
      <c r="N333" s="24" t="s">
        <v>5909</v>
      </c>
      <c r="O333" s="26" t="s">
        <v>1773</v>
      </c>
      <c r="P333" s="24"/>
      <c r="Q333" s="24"/>
      <c r="R333" s="26"/>
      <c r="S333" s="26"/>
      <c r="T333" s="26"/>
      <c r="U333" s="24"/>
      <c r="V333" s="24"/>
      <c r="W333" s="24"/>
      <c r="X333" s="63"/>
      <c r="Y333" s="63"/>
      <c r="Z333" s="63"/>
      <c r="AA333" s="63"/>
      <c r="AB333" s="24"/>
      <c r="AC333" s="24"/>
    </row>
    <row r="334" spans="1:29" s="25" customFormat="1" x14ac:dyDescent="0.3">
      <c r="A334" s="24">
        <v>176</v>
      </c>
      <c r="B334" s="24" t="s">
        <v>2272</v>
      </c>
      <c r="C334" s="26">
        <v>139</v>
      </c>
      <c r="D334" s="25" t="s">
        <v>428</v>
      </c>
      <c r="E334" s="19" t="s">
        <v>429</v>
      </c>
      <c r="F334" s="19"/>
      <c r="G334" s="24"/>
      <c r="H334" s="19"/>
      <c r="I334" s="26" t="s">
        <v>89</v>
      </c>
      <c r="J334" s="26" t="s">
        <v>37</v>
      </c>
      <c r="K334" s="24"/>
      <c r="L334" s="24" t="s">
        <v>3371</v>
      </c>
      <c r="M334" s="24" t="s">
        <v>5910</v>
      </c>
      <c r="N334" s="24" t="s">
        <v>5911</v>
      </c>
      <c r="O334" s="26"/>
      <c r="P334" s="24"/>
      <c r="Q334" s="24"/>
      <c r="R334" s="26"/>
      <c r="S334" s="26"/>
      <c r="T334" s="26"/>
      <c r="U334" s="24"/>
      <c r="V334" s="24"/>
      <c r="W334" s="24"/>
      <c r="X334" s="63"/>
      <c r="Y334" s="63"/>
      <c r="Z334" s="63"/>
      <c r="AA334" s="63"/>
      <c r="AB334" s="24"/>
      <c r="AC334" s="24"/>
    </row>
    <row r="335" spans="1:29" s="28" customFormat="1" x14ac:dyDescent="0.3">
      <c r="A335" s="27" t="s">
        <v>7041</v>
      </c>
      <c r="B335" s="27" t="s">
        <v>2273</v>
      </c>
      <c r="C335" s="29"/>
      <c r="D335" s="28" t="s">
        <v>4855</v>
      </c>
      <c r="E335" s="20" t="s">
        <v>429</v>
      </c>
      <c r="F335" s="20" t="s">
        <v>2369</v>
      </c>
      <c r="G335" s="27"/>
      <c r="H335" s="20"/>
      <c r="I335" s="29"/>
      <c r="J335" s="29"/>
      <c r="K335" s="27"/>
      <c r="L335" s="27"/>
      <c r="M335" s="27" t="s">
        <v>7042</v>
      </c>
      <c r="N335" s="27" t="s">
        <v>7043</v>
      </c>
      <c r="O335" s="29" t="s">
        <v>7044</v>
      </c>
      <c r="P335" s="27"/>
      <c r="Q335" s="27"/>
      <c r="R335" s="29"/>
      <c r="S335" s="29"/>
      <c r="T335" s="29"/>
      <c r="U335" s="27"/>
      <c r="V335" s="27"/>
      <c r="W335" s="27"/>
      <c r="X335" s="64"/>
      <c r="Y335" s="64"/>
      <c r="Z335" s="64"/>
      <c r="AA335" s="64"/>
      <c r="AB335" s="27"/>
      <c r="AC335" s="27"/>
    </row>
    <row r="336" spans="1:29" s="25" customFormat="1" x14ac:dyDescent="0.3">
      <c r="A336" s="24">
        <v>177</v>
      </c>
      <c r="B336" s="24" t="s">
        <v>2272</v>
      </c>
      <c r="C336" s="26">
        <v>139</v>
      </c>
      <c r="D336" s="25" t="s">
        <v>430</v>
      </c>
      <c r="E336" s="19" t="s">
        <v>431</v>
      </c>
      <c r="F336" s="19"/>
      <c r="G336" s="24"/>
      <c r="H336" s="19"/>
      <c r="I336" s="26" t="s">
        <v>89</v>
      </c>
      <c r="J336" s="26" t="s">
        <v>37</v>
      </c>
      <c r="K336" s="24"/>
      <c r="L336" s="24" t="s">
        <v>3371</v>
      </c>
      <c r="M336" s="24" t="s">
        <v>5912</v>
      </c>
      <c r="N336" s="24" t="s">
        <v>5913</v>
      </c>
      <c r="O336" s="26"/>
      <c r="P336" s="24" t="s">
        <v>9</v>
      </c>
      <c r="Q336" s="24"/>
      <c r="R336" s="26"/>
      <c r="S336" s="26"/>
      <c r="T336" s="26"/>
      <c r="U336" s="24"/>
      <c r="V336" s="24"/>
      <c r="W336" s="24"/>
      <c r="X336" s="63"/>
      <c r="Y336" s="63"/>
      <c r="Z336" s="63"/>
      <c r="AA336" s="63"/>
      <c r="AB336" s="24"/>
      <c r="AC336" s="24"/>
    </row>
    <row r="337" spans="1:29" s="28" customFormat="1" x14ac:dyDescent="0.3">
      <c r="A337" s="27" t="s">
        <v>7045</v>
      </c>
      <c r="B337" s="27" t="s">
        <v>2273</v>
      </c>
      <c r="C337" s="29"/>
      <c r="D337" s="28" t="s">
        <v>4856</v>
      </c>
      <c r="E337" s="20" t="s">
        <v>431</v>
      </c>
      <c r="F337" s="20" t="s">
        <v>2461</v>
      </c>
      <c r="G337" s="27"/>
      <c r="H337" s="20"/>
      <c r="I337" s="29"/>
      <c r="J337" s="29"/>
      <c r="K337" s="27"/>
      <c r="L337" s="27"/>
      <c r="M337" s="27" t="s">
        <v>7046</v>
      </c>
      <c r="N337" s="27" t="s">
        <v>7047</v>
      </c>
      <c r="O337" s="29" t="s">
        <v>7048</v>
      </c>
      <c r="P337" s="27"/>
      <c r="Q337" s="27"/>
      <c r="R337" s="29"/>
      <c r="S337" s="29"/>
      <c r="T337" s="29"/>
      <c r="U337" s="27"/>
      <c r="V337" s="27"/>
      <c r="W337" s="27"/>
      <c r="X337" s="64"/>
      <c r="Y337" s="64"/>
      <c r="Z337" s="64"/>
      <c r="AA337" s="64"/>
      <c r="AB337" s="27"/>
      <c r="AC337" s="27"/>
    </row>
    <row r="338" spans="1:29" s="25" customFormat="1" x14ac:dyDescent="0.3">
      <c r="A338" s="24">
        <v>178</v>
      </c>
      <c r="B338" s="24" t="s">
        <v>2272</v>
      </c>
      <c r="C338" s="26">
        <v>139</v>
      </c>
      <c r="D338" s="25" t="s">
        <v>432</v>
      </c>
      <c r="E338" s="19" t="s">
        <v>433</v>
      </c>
      <c r="F338" s="19"/>
      <c r="G338" s="24"/>
      <c r="H338" s="19"/>
      <c r="I338" s="26" t="s">
        <v>89</v>
      </c>
      <c r="J338" s="26" t="s">
        <v>37</v>
      </c>
      <c r="K338" s="24"/>
      <c r="L338" s="24" t="s">
        <v>3371</v>
      </c>
      <c r="M338" s="24" t="s">
        <v>5914</v>
      </c>
      <c r="N338" s="24" t="s">
        <v>5915</v>
      </c>
      <c r="O338" s="26"/>
      <c r="P338" s="24"/>
      <c r="Q338" s="24"/>
      <c r="R338" s="26"/>
      <c r="S338" s="26"/>
      <c r="T338" s="26"/>
      <c r="U338" s="24"/>
      <c r="V338" s="24"/>
      <c r="W338" s="24"/>
      <c r="X338" s="63"/>
      <c r="Y338" s="63"/>
      <c r="Z338" s="63"/>
      <c r="AA338" s="63"/>
      <c r="AB338" s="24"/>
      <c r="AC338" s="24"/>
    </row>
    <row r="339" spans="1:29" s="28" customFormat="1" x14ac:dyDescent="0.3">
      <c r="A339" s="27" t="s">
        <v>7049</v>
      </c>
      <c r="B339" s="27" t="s">
        <v>2273</v>
      </c>
      <c r="C339" s="29">
        <v>139</v>
      </c>
      <c r="D339" s="28" t="s">
        <v>4857</v>
      </c>
      <c r="E339" s="20" t="s">
        <v>433</v>
      </c>
      <c r="F339" s="20" t="s">
        <v>2462</v>
      </c>
      <c r="G339" s="27" t="s">
        <v>4567</v>
      </c>
      <c r="H339" s="20" t="s">
        <v>4568</v>
      </c>
      <c r="I339" s="29"/>
      <c r="J339" s="29" t="s">
        <v>37</v>
      </c>
      <c r="K339" s="27"/>
      <c r="L339" s="27" t="s">
        <v>3371</v>
      </c>
      <c r="M339" s="27" t="s">
        <v>7050</v>
      </c>
      <c r="N339" s="27" t="s">
        <v>7051</v>
      </c>
      <c r="O339" s="29" t="s">
        <v>7052</v>
      </c>
      <c r="P339" s="27"/>
      <c r="Q339" s="27"/>
      <c r="R339" s="29"/>
      <c r="S339" s="29"/>
      <c r="T339" s="29"/>
      <c r="U339" s="27"/>
      <c r="V339" s="27"/>
      <c r="W339" s="27"/>
      <c r="X339" s="64"/>
      <c r="Y339" s="64"/>
      <c r="Z339" s="64"/>
      <c r="AA339" s="64"/>
      <c r="AB339" s="27"/>
      <c r="AC339" s="27"/>
    </row>
    <row r="340" spans="1:29" s="25" customFormat="1" x14ac:dyDescent="0.3">
      <c r="A340" s="24">
        <v>179</v>
      </c>
      <c r="B340" s="24" t="s">
        <v>2272</v>
      </c>
      <c r="C340" s="26">
        <v>147</v>
      </c>
      <c r="D340" s="25" t="s">
        <v>462</v>
      </c>
      <c r="E340" s="19" t="s">
        <v>463</v>
      </c>
      <c r="F340" s="19"/>
      <c r="G340" s="24"/>
      <c r="H340" s="19"/>
      <c r="I340" s="26" t="s">
        <v>89</v>
      </c>
      <c r="J340" s="26" t="s">
        <v>37</v>
      </c>
      <c r="K340" s="24"/>
      <c r="L340" s="24" t="s">
        <v>3396</v>
      </c>
      <c r="M340" s="24" t="s">
        <v>5946</v>
      </c>
      <c r="N340" s="24" t="s">
        <v>5947</v>
      </c>
      <c r="O340" s="26" t="s">
        <v>1784</v>
      </c>
      <c r="P340" s="24"/>
      <c r="Q340" s="24"/>
      <c r="R340" s="26"/>
      <c r="S340" s="26"/>
      <c r="T340" s="26"/>
      <c r="U340" s="24"/>
      <c r="V340" s="24"/>
      <c r="W340" s="24"/>
      <c r="X340" s="63"/>
      <c r="Y340" s="63"/>
      <c r="Z340" s="63"/>
      <c r="AA340" s="63"/>
      <c r="AB340" s="24"/>
      <c r="AC340" s="24"/>
    </row>
    <row r="341" spans="1:29" s="25" customFormat="1" x14ac:dyDescent="0.3">
      <c r="A341" s="24">
        <v>180</v>
      </c>
      <c r="B341" s="24" t="s">
        <v>2272</v>
      </c>
      <c r="C341" s="26">
        <v>147</v>
      </c>
      <c r="D341" s="25" t="s">
        <v>464</v>
      </c>
      <c r="E341" s="19" t="s">
        <v>465</v>
      </c>
      <c r="F341" s="19"/>
      <c r="G341" s="24"/>
      <c r="H341" s="19"/>
      <c r="I341" s="26" t="s">
        <v>49</v>
      </c>
      <c r="J341" s="26" t="s">
        <v>5121</v>
      </c>
      <c r="K341" s="24" t="s">
        <v>49</v>
      </c>
      <c r="L341" s="24" t="s">
        <v>3083</v>
      </c>
      <c r="M341" s="24" t="s">
        <v>5948</v>
      </c>
      <c r="N341" s="24" t="s">
        <v>5949</v>
      </c>
      <c r="O341" s="26" t="s">
        <v>1785</v>
      </c>
      <c r="P341" s="24" t="s">
        <v>6397</v>
      </c>
      <c r="Q341" s="24"/>
      <c r="R341" s="26"/>
      <c r="S341" s="26"/>
      <c r="T341" s="26"/>
      <c r="U341" s="24"/>
      <c r="V341" s="24"/>
      <c r="W341" s="24"/>
      <c r="X341" s="63"/>
      <c r="Y341" s="63"/>
      <c r="Z341" s="63"/>
      <c r="AA341" s="63"/>
      <c r="AB341" s="24"/>
      <c r="AC341" s="24"/>
    </row>
    <row r="342" spans="1:29" s="25" customFormat="1" x14ac:dyDescent="0.3">
      <c r="A342" s="24">
        <v>181</v>
      </c>
      <c r="B342" s="24" t="s">
        <v>2272</v>
      </c>
      <c r="C342" s="26">
        <v>151</v>
      </c>
      <c r="D342" s="25" t="s">
        <v>468</v>
      </c>
      <c r="E342" s="19" t="s">
        <v>469</v>
      </c>
      <c r="F342" s="19"/>
      <c r="G342" s="24"/>
      <c r="H342" s="19"/>
      <c r="I342" s="26" t="s">
        <v>49</v>
      </c>
      <c r="J342" s="26" t="s">
        <v>5121</v>
      </c>
      <c r="K342" s="24" t="s">
        <v>49</v>
      </c>
      <c r="L342" s="24" t="s">
        <v>3086</v>
      </c>
      <c r="M342" s="24" t="s">
        <v>5952</v>
      </c>
      <c r="N342" s="24" t="s">
        <v>5953</v>
      </c>
      <c r="O342" s="26" t="s">
        <v>1788</v>
      </c>
      <c r="P342" s="24" t="s">
        <v>6399</v>
      </c>
      <c r="Q342" s="24"/>
      <c r="R342" s="26"/>
      <c r="S342" s="26"/>
      <c r="T342" s="26"/>
      <c r="U342" s="24"/>
      <c r="V342" s="24"/>
      <c r="W342" s="24"/>
      <c r="X342" s="63"/>
      <c r="Y342" s="63"/>
      <c r="Z342" s="63"/>
      <c r="AA342" s="63"/>
      <c r="AB342" s="24"/>
      <c r="AC342" s="24"/>
    </row>
    <row r="343" spans="1:29" s="25" customFormat="1" x14ac:dyDescent="0.3">
      <c r="A343" s="24">
        <v>182</v>
      </c>
      <c r="B343" s="24" t="s">
        <v>2272</v>
      </c>
      <c r="C343" s="26">
        <v>147</v>
      </c>
      <c r="D343" s="25" t="s">
        <v>3399</v>
      </c>
      <c r="E343" s="19" t="s">
        <v>3400</v>
      </c>
      <c r="F343" s="19"/>
      <c r="G343" s="24"/>
      <c r="H343" s="19"/>
      <c r="I343" s="26" t="s">
        <v>49</v>
      </c>
      <c r="J343" s="26" t="s">
        <v>5121</v>
      </c>
      <c r="K343" s="24" t="s">
        <v>49</v>
      </c>
      <c r="L343" s="24" t="s">
        <v>3078</v>
      </c>
      <c r="M343" s="24" t="s">
        <v>5950</v>
      </c>
      <c r="N343" s="24" t="s">
        <v>5951</v>
      </c>
      <c r="O343" s="26" t="s">
        <v>4337</v>
      </c>
      <c r="P343" s="24" t="s">
        <v>6398</v>
      </c>
      <c r="Q343" s="24"/>
      <c r="R343" s="26"/>
      <c r="S343" s="26"/>
      <c r="T343" s="26"/>
      <c r="U343" s="24"/>
      <c r="V343" s="24"/>
      <c r="W343" s="24"/>
      <c r="X343" s="63"/>
      <c r="Y343" s="63"/>
      <c r="Z343" s="63"/>
      <c r="AA343" s="63"/>
      <c r="AB343" s="24"/>
      <c r="AC343" s="24"/>
    </row>
    <row r="344" spans="1:29" s="25" customFormat="1" x14ac:dyDescent="0.3">
      <c r="A344" s="24">
        <v>183</v>
      </c>
      <c r="B344" s="24" t="s">
        <v>2272</v>
      </c>
      <c r="C344" s="26">
        <v>149</v>
      </c>
      <c r="D344" s="25" t="s">
        <v>466</v>
      </c>
      <c r="E344" s="19" t="s">
        <v>467</v>
      </c>
      <c r="F344" s="19"/>
      <c r="G344" s="24"/>
      <c r="H344" s="19"/>
      <c r="I344" s="26" t="s">
        <v>57</v>
      </c>
      <c r="J344" s="26" t="s">
        <v>57</v>
      </c>
      <c r="K344" s="24"/>
      <c r="L344" s="24" t="s">
        <v>3402</v>
      </c>
      <c r="M344" s="24" t="s">
        <v>5342</v>
      </c>
      <c r="N344" s="24"/>
      <c r="O344" s="26" t="s">
        <v>1786</v>
      </c>
      <c r="P344" s="24" t="s">
        <v>3001</v>
      </c>
      <c r="Q344" s="24"/>
      <c r="R344" s="26"/>
      <c r="S344" s="26"/>
      <c r="T344" s="26"/>
      <c r="U344" s="24"/>
      <c r="V344" s="24"/>
      <c r="W344" s="24"/>
      <c r="X344" s="63"/>
      <c r="Y344" s="63"/>
      <c r="Z344" s="63"/>
      <c r="AA344" s="63"/>
      <c r="AB344" s="24"/>
      <c r="AC344" s="24"/>
    </row>
    <row r="345" spans="1:29" s="25" customFormat="1" x14ac:dyDescent="0.3">
      <c r="A345" s="24">
        <v>184</v>
      </c>
      <c r="B345" s="24" t="s">
        <v>2272</v>
      </c>
      <c r="C345" s="26">
        <v>149</v>
      </c>
      <c r="D345" s="25" t="s">
        <v>474</v>
      </c>
      <c r="E345" s="19" t="s">
        <v>475</v>
      </c>
      <c r="F345" s="19"/>
      <c r="G345" s="24"/>
      <c r="H345" s="19"/>
      <c r="I345" s="26" t="s">
        <v>89</v>
      </c>
      <c r="J345" s="26" t="s">
        <v>37</v>
      </c>
      <c r="K345" s="24"/>
      <c r="L345" s="24" t="s">
        <v>3350</v>
      </c>
      <c r="M345" s="24" t="s">
        <v>5958</v>
      </c>
      <c r="N345" s="24" t="s">
        <v>5959</v>
      </c>
      <c r="O345" s="26" t="s">
        <v>1792</v>
      </c>
      <c r="P345" s="24"/>
      <c r="Q345" s="24"/>
      <c r="R345" s="26"/>
      <c r="S345" s="26"/>
      <c r="T345" s="26"/>
      <c r="U345" s="24"/>
      <c r="V345" s="24"/>
      <c r="W345" s="24"/>
      <c r="X345" s="63"/>
      <c r="Y345" s="63"/>
      <c r="Z345" s="63"/>
      <c r="AA345" s="63"/>
      <c r="AB345" s="24"/>
      <c r="AC345" s="24"/>
    </row>
    <row r="346" spans="1:29" s="25" customFormat="1" x14ac:dyDescent="0.3">
      <c r="A346" s="24">
        <v>185</v>
      </c>
      <c r="B346" s="24" t="s">
        <v>2272</v>
      </c>
      <c r="C346" s="26">
        <v>149</v>
      </c>
      <c r="D346" s="25" t="s">
        <v>472</v>
      </c>
      <c r="E346" s="19" t="s">
        <v>473</v>
      </c>
      <c r="F346" s="19"/>
      <c r="G346" s="24" t="s">
        <v>1791</v>
      </c>
      <c r="H346" s="19"/>
      <c r="I346" s="26" t="s">
        <v>49</v>
      </c>
      <c r="J346" s="26" t="s">
        <v>37</v>
      </c>
      <c r="K346" s="24" t="s">
        <v>49</v>
      </c>
      <c r="L346" s="24" t="s">
        <v>3406</v>
      </c>
      <c r="M346" s="24" t="s">
        <v>5956</v>
      </c>
      <c r="N346" s="24" t="s">
        <v>5957</v>
      </c>
      <c r="O346" s="26" t="s">
        <v>1790</v>
      </c>
      <c r="P346" s="24" t="s">
        <v>6401</v>
      </c>
      <c r="Q346" s="24"/>
      <c r="R346" s="26"/>
      <c r="S346" s="26"/>
      <c r="T346" s="26"/>
      <c r="U346" s="24"/>
      <c r="V346" s="24"/>
      <c r="W346" s="24"/>
      <c r="X346" s="63"/>
      <c r="Y346" s="63"/>
      <c r="Z346" s="63"/>
      <c r="AA346" s="63"/>
      <c r="AB346" s="24"/>
      <c r="AC346" s="24"/>
    </row>
    <row r="347" spans="1:29" s="25" customFormat="1" x14ac:dyDescent="0.3">
      <c r="A347" s="24">
        <v>186</v>
      </c>
      <c r="B347" s="24" t="s">
        <v>2272</v>
      </c>
      <c r="C347" s="26">
        <v>149</v>
      </c>
      <c r="D347" s="25" t="s">
        <v>470</v>
      </c>
      <c r="E347" s="19" t="s">
        <v>471</v>
      </c>
      <c r="F347" s="19"/>
      <c r="G347" s="24"/>
      <c r="H347" s="19"/>
      <c r="I347" s="26" t="s">
        <v>49</v>
      </c>
      <c r="J347" s="26" t="s">
        <v>5121</v>
      </c>
      <c r="K347" s="24" t="s">
        <v>49</v>
      </c>
      <c r="L347" s="24" t="s">
        <v>3083</v>
      </c>
      <c r="M347" s="24" t="s">
        <v>5954</v>
      </c>
      <c r="N347" s="24" t="s">
        <v>5955</v>
      </c>
      <c r="O347" s="26" t="s">
        <v>1789</v>
      </c>
      <c r="P347" s="24" t="s">
        <v>6400</v>
      </c>
      <c r="Q347" s="24"/>
      <c r="R347" s="26"/>
      <c r="S347" s="26"/>
      <c r="T347" s="26"/>
      <c r="U347" s="24"/>
      <c r="V347" s="24"/>
      <c r="W347" s="24"/>
      <c r="X347" s="63"/>
      <c r="Y347" s="63"/>
      <c r="Z347" s="63"/>
      <c r="AA347" s="63"/>
      <c r="AB347" s="24"/>
      <c r="AC347" s="24"/>
    </row>
    <row r="348" spans="1:29" s="25" customFormat="1" x14ac:dyDescent="0.3">
      <c r="A348" s="24">
        <v>187</v>
      </c>
      <c r="B348" s="24" t="s">
        <v>2272</v>
      </c>
      <c r="C348" s="26">
        <v>151</v>
      </c>
      <c r="D348" s="25" t="s">
        <v>476</v>
      </c>
      <c r="E348" s="19" t="s">
        <v>477</v>
      </c>
      <c r="F348" s="19"/>
      <c r="G348" s="24"/>
      <c r="H348" s="19"/>
      <c r="I348" s="26" t="s">
        <v>89</v>
      </c>
      <c r="J348" s="26" t="s">
        <v>37</v>
      </c>
      <c r="K348" s="24"/>
      <c r="L348" s="24" t="s">
        <v>3409</v>
      </c>
      <c r="M348" s="24" t="s">
        <v>5960</v>
      </c>
      <c r="N348" s="24" t="s">
        <v>5961</v>
      </c>
      <c r="O348" s="26"/>
      <c r="P348" s="24"/>
      <c r="Q348" s="24"/>
      <c r="R348" s="26"/>
      <c r="S348" s="26"/>
      <c r="T348" s="26"/>
      <c r="U348" s="24"/>
      <c r="V348" s="24"/>
      <c r="W348" s="24"/>
      <c r="X348" s="63"/>
      <c r="Y348" s="63"/>
      <c r="Z348" s="63"/>
      <c r="AA348" s="63"/>
      <c r="AB348" s="24"/>
      <c r="AC348" s="24"/>
    </row>
    <row r="349" spans="1:29" s="28" customFormat="1" x14ac:dyDescent="0.3">
      <c r="A349" s="27" t="s">
        <v>7053</v>
      </c>
      <c r="B349" s="27" t="s">
        <v>2273</v>
      </c>
      <c r="C349" s="29"/>
      <c r="D349" s="28" t="s">
        <v>4863</v>
      </c>
      <c r="E349" s="20" t="s">
        <v>477</v>
      </c>
      <c r="F349" s="20" t="s">
        <v>2469</v>
      </c>
      <c r="G349" s="27"/>
      <c r="H349" s="20"/>
      <c r="I349" s="29"/>
      <c r="J349" s="29"/>
      <c r="K349" s="27"/>
      <c r="L349" s="27"/>
      <c r="M349" s="27" t="s">
        <v>7054</v>
      </c>
      <c r="N349" s="27" t="s">
        <v>7055</v>
      </c>
      <c r="O349" s="29" t="s">
        <v>7056</v>
      </c>
      <c r="P349" s="27"/>
      <c r="Q349" s="27"/>
      <c r="R349" s="29"/>
      <c r="S349" s="29"/>
      <c r="T349" s="29"/>
      <c r="U349" s="27"/>
      <c r="V349" s="27"/>
      <c r="W349" s="27"/>
      <c r="X349" s="64"/>
      <c r="Y349" s="64"/>
      <c r="Z349" s="64"/>
      <c r="AA349" s="64"/>
      <c r="AB349" s="27"/>
      <c r="AC349" s="27"/>
    </row>
    <row r="350" spans="1:29" s="25" customFormat="1" x14ac:dyDescent="0.3">
      <c r="A350" s="24">
        <v>188</v>
      </c>
      <c r="B350" s="24" t="s">
        <v>2272</v>
      </c>
      <c r="C350" s="26">
        <v>151</v>
      </c>
      <c r="D350" s="25" t="s">
        <v>482</v>
      </c>
      <c r="E350" s="19" t="s">
        <v>483</v>
      </c>
      <c r="F350" s="19"/>
      <c r="G350" s="24"/>
      <c r="H350" s="19"/>
      <c r="I350" s="26" t="s">
        <v>49</v>
      </c>
      <c r="J350" s="26" t="s">
        <v>5121</v>
      </c>
      <c r="K350" s="24" t="s">
        <v>49</v>
      </c>
      <c r="L350" s="24" t="s">
        <v>3414</v>
      </c>
      <c r="M350" s="24" t="s">
        <v>5966</v>
      </c>
      <c r="N350" s="24" t="s">
        <v>5967</v>
      </c>
      <c r="O350" s="26" t="s">
        <v>1794</v>
      </c>
      <c r="P350" s="24" t="s">
        <v>6526</v>
      </c>
      <c r="Q350" s="24"/>
      <c r="R350" s="26"/>
      <c r="S350" s="26"/>
      <c r="T350" s="26"/>
      <c r="U350" s="24"/>
      <c r="V350" s="24"/>
      <c r="W350" s="24"/>
      <c r="X350" s="63"/>
      <c r="Y350" s="63"/>
      <c r="Z350" s="63"/>
      <c r="AA350" s="63"/>
      <c r="AB350" s="24"/>
      <c r="AC350" s="24"/>
    </row>
    <row r="351" spans="1:29" s="25" customFormat="1" x14ac:dyDescent="0.3">
      <c r="A351" s="24">
        <v>189</v>
      </c>
      <c r="B351" s="24" t="s">
        <v>2272</v>
      </c>
      <c r="C351" s="26">
        <v>151</v>
      </c>
      <c r="D351" s="25" t="s">
        <v>480</v>
      </c>
      <c r="E351" s="19" t="s">
        <v>481</v>
      </c>
      <c r="F351" s="19"/>
      <c r="G351" s="24"/>
      <c r="H351" s="19"/>
      <c r="I351" s="26" t="s">
        <v>89</v>
      </c>
      <c r="J351" s="26" t="s">
        <v>37</v>
      </c>
      <c r="K351" s="24"/>
      <c r="L351" s="24" t="s">
        <v>3412</v>
      </c>
      <c r="M351" s="24" t="s">
        <v>5964</v>
      </c>
      <c r="N351" s="24" t="s">
        <v>5965</v>
      </c>
      <c r="O351" s="26" t="s">
        <v>1794</v>
      </c>
      <c r="P351" s="24"/>
      <c r="Q351" s="24"/>
      <c r="R351" s="26"/>
      <c r="S351" s="26"/>
      <c r="T351" s="26"/>
      <c r="U351" s="24"/>
      <c r="V351" s="24"/>
      <c r="W351" s="24"/>
      <c r="X351" s="63"/>
      <c r="Y351" s="63"/>
      <c r="Z351" s="63"/>
      <c r="AA351" s="63"/>
      <c r="AB351" s="24"/>
      <c r="AC351" s="24"/>
    </row>
    <row r="352" spans="1:29" s="25" customFormat="1" x14ac:dyDescent="0.3">
      <c r="A352" s="24">
        <v>190</v>
      </c>
      <c r="B352" s="24" t="s">
        <v>2272</v>
      </c>
      <c r="C352" s="26">
        <v>151</v>
      </c>
      <c r="D352" s="25" t="s">
        <v>478</v>
      </c>
      <c r="E352" s="19" t="s">
        <v>479</v>
      </c>
      <c r="F352" s="19"/>
      <c r="G352" s="24"/>
      <c r="H352" s="19"/>
      <c r="I352" s="26" t="s">
        <v>89</v>
      </c>
      <c r="J352" s="26" t="s">
        <v>37</v>
      </c>
      <c r="K352" s="24"/>
      <c r="L352" s="24" t="s">
        <v>3381</v>
      </c>
      <c r="M352" s="24" t="s">
        <v>5962</v>
      </c>
      <c r="N352" s="24" t="s">
        <v>5963</v>
      </c>
      <c r="O352" s="26" t="s">
        <v>1793</v>
      </c>
      <c r="P352" s="24"/>
      <c r="Q352" s="24"/>
      <c r="R352" s="26"/>
      <c r="S352" s="26"/>
      <c r="T352" s="26"/>
      <c r="U352" s="24"/>
      <c r="V352" s="24"/>
      <c r="W352" s="24"/>
      <c r="X352" s="63"/>
      <c r="Y352" s="63"/>
      <c r="Z352" s="63"/>
      <c r="AA352" s="63"/>
      <c r="AB352" s="24"/>
      <c r="AC352" s="24"/>
    </row>
    <row r="353" spans="1:29" s="25" customFormat="1" x14ac:dyDescent="0.3">
      <c r="A353" s="24">
        <v>191</v>
      </c>
      <c r="B353" s="24" t="s">
        <v>2272</v>
      </c>
      <c r="C353" s="26">
        <v>153</v>
      </c>
      <c r="D353" s="25" t="s">
        <v>484</v>
      </c>
      <c r="E353" s="19" t="s">
        <v>485</v>
      </c>
      <c r="F353" s="19"/>
      <c r="G353" s="24"/>
      <c r="H353" s="19"/>
      <c r="I353" s="26" t="s">
        <v>89</v>
      </c>
      <c r="J353" s="26" t="s">
        <v>37</v>
      </c>
      <c r="K353" s="24"/>
      <c r="L353" s="24" t="s">
        <v>3416</v>
      </c>
      <c r="M353" s="24" t="s">
        <v>5969</v>
      </c>
      <c r="N353" s="24" t="s">
        <v>5970</v>
      </c>
      <c r="O353" s="26" t="s">
        <v>1795</v>
      </c>
      <c r="P353" s="24"/>
      <c r="Q353" s="24"/>
      <c r="R353" s="26"/>
      <c r="S353" s="26"/>
      <c r="T353" s="26"/>
      <c r="U353" s="24"/>
      <c r="V353" s="24"/>
      <c r="W353" s="24"/>
      <c r="X353" s="63"/>
      <c r="Y353" s="63"/>
      <c r="Z353" s="63"/>
      <c r="AA353" s="63"/>
      <c r="AB353" s="24"/>
      <c r="AC353" s="24"/>
    </row>
    <row r="354" spans="1:29" s="25" customFormat="1" x14ac:dyDescent="0.3">
      <c r="A354" s="24">
        <v>192</v>
      </c>
      <c r="B354" s="24" t="s">
        <v>2272</v>
      </c>
      <c r="C354" s="26">
        <v>155</v>
      </c>
      <c r="D354" s="25" t="s">
        <v>486</v>
      </c>
      <c r="E354" s="19" t="s">
        <v>487</v>
      </c>
      <c r="F354" s="19"/>
      <c r="G354" s="24"/>
      <c r="H354" s="19"/>
      <c r="I354" s="26" t="s">
        <v>89</v>
      </c>
      <c r="J354" s="26" t="s">
        <v>37</v>
      </c>
      <c r="K354" s="24"/>
      <c r="L354" s="24" t="s">
        <v>3418</v>
      </c>
      <c r="M354" s="24" t="s">
        <v>5971</v>
      </c>
      <c r="N354" s="24" t="s">
        <v>5972</v>
      </c>
      <c r="O354" s="26" t="s">
        <v>1796</v>
      </c>
      <c r="P354" s="24"/>
      <c r="Q354" s="24"/>
      <c r="R354" s="26"/>
      <c r="S354" s="26"/>
      <c r="T354" s="26"/>
      <c r="U354" s="24"/>
      <c r="V354" s="24"/>
      <c r="W354" s="24"/>
      <c r="X354" s="63"/>
      <c r="Y354" s="63"/>
      <c r="Z354" s="63"/>
      <c r="AA354" s="63"/>
      <c r="AB354" s="24"/>
      <c r="AC354" s="24"/>
    </row>
    <row r="355" spans="1:29" s="25" customFormat="1" x14ac:dyDescent="0.3">
      <c r="A355" s="24">
        <v>193</v>
      </c>
      <c r="B355" s="24" t="s">
        <v>2272</v>
      </c>
      <c r="C355" s="26">
        <v>153</v>
      </c>
      <c r="D355" s="25" t="s">
        <v>488</v>
      </c>
      <c r="E355" s="19" t="s">
        <v>489</v>
      </c>
      <c r="F355" s="19"/>
      <c r="G355" s="24"/>
      <c r="H355" s="19"/>
      <c r="I355" s="26" t="s">
        <v>89</v>
      </c>
      <c r="J355" s="26" t="s">
        <v>37</v>
      </c>
      <c r="K355" s="24"/>
      <c r="L355" s="24" t="s">
        <v>3350</v>
      </c>
      <c r="M355" s="24" t="s">
        <v>5973</v>
      </c>
      <c r="N355" s="24" t="s">
        <v>5974</v>
      </c>
      <c r="O355" s="26" t="s">
        <v>1797</v>
      </c>
      <c r="P355" s="24" t="s">
        <v>9</v>
      </c>
      <c r="Q355" s="24"/>
      <c r="R355" s="26"/>
      <c r="S355" s="26"/>
      <c r="T355" s="26"/>
      <c r="U355" s="24"/>
      <c r="V355" s="24"/>
      <c r="W355" s="24"/>
      <c r="X355" s="63"/>
      <c r="Y355" s="63"/>
      <c r="Z355" s="63"/>
      <c r="AA355" s="63"/>
      <c r="AB355" s="24"/>
      <c r="AC355" s="24"/>
    </row>
    <row r="356" spans="1:29" s="25" customFormat="1" x14ac:dyDescent="0.3">
      <c r="A356" s="24">
        <v>194</v>
      </c>
      <c r="B356" s="24" t="s">
        <v>2272</v>
      </c>
      <c r="C356" s="26">
        <v>155</v>
      </c>
      <c r="D356" s="25" t="s">
        <v>492</v>
      </c>
      <c r="E356" s="19" t="s">
        <v>493</v>
      </c>
      <c r="F356" s="19"/>
      <c r="G356" s="24"/>
      <c r="H356" s="19"/>
      <c r="I356" s="26" t="s">
        <v>89</v>
      </c>
      <c r="J356" s="26" t="s">
        <v>37</v>
      </c>
      <c r="K356" s="24"/>
      <c r="L356" s="24" t="s">
        <v>3388</v>
      </c>
      <c r="M356" s="24" t="s">
        <v>5977</v>
      </c>
      <c r="N356" s="24" t="s">
        <v>5978</v>
      </c>
      <c r="O356" s="26" t="s">
        <v>1800</v>
      </c>
      <c r="P356" s="24"/>
      <c r="Q356" s="24"/>
      <c r="R356" s="26"/>
      <c r="S356" s="26"/>
      <c r="T356" s="26"/>
      <c r="U356" s="24"/>
      <c r="V356" s="24"/>
      <c r="W356" s="24"/>
      <c r="X356" s="63"/>
      <c r="Y356" s="63"/>
      <c r="Z356" s="63"/>
      <c r="AA356" s="63"/>
      <c r="AB356" s="24"/>
      <c r="AC356" s="24"/>
    </row>
    <row r="357" spans="1:29" s="25" customFormat="1" x14ac:dyDescent="0.3">
      <c r="A357" s="24">
        <v>195</v>
      </c>
      <c r="B357" s="24" t="s">
        <v>2272</v>
      </c>
      <c r="C357" s="26">
        <v>155</v>
      </c>
      <c r="D357" s="25" t="s">
        <v>494</v>
      </c>
      <c r="E357" s="19" t="s">
        <v>495</v>
      </c>
      <c r="F357" s="19"/>
      <c r="G357" s="24"/>
      <c r="H357" s="19"/>
      <c r="I357" s="26" t="s">
        <v>89</v>
      </c>
      <c r="J357" s="26" t="s">
        <v>37</v>
      </c>
      <c r="K357" s="24"/>
      <c r="L357" s="24" t="s">
        <v>3350</v>
      </c>
      <c r="M357" s="24" t="s">
        <v>5979</v>
      </c>
      <c r="N357" s="24" t="s">
        <v>5980</v>
      </c>
      <c r="O357" s="26" t="s">
        <v>1801</v>
      </c>
      <c r="P357" s="24"/>
      <c r="Q357" s="24"/>
      <c r="R357" s="26"/>
      <c r="S357" s="26"/>
      <c r="T357" s="26"/>
      <c r="U357" s="24"/>
      <c r="V357" s="24"/>
      <c r="W357" s="24"/>
      <c r="X357" s="63"/>
      <c r="Y357" s="63"/>
      <c r="Z357" s="63"/>
      <c r="AA357" s="63"/>
      <c r="AB357" s="24"/>
      <c r="AC357" s="24"/>
    </row>
    <row r="358" spans="1:29" s="25" customFormat="1" x14ac:dyDescent="0.3">
      <c r="A358" s="24">
        <v>196</v>
      </c>
      <c r="B358" s="24" t="s">
        <v>2272</v>
      </c>
      <c r="C358" s="26">
        <v>153</v>
      </c>
      <c r="D358" s="25" t="s">
        <v>490</v>
      </c>
      <c r="E358" s="19" t="s">
        <v>491</v>
      </c>
      <c r="F358" s="19"/>
      <c r="G358" s="24"/>
      <c r="H358" s="19"/>
      <c r="I358" s="26" t="s">
        <v>89</v>
      </c>
      <c r="J358" s="26" t="s">
        <v>37</v>
      </c>
      <c r="K358" s="24"/>
      <c r="L358" s="24" t="s">
        <v>3350</v>
      </c>
      <c r="M358" s="24" t="s">
        <v>5975</v>
      </c>
      <c r="N358" s="24" t="s">
        <v>5976</v>
      </c>
      <c r="O358" s="26"/>
      <c r="P358" s="24"/>
      <c r="Q358" s="24"/>
      <c r="R358" s="26"/>
      <c r="S358" s="26"/>
      <c r="T358" s="26"/>
      <c r="U358" s="24"/>
      <c r="V358" s="24"/>
      <c r="W358" s="24"/>
      <c r="X358" s="63"/>
      <c r="Y358" s="63"/>
      <c r="Z358" s="63"/>
      <c r="AA358" s="63"/>
      <c r="AB358" s="24"/>
      <c r="AC358" s="24"/>
    </row>
    <row r="359" spans="1:29" s="28" customFormat="1" x14ac:dyDescent="0.3">
      <c r="A359" s="27" t="s">
        <v>7057</v>
      </c>
      <c r="B359" s="27" t="s">
        <v>2273</v>
      </c>
      <c r="C359" s="29"/>
      <c r="D359" s="28" t="s">
        <v>4864</v>
      </c>
      <c r="E359" s="20" t="s">
        <v>491</v>
      </c>
      <c r="F359" s="20" t="s">
        <v>2470</v>
      </c>
      <c r="G359" s="27"/>
      <c r="H359" s="20"/>
      <c r="I359" s="29"/>
      <c r="J359" s="29"/>
      <c r="K359" s="27"/>
      <c r="L359" s="27"/>
      <c r="M359" s="27" t="s">
        <v>7058</v>
      </c>
      <c r="N359" s="27" t="s">
        <v>7059</v>
      </c>
      <c r="O359" s="29" t="s">
        <v>7060</v>
      </c>
      <c r="P359" s="27"/>
      <c r="Q359" s="27"/>
      <c r="R359" s="29"/>
      <c r="S359" s="29"/>
      <c r="T359" s="29"/>
      <c r="U359" s="27"/>
      <c r="V359" s="27"/>
      <c r="W359" s="27"/>
      <c r="X359" s="64"/>
      <c r="Y359" s="64"/>
      <c r="Z359" s="64"/>
      <c r="AA359" s="64"/>
      <c r="AB359" s="27"/>
      <c r="AC359" s="27"/>
    </row>
    <row r="360" spans="1:29" s="25" customFormat="1" x14ac:dyDescent="0.3">
      <c r="A360" s="24">
        <v>197</v>
      </c>
      <c r="B360" s="24" t="s">
        <v>2272</v>
      </c>
      <c r="C360" s="26">
        <v>155</v>
      </c>
      <c r="D360" s="25" t="s">
        <v>500</v>
      </c>
      <c r="E360" s="19" t="s">
        <v>501</v>
      </c>
      <c r="F360" s="19"/>
      <c r="G360" s="24" t="s">
        <v>1805</v>
      </c>
      <c r="H360" s="19"/>
      <c r="I360" s="26" t="s">
        <v>49</v>
      </c>
      <c r="J360" s="26" t="s">
        <v>5121</v>
      </c>
      <c r="K360" s="24" t="s">
        <v>49</v>
      </c>
      <c r="L360" s="24" t="s">
        <v>8554</v>
      </c>
      <c r="M360" s="24" t="s">
        <v>5985</v>
      </c>
      <c r="N360" s="24" t="s">
        <v>5986</v>
      </c>
      <c r="O360" s="26" t="s">
        <v>1804</v>
      </c>
      <c r="P360" s="24" t="s">
        <v>6527</v>
      </c>
      <c r="Q360" s="24"/>
      <c r="R360" s="26"/>
      <c r="S360" s="26"/>
      <c r="T360" s="26"/>
      <c r="U360" s="24"/>
      <c r="V360" s="24"/>
      <c r="W360" s="24"/>
      <c r="X360" s="63"/>
      <c r="Y360" s="63"/>
      <c r="Z360" s="63"/>
      <c r="AA360" s="63"/>
      <c r="AB360" s="24"/>
      <c r="AC360" s="24"/>
    </row>
    <row r="361" spans="1:29" s="25" customFormat="1" x14ac:dyDescent="0.3">
      <c r="A361" s="24">
        <v>198</v>
      </c>
      <c r="B361" s="24" t="s">
        <v>2272</v>
      </c>
      <c r="C361" s="26">
        <v>153</v>
      </c>
      <c r="D361" s="25" t="s">
        <v>496</v>
      </c>
      <c r="E361" s="19" t="s">
        <v>497</v>
      </c>
      <c r="F361" s="19"/>
      <c r="G361" s="24"/>
      <c r="H361" s="19"/>
      <c r="I361" s="26" t="s">
        <v>49</v>
      </c>
      <c r="J361" s="26" t="s">
        <v>5121</v>
      </c>
      <c r="K361" s="24" t="s">
        <v>49</v>
      </c>
      <c r="L361" s="24" t="s">
        <v>3424</v>
      </c>
      <c r="M361" s="24" t="s">
        <v>5981</v>
      </c>
      <c r="N361" s="24" t="s">
        <v>5982</v>
      </c>
      <c r="O361" s="26" t="s">
        <v>1802</v>
      </c>
      <c r="P361" s="24" t="s">
        <v>6402</v>
      </c>
      <c r="Q361" s="24"/>
      <c r="R361" s="26"/>
      <c r="S361" s="26"/>
      <c r="T361" s="26"/>
      <c r="U361" s="24"/>
      <c r="V361" s="24"/>
      <c r="W361" s="24"/>
      <c r="X361" s="63"/>
      <c r="Y361" s="63"/>
      <c r="Z361" s="63"/>
      <c r="AA361" s="63"/>
      <c r="AB361" s="24"/>
      <c r="AC361" s="24"/>
    </row>
    <row r="362" spans="1:29" s="25" customFormat="1" x14ac:dyDescent="0.3">
      <c r="A362" s="24">
        <v>199</v>
      </c>
      <c r="B362" s="24" t="s">
        <v>2272</v>
      </c>
      <c r="C362" s="26">
        <v>155</v>
      </c>
      <c r="D362" s="25" t="s">
        <v>498</v>
      </c>
      <c r="E362" s="19" t="s">
        <v>499</v>
      </c>
      <c r="F362" s="19"/>
      <c r="G362" s="24"/>
      <c r="H362" s="19"/>
      <c r="I362" s="26" t="s">
        <v>89</v>
      </c>
      <c r="J362" s="26" t="s">
        <v>37</v>
      </c>
      <c r="K362" s="24"/>
      <c r="L362" s="24" t="s">
        <v>3409</v>
      </c>
      <c r="M362" s="24" t="s">
        <v>5983</v>
      </c>
      <c r="N362" s="24" t="s">
        <v>5984</v>
      </c>
      <c r="O362" s="26" t="s">
        <v>1803</v>
      </c>
      <c r="P362" s="24"/>
      <c r="Q362" s="24"/>
      <c r="R362" s="26"/>
      <c r="S362" s="26"/>
      <c r="T362" s="26"/>
      <c r="U362" s="24"/>
      <c r="V362" s="24"/>
      <c r="W362" s="24"/>
      <c r="X362" s="63"/>
      <c r="Y362" s="63"/>
      <c r="Z362" s="63"/>
      <c r="AA362" s="63"/>
      <c r="AB362" s="24"/>
      <c r="AC362" s="24"/>
    </row>
    <row r="363" spans="1:29" s="25" customFormat="1" x14ac:dyDescent="0.3">
      <c r="A363" s="24">
        <v>200</v>
      </c>
      <c r="B363" s="24" t="s">
        <v>2272</v>
      </c>
      <c r="C363" s="26">
        <v>141</v>
      </c>
      <c r="D363" s="25" t="s">
        <v>434</v>
      </c>
      <c r="E363" s="19" t="s">
        <v>435</v>
      </c>
      <c r="F363" s="19"/>
      <c r="G363" s="24"/>
      <c r="H363" s="19"/>
      <c r="I363" s="26" t="s">
        <v>89</v>
      </c>
      <c r="J363" s="26" t="s">
        <v>37</v>
      </c>
      <c r="K363" s="24"/>
      <c r="L363" s="24" t="s">
        <v>3371</v>
      </c>
      <c r="M363" s="24" t="s">
        <v>5916</v>
      </c>
      <c r="N363" s="24" t="s">
        <v>5917</v>
      </c>
      <c r="O363" s="26"/>
      <c r="P363" s="24"/>
      <c r="Q363" s="24"/>
      <c r="R363" s="26"/>
      <c r="S363" s="26"/>
      <c r="T363" s="26"/>
      <c r="U363" s="24"/>
      <c r="V363" s="24"/>
      <c r="W363" s="24"/>
      <c r="X363" s="63"/>
      <c r="Y363" s="63"/>
      <c r="Z363" s="63"/>
      <c r="AA363" s="63"/>
      <c r="AB363" s="24"/>
      <c r="AC363" s="24"/>
    </row>
    <row r="364" spans="1:29" s="28" customFormat="1" x14ac:dyDescent="0.3">
      <c r="A364" s="27" t="s">
        <v>7061</v>
      </c>
      <c r="B364" s="27" t="s">
        <v>2273</v>
      </c>
      <c r="C364" s="29"/>
      <c r="D364" s="28" t="s">
        <v>4858</v>
      </c>
      <c r="E364" s="20" t="s">
        <v>435</v>
      </c>
      <c r="F364" s="20" t="s">
        <v>2463</v>
      </c>
      <c r="G364" s="27"/>
      <c r="H364" s="20"/>
      <c r="I364" s="29"/>
      <c r="J364" s="29"/>
      <c r="K364" s="27"/>
      <c r="L364" s="27"/>
      <c r="M364" s="27" t="s">
        <v>7062</v>
      </c>
      <c r="N364" s="27" t="s">
        <v>7063</v>
      </c>
      <c r="O364" s="29" t="s">
        <v>7064</v>
      </c>
      <c r="P364" s="27"/>
      <c r="Q364" s="27"/>
      <c r="R364" s="29"/>
      <c r="S364" s="29"/>
      <c r="T364" s="29"/>
      <c r="U364" s="27"/>
      <c r="V364" s="27"/>
      <c r="W364" s="27"/>
      <c r="X364" s="64"/>
      <c r="Y364" s="64"/>
      <c r="Z364" s="64"/>
      <c r="AA364" s="64"/>
      <c r="AB364" s="27"/>
      <c r="AC364" s="27"/>
    </row>
    <row r="365" spans="1:29" s="25" customFormat="1" x14ac:dyDescent="0.3">
      <c r="A365" s="24">
        <v>201</v>
      </c>
      <c r="B365" s="24" t="s">
        <v>2272</v>
      </c>
      <c r="C365" s="26">
        <v>141</v>
      </c>
      <c r="D365" s="25" t="s">
        <v>436</v>
      </c>
      <c r="E365" s="19" t="s">
        <v>437</v>
      </c>
      <c r="F365" s="19"/>
      <c r="G365" s="24"/>
      <c r="H365" s="19"/>
      <c r="I365" s="26" t="s">
        <v>89</v>
      </c>
      <c r="J365" s="26" t="s">
        <v>37</v>
      </c>
      <c r="K365" s="24"/>
      <c r="L365" s="24" t="s">
        <v>3376</v>
      </c>
      <c r="M365" s="24" t="s">
        <v>5918</v>
      </c>
      <c r="N365" s="24" t="s">
        <v>5919</v>
      </c>
      <c r="O365" s="26" t="s">
        <v>1774</v>
      </c>
      <c r="P365" s="24"/>
      <c r="Q365" s="24"/>
      <c r="R365" s="26"/>
      <c r="S365" s="26"/>
      <c r="T365" s="26"/>
      <c r="U365" s="24"/>
      <c r="V365" s="24"/>
      <c r="W365" s="24"/>
      <c r="X365" s="63"/>
      <c r="Y365" s="63"/>
      <c r="Z365" s="63"/>
      <c r="AA365" s="63"/>
      <c r="AB365" s="24"/>
      <c r="AC365" s="24"/>
    </row>
    <row r="366" spans="1:29" s="25" customFormat="1" x14ac:dyDescent="0.3">
      <c r="A366" s="24">
        <v>202</v>
      </c>
      <c r="B366" s="24" t="s">
        <v>2272</v>
      </c>
      <c r="C366" s="26">
        <v>141</v>
      </c>
      <c r="D366" s="25" t="s">
        <v>438</v>
      </c>
      <c r="E366" s="19" t="s">
        <v>439</v>
      </c>
      <c r="F366" s="19"/>
      <c r="G366" s="24"/>
      <c r="H366" s="19"/>
      <c r="I366" s="26" t="s">
        <v>89</v>
      </c>
      <c r="J366" s="26" t="s">
        <v>37</v>
      </c>
      <c r="K366" s="24"/>
      <c r="L366" s="24" t="s">
        <v>3376</v>
      </c>
      <c r="M366" s="24" t="s">
        <v>5920</v>
      </c>
      <c r="N366" s="24" t="s">
        <v>5921</v>
      </c>
      <c r="O366" s="26"/>
      <c r="P366" s="24"/>
      <c r="Q366" s="24"/>
      <c r="R366" s="26"/>
      <c r="S366" s="26"/>
      <c r="T366" s="26"/>
      <c r="U366" s="24"/>
      <c r="V366" s="24"/>
      <c r="W366" s="24"/>
      <c r="X366" s="63"/>
      <c r="Y366" s="63"/>
      <c r="Z366" s="63"/>
      <c r="AA366" s="63"/>
      <c r="AB366" s="24"/>
      <c r="AC366" s="24"/>
    </row>
    <row r="367" spans="1:29" s="28" customFormat="1" x14ac:dyDescent="0.3">
      <c r="A367" s="27" t="s">
        <v>7065</v>
      </c>
      <c r="B367" s="27" t="s">
        <v>2273</v>
      </c>
      <c r="C367" s="29"/>
      <c r="D367" s="28" t="s">
        <v>4859</v>
      </c>
      <c r="E367" s="20" t="s">
        <v>439</v>
      </c>
      <c r="F367" s="20" t="s">
        <v>2464</v>
      </c>
      <c r="G367" s="27"/>
      <c r="H367" s="20"/>
      <c r="I367" s="29"/>
      <c r="J367" s="29"/>
      <c r="K367" s="27"/>
      <c r="L367" s="27"/>
      <c r="M367" s="27" t="s">
        <v>7066</v>
      </c>
      <c r="N367" s="27" t="s">
        <v>7067</v>
      </c>
      <c r="O367" s="29" t="s">
        <v>7068</v>
      </c>
      <c r="P367" s="27"/>
      <c r="Q367" s="27"/>
      <c r="R367" s="29"/>
      <c r="S367" s="29"/>
      <c r="T367" s="29"/>
      <c r="U367" s="27"/>
      <c r="V367" s="27"/>
      <c r="W367" s="27"/>
      <c r="X367" s="64"/>
      <c r="Y367" s="64"/>
      <c r="Z367" s="64"/>
      <c r="AA367" s="64"/>
      <c r="AB367" s="27"/>
      <c r="AC367" s="27"/>
    </row>
    <row r="368" spans="1:29" s="25" customFormat="1" x14ac:dyDescent="0.3">
      <c r="A368" s="24">
        <v>203</v>
      </c>
      <c r="B368" s="24" t="s">
        <v>2272</v>
      </c>
      <c r="C368" s="26">
        <v>141</v>
      </c>
      <c r="D368" s="25" t="s">
        <v>440</v>
      </c>
      <c r="E368" s="19" t="s">
        <v>441</v>
      </c>
      <c r="F368" s="19"/>
      <c r="G368" s="24"/>
      <c r="H368" s="19"/>
      <c r="I368" s="26" t="s">
        <v>89</v>
      </c>
      <c r="J368" s="26" t="s">
        <v>37</v>
      </c>
      <c r="K368" s="24"/>
      <c r="L368" s="24" t="s">
        <v>3379</v>
      </c>
      <c r="M368" s="24" t="s">
        <v>5922</v>
      </c>
      <c r="N368" s="24" t="s">
        <v>5923</v>
      </c>
      <c r="O368" s="26" t="s">
        <v>1775</v>
      </c>
      <c r="P368" s="24"/>
      <c r="Q368" s="24"/>
      <c r="R368" s="26"/>
      <c r="S368" s="26"/>
      <c r="T368" s="26"/>
      <c r="U368" s="24"/>
      <c r="V368" s="24"/>
      <c r="W368" s="24"/>
      <c r="X368" s="63"/>
      <c r="Y368" s="63"/>
      <c r="Z368" s="63"/>
      <c r="AA368" s="63"/>
      <c r="AB368" s="24"/>
      <c r="AC368" s="24"/>
    </row>
    <row r="369" spans="1:29" s="25" customFormat="1" x14ac:dyDescent="0.3">
      <c r="A369" s="24">
        <v>204</v>
      </c>
      <c r="B369" s="24" t="s">
        <v>2272</v>
      </c>
      <c r="C369" s="26">
        <v>141</v>
      </c>
      <c r="D369" s="25" t="s">
        <v>442</v>
      </c>
      <c r="E369" s="19" t="s">
        <v>443</v>
      </c>
      <c r="F369" s="19"/>
      <c r="G369" s="24"/>
      <c r="H369" s="19"/>
      <c r="I369" s="26" t="s">
        <v>89</v>
      </c>
      <c r="J369" s="26" t="s">
        <v>37</v>
      </c>
      <c r="K369" s="24"/>
      <c r="L369" s="24" t="s">
        <v>3381</v>
      </c>
      <c r="M369" s="24" t="s">
        <v>5925</v>
      </c>
      <c r="N369" s="24" t="s">
        <v>5926</v>
      </c>
      <c r="O369" s="26"/>
      <c r="P369" s="24"/>
      <c r="Q369" s="24"/>
      <c r="R369" s="26"/>
      <c r="S369" s="26"/>
      <c r="T369" s="26"/>
      <c r="U369" s="24"/>
      <c r="V369" s="24"/>
      <c r="W369" s="24"/>
      <c r="X369" s="63"/>
      <c r="Y369" s="63"/>
      <c r="Z369" s="63"/>
      <c r="AA369" s="63"/>
      <c r="AB369" s="24"/>
      <c r="AC369" s="24"/>
    </row>
    <row r="370" spans="1:29" s="28" customFormat="1" x14ac:dyDescent="0.3">
      <c r="A370" s="27" t="s">
        <v>7069</v>
      </c>
      <c r="B370" s="27" t="s">
        <v>2273</v>
      </c>
      <c r="C370" s="29"/>
      <c r="D370" s="28" t="s">
        <v>4860</v>
      </c>
      <c r="E370" s="20" t="s">
        <v>443</v>
      </c>
      <c r="F370" s="20" t="s">
        <v>2465</v>
      </c>
      <c r="G370" s="27"/>
      <c r="H370" s="20"/>
      <c r="I370" s="29"/>
      <c r="J370" s="29"/>
      <c r="K370" s="27"/>
      <c r="L370" s="27"/>
      <c r="M370" s="27" t="s">
        <v>7070</v>
      </c>
      <c r="N370" s="27" t="s">
        <v>7071</v>
      </c>
      <c r="O370" s="29" t="s">
        <v>7072</v>
      </c>
      <c r="P370" s="27"/>
      <c r="Q370" s="27"/>
      <c r="R370" s="29"/>
      <c r="S370" s="29"/>
      <c r="T370" s="29"/>
      <c r="U370" s="27"/>
      <c r="V370" s="27"/>
      <c r="W370" s="27"/>
      <c r="X370" s="64"/>
      <c r="Y370" s="64"/>
      <c r="Z370" s="64"/>
      <c r="AA370" s="64"/>
      <c r="AB370" s="27"/>
      <c r="AC370" s="27"/>
    </row>
    <row r="371" spans="1:29" s="25" customFormat="1" x14ac:dyDescent="0.3">
      <c r="A371" s="24">
        <v>205</v>
      </c>
      <c r="B371" s="24" t="s">
        <v>2272</v>
      </c>
      <c r="C371" s="26">
        <v>143</v>
      </c>
      <c r="D371" s="25" t="s">
        <v>444</v>
      </c>
      <c r="E371" s="19" t="s">
        <v>445</v>
      </c>
      <c r="F371" s="19"/>
      <c r="G371" s="24"/>
      <c r="H371" s="19"/>
      <c r="I371" s="26" t="s">
        <v>89</v>
      </c>
      <c r="J371" s="26" t="s">
        <v>37</v>
      </c>
      <c r="K371" s="24"/>
      <c r="L371" s="24" t="s">
        <v>3381</v>
      </c>
      <c r="M371" s="24" t="s">
        <v>5928</v>
      </c>
      <c r="N371" s="24" t="s">
        <v>5929</v>
      </c>
      <c r="O371" s="26" t="s">
        <v>1776</v>
      </c>
      <c r="P371" s="24"/>
      <c r="Q371" s="24"/>
      <c r="R371" s="26"/>
      <c r="S371" s="26"/>
      <c r="T371" s="26"/>
      <c r="U371" s="24"/>
      <c r="V371" s="24"/>
      <c r="W371" s="24"/>
      <c r="X371" s="63"/>
      <c r="Y371" s="63"/>
      <c r="Z371" s="63"/>
      <c r="AA371" s="63"/>
      <c r="AB371" s="24"/>
      <c r="AC371" s="24"/>
    </row>
    <row r="372" spans="1:29" s="25" customFormat="1" x14ac:dyDescent="0.3">
      <c r="A372" s="24">
        <v>206</v>
      </c>
      <c r="B372" s="24" t="s">
        <v>2272</v>
      </c>
      <c r="C372" s="26">
        <v>143</v>
      </c>
      <c r="D372" s="25" t="s">
        <v>446</v>
      </c>
      <c r="E372" s="19" t="s">
        <v>447</v>
      </c>
      <c r="F372" s="19"/>
      <c r="G372" s="24"/>
      <c r="H372" s="19"/>
      <c r="I372" s="26" t="s">
        <v>89</v>
      </c>
      <c r="J372" s="26" t="s">
        <v>37</v>
      </c>
      <c r="K372" s="24"/>
      <c r="L372" s="24" t="s">
        <v>3381</v>
      </c>
      <c r="M372" s="24" t="s">
        <v>5930</v>
      </c>
      <c r="N372" s="24" t="s">
        <v>5931</v>
      </c>
      <c r="O372" s="26" t="s">
        <v>1777</v>
      </c>
      <c r="P372" s="24"/>
      <c r="Q372" s="24"/>
      <c r="R372" s="26"/>
      <c r="S372" s="26"/>
      <c r="T372" s="26"/>
      <c r="U372" s="24"/>
      <c r="V372" s="24"/>
      <c r="W372" s="24"/>
      <c r="X372" s="63"/>
      <c r="Y372" s="63"/>
      <c r="Z372" s="63"/>
      <c r="AA372" s="63"/>
      <c r="AB372" s="24"/>
      <c r="AC372" s="24"/>
    </row>
    <row r="373" spans="1:29" s="25" customFormat="1" x14ac:dyDescent="0.3">
      <c r="A373" s="24">
        <v>207</v>
      </c>
      <c r="B373" s="24" t="s">
        <v>2272</v>
      </c>
      <c r="C373" s="26">
        <v>143</v>
      </c>
      <c r="D373" s="25" t="s">
        <v>448</v>
      </c>
      <c r="E373" s="19" t="s">
        <v>449</v>
      </c>
      <c r="F373" s="19"/>
      <c r="G373" s="24"/>
      <c r="H373" s="19"/>
      <c r="I373" s="26" t="s">
        <v>89</v>
      </c>
      <c r="J373" s="26" t="s">
        <v>37</v>
      </c>
      <c r="K373" s="24"/>
      <c r="L373" s="24" t="s">
        <v>3385</v>
      </c>
      <c r="M373" s="24" t="s">
        <v>5932</v>
      </c>
      <c r="N373" s="24" t="s">
        <v>5933</v>
      </c>
      <c r="O373" s="26" t="s">
        <v>1778</v>
      </c>
      <c r="P373" s="24" t="s">
        <v>6395</v>
      </c>
      <c r="Q373" s="24"/>
      <c r="R373" s="26"/>
      <c r="S373" s="26"/>
      <c r="T373" s="26"/>
      <c r="U373" s="24"/>
      <c r="V373" s="24"/>
      <c r="W373" s="24"/>
      <c r="X373" s="63"/>
      <c r="Y373" s="63"/>
      <c r="Z373" s="63"/>
      <c r="AA373" s="63"/>
      <c r="AB373" s="24"/>
      <c r="AC373" s="24"/>
    </row>
    <row r="374" spans="1:29" s="25" customFormat="1" x14ac:dyDescent="0.3">
      <c r="A374" s="24">
        <v>208</v>
      </c>
      <c r="B374" s="24" t="s">
        <v>2272</v>
      </c>
      <c r="C374" s="26">
        <v>143</v>
      </c>
      <c r="D374" s="25" t="s">
        <v>450</v>
      </c>
      <c r="E374" s="19" t="s">
        <v>451</v>
      </c>
      <c r="F374" s="19"/>
      <c r="G374" s="24"/>
      <c r="H374" s="19"/>
      <c r="I374" s="26" t="s">
        <v>89</v>
      </c>
      <c r="J374" s="26" t="s">
        <v>37</v>
      </c>
      <c r="K374" s="24"/>
      <c r="L374" s="24" t="s">
        <v>3350</v>
      </c>
      <c r="M374" s="24" t="s">
        <v>5934</v>
      </c>
      <c r="N374" s="24" t="s">
        <v>5935</v>
      </c>
      <c r="O374" s="26" t="s">
        <v>1779</v>
      </c>
      <c r="P374" s="24"/>
      <c r="Q374" s="24"/>
      <c r="R374" s="26"/>
      <c r="S374" s="26"/>
      <c r="T374" s="26"/>
      <c r="U374" s="24"/>
      <c r="V374" s="24"/>
      <c r="W374" s="24"/>
      <c r="X374" s="63"/>
      <c r="Y374" s="63"/>
      <c r="Z374" s="63"/>
      <c r="AA374" s="63"/>
      <c r="AB374" s="24"/>
      <c r="AC374" s="24"/>
    </row>
    <row r="375" spans="1:29" s="25" customFormat="1" x14ac:dyDescent="0.3">
      <c r="A375" s="24">
        <v>209</v>
      </c>
      <c r="B375" s="24" t="s">
        <v>2272</v>
      </c>
      <c r="C375" s="26">
        <v>145</v>
      </c>
      <c r="D375" s="25" t="s">
        <v>452</v>
      </c>
      <c r="E375" s="19" t="s">
        <v>453</v>
      </c>
      <c r="F375" s="19"/>
      <c r="G375" s="24"/>
      <c r="H375" s="19"/>
      <c r="I375" s="26" t="s">
        <v>89</v>
      </c>
      <c r="J375" s="26" t="s">
        <v>37</v>
      </c>
      <c r="K375" s="24"/>
      <c r="L375" s="24" t="s">
        <v>3388</v>
      </c>
      <c r="M375" s="24" t="s">
        <v>5936</v>
      </c>
      <c r="N375" s="24" t="s">
        <v>5937</v>
      </c>
      <c r="O375" s="26" t="s">
        <v>1780</v>
      </c>
      <c r="P375" s="24"/>
      <c r="Q375" s="24"/>
      <c r="R375" s="26"/>
      <c r="S375" s="26"/>
      <c r="T375" s="26"/>
      <c r="U375" s="24"/>
      <c r="V375" s="24"/>
      <c r="W375" s="24"/>
      <c r="X375" s="63"/>
      <c r="Y375" s="63"/>
      <c r="Z375" s="63"/>
      <c r="AA375" s="63"/>
      <c r="AB375" s="24"/>
      <c r="AC375" s="24"/>
    </row>
    <row r="376" spans="1:29" s="25" customFormat="1" x14ac:dyDescent="0.3">
      <c r="A376" s="24">
        <v>210</v>
      </c>
      <c r="B376" s="24" t="s">
        <v>2272</v>
      </c>
      <c r="C376" s="26">
        <v>145</v>
      </c>
      <c r="D376" s="25" t="s">
        <v>454</v>
      </c>
      <c r="E376" s="19" t="s">
        <v>455</v>
      </c>
      <c r="F376" s="19"/>
      <c r="G376" s="24"/>
      <c r="H376" s="19"/>
      <c r="I376" s="26" t="s">
        <v>89</v>
      </c>
      <c r="J376" s="26" t="s">
        <v>37</v>
      </c>
      <c r="K376" s="24"/>
      <c r="L376" s="24" t="s">
        <v>3390</v>
      </c>
      <c r="M376" s="24" t="s">
        <v>5938</v>
      </c>
      <c r="N376" s="24" t="s">
        <v>5939</v>
      </c>
      <c r="O376" s="26"/>
      <c r="P376" s="24"/>
      <c r="Q376" s="24"/>
      <c r="R376" s="26"/>
      <c r="S376" s="26"/>
      <c r="T376" s="26"/>
      <c r="U376" s="24"/>
      <c r="V376" s="24"/>
      <c r="W376" s="24"/>
      <c r="X376" s="63"/>
      <c r="Y376" s="63"/>
      <c r="Z376" s="63"/>
      <c r="AA376" s="63"/>
      <c r="AB376" s="24"/>
      <c r="AC376" s="24"/>
    </row>
    <row r="377" spans="1:29" s="28" customFormat="1" x14ac:dyDescent="0.3">
      <c r="A377" s="27" t="s">
        <v>7073</v>
      </c>
      <c r="B377" s="27" t="s">
        <v>2273</v>
      </c>
      <c r="C377" s="29"/>
      <c r="D377" s="28" t="s">
        <v>4861</v>
      </c>
      <c r="E377" s="20" t="s">
        <v>455</v>
      </c>
      <c r="F377" s="20" t="s">
        <v>2466</v>
      </c>
      <c r="G377" s="27"/>
      <c r="H377" s="20"/>
      <c r="I377" s="29"/>
      <c r="J377" s="29"/>
      <c r="K377" s="27"/>
      <c r="L377" s="27"/>
      <c r="M377" s="27" t="s">
        <v>7074</v>
      </c>
      <c r="N377" s="27" t="s">
        <v>7075</v>
      </c>
      <c r="O377" s="29" t="s">
        <v>7076</v>
      </c>
      <c r="P377" s="27"/>
      <c r="Q377" s="27"/>
      <c r="R377" s="29"/>
      <c r="S377" s="29"/>
      <c r="T377" s="29"/>
      <c r="U377" s="27"/>
      <c r="V377" s="27"/>
      <c r="W377" s="27"/>
      <c r="X377" s="64"/>
      <c r="Y377" s="64"/>
      <c r="Z377" s="64"/>
      <c r="AA377" s="64"/>
      <c r="AB377" s="27"/>
      <c r="AC377" s="27"/>
    </row>
    <row r="378" spans="1:29" s="25" customFormat="1" x14ac:dyDescent="0.3">
      <c r="A378" s="24">
        <v>211</v>
      </c>
      <c r="B378" s="24" t="s">
        <v>2272</v>
      </c>
      <c r="C378" s="26">
        <v>145</v>
      </c>
      <c r="D378" s="25" t="s">
        <v>456</v>
      </c>
      <c r="E378" s="19" t="s">
        <v>457</v>
      </c>
      <c r="F378" s="19"/>
      <c r="G378" s="24"/>
      <c r="H378" s="19"/>
      <c r="I378" s="26" t="s">
        <v>89</v>
      </c>
      <c r="J378" s="26" t="s">
        <v>5121</v>
      </c>
      <c r="K378" s="24"/>
      <c r="L378" s="24" t="s">
        <v>8555</v>
      </c>
      <c r="M378" s="24" t="s">
        <v>5940</v>
      </c>
      <c r="N378" s="24" t="s">
        <v>5941</v>
      </c>
      <c r="O378" s="26"/>
      <c r="P378" s="24" t="s">
        <v>6528</v>
      </c>
      <c r="Q378" s="24"/>
      <c r="R378" s="26"/>
      <c r="S378" s="26"/>
      <c r="T378" s="26"/>
      <c r="U378" s="24"/>
      <c r="V378" s="24"/>
      <c r="W378" s="24"/>
      <c r="X378" s="63"/>
      <c r="Y378" s="63"/>
      <c r="Z378" s="63"/>
      <c r="AA378" s="63"/>
      <c r="AB378" s="24"/>
      <c r="AC378" s="24"/>
    </row>
    <row r="379" spans="1:29" s="28" customFormat="1" x14ac:dyDescent="0.3">
      <c r="A379" s="27" t="s">
        <v>7077</v>
      </c>
      <c r="B379" s="27" t="s">
        <v>2273</v>
      </c>
      <c r="C379" s="29"/>
      <c r="D379" s="28" t="s">
        <v>4862</v>
      </c>
      <c r="E379" s="20" t="s">
        <v>457</v>
      </c>
      <c r="F379" s="20" t="s">
        <v>2468</v>
      </c>
      <c r="G379" s="27"/>
      <c r="H379" s="20"/>
      <c r="I379" s="29"/>
      <c r="J379" s="29"/>
      <c r="K379" s="27"/>
      <c r="L379" s="27"/>
      <c r="M379" s="27" t="s">
        <v>7078</v>
      </c>
      <c r="N379" s="27" t="s">
        <v>7079</v>
      </c>
      <c r="O379" s="29" t="s">
        <v>7080</v>
      </c>
      <c r="P379" s="27"/>
      <c r="Q379" s="27"/>
      <c r="R379" s="29"/>
      <c r="S379" s="29"/>
      <c r="T379" s="29"/>
      <c r="U379" s="27"/>
      <c r="V379" s="27"/>
      <c r="W379" s="27"/>
      <c r="X379" s="64"/>
      <c r="Y379" s="64"/>
      <c r="Z379" s="64"/>
      <c r="AA379" s="64"/>
      <c r="AB379" s="27"/>
      <c r="AC379" s="27"/>
    </row>
    <row r="380" spans="1:29" s="25" customFormat="1" x14ac:dyDescent="0.3">
      <c r="A380" s="24">
        <v>212</v>
      </c>
      <c r="B380" s="24" t="s">
        <v>2272</v>
      </c>
      <c r="C380" s="26">
        <v>145</v>
      </c>
      <c r="D380" s="25" t="s">
        <v>458</v>
      </c>
      <c r="E380" s="19" t="s">
        <v>459</v>
      </c>
      <c r="F380" s="19"/>
      <c r="G380" s="24"/>
      <c r="H380" s="19"/>
      <c r="I380" s="26" t="s">
        <v>49</v>
      </c>
      <c r="J380" s="26" t="s">
        <v>5121</v>
      </c>
      <c r="K380" s="24" t="s">
        <v>49</v>
      </c>
      <c r="L380" s="24" t="s">
        <v>8556</v>
      </c>
      <c r="M380" s="24" t="s">
        <v>5942</v>
      </c>
      <c r="N380" s="24" t="s">
        <v>5943</v>
      </c>
      <c r="O380" s="26" t="s">
        <v>1782</v>
      </c>
      <c r="P380" s="24" t="s">
        <v>6529</v>
      </c>
      <c r="Q380" s="24"/>
      <c r="R380" s="26"/>
      <c r="S380" s="26"/>
      <c r="T380" s="26"/>
      <c r="U380" s="24"/>
      <c r="V380" s="24"/>
      <c r="W380" s="24"/>
      <c r="X380" s="63"/>
      <c r="Y380" s="63"/>
      <c r="Z380" s="63"/>
      <c r="AA380" s="63"/>
      <c r="AB380" s="24"/>
      <c r="AC380" s="24"/>
    </row>
    <row r="381" spans="1:29" s="25" customFormat="1" x14ac:dyDescent="0.3">
      <c r="A381" s="24">
        <v>213</v>
      </c>
      <c r="B381" s="24" t="s">
        <v>2272</v>
      </c>
      <c r="C381" s="26">
        <v>147</v>
      </c>
      <c r="D381" s="25" t="s">
        <v>460</v>
      </c>
      <c r="E381" s="19" t="s">
        <v>461</v>
      </c>
      <c r="F381" s="19"/>
      <c r="G381" s="24"/>
      <c r="H381" s="19"/>
      <c r="I381" s="26" t="s">
        <v>49</v>
      </c>
      <c r="J381" s="26" t="s">
        <v>5121</v>
      </c>
      <c r="K381" s="24" t="s">
        <v>49</v>
      </c>
      <c r="L381" s="24" t="s">
        <v>3083</v>
      </c>
      <c r="M381" s="24" t="s">
        <v>5944</v>
      </c>
      <c r="N381" s="24" t="s">
        <v>5945</v>
      </c>
      <c r="O381" s="26" t="s">
        <v>1783</v>
      </c>
      <c r="P381" s="24" t="s">
        <v>6396</v>
      </c>
      <c r="Q381" s="24"/>
      <c r="R381" s="26"/>
      <c r="S381" s="26"/>
      <c r="T381" s="26"/>
      <c r="U381" s="24"/>
      <c r="V381" s="24"/>
      <c r="W381" s="24"/>
      <c r="X381" s="63"/>
      <c r="Y381" s="63"/>
      <c r="Z381" s="63"/>
      <c r="AA381" s="63"/>
      <c r="AB381" s="24"/>
      <c r="AC381" s="24"/>
    </row>
    <row r="382" spans="1:29" s="25" customFormat="1" x14ac:dyDescent="0.3">
      <c r="A382" s="24">
        <v>214</v>
      </c>
      <c r="B382" s="24" t="s">
        <v>2272</v>
      </c>
      <c r="C382" s="26">
        <v>159</v>
      </c>
      <c r="D382" s="25" t="s">
        <v>503</v>
      </c>
      <c r="E382" s="19" t="s">
        <v>504</v>
      </c>
      <c r="F382" s="19"/>
      <c r="G382" s="24"/>
      <c r="H382" s="19"/>
      <c r="I382" s="26" t="s">
        <v>346</v>
      </c>
      <c r="J382" s="26" t="s">
        <v>37</v>
      </c>
      <c r="K382" s="24"/>
      <c r="L382" s="24" t="s">
        <v>3428</v>
      </c>
      <c r="M382" s="24" t="s">
        <v>5987</v>
      </c>
      <c r="N382" s="24" t="s">
        <v>5988</v>
      </c>
      <c r="O382" s="26" t="s">
        <v>1806</v>
      </c>
      <c r="P382" s="24"/>
      <c r="Q382" s="24"/>
      <c r="R382" s="26"/>
      <c r="S382" s="26"/>
      <c r="T382" s="26"/>
      <c r="U382" s="24"/>
      <c r="V382" s="24"/>
      <c r="W382" s="24"/>
      <c r="X382" s="63"/>
      <c r="Y382" s="63"/>
      <c r="Z382" s="63"/>
      <c r="AA382" s="63"/>
      <c r="AB382" s="24"/>
      <c r="AC382" s="24"/>
    </row>
    <row r="383" spans="1:29" s="25" customFormat="1" x14ac:dyDescent="0.3">
      <c r="A383" s="24">
        <v>215</v>
      </c>
      <c r="B383" s="24" t="s">
        <v>2272</v>
      </c>
      <c r="C383" s="26">
        <v>161</v>
      </c>
      <c r="D383" s="25" t="s">
        <v>510</v>
      </c>
      <c r="E383" s="19" t="s">
        <v>511</v>
      </c>
      <c r="F383" s="19"/>
      <c r="G383" s="24" t="s">
        <v>1808</v>
      </c>
      <c r="H383" s="19"/>
      <c r="I383" s="26" t="s">
        <v>49</v>
      </c>
      <c r="J383" s="26" t="s">
        <v>5121</v>
      </c>
      <c r="K383" s="24" t="s">
        <v>49</v>
      </c>
      <c r="L383" s="24" t="s">
        <v>3434</v>
      </c>
      <c r="M383" s="24" t="s">
        <v>5344</v>
      </c>
      <c r="N383" s="24" t="s">
        <v>5345</v>
      </c>
      <c r="O383" s="26"/>
      <c r="P383" s="24" t="s">
        <v>6403</v>
      </c>
      <c r="Q383" s="24"/>
      <c r="R383" s="26"/>
      <c r="S383" s="26"/>
      <c r="T383" s="26"/>
      <c r="U383" s="24"/>
      <c r="V383" s="24"/>
      <c r="W383" s="24"/>
      <c r="X383" s="63"/>
      <c r="Y383" s="63"/>
      <c r="Z383" s="63"/>
      <c r="AA383" s="63"/>
      <c r="AB383" s="24"/>
      <c r="AC383" s="24"/>
    </row>
    <row r="384" spans="1:29" s="28" customFormat="1" x14ac:dyDescent="0.3">
      <c r="A384" s="27" t="s">
        <v>7081</v>
      </c>
      <c r="B384" s="27" t="s">
        <v>2273</v>
      </c>
      <c r="C384" s="29"/>
      <c r="D384" s="28" t="s">
        <v>4867</v>
      </c>
      <c r="E384" s="20" t="s">
        <v>511</v>
      </c>
      <c r="F384" s="20" t="s">
        <v>2473</v>
      </c>
      <c r="G384" s="27"/>
      <c r="H384" s="20"/>
      <c r="I384" s="29"/>
      <c r="J384" s="29"/>
      <c r="K384" s="27"/>
      <c r="L384" s="27"/>
      <c r="M384" s="27" t="s">
        <v>7082</v>
      </c>
      <c r="N384" s="27"/>
      <c r="O384" s="29" t="s">
        <v>7083</v>
      </c>
      <c r="P384" s="27"/>
      <c r="Q384" s="27"/>
      <c r="R384" s="29"/>
      <c r="S384" s="29"/>
      <c r="T384" s="29"/>
      <c r="U384" s="27"/>
      <c r="V384" s="27"/>
      <c r="W384" s="27"/>
      <c r="X384" s="64"/>
      <c r="Y384" s="64"/>
      <c r="Z384" s="64"/>
      <c r="AA384" s="64"/>
      <c r="AB384" s="27"/>
      <c r="AC384" s="27"/>
    </row>
    <row r="385" spans="1:29" s="25" customFormat="1" x14ac:dyDescent="0.3">
      <c r="A385" s="24">
        <v>216</v>
      </c>
      <c r="B385" s="24" t="s">
        <v>2272</v>
      </c>
      <c r="C385" s="26">
        <v>159</v>
      </c>
      <c r="D385" s="25" t="s">
        <v>506</v>
      </c>
      <c r="E385" s="19" t="s">
        <v>507</v>
      </c>
      <c r="F385" s="19"/>
      <c r="G385" s="24"/>
      <c r="H385" s="19"/>
      <c r="I385" s="26" t="s">
        <v>37</v>
      </c>
      <c r="J385" s="26" t="s">
        <v>37</v>
      </c>
      <c r="K385" s="24"/>
      <c r="L385" s="24" t="s">
        <v>3430</v>
      </c>
      <c r="M385" s="24" t="s">
        <v>5989</v>
      </c>
      <c r="N385" s="24"/>
      <c r="O385" s="26"/>
      <c r="P385" s="24"/>
      <c r="Q385" s="24"/>
      <c r="R385" s="26"/>
      <c r="S385" s="26"/>
      <c r="T385" s="26"/>
      <c r="U385" s="24"/>
      <c r="V385" s="24"/>
      <c r="W385" s="24"/>
      <c r="X385" s="63"/>
      <c r="Y385" s="63"/>
      <c r="Z385" s="63"/>
      <c r="AA385" s="63"/>
      <c r="AB385" s="24"/>
      <c r="AC385" s="24"/>
    </row>
    <row r="386" spans="1:29" s="28" customFormat="1" x14ac:dyDescent="0.3">
      <c r="A386" s="27" t="s">
        <v>7084</v>
      </c>
      <c r="B386" s="27" t="s">
        <v>2273</v>
      </c>
      <c r="C386" s="29"/>
      <c r="D386" s="28" t="s">
        <v>4865</v>
      </c>
      <c r="E386" s="20" t="s">
        <v>507</v>
      </c>
      <c r="F386" s="20" t="s">
        <v>2471</v>
      </c>
      <c r="G386" s="27"/>
      <c r="H386" s="20"/>
      <c r="I386" s="29"/>
      <c r="J386" s="29"/>
      <c r="K386" s="27"/>
      <c r="L386" s="27"/>
      <c r="M386" s="27" t="s">
        <v>7085</v>
      </c>
      <c r="N386" s="27"/>
      <c r="O386" s="29" t="s">
        <v>7086</v>
      </c>
      <c r="P386" s="27"/>
      <c r="Q386" s="27"/>
      <c r="R386" s="29"/>
      <c r="S386" s="29"/>
      <c r="T386" s="29"/>
      <c r="U386" s="27"/>
      <c r="V386" s="27"/>
      <c r="W386" s="27"/>
      <c r="X386" s="64"/>
      <c r="Y386" s="64"/>
      <c r="Z386" s="64"/>
      <c r="AA386" s="64"/>
      <c r="AB386" s="27"/>
      <c r="AC386" s="27"/>
    </row>
    <row r="387" spans="1:29" s="25" customFormat="1" x14ac:dyDescent="0.3">
      <c r="A387" s="24">
        <v>217</v>
      </c>
      <c r="B387" s="24" t="s">
        <v>2272</v>
      </c>
      <c r="C387" s="26">
        <v>159</v>
      </c>
      <c r="D387" s="25" t="s">
        <v>508</v>
      </c>
      <c r="E387" s="19" t="s">
        <v>509</v>
      </c>
      <c r="F387" s="19"/>
      <c r="G387" s="24"/>
      <c r="H387" s="19"/>
      <c r="I387" s="26" t="s">
        <v>37</v>
      </c>
      <c r="J387" s="26" t="s">
        <v>37</v>
      </c>
      <c r="K387" s="24"/>
      <c r="L387" s="24" t="s">
        <v>3432</v>
      </c>
      <c r="M387" s="24" t="s">
        <v>5343</v>
      </c>
      <c r="N387" s="24"/>
      <c r="O387" s="26"/>
      <c r="P387" s="24"/>
      <c r="Q387" s="24"/>
      <c r="R387" s="26"/>
      <c r="S387" s="26"/>
      <c r="T387" s="26"/>
      <c r="U387" s="24"/>
      <c r="V387" s="24"/>
      <c r="W387" s="24"/>
      <c r="X387" s="63"/>
      <c r="Y387" s="63"/>
      <c r="Z387" s="63"/>
      <c r="AA387" s="63"/>
      <c r="AB387" s="24"/>
      <c r="AC387" s="24"/>
    </row>
    <row r="388" spans="1:29" s="28" customFormat="1" x14ac:dyDescent="0.3">
      <c r="A388" s="27" t="s">
        <v>7087</v>
      </c>
      <c r="B388" s="27" t="s">
        <v>2273</v>
      </c>
      <c r="C388" s="29"/>
      <c r="D388" s="28" t="s">
        <v>4866</v>
      </c>
      <c r="E388" s="20" t="s">
        <v>509</v>
      </c>
      <c r="F388" s="20" t="s">
        <v>2472</v>
      </c>
      <c r="G388" s="27"/>
      <c r="H388" s="20"/>
      <c r="I388" s="29"/>
      <c r="J388" s="29"/>
      <c r="K388" s="27"/>
      <c r="L388" s="27"/>
      <c r="M388" s="27" t="s">
        <v>7088</v>
      </c>
      <c r="N388" s="27"/>
      <c r="O388" s="29" t="s">
        <v>7089</v>
      </c>
      <c r="P388" s="27"/>
      <c r="Q388" s="27"/>
      <c r="R388" s="29"/>
      <c r="S388" s="29"/>
      <c r="T388" s="29"/>
      <c r="U388" s="27"/>
      <c r="V388" s="27"/>
      <c r="W388" s="27"/>
      <c r="X388" s="64"/>
      <c r="Y388" s="64"/>
      <c r="Z388" s="64"/>
      <c r="AA388" s="64"/>
      <c r="AB388" s="27"/>
      <c r="AC388" s="27"/>
    </row>
    <row r="389" spans="1:29" s="25" customFormat="1" x14ac:dyDescent="0.3">
      <c r="A389" s="24">
        <v>218</v>
      </c>
      <c r="B389" s="24" t="s">
        <v>2272</v>
      </c>
      <c r="C389" s="26">
        <v>165</v>
      </c>
      <c r="D389" s="25" t="s">
        <v>539</v>
      </c>
      <c r="E389" s="19" t="s">
        <v>540</v>
      </c>
      <c r="F389" s="19"/>
      <c r="G389" s="24"/>
      <c r="H389" s="19"/>
      <c r="I389" s="26" t="s">
        <v>49</v>
      </c>
      <c r="J389" s="26" t="s">
        <v>5121</v>
      </c>
      <c r="K389" s="24" t="s">
        <v>49</v>
      </c>
      <c r="L389" s="24" t="s">
        <v>8557</v>
      </c>
      <c r="M389" s="24" t="s">
        <v>5368</v>
      </c>
      <c r="N389" s="24" t="s">
        <v>5369</v>
      </c>
      <c r="O389" s="26" t="s">
        <v>1824</v>
      </c>
      <c r="P389" s="24" t="s">
        <v>6530</v>
      </c>
      <c r="Q389" s="24"/>
      <c r="R389" s="26"/>
      <c r="S389" s="26"/>
      <c r="T389" s="26"/>
      <c r="U389" s="24"/>
      <c r="V389" s="24"/>
      <c r="W389" s="24"/>
      <c r="X389" s="63"/>
      <c r="Y389" s="63"/>
      <c r="Z389" s="63"/>
      <c r="AA389" s="63"/>
      <c r="AB389" s="24"/>
      <c r="AC389" s="24"/>
    </row>
    <row r="390" spans="1:29" s="25" customFormat="1" x14ac:dyDescent="0.3">
      <c r="A390" s="24">
        <v>219</v>
      </c>
      <c r="B390" s="24" t="s">
        <v>2272</v>
      </c>
      <c r="C390" s="26">
        <v>165</v>
      </c>
      <c r="D390" s="25" t="s">
        <v>543</v>
      </c>
      <c r="E390" s="19" t="s">
        <v>544</v>
      </c>
      <c r="F390" s="19"/>
      <c r="G390" s="24"/>
      <c r="H390" s="19"/>
      <c r="I390" s="26" t="s">
        <v>346</v>
      </c>
      <c r="J390" s="26" t="s">
        <v>37</v>
      </c>
      <c r="K390" s="24"/>
      <c r="L390" s="24" t="s">
        <v>3460</v>
      </c>
      <c r="M390" s="24" t="s">
        <v>5371</v>
      </c>
      <c r="N390" s="24"/>
      <c r="O390" s="26"/>
      <c r="P390" s="24"/>
      <c r="Q390" s="24"/>
      <c r="R390" s="26"/>
      <c r="S390" s="26"/>
      <c r="T390" s="26"/>
      <c r="U390" s="24"/>
      <c r="V390" s="24"/>
      <c r="W390" s="24"/>
      <c r="X390" s="63"/>
      <c r="Y390" s="63"/>
      <c r="Z390" s="63"/>
      <c r="AA390" s="63"/>
      <c r="AB390" s="24"/>
      <c r="AC390" s="24"/>
    </row>
    <row r="391" spans="1:29" s="28" customFormat="1" x14ac:dyDescent="0.3">
      <c r="A391" s="27" t="s">
        <v>7090</v>
      </c>
      <c r="B391" s="27" t="s">
        <v>2273</v>
      </c>
      <c r="C391" s="29"/>
      <c r="D391" s="28" t="s">
        <v>4875</v>
      </c>
      <c r="E391" s="20" t="s">
        <v>544</v>
      </c>
      <c r="F391" s="20" t="s">
        <v>2482</v>
      </c>
      <c r="G391" s="27"/>
      <c r="H391" s="20"/>
      <c r="I391" s="29"/>
      <c r="J391" s="29"/>
      <c r="K391" s="27"/>
      <c r="L391" s="27"/>
      <c r="M391" s="27" t="s">
        <v>7091</v>
      </c>
      <c r="N391" s="27"/>
      <c r="O391" s="29" t="s">
        <v>7092</v>
      </c>
      <c r="P391" s="27"/>
      <c r="Q391" s="27"/>
      <c r="R391" s="29"/>
      <c r="S391" s="29"/>
      <c r="T391" s="29"/>
      <c r="U391" s="27"/>
      <c r="V391" s="27"/>
      <c r="W391" s="27"/>
      <c r="X391" s="64"/>
      <c r="Y391" s="64"/>
      <c r="Z391" s="64"/>
      <c r="AA391" s="64"/>
      <c r="AB391" s="27"/>
      <c r="AC391" s="27"/>
    </row>
    <row r="392" spans="1:29" s="28" customFormat="1" x14ac:dyDescent="0.3">
      <c r="A392" s="27" t="s">
        <v>7093</v>
      </c>
      <c r="B392" s="27" t="s">
        <v>2273</v>
      </c>
      <c r="C392" s="29"/>
      <c r="D392" s="28" t="s">
        <v>4875</v>
      </c>
      <c r="E392" s="20" t="s">
        <v>544</v>
      </c>
      <c r="F392" s="20" t="s">
        <v>2347</v>
      </c>
      <c r="G392" s="27"/>
      <c r="H392" s="20"/>
      <c r="I392" s="29"/>
      <c r="J392" s="29"/>
      <c r="K392" s="27"/>
      <c r="L392" s="27"/>
      <c r="M392" s="27" t="s">
        <v>7094</v>
      </c>
      <c r="N392" s="27"/>
      <c r="O392" s="29" t="s">
        <v>7095</v>
      </c>
      <c r="P392" s="27"/>
      <c r="Q392" s="27"/>
      <c r="R392" s="29"/>
      <c r="S392" s="29"/>
      <c r="T392" s="29"/>
      <c r="U392" s="27"/>
      <c r="V392" s="27"/>
      <c r="W392" s="27"/>
      <c r="X392" s="64"/>
      <c r="Y392" s="64"/>
      <c r="Z392" s="64"/>
      <c r="AA392" s="64"/>
      <c r="AB392" s="27"/>
      <c r="AC392" s="27"/>
    </row>
    <row r="393" spans="1:29" s="28" customFormat="1" x14ac:dyDescent="0.3">
      <c r="A393" s="27" t="s">
        <v>7096</v>
      </c>
      <c r="B393" s="27" t="s">
        <v>2273</v>
      </c>
      <c r="C393" s="29"/>
      <c r="D393" s="28" t="s">
        <v>4875</v>
      </c>
      <c r="E393" s="20" t="s">
        <v>544</v>
      </c>
      <c r="F393" s="20" t="s">
        <v>2483</v>
      </c>
      <c r="G393" s="27"/>
      <c r="H393" s="20"/>
      <c r="I393" s="29"/>
      <c r="J393" s="29"/>
      <c r="K393" s="27"/>
      <c r="L393" s="27"/>
      <c r="M393" s="27" t="s">
        <v>7097</v>
      </c>
      <c r="N393" s="27"/>
      <c r="O393" s="29" t="s">
        <v>7098</v>
      </c>
      <c r="P393" s="27"/>
      <c r="Q393" s="27"/>
      <c r="R393" s="29"/>
      <c r="S393" s="29"/>
      <c r="T393" s="29"/>
      <c r="U393" s="27"/>
      <c r="V393" s="27"/>
      <c r="W393" s="27"/>
      <c r="X393" s="64"/>
      <c r="Y393" s="64"/>
      <c r="Z393" s="64"/>
      <c r="AA393" s="64"/>
      <c r="AB393" s="27"/>
      <c r="AC393" s="27"/>
    </row>
    <row r="394" spans="1:29" s="25" customFormat="1" x14ac:dyDescent="0.3">
      <c r="A394" s="24">
        <v>220</v>
      </c>
      <c r="B394" s="24" t="s">
        <v>2272</v>
      </c>
      <c r="C394" s="26">
        <v>165</v>
      </c>
      <c r="D394" s="25" t="s">
        <v>541</v>
      </c>
      <c r="E394" s="19" t="s">
        <v>542</v>
      </c>
      <c r="F394" s="19"/>
      <c r="G394" s="24"/>
      <c r="H394" s="19"/>
      <c r="I394" s="26" t="s">
        <v>346</v>
      </c>
      <c r="J394" s="26" t="s">
        <v>37</v>
      </c>
      <c r="K394" s="24"/>
      <c r="L394" s="24" t="s">
        <v>6474</v>
      </c>
      <c r="M394" s="24" t="s">
        <v>5370</v>
      </c>
      <c r="N394" s="24"/>
      <c r="O394" s="26"/>
      <c r="P394" s="24"/>
      <c r="Q394" s="24"/>
      <c r="R394" s="26"/>
      <c r="S394" s="26"/>
      <c r="T394" s="26"/>
      <c r="U394" s="24"/>
      <c r="V394" s="24"/>
      <c r="W394" s="24"/>
      <c r="X394" s="63"/>
      <c r="Y394" s="63"/>
      <c r="Z394" s="63"/>
      <c r="AA394" s="63"/>
      <c r="AB394" s="24"/>
      <c r="AC394" s="24"/>
    </row>
    <row r="395" spans="1:29" s="28" customFormat="1" x14ac:dyDescent="0.3">
      <c r="A395" s="27" t="s">
        <v>7099</v>
      </c>
      <c r="B395" s="27" t="s">
        <v>2273</v>
      </c>
      <c r="C395" s="29"/>
      <c r="D395" s="28" t="s">
        <v>4874</v>
      </c>
      <c r="E395" s="20" t="s">
        <v>542</v>
      </c>
      <c r="F395" s="20" t="s">
        <v>2480</v>
      </c>
      <c r="G395" s="27"/>
      <c r="H395" s="20"/>
      <c r="I395" s="29"/>
      <c r="J395" s="29"/>
      <c r="K395" s="27"/>
      <c r="L395" s="27"/>
      <c r="M395" s="27" t="s">
        <v>7100</v>
      </c>
      <c r="N395" s="27"/>
      <c r="O395" s="29" t="s">
        <v>7101</v>
      </c>
      <c r="P395" s="27"/>
      <c r="Q395" s="27"/>
      <c r="R395" s="29"/>
      <c r="S395" s="29"/>
      <c r="T395" s="29"/>
      <c r="U395" s="27"/>
      <c r="V395" s="27"/>
      <c r="W395" s="27"/>
      <c r="X395" s="64"/>
      <c r="Y395" s="64"/>
      <c r="Z395" s="64"/>
      <c r="AA395" s="64"/>
      <c r="AB395" s="27"/>
      <c r="AC395" s="27"/>
    </row>
    <row r="396" spans="1:29" s="25" customFormat="1" x14ac:dyDescent="0.3">
      <c r="A396" s="24">
        <v>221</v>
      </c>
      <c r="B396" s="24" t="s">
        <v>2272</v>
      </c>
      <c r="C396" s="26">
        <v>167</v>
      </c>
      <c r="D396" s="25" t="s">
        <v>537</v>
      </c>
      <c r="E396" s="19" t="s">
        <v>538</v>
      </c>
      <c r="F396" s="19"/>
      <c r="G396" s="24"/>
      <c r="H396" s="19"/>
      <c r="I396" s="26" t="s">
        <v>89</v>
      </c>
      <c r="J396" s="26" t="s">
        <v>37</v>
      </c>
      <c r="K396" s="24"/>
      <c r="L396" s="24" t="s">
        <v>3456</v>
      </c>
      <c r="M396" s="24" t="s">
        <v>6001</v>
      </c>
      <c r="N396" s="24"/>
      <c r="O396" s="26"/>
      <c r="P396" s="24"/>
      <c r="Q396" s="24"/>
      <c r="R396" s="26"/>
      <c r="S396" s="26"/>
      <c r="T396" s="26"/>
      <c r="U396" s="24"/>
      <c r="V396" s="24"/>
      <c r="W396" s="24"/>
      <c r="X396" s="63"/>
      <c r="Y396" s="63"/>
      <c r="Z396" s="63"/>
      <c r="AA396" s="63"/>
      <c r="AB396" s="24"/>
      <c r="AC396" s="24"/>
    </row>
    <row r="397" spans="1:29" s="28" customFormat="1" x14ac:dyDescent="0.3">
      <c r="A397" s="27" t="s">
        <v>7102</v>
      </c>
      <c r="B397" s="27" t="s">
        <v>2273</v>
      </c>
      <c r="C397" s="29"/>
      <c r="D397" s="28" t="s">
        <v>4873</v>
      </c>
      <c r="E397" s="20" t="s">
        <v>538</v>
      </c>
      <c r="F397" s="20" t="s">
        <v>2332</v>
      </c>
      <c r="G397" s="27"/>
      <c r="H397" s="20"/>
      <c r="I397" s="29"/>
      <c r="J397" s="29"/>
      <c r="K397" s="27"/>
      <c r="L397" s="27"/>
      <c r="M397" s="27" t="s">
        <v>7103</v>
      </c>
      <c r="N397" s="27" t="s">
        <v>7104</v>
      </c>
      <c r="O397" s="29" t="s">
        <v>7105</v>
      </c>
      <c r="P397" s="27"/>
      <c r="Q397" s="27"/>
      <c r="R397" s="29"/>
      <c r="S397" s="29"/>
      <c r="T397" s="29"/>
      <c r="U397" s="27"/>
      <c r="V397" s="27"/>
      <c r="W397" s="27"/>
      <c r="X397" s="64"/>
      <c r="Y397" s="64"/>
      <c r="Z397" s="64"/>
      <c r="AA397" s="64"/>
      <c r="AB397" s="27"/>
      <c r="AC397" s="27"/>
    </row>
    <row r="398" spans="1:29" s="25" customFormat="1" x14ac:dyDescent="0.3">
      <c r="A398" s="24">
        <v>222</v>
      </c>
      <c r="B398" s="24" t="s">
        <v>2272</v>
      </c>
      <c r="C398" s="26">
        <v>167</v>
      </c>
      <c r="D398" s="25" t="s">
        <v>529</v>
      </c>
      <c r="E398" s="19" t="s">
        <v>530</v>
      </c>
      <c r="F398" s="19"/>
      <c r="G398" s="24" t="s">
        <v>1820</v>
      </c>
      <c r="H398" s="19"/>
      <c r="I398" s="26" t="s">
        <v>89</v>
      </c>
      <c r="J398" s="26" t="s">
        <v>37</v>
      </c>
      <c r="K398" s="24"/>
      <c r="L398" s="24" t="s">
        <v>3450</v>
      </c>
      <c r="M398" s="24" t="s">
        <v>5993</v>
      </c>
      <c r="N398" s="24" t="s">
        <v>5365</v>
      </c>
      <c r="O398" s="26"/>
      <c r="P398" s="24" t="s">
        <v>9</v>
      </c>
      <c r="Q398" s="24"/>
      <c r="R398" s="26"/>
      <c r="S398" s="26"/>
      <c r="T398" s="26"/>
      <c r="U398" s="24"/>
      <c r="V398" s="24"/>
      <c r="W398" s="24"/>
      <c r="X398" s="63"/>
      <c r="Y398" s="63"/>
      <c r="Z398" s="63"/>
      <c r="AA398" s="63"/>
      <c r="AB398" s="24"/>
      <c r="AC398" s="24"/>
    </row>
    <row r="399" spans="1:29" s="28" customFormat="1" x14ac:dyDescent="0.3">
      <c r="A399" s="27" t="s">
        <v>7106</v>
      </c>
      <c r="B399" s="27" t="s">
        <v>2273</v>
      </c>
      <c r="C399" s="29"/>
      <c r="D399" s="28" t="s">
        <v>4871</v>
      </c>
      <c r="E399" s="20" t="s">
        <v>530</v>
      </c>
      <c r="F399" s="20" t="s">
        <v>2302</v>
      </c>
      <c r="G399" s="27"/>
      <c r="H399" s="20"/>
      <c r="I399" s="29"/>
      <c r="J399" s="29"/>
      <c r="K399" s="27"/>
      <c r="L399" s="27"/>
      <c r="M399" s="27" t="s">
        <v>7107</v>
      </c>
      <c r="N399" s="27" t="s">
        <v>7108</v>
      </c>
      <c r="O399" s="29" t="s">
        <v>7109</v>
      </c>
      <c r="P399" s="27"/>
      <c r="Q399" s="27"/>
      <c r="R399" s="29"/>
      <c r="S399" s="29"/>
      <c r="T399" s="29"/>
      <c r="U399" s="27"/>
      <c r="V399" s="27"/>
      <c r="W399" s="27"/>
      <c r="X399" s="64"/>
      <c r="Y399" s="64"/>
      <c r="Z399" s="64"/>
      <c r="AA399" s="64"/>
      <c r="AB399" s="27"/>
      <c r="AC399" s="27"/>
    </row>
    <row r="400" spans="1:29" s="25" customFormat="1" x14ac:dyDescent="0.3">
      <c r="A400" s="24">
        <v>223</v>
      </c>
      <c r="B400" s="24" t="s">
        <v>2272</v>
      </c>
      <c r="C400" s="26">
        <v>167</v>
      </c>
      <c r="D400" s="25" t="s">
        <v>531</v>
      </c>
      <c r="E400" s="19" t="s">
        <v>532</v>
      </c>
      <c r="F400" s="19"/>
      <c r="G400" s="24"/>
      <c r="H400" s="19"/>
      <c r="I400" s="26" t="s">
        <v>89</v>
      </c>
      <c r="J400" s="26" t="s">
        <v>37</v>
      </c>
      <c r="K400" s="24"/>
      <c r="L400" s="24" t="s">
        <v>8558</v>
      </c>
      <c r="M400" s="24" t="s">
        <v>5994</v>
      </c>
      <c r="N400" s="24" t="s">
        <v>5366</v>
      </c>
      <c r="O400" s="26" t="s">
        <v>1821</v>
      </c>
      <c r="P400" s="24" t="s">
        <v>6412</v>
      </c>
      <c r="Q400" s="24"/>
      <c r="R400" s="26"/>
      <c r="S400" s="26"/>
      <c r="T400" s="26"/>
      <c r="U400" s="24"/>
      <c r="V400" s="24"/>
      <c r="W400" s="24"/>
      <c r="X400" s="63"/>
      <c r="Y400" s="63"/>
      <c r="Z400" s="63"/>
      <c r="AA400" s="63"/>
      <c r="AB400" s="24"/>
      <c r="AC400" s="24"/>
    </row>
    <row r="401" spans="1:29" s="25" customFormat="1" x14ac:dyDescent="0.3">
      <c r="A401" s="24">
        <v>224</v>
      </c>
      <c r="B401" s="24" t="s">
        <v>2272</v>
      </c>
      <c r="C401" s="26">
        <v>167</v>
      </c>
      <c r="D401" s="25" t="s">
        <v>551</v>
      </c>
      <c r="E401" s="19" t="s">
        <v>552</v>
      </c>
      <c r="F401" s="19"/>
      <c r="G401" s="24"/>
      <c r="H401" s="19"/>
      <c r="I401" s="26" t="s">
        <v>89</v>
      </c>
      <c r="J401" s="26" t="s">
        <v>37</v>
      </c>
      <c r="K401" s="24"/>
      <c r="L401" s="24" t="s">
        <v>3467</v>
      </c>
      <c r="M401" s="24" t="s">
        <v>5375</v>
      </c>
      <c r="N401" s="24" t="s">
        <v>5376</v>
      </c>
      <c r="O401" s="26"/>
      <c r="P401" s="24"/>
      <c r="Q401" s="24"/>
      <c r="R401" s="26"/>
      <c r="S401" s="26"/>
      <c r="T401" s="26"/>
      <c r="U401" s="24"/>
      <c r="V401" s="24"/>
      <c r="W401" s="24"/>
      <c r="X401" s="63"/>
      <c r="Y401" s="63"/>
      <c r="Z401" s="63"/>
      <c r="AA401" s="63"/>
      <c r="AB401" s="24"/>
      <c r="AC401" s="24"/>
    </row>
    <row r="402" spans="1:29" s="28" customFormat="1" x14ac:dyDescent="0.3">
      <c r="A402" s="27" t="s">
        <v>7110</v>
      </c>
      <c r="B402" s="27" t="s">
        <v>2273</v>
      </c>
      <c r="C402" s="29"/>
      <c r="D402" s="28" t="s">
        <v>4879</v>
      </c>
      <c r="E402" s="20" t="s">
        <v>552</v>
      </c>
      <c r="F402" s="20" t="s">
        <v>2488</v>
      </c>
      <c r="G402" s="27"/>
      <c r="H402" s="20"/>
      <c r="I402" s="29"/>
      <c r="J402" s="29"/>
      <c r="K402" s="27"/>
      <c r="L402" s="27"/>
      <c r="M402" s="27" t="s">
        <v>7111</v>
      </c>
      <c r="N402" s="27" t="s">
        <v>7112</v>
      </c>
      <c r="O402" s="29" t="s">
        <v>7113</v>
      </c>
      <c r="P402" s="27"/>
      <c r="Q402" s="27"/>
      <c r="R402" s="29"/>
      <c r="S402" s="29"/>
      <c r="T402" s="29"/>
      <c r="U402" s="27"/>
      <c r="V402" s="27"/>
      <c r="W402" s="27"/>
      <c r="X402" s="64"/>
      <c r="Y402" s="64"/>
      <c r="Z402" s="64"/>
      <c r="AA402" s="64"/>
      <c r="AB402" s="27"/>
      <c r="AC402" s="27"/>
    </row>
    <row r="403" spans="1:29" s="28" customFormat="1" x14ac:dyDescent="0.3">
      <c r="A403" s="27" t="s">
        <v>7114</v>
      </c>
      <c r="B403" s="27" t="s">
        <v>2273</v>
      </c>
      <c r="C403" s="29"/>
      <c r="D403" s="28" t="s">
        <v>4879</v>
      </c>
      <c r="E403" s="20" t="s">
        <v>552</v>
      </c>
      <c r="F403" s="20" t="s">
        <v>2489</v>
      </c>
      <c r="G403" s="27"/>
      <c r="H403" s="20"/>
      <c r="I403" s="29"/>
      <c r="J403" s="29"/>
      <c r="K403" s="27"/>
      <c r="L403" s="27"/>
      <c r="M403" s="27" t="s">
        <v>7115</v>
      </c>
      <c r="N403" s="27" t="s">
        <v>7116</v>
      </c>
      <c r="O403" s="29" t="s">
        <v>7117</v>
      </c>
      <c r="P403" s="27"/>
      <c r="Q403" s="27"/>
      <c r="R403" s="29"/>
      <c r="S403" s="29"/>
      <c r="T403" s="29"/>
      <c r="U403" s="27"/>
      <c r="V403" s="27"/>
      <c r="W403" s="27"/>
      <c r="X403" s="64"/>
      <c r="Y403" s="64"/>
      <c r="Z403" s="64"/>
      <c r="AA403" s="64"/>
      <c r="AB403" s="27"/>
      <c r="AC403" s="27"/>
    </row>
    <row r="404" spans="1:29" s="25" customFormat="1" x14ac:dyDescent="0.3">
      <c r="A404" s="24">
        <v>225</v>
      </c>
      <c r="B404" s="24" t="s">
        <v>2272</v>
      </c>
      <c r="C404" s="26">
        <v>167</v>
      </c>
      <c r="D404" s="25" t="s">
        <v>553</v>
      </c>
      <c r="E404" s="19" t="s">
        <v>554</v>
      </c>
      <c r="F404" s="19"/>
      <c r="G404" s="24"/>
      <c r="H404" s="19"/>
      <c r="I404" s="26" t="s">
        <v>89</v>
      </c>
      <c r="J404" s="26" t="s">
        <v>37</v>
      </c>
      <c r="K404" s="24"/>
      <c r="L404" s="24" t="s">
        <v>3465</v>
      </c>
      <c r="M404" s="24" t="s">
        <v>5377</v>
      </c>
      <c r="N404" s="24" t="s">
        <v>5378</v>
      </c>
      <c r="O404" s="26" t="s">
        <v>1826</v>
      </c>
      <c r="P404" s="24" t="s">
        <v>9</v>
      </c>
      <c r="Q404" s="24"/>
      <c r="R404" s="26"/>
      <c r="S404" s="26"/>
      <c r="T404" s="26"/>
      <c r="U404" s="24"/>
      <c r="V404" s="24"/>
      <c r="W404" s="24"/>
      <c r="X404" s="63"/>
      <c r="Y404" s="63"/>
      <c r="Z404" s="63"/>
      <c r="AA404" s="63"/>
      <c r="AB404" s="24"/>
      <c r="AC404" s="24"/>
    </row>
    <row r="405" spans="1:29" s="25" customFormat="1" x14ac:dyDescent="0.3">
      <c r="A405" s="24">
        <v>226</v>
      </c>
      <c r="B405" s="24" t="s">
        <v>2272</v>
      </c>
      <c r="C405" s="26">
        <v>169</v>
      </c>
      <c r="D405" s="25" t="s">
        <v>549</v>
      </c>
      <c r="E405" s="19" t="s">
        <v>550</v>
      </c>
      <c r="F405" s="19"/>
      <c r="G405" s="24"/>
      <c r="H405" s="19"/>
      <c r="I405" s="26" t="s">
        <v>89</v>
      </c>
      <c r="J405" s="26" t="s">
        <v>37</v>
      </c>
      <c r="K405" s="24"/>
      <c r="L405" s="24" t="s">
        <v>3465</v>
      </c>
      <c r="M405" s="24" t="s">
        <v>5373</v>
      </c>
      <c r="N405" s="24" t="s">
        <v>5374</v>
      </c>
      <c r="O405" s="26"/>
      <c r="P405" s="24" t="s">
        <v>9</v>
      </c>
      <c r="Q405" s="24"/>
      <c r="R405" s="26"/>
      <c r="S405" s="26"/>
      <c r="T405" s="26"/>
      <c r="U405" s="24"/>
      <c r="V405" s="24"/>
      <c r="W405" s="24"/>
      <c r="X405" s="63"/>
      <c r="Y405" s="63"/>
      <c r="Z405" s="63"/>
      <c r="AA405" s="63"/>
      <c r="AB405" s="24"/>
      <c r="AC405" s="24"/>
    </row>
    <row r="406" spans="1:29" s="28" customFormat="1" x14ac:dyDescent="0.3">
      <c r="A406" s="27" t="s">
        <v>5750</v>
      </c>
      <c r="B406" s="27" t="s">
        <v>2273</v>
      </c>
      <c r="C406" s="29"/>
      <c r="D406" s="28" t="s">
        <v>4878</v>
      </c>
      <c r="E406" s="20" t="s">
        <v>550</v>
      </c>
      <c r="F406" s="20" t="s">
        <v>2306</v>
      </c>
      <c r="G406" s="27"/>
      <c r="H406" s="20"/>
      <c r="I406" s="29"/>
      <c r="J406" s="29"/>
      <c r="K406" s="27"/>
      <c r="L406" s="27"/>
      <c r="M406" s="27" t="s">
        <v>7118</v>
      </c>
      <c r="N406" s="27" t="s">
        <v>7119</v>
      </c>
      <c r="O406" s="29" t="s">
        <v>7120</v>
      </c>
      <c r="P406" s="27"/>
      <c r="Q406" s="27"/>
      <c r="R406" s="29"/>
      <c r="S406" s="29"/>
      <c r="T406" s="29"/>
      <c r="U406" s="27"/>
      <c r="V406" s="27"/>
      <c r="W406" s="27"/>
      <c r="X406" s="64"/>
      <c r="Y406" s="64"/>
      <c r="Z406" s="64"/>
      <c r="AA406" s="64"/>
      <c r="AB406" s="27"/>
      <c r="AC406" s="27"/>
    </row>
    <row r="407" spans="1:29" s="25" customFormat="1" x14ac:dyDescent="0.3">
      <c r="A407" s="24">
        <v>227</v>
      </c>
      <c r="B407" s="24" t="s">
        <v>2272</v>
      </c>
      <c r="C407" s="26">
        <v>169</v>
      </c>
      <c r="D407" s="25" t="s">
        <v>547</v>
      </c>
      <c r="E407" s="19" t="s">
        <v>548</v>
      </c>
      <c r="F407" s="19"/>
      <c r="G407" s="24"/>
      <c r="H407" s="19"/>
      <c r="I407" s="26" t="s">
        <v>37</v>
      </c>
      <c r="J407" s="26" t="s">
        <v>37</v>
      </c>
      <c r="K407" s="24"/>
      <c r="L407" s="24" t="s">
        <v>6475</v>
      </c>
      <c r="M407" s="24" t="s">
        <v>6006</v>
      </c>
      <c r="N407" s="24" t="s">
        <v>1825</v>
      </c>
      <c r="O407" s="26"/>
      <c r="P407" s="24" t="s">
        <v>9</v>
      </c>
      <c r="Q407" s="24"/>
      <c r="R407" s="26"/>
      <c r="S407" s="26"/>
      <c r="T407" s="26"/>
      <c r="U407" s="24"/>
      <c r="V407" s="24"/>
      <c r="W407" s="24"/>
      <c r="X407" s="63"/>
      <c r="Y407" s="63"/>
      <c r="Z407" s="63"/>
      <c r="AA407" s="63"/>
      <c r="AB407" s="24"/>
      <c r="AC407" s="24"/>
    </row>
    <row r="408" spans="1:29" s="28" customFormat="1" x14ac:dyDescent="0.3">
      <c r="A408" s="27" t="s">
        <v>6277</v>
      </c>
      <c r="B408" s="27" t="s">
        <v>2273</v>
      </c>
      <c r="C408" s="29"/>
      <c r="D408" s="28" t="s">
        <v>4877</v>
      </c>
      <c r="E408" s="20" t="s">
        <v>548</v>
      </c>
      <c r="F408" s="20" t="s">
        <v>2487</v>
      </c>
      <c r="G408" s="27"/>
      <c r="H408" s="20"/>
      <c r="I408" s="29"/>
      <c r="J408" s="29"/>
      <c r="K408" s="27"/>
      <c r="L408" s="27"/>
      <c r="M408" s="27" t="s">
        <v>7121</v>
      </c>
      <c r="N408" s="27"/>
      <c r="O408" s="29" t="s">
        <v>7122</v>
      </c>
      <c r="P408" s="27"/>
      <c r="Q408" s="27"/>
      <c r="R408" s="29"/>
      <c r="S408" s="29"/>
      <c r="T408" s="29"/>
      <c r="U408" s="27"/>
      <c r="V408" s="27"/>
      <c r="W408" s="27"/>
      <c r="X408" s="64"/>
      <c r="Y408" s="64"/>
      <c r="Z408" s="64"/>
      <c r="AA408" s="64"/>
      <c r="AB408" s="27"/>
      <c r="AC408" s="27"/>
    </row>
    <row r="409" spans="1:29" s="25" customFormat="1" x14ac:dyDescent="0.3">
      <c r="A409" s="24">
        <v>228</v>
      </c>
      <c r="B409" s="24" t="s">
        <v>2272</v>
      </c>
      <c r="C409" s="26">
        <v>169</v>
      </c>
      <c r="D409" s="25" t="s">
        <v>545</v>
      </c>
      <c r="E409" s="19" t="s">
        <v>546</v>
      </c>
      <c r="F409" s="19"/>
      <c r="G409" s="24"/>
      <c r="H409" s="19"/>
      <c r="I409" s="26" t="s">
        <v>178</v>
      </c>
      <c r="J409" s="26" t="s">
        <v>37</v>
      </c>
      <c r="K409" s="24"/>
      <c r="L409" s="24" t="s">
        <v>3462</v>
      </c>
      <c r="M409" s="24" t="s">
        <v>5372</v>
      </c>
      <c r="N409" s="24"/>
      <c r="O409" s="26"/>
      <c r="P409" s="24"/>
      <c r="Q409" s="24"/>
      <c r="R409" s="26"/>
      <c r="S409" s="26"/>
      <c r="T409" s="26"/>
      <c r="U409" s="24"/>
      <c r="V409" s="24"/>
      <c r="W409" s="24"/>
      <c r="X409" s="63"/>
      <c r="Y409" s="63"/>
      <c r="Z409" s="63"/>
      <c r="AA409" s="63"/>
      <c r="AB409" s="24"/>
      <c r="AC409" s="24"/>
    </row>
    <row r="410" spans="1:29" s="28" customFormat="1" x14ac:dyDescent="0.3">
      <c r="A410" s="27" t="s">
        <v>7123</v>
      </c>
      <c r="B410" s="27" t="s">
        <v>2273</v>
      </c>
      <c r="C410" s="29"/>
      <c r="D410" s="28" t="s">
        <v>4876</v>
      </c>
      <c r="E410" s="20" t="s">
        <v>546</v>
      </c>
      <c r="F410" s="20" t="s">
        <v>2485</v>
      </c>
      <c r="G410" s="27"/>
      <c r="H410" s="20"/>
      <c r="I410" s="29"/>
      <c r="J410" s="29"/>
      <c r="K410" s="27"/>
      <c r="L410" s="27"/>
      <c r="M410" s="27" t="s">
        <v>7124</v>
      </c>
      <c r="N410" s="27"/>
      <c r="O410" s="29" t="s">
        <v>7125</v>
      </c>
      <c r="P410" s="27"/>
      <c r="Q410" s="27"/>
      <c r="R410" s="29"/>
      <c r="S410" s="29"/>
      <c r="T410" s="29"/>
      <c r="U410" s="27"/>
      <c r="V410" s="27"/>
      <c r="W410" s="27"/>
      <c r="X410" s="64"/>
      <c r="Y410" s="64"/>
      <c r="Z410" s="64"/>
      <c r="AA410" s="64"/>
      <c r="AB410" s="27"/>
      <c r="AC410" s="27"/>
    </row>
    <row r="411" spans="1:29" s="25" customFormat="1" x14ac:dyDescent="0.3">
      <c r="A411" s="24">
        <v>229</v>
      </c>
      <c r="B411" s="24" t="s">
        <v>2272</v>
      </c>
      <c r="C411" s="26"/>
      <c r="D411" s="25" t="s">
        <v>5811</v>
      </c>
      <c r="E411" s="19" t="s">
        <v>5812</v>
      </c>
      <c r="F411" s="19"/>
      <c r="G411" s="24"/>
      <c r="H411" s="19"/>
      <c r="I411" s="26" t="s">
        <v>49</v>
      </c>
      <c r="J411" s="26"/>
      <c r="K411" s="24" t="s">
        <v>49</v>
      </c>
      <c r="L411" s="24"/>
      <c r="M411" s="24" t="s">
        <v>5997</v>
      </c>
      <c r="N411" s="24" t="s">
        <v>5998</v>
      </c>
      <c r="O411" s="26"/>
      <c r="P411" s="24" t="s">
        <v>6413</v>
      </c>
      <c r="Q411" s="24"/>
      <c r="R411" s="26"/>
      <c r="S411" s="26"/>
      <c r="T411" s="26"/>
      <c r="U411" s="24"/>
      <c r="V411" s="24"/>
      <c r="W411" s="24"/>
      <c r="X411" s="63"/>
      <c r="Y411" s="63"/>
      <c r="Z411" s="63"/>
      <c r="AA411" s="63"/>
      <c r="AB411" s="24"/>
      <c r="AC411" s="24"/>
    </row>
    <row r="412" spans="1:29" s="25" customFormat="1" x14ac:dyDescent="0.3">
      <c r="A412" s="24">
        <v>230</v>
      </c>
      <c r="B412" s="24" t="s">
        <v>2272</v>
      </c>
      <c r="C412" s="26">
        <v>169</v>
      </c>
      <c r="D412" s="25" t="s">
        <v>533</v>
      </c>
      <c r="E412" s="19" t="s">
        <v>534</v>
      </c>
      <c r="F412" s="19"/>
      <c r="G412" s="24"/>
      <c r="H412" s="19"/>
      <c r="I412" s="26" t="s">
        <v>346</v>
      </c>
      <c r="J412" s="26" t="s">
        <v>37</v>
      </c>
      <c r="K412" s="24"/>
      <c r="L412" s="24" t="s">
        <v>6473</v>
      </c>
      <c r="M412" s="24" t="s">
        <v>5995</v>
      </c>
      <c r="N412" s="24"/>
      <c r="O412" s="26"/>
      <c r="P412" s="24"/>
      <c r="Q412" s="24"/>
      <c r="R412" s="26"/>
      <c r="S412" s="26"/>
      <c r="T412" s="26"/>
      <c r="U412" s="24"/>
      <c r="V412" s="24"/>
      <c r="W412" s="24"/>
      <c r="X412" s="63"/>
      <c r="Y412" s="63"/>
      <c r="Z412" s="63"/>
      <c r="AA412" s="63"/>
      <c r="AB412" s="24"/>
      <c r="AC412" s="24"/>
    </row>
    <row r="413" spans="1:29" s="28" customFormat="1" x14ac:dyDescent="0.3">
      <c r="A413" s="27" t="s">
        <v>7126</v>
      </c>
      <c r="B413" s="27" t="s">
        <v>2273</v>
      </c>
      <c r="C413" s="29"/>
      <c r="D413" s="28" t="s">
        <v>4872</v>
      </c>
      <c r="E413" s="20" t="s">
        <v>534</v>
      </c>
      <c r="F413" s="20" t="s">
        <v>2479</v>
      </c>
      <c r="G413" s="27"/>
      <c r="H413" s="20"/>
      <c r="I413" s="29"/>
      <c r="J413" s="29"/>
      <c r="K413" s="27"/>
      <c r="L413" s="27"/>
      <c r="M413" s="27" t="s">
        <v>7127</v>
      </c>
      <c r="N413" s="27"/>
      <c r="O413" s="29" t="s">
        <v>7128</v>
      </c>
      <c r="P413" s="27"/>
      <c r="Q413" s="27"/>
      <c r="R413" s="29"/>
      <c r="S413" s="29"/>
      <c r="T413" s="29"/>
      <c r="U413" s="27"/>
      <c r="V413" s="27"/>
      <c r="W413" s="27"/>
      <c r="X413" s="64"/>
      <c r="Y413" s="64"/>
      <c r="Z413" s="64"/>
      <c r="AA413" s="64"/>
      <c r="AB413" s="27"/>
      <c r="AC413" s="27"/>
    </row>
    <row r="414" spans="1:29" s="25" customFormat="1" x14ac:dyDescent="0.3">
      <c r="A414" s="24">
        <v>231</v>
      </c>
      <c r="B414" s="24" t="s">
        <v>2272</v>
      </c>
      <c r="C414" s="26">
        <v>169</v>
      </c>
      <c r="D414" s="25" t="s">
        <v>535</v>
      </c>
      <c r="E414" s="19" t="s">
        <v>536</v>
      </c>
      <c r="F414" s="19"/>
      <c r="G414" s="24"/>
      <c r="H414" s="19"/>
      <c r="I414" s="26" t="s">
        <v>49</v>
      </c>
      <c r="J414" s="26" t="s">
        <v>5121</v>
      </c>
      <c r="K414" s="24" t="s">
        <v>49</v>
      </c>
      <c r="L414" s="24" t="s">
        <v>3454</v>
      </c>
      <c r="M414" s="24" t="s">
        <v>5999</v>
      </c>
      <c r="N414" s="24" t="s">
        <v>5367</v>
      </c>
      <c r="O414" s="26" t="s">
        <v>1823</v>
      </c>
      <c r="P414" s="24" t="s">
        <v>6531</v>
      </c>
      <c r="Q414" s="24"/>
      <c r="R414" s="26"/>
      <c r="S414" s="26"/>
      <c r="T414" s="26"/>
      <c r="U414" s="24"/>
      <c r="V414" s="24"/>
      <c r="W414" s="24"/>
      <c r="X414" s="63"/>
      <c r="Y414" s="63"/>
      <c r="Z414" s="63"/>
      <c r="AA414" s="63"/>
      <c r="AB414" s="24"/>
      <c r="AC414" s="24"/>
    </row>
    <row r="415" spans="1:29" s="25" customFormat="1" x14ac:dyDescent="0.3">
      <c r="A415" s="24">
        <v>232</v>
      </c>
      <c r="B415" s="24" t="s">
        <v>2272</v>
      </c>
      <c r="C415" s="26"/>
      <c r="D415" s="25" t="s">
        <v>5148</v>
      </c>
      <c r="E415" s="19" t="s">
        <v>5149</v>
      </c>
      <c r="F415" s="19"/>
      <c r="G415" s="24"/>
      <c r="H415" s="19"/>
      <c r="I415" s="26" t="s">
        <v>49</v>
      </c>
      <c r="J415" s="26"/>
      <c r="K415" s="24" t="s">
        <v>49</v>
      </c>
      <c r="L415" s="24"/>
      <c r="M415" s="24" t="s">
        <v>5350</v>
      </c>
      <c r="N415" s="24" t="s">
        <v>5351</v>
      </c>
      <c r="O415" s="26" t="s">
        <v>5352</v>
      </c>
      <c r="P415" s="24" t="s">
        <v>6405</v>
      </c>
      <c r="Q415" s="24"/>
      <c r="R415" s="26"/>
      <c r="S415" s="26"/>
      <c r="T415" s="26"/>
      <c r="U415" s="24"/>
      <c r="V415" s="24"/>
      <c r="W415" s="24"/>
      <c r="X415" s="63"/>
      <c r="Y415" s="63"/>
      <c r="Z415" s="63"/>
      <c r="AA415" s="63"/>
      <c r="AB415" s="24"/>
      <c r="AC415" s="24"/>
    </row>
    <row r="416" spans="1:29" s="25" customFormat="1" x14ac:dyDescent="0.3">
      <c r="A416" s="24">
        <v>233</v>
      </c>
      <c r="B416" s="24" t="s">
        <v>2272</v>
      </c>
      <c r="C416" s="26">
        <v>161</v>
      </c>
      <c r="D416" s="25" t="s">
        <v>514</v>
      </c>
      <c r="E416" s="19" t="s">
        <v>1812</v>
      </c>
      <c r="F416" s="19"/>
      <c r="G416" s="24"/>
      <c r="H416" s="19"/>
      <c r="I416" s="26" t="s">
        <v>49</v>
      </c>
      <c r="J416" s="26" t="s">
        <v>5121</v>
      </c>
      <c r="K416" s="24" t="s">
        <v>49</v>
      </c>
      <c r="L416" s="24" t="s">
        <v>3392</v>
      </c>
      <c r="M416" s="24" t="s">
        <v>5348</v>
      </c>
      <c r="N416" s="24" t="s">
        <v>5349</v>
      </c>
      <c r="O416" s="26" t="s">
        <v>1811</v>
      </c>
      <c r="P416" s="24" t="s">
        <v>6404</v>
      </c>
      <c r="Q416" s="24"/>
      <c r="R416" s="26"/>
      <c r="S416" s="26"/>
      <c r="T416" s="26"/>
      <c r="U416" s="24"/>
      <c r="V416" s="24"/>
      <c r="W416" s="24"/>
      <c r="X416" s="63"/>
      <c r="Y416" s="63"/>
      <c r="Z416" s="63"/>
      <c r="AA416" s="63"/>
      <c r="AB416" s="24"/>
      <c r="AC416" s="24"/>
    </row>
    <row r="417" spans="1:29" s="25" customFormat="1" x14ac:dyDescent="0.3">
      <c r="A417" s="24">
        <v>234</v>
      </c>
      <c r="B417" s="24" t="s">
        <v>2272</v>
      </c>
      <c r="C417" s="26">
        <v>161</v>
      </c>
      <c r="D417" s="25" t="s">
        <v>512</v>
      </c>
      <c r="E417" s="19" t="s">
        <v>513</v>
      </c>
      <c r="F417" s="19"/>
      <c r="G417" s="24"/>
      <c r="H417" s="19" t="s">
        <v>1810</v>
      </c>
      <c r="I417" s="26" t="s">
        <v>89</v>
      </c>
      <c r="J417" s="26" t="s">
        <v>37</v>
      </c>
      <c r="K417" s="24"/>
      <c r="L417" s="24" t="s">
        <v>3436</v>
      </c>
      <c r="M417" s="24" t="s">
        <v>5346</v>
      </c>
      <c r="N417" s="24" t="s">
        <v>5347</v>
      </c>
      <c r="O417" s="26" t="s">
        <v>1809</v>
      </c>
      <c r="P417" s="24"/>
      <c r="Q417" s="24"/>
      <c r="R417" s="26"/>
      <c r="S417" s="26"/>
      <c r="T417" s="26"/>
      <c r="U417" s="24"/>
      <c r="V417" s="24"/>
      <c r="W417" s="24"/>
      <c r="X417" s="63"/>
      <c r="Y417" s="63"/>
      <c r="Z417" s="63"/>
      <c r="AA417" s="63"/>
      <c r="AB417" s="24"/>
      <c r="AC417" s="24"/>
    </row>
    <row r="418" spans="1:29" s="25" customFormat="1" x14ac:dyDescent="0.3">
      <c r="A418" s="24">
        <v>235</v>
      </c>
      <c r="B418" s="24" t="s">
        <v>2272</v>
      </c>
      <c r="C418" s="26">
        <v>161</v>
      </c>
      <c r="D418" s="25" t="s">
        <v>515</v>
      </c>
      <c r="E418" s="19" t="s">
        <v>516</v>
      </c>
      <c r="F418" s="19"/>
      <c r="G418" s="24"/>
      <c r="H418" s="19" t="s">
        <v>1813</v>
      </c>
      <c r="I418" s="26" t="s">
        <v>49</v>
      </c>
      <c r="J418" s="26" t="s">
        <v>5121</v>
      </c>
      <c r="K418" s="24" t="s">
        <v>49</v>
      </c>
      <c r="L418" s="24" t="s">
        <v>3083</v>
      </c>
      <c r="M418" s="24" t="s">
        <v>5990</v>
      </c>
      <c r="N418" s="24"/>
      <c r="O418" s="26"/>
      <c r="P418" s="24" t="s">
        <v>8559</v>
      </c>
      <c r="Q418" s="24"/>
      <c r="R418" s="26"/>
      <c r="S418" s="26"/>
      <c r="T418" s="26"/>
      <c r="U418" s="24"/>
      <c r="V418" s="24"/>
      <c r="W418" s="24"/>
      <c r="X418" s="63"/>
      <c r="Y418" s="63"/>
      <c r="Z418" s="63"/>
      <c r="AA418" s="63"/>
      <c r="AB418" s="24"/>
      <c r="AC418" s="24"/>
    </row>
    <row r="419" spans="1:29" s="28" customFormat="1" x14ac:dyDescent="0.3">
      <c r="A419" s="27" t="s">
        <v>7129</v>
      </c>
      <c r="B419" s="27" t="s">
        <v>2273</v>
      </c>
      <c r="C419" s="29"/>
      <c r="D419" s="28" t="s">
        <v>4868</v>
      </c>
      <c r="E419" s="20" t="s">
        <v>516</v>
      </c>
      <c r="F419" s="20" t="s">
        <v>2474</v>
      </c>
      <c r="G419" s="27"/>
      <c r="H419" s="20"/>
      <c r="I419" s="29"/>
      <c r="J419" s="29"/>
      <c r="K419" s="27"/>
      <c r="L419" s="27"/>
      <c r="M419" s="27" t="s">
        <v>7130</v>
      </c>
      <c r="N419" s="27" t="s">
        <v>7131</v>
      </c>
      <c r="O419" s="29" t="s">
        <v>7132</v>
      </c>
      <c r="P419" s="27"/>
      <c r="Q419" s="27"/>
      <c r="R419" s="29"/>
      <c r="S419" s="29"/>
      <c r="T419" s="29"/>
      <c r="U419" s="27"/>
      <c r="V419" s="27"/>
      <c r="W419" s="27"/>
      <c r="X419" s="64"/>
      <c r="Y419" s="64"/>
      <c r="Z419" s="64"/>
      <c r="AA419" s="64"/>
      <c r="AB419" s="27"/>
      <c r="AC419" s="27"/>
    </row>
    <row r="420" spans="1:29" s="25" customFormat="1" x14ac:dyDescent="0.3">
      <c r="A420" s="24">
        <v>236</v>
      </c>
      <c r="B420" s="24" t="s">
        <v>2272</v>
      </c>
      <c r="C420" s="26">
        <v>161</v>
      </c>
      <c r="D420" s="25" t="s">
        <v>517</v>
      </c>
      <c r="E420" s="19" t="s">
        <v>518</v>
      </c>
      <c r="F420" s="19"/>
      <c r="G420" s="24"/>
      <c r="H420" s="19" t="s">
        <v>1815</v>
      </c>
      <c r="I420" s="26" t="s">
        <v>49</v>
      </c>
      <c r="J420" s="26" t="s">
        <v>5121</v>
      </c>
      <c r="K420" s="24" t="s">
        <v>49</v>
      </c>
      <c r="L420" s="24" t="s">
        <v>3439</v>
      </c>
      <c r="M420" s="24" t="s">
        <v>5353</v>
      </c>
      <c r="N420" s="24" t="s">
        <v>5991</v>
      </c>
      <c r="O420" s="26" t="s">
        <v>1814</v>
      </c>
      <c r="P420" s="24" t="s">
        <v>6406</v>
      </c>
      <c r="Q420" s="24"/>
      <c r="R420" s="26"/>
      <c r="S420" s="26"/>
      <c r="T420" s="26"/>
      <c r="U420" s="24"/>
      <c r="V420" s="24"/>
      <c r="W420" s="24"/>
      <c r="X420" s="63"/>
      <c r="Y420" s="63"/>
      <c r="Z420" s="63"/>
      <c r="AA420" s="63"/>
      <c r="AB420" s="24"/>
      <c r="AC420" s="24"/>
    </row>
    <row r="421" spans="1:29" s="25" customFormat="1" x14ac:dyDescent="0.3">
      <c r="A421" s="24">
        <v>237</v>
      </c>
      <c r="B421" s="24" t="s">
        <v>2272</v>
      </c>
      <c r="C421" s="26">
        <v>163</v>
      </c>
      <c r="D421" s="25" t="s">
        <v>519</v>
      </c>
      <c r="E421" s="19" t="s">
        <v>520</v>
      </c>
      <c r="F421" s="19"/>
      <c r="G421" s="24"/>
      <c r="H421" s="19"/>
      <c r="I421" s="26" t="s">
        <v>89</v>
      </c>
      <c r="J421" s="26" t="s">
        <v>37</v>
      </c>
      <c r="K421" s="24"/>
      <c r="L421" s="24" t="s">
        <v>3441</v>
      </c>
      <c r="M421" s="24" t="s">
        <v>5354</v>
      </c>
      <c r="N421" s="24" t="s">
        <v>5355</v>
      </c>
      <c r="O421" s="26" t="s">
        <v>1816</v>
      </c>
      <c r="P421" s="24" t="s">
        <v>6407</v>
      </c>
      <c r="Q421" s="24"/>
      <c r="R421" s="26"/>
      <c r="S421" s="26"/>
      <c r="T421" s="26"/>
      <c r="U421" s="24"/>
      <c r="V421" s="24"/>
      <c r="W421" s="24"/>
      <c r="X421" s="63"/>
      <c r="Y421" s="63"/>
      <c r="Z421" s="63"/>
      <c r="AA421" s="63"/>
      <c r="AB421" s="24"/>
      <c r="AC421" s="24"/>
    </row>
    <row r="422" spans="1:29" s="25" customFormat="1" x14ac:dyDescent="0.3">
      <c r="A422" s="24">
        <v>238</v>
      </c>
      <c r="B422" s="24" t="s">
        <v>2272</v>
      </c>
      <c r="C422" s="26">
        <v>163</v>
      </c>
      <c r="D422" s="25" t="s">
        <v>5150</v>
      </c>
      <c r="E422" s="19" t="s">
        <v>522</v>
      </c>
      <c r="F422" s="19"/>
      <c r="G422" s="24" t="s">
        <v>521</v>
      </c>
      <c r="H422" s="19"/>
      <c r="I422" s="26" t="s">
        <v>49</v>
      </c>
      <c r="J422" s="26" t="s">
        <v>5121</v>
      </c>
      <c r="K422" s="24" t="s">
        <v>49</v>
      </c>
      <c r="L422" s="24" t="s">
        <v>3083</v>
      </c>
      <c r="M422" s="24" t="s">
        <v>5356</v>
      </c>
      <c r="N422" s="24" t="s">
        <v>5357</v>
      </c>
      <c r="O422" s="26"/>
      <c r="P422" s="24" t="s">
        <v>6408</v>
      </c>
      <c r="Q422" s="24"/>
      <c r="R422" s="26"/>
      <c r="S422" s="26"/>
      <c r="T422" s="26"/>
      <c r="U422" s="24"/>
      <c r="V422" s="24"/>
      <c r="W422" s="24"/>
      <c r="X422" s="63"/>
      <c r="Y422" s="63"/>
      <c r="Z422" s="63"/>
      <c r="AA422" s="63"/>
      <c r="AB422" s="24"/>
      <c r="AC422" s="24"/>
    </row>
    <row r="423" spans="1:29" s="28" customFormat="1" x14ac:dyDescent="0.3">
      <c r="A423" s="27" t="s">
        <v>7133</v>
      </c>
      <c r="B423" s="27" t="s">
        <v>2273</v>
      </c>
      <c r="C423" s="29">
        <v>163</v>
      </c>
      <c r="D423" s="28" t="s">
        <v>5749</v>
      </c>
      <c r="E423" s="20" t="s">
        <v>522</v>
      </c>
      <c r="F423" s="20" t="s">
        <v>2475</v>
      </c>
      <c r="G423" s="27" t="s">
        <v>4569</v>
      </c>
      <c r="H423" s="20" t="s">
        <v>4570</v>
      </c>
      <c r="I423" s="29"/>
      <c r="J423" s="29" t="s">
        <v>5121</v>
      </c>
      <c r="K423" s="27"/>
      <c r="L423" s="27" t="s">
        <v>3083</v>
      </c>
      <c r="M423" s="27" t="s">
        <v>7134</v>
      </c>
      <c r="N423" s="27" t="s">
        <v>7135</v>
      </c>
      <c r="O423" s="29" t="s">
        <v>7136</v>
      </c>
      <c r="P423" s="27"/>
      <c r="Q423" s="27"/>
      <c r="R423" s="29"/>
      <c r="S423" s="29"/>
      <c r="T423" s="29"/>
      <c r="U423" s="27"/>
      <c r="V423" s="27"/>
      <c r="W423" s="27"/>
      <c r="X423" s="64"/>
      <c r="Y423" s="64"/>
      <c r="Z423" s="64"/>
      <c r="AA423" s="64"/>
      <c r="AB423" s="27"/>
      <c r="AC423" s="27"/>
    </row>
    <row r="424" spans="1:29" s="25" customFormat="1" x14ac:dyDescent="0.3">
      <c r="A424" s="24">
        <v>239</v>
      </c>
      <c r="B424" s="24" t="s">
        <v>2272</v>
      </c>
      <c r="C424" s="26"/>
      <c r="D424" s="25" t="s">
        <v>523</v>
      </c>
      <c r="E424" s="19" t="s">
        <v>524</v>
      </c>
      <c r="F424" s="19"/>
      <c r="G424" s="24"/>
      <c r="H424" s="19"/>
      <c r="I424" s="26" t="s">
        <v>49</v>
      </c>
      <c r="J424" s="26"/>
      <c r="K424" s="24" t="s">
        <v>49</v>
      </c>
      <c r="L424" s="24" t="s">
        <v>3083</v>
      </c>
      <c r="M424" s="24" t="s">
        <v>5359</v>
      </c>
      <c r="N424" s="24" t="s">
        <v>5360</v>
      </c>
      <c r="O424" s="26"/>
      <c r="P424" s="24" t="s">
        <v>6409</v>
      </c>
      <c r="Q424" s="24"/>
      <c r="R424" s="26"/>
      <c r="S424" s="26"/>
      <c r="T424" s="26"/>
      <c r="U424" s="24"/>
      <c r="V424" s="24"/>
      <c r="W424" s="24"/>
      <c r="X424" s="63"/>
      <c r="Y424" s="63"/>
      <c r="Z424" s="63"/>
      <c r="AA424" s="63"/>
      <c r="AB424" s="24"/>
      <c r="AC424" s="24"/>
    </row>
    <row r="425" spans="1:29" s="28" customFormat="1" x14ac:dyDescent="0.3">
      <c r="A425" s="27" t="s">
        <v>6278</v>
      </c>
      <c r="B425" s="27" t="s">
        <v>2273</v>
      </c>
      <c r="C425" s="29">
        <v>163</v>
      </c>
      <c r="D425" s="28" t="s">
        <v>4869</v>
      </c>
      <c r="E425" s="20" t="s">
        <v>524</v>
      </c>
      <c r="F425" s="20" t="s">
        <v>2476</v>
      </c>
      <c r="G425" s="27" t="s">
        <v>3444</v>
      </c>
      <c r="H425" s="20" t="s">
        <v>4571</v>
      </c>
      <c r="I425" s="29"/>
      <c r="J425" s="29" t="s">
        <v>5121</v>
      </c>
      <c r="K425" s="27"/>
      <c r="L425" s="27" t="s">
        <v>3083</v>
      </c>
      <c r="M425" s="27" t="s">
        <v>7137</v>
      </c>
      <c r="N425" s="27" t="s">
        <v>7138</v>
      </c>
      <c r="O425" s="29" t="s">
        <v>5992</v>
      </c>
      <c r="P425" s="27"/>
      <c r="Q425" s="27"/>
      <c r="R425" s="29"/>
      <c r="S425" s="29"/>
      <c r="T425" s="29"/>
      <c r="U425" s="27"/>
      <c r="V425" s="27"/>
      <c r="W425" s="27"/>
      <c r="X425" s="64"/>
      <c r="Y425" s="64"/>
      <c r="Z425" s="64"/>
      <c r="AA425" s="64"/>
      <c r="AB425" s="27"/>
      <c r="AC425" s="27"/>
    </row>
    <row r="426" spans="1:29" s="25" customFormat="1" x14ac:dyDescent="0.3">
      <c r="A426" s="24">
        <v>240</v>
      </c>
      <c r="B426" s="24" t="s">
        <v>2272</v>
      </c>
      <c r="C426" s="26">
        <v>163</v>
      </c>
      <c r="D426" s="25" t="s">
        <v>527</v>
      </c>
      <c r="E426" s="19" t="s">
        <v>528</v>
      </c>
      <c r="F426" s="19"/>
      <c r="G426" s="24"/>
      <c r="H426" s="19"/>
      <c r="I426" s="26" t="s">
        <v>49</v>
      </c>
      <c r="J426" s="26" t="s">
        <v>5121</v>
      </c>
      <c r="K426" s="24" t="s">
        <v>49</v>
      </c>
      <c r="L426" s="24" t="s">
        <v>3448</v>
      </c>
      <c r="M426" s="24" t="s">
        <v>5363</v>
      </c>
      <c r="N426" s="24" t="s">
        <v>5364</v>
      </c>
      <c r="O426" s="26"/>
      <c r="P426" s="24" t="s">
        <v>6411</v>
      </c>
      <c r="Q426" s="24"/>
      <c r="R426" s="26"/>
      <c r="S426" s="26"/>
      <c r="T426" s="26"/>
      <c r="U426" s="24"/>
      <c r="V426" s="24"/>
      <c r="W426" s="24"/>
      <c r="X426" s="63"/>
      <c r="Y426" s="63"/>
      <c r="Z426" s="63"/>
      <c r="AA426" s="63"/>
      <c r="AB426" s="24"/>
      <c r="AC426" s="24"/>
    </row>
    <row r="427" spans="1:29" s="28" customFormat="1" x14ac:dyDescent="0.3">
      <c r="A427" s="27" t="s">
        <v>7139</v>
      </c>
      <c r="B427" s="27" t="s">
        <v>2273</v>
      </c>
      <c r="C427" s="29">
        <v>163</v>
      </c>
      <c r="D427" s="28" t="s">
        <v>4870</v>
      </c>
      <c r="E427" s="20" t="s">
        <v>528</v>
      </c>
      <c r="F427" s="20" t="s">
        <v>2477</v>
      </c>
      <c r="G427" s="27" t="s">
        <v>4572</v>
      </c>
      <c r="H427" s="20" t="s">
        <v>4573</v>
      </c>
      <c r="I427" s="29"/>
      <c r="J427" s="29" t="s">
        <v>5121</v>
      </c>
      <c r="K427" s="27"/>
      <c r="L427" s="27" t="s">
        <v>3448</v>
      </c>
      <c r="M427" s="27" t="s">
        <v>7140</v>
      </c>
      <c r="N427" s="27" t="s">
        <v>7141</v>
      </c>
      <c r="O427" s="29" t="s">
        <v>7142</v>
      </c>
      <c r="P427" s="27"/>
      <c r="Q427" s="27"/>
      <c r="R427" s="29"/>
      <c r="S427" s="29"/>
      <c r="T427" s="29"/>
      <c r="U427" s="27"/>
      <c r="V427" s="27"/>
      <c r="W427" s="27"/>
      <c r="X427" s="64"/>
      <c r="Y427" s="64"/>
      <c r="Z427" s="64"/>
      <c r="AA427" s="64"/>
      <c r="AB427" s="27"/>
      <c r="AC427" s="27"/>
    </row>
    <row r="428" spans="1:29" s="25" customFormat="1" x14ac:dyDescent="0.3">
      <c r="A428" s="24">
        <v>241</v>
      </c>
      <c r="B428" s="24" t="s">
        <v>2272</v>
      </c>
      <c r="C428" s="26">
        <v>165</v>
      </c>
      <c r="D428" s="25" t="s">
        <v>525</v>
      </c>
      <c r="E428" s="19" t="s">
        <v>526</v>
      </c>
      <c r="F428" s="19"/>
      <c r="G428" s="24"/>
      <c r="H428" s="19"/>
      <c r="I428" s="26" t="s">
        <v>49</v>
      </c>
      <c r="J428" s="26" t="s">
        <v>5121</v>
      </c>
      <c r="K428" s="24" t="s">
        <v>49</v>
      </c>
      <c r="L428" s="24" t="s">
        <v>3446</v>
      </c>
      <c r="M428" s="24" t="s">
        <v>5361</v>
      </c>
      <c r="N428" s="24" t="s">
        <v>5362</v>
      </c>
      <c r="O428" s="26" t="s">
        <v>1819</v>
      </c>
      <c r="P428" s="24" t="s">
        <v>6410</v>
      </c>
      <c r="Q428" s="24"/>
      <c r="R428" s="26"/>
      <c r="S428" s="26"/>
      <c r="T428" s="26"/>
      <c r="U428" s="24"/>
      <c r="V428" s="24"/>
      <c r="W428" s="24"/>
      <c r="X428" s="63"/>
      <c r="Y428" s="63"/>
      <c r="Z428" s="63"/>
      <c r="AA428" s="63"/>
      <c r="AB428" s="24"/>
      <c r="AC428" s="24"/>
    </row>
    <row r="429" spans="1:29" s="25" customFormat="1" x14ac:dyDescent="0.3">
      <c r="A429" s="24">
        <v>242</v>
      </c>
      <c r="B429" s="24" t="s">
        <v>2272</v>
      </c>
      <c r="C429" s="26">
        <v>171</v>
      </c>
      <c r="D429" s="25" t="s">
        <v>561</v>
      </c>
      <c r="E429" s="19" t="s">
        <v>562</v>
      </c>
      <c r="F429" s="19"/>
      <c r="G429" s="24"/>
      <c r="H429" s="19"/>
      <c r="I429" s="26" t="s">
        <v>49</v>
      </c>
      <c r="J429" s="26" t="s">
        <v>5121</v>
      </c>
      <c r="K429" s="24" t="s">
        <v>49</v>
      </c>
      <c r="L429" s="24" t="s">
        <v>3473</v>
      </c>
      <c r="M429" s="24" t="s">
        <v>6010</v>
      </c>
      <c r="N429" s="24" t="s">
        <v>5381</v>
      </c>
      <c r="O429" s="26"/>
      <c r="P429" s="24" t="s">
        <v>6533</v>
      </c>
      <c r="Q429" s="24"/>
      <c r="R429" s="26"/>
      <c r="S429" s="26"/>
      <c r="T429" s="26"/>
      <c r="U429" s="24"/>
      <c r="V429" s="24"/>
      <c r="W429" s="24"/>
      <c r="X429" s="63"/>
      <c r="Y429" s="63"/>
      <c r="Z429" s="63"/>
      <c r="AA429" s="63"/>
      <c r="AB429" s="24"/>
      <c r="AC429" s="24"/>
    </row>
    <row r="430" spans="1:29" s="28" customFormat="1" x14ac:dyDescent="0.3">
      <c r="A430" s="27" t="s">
        <v>7143</v>
      </c>
      <c r="B430" s="27" t="s">
        <v>2273</v>
      </c>
      <c r="C430" s="29"/>
      <c r="D430" s="28" t="s">
        <v>4880</v>
      </c>
      <c r="E430" s="20" t="s">
        <v>562</v>
      </c>
      <c r="F430" s="20" t="s">
        <v>2445</v>
      </c>
      <c r="G430" s="27"/>
      <c r="H430" s="20"/>
      <c r="I430" s="29"/>
      <c r="J430" s="29"/>
      <c r="K430" s="27"/>
      <c r="L430" s="27"/>
      <c r="M430" s="27" t="s">
        <v>7144</v>
      </c>
      <c r="N430" s="27"/>
      <c r="O430" s="29" t="s">
        <v>7145</v>
      </c>
      <c r="P430" s="27"/>
      <c r="Q430" s="27"/>
      <c r="R430" s="29"/>
      <c r="S430" s="29"/>
      <c r="T430" s="29"/>
      <c r="U430" s="27"/>
      <c r="V430" s="27"/>
      <c r="W430" s="27"/>
      <c r="X430" s="64"/>
      <c r="Y430" s="64"/>
      <c r="Z430" s="64"/>
      <c r="AA430" s="64"/>
      <c r="AB430" s="27"/>
      <c r="AC430" s="27"/>
    </row>
    <row r="431" spans="1:29" s="25" customFormat="1" x14ac:dyDescent="0.3">
      <c r="A431" s="24">
        <v>243</v>
      </c>
      <c r="B431" s="24" t="s">
        <v>2272</v>
      </c>
      <c r="C431" s="26">
        <v>171</v>
      </c>
      <c r="D431" s="25" t="s">
        <v>559</v>
      </c>
      <c r="E431" s="19" t="s">
        <v>560</v>
      </c>
      <c r="F431" s="19"/>
      <c r="G431" s="24" t="s">
        <v>1828</v>
      </c>
      <c r="H431" s="19"/>
      <c r="I431" s="26" t="s">
        <v>49</v>
      </c>
      <c r="J431" s="26" t="s">
        <v>5121</v>
      </c>
      <c r="K431" s="24" t="s">
        <v>49</v>
      </c>
      <c r="L431" s="24" t="s">
        <v>3083</v>
      </c>
      <c r="M431" s="24" t="s">
        <v>6009</v>
      </c>
      <c r="N431" s="24" t="s">
        <v>5380</v>
      </c>
      <c r="O431" s="26" t="s">
        <v>1827</v>
      </c>
      <c r="P431" s="24" t="s">
        <v>6415</v>
      </c>
      <c r="Q431" s="24"/>
      <c r="R431" s="26"/>
      <c r="S431" s="26"/>
      <c r="T431" s="26"/>
      <c r="U431" s="24"/>
      <c r="V431" s="24"/>
      <c r="W431" s="24"/>
      <c r="X431" s="63"/>
      <c r="Y431" s="63"/>
      <c r="Z431" s="63"/>
      <c r="AA431" s="63"/>
      <c r="AB431" s="24"/>
      <c r="AC431" s="24"/>
    </row>
    <row r="432" spans="1:29" s="25" customFormat="1" x14ac:dyDescent="0.3">
      <c r="A432" s="24">
        <v>244</v>
      </c>
      <c r="B432" s="24" t="s">
        <v>2272</v>
      </c>
      <c r="C432" s="26">
        <v>173</v>
      </c>
      <c r="D432" s="25" t="s">
        <v>557</v>
      </c>
      <c r="E432" s="19" t="s">
        <v>558</v>
      </c>
      <c r="F432" s="19"/>
      <c r="G432" s="24"/>
      <c r="H432" s="19"/>
      <c r="I432" s="26" t="s">
        <v>89</v>
      </c>
      <c r="J432" s="26" t="s">
        <v>37</v>
      </c>
      <c r="K432" s="24"/>
      <c r="L432" s="24" t="s">
        <v>3470</v>
      </c>
      <c r="M432" s="24" t="s">
        <v>6008</v>
      </c>
      <c r="N432" s="24" t="s">
        <v>5379</v>
      </c>
      <c r="O432" s="26" t="s">
        <v>1827</v>
      </c>
      <c r="P432" s="24" t="s">
        <v>6414</v>
      </c>
      <c r="Q432" s="24"/>
      <c r="R432" s="26"/>
      <c r="S432" s="26"/>
      <c r="T432" s="26"/>
      <c r="U432" s="24"/>
      <c r="V432" s="24"/>
      <c r="W432" s="24"/>
      <c r="X432" s="63"/>
      <c r="Y432" s="63"/>
      <c r="Z432" s="63"/>
      <c r="AA432" s="63"/>
      <c r="AB432" s="24"/>
      <c r="AC432" s="24"/>
    </row>
    <row r="433" spans="1:29" s="25" customFormat="1" x14ac:dyDescent="0.3">
      <c r="A433" s="24">
        <v>245</v>
      </c>
      <c r="B433" s="24" t="s">
        <v>2272</v>
      </c>
      <c r="C433" s="26">
        <v>51</v>
      </c>
      <c r="D433" s="25" t="s">
        <v>565</v>
      </c>
      <c r="E433" s="19" t="s">
        <v>566</v>
      </c>
      <c r="F433" s="19"/>
      <c r="G433" s="24"/>
      <c r="H433" s="19"/>
      <c r="I433" s="26" t="s">
        <v>49</v>
      </c>
      <c r="J433" s="26" t="s">
        <v>5121</v>
      </c>
      <c r="K433" s="24" t="s">
        <v>49</v>
      </c>
      <c r="L433" s="24" t="s">
        <v>3475</v>
      </c>
      <c r="M433" s="24" t="s">
        <v>6011</v>
      </c>
      <c r="N433" s="24" t="s">
        <v>5382</v>
      </c>
      <c r="O433" s="26"/>
      <c r="P433" s="24" t="s">
        <v>6534</v>
      </c>
      <c r="Q433" s="24"/>
      <c r="R433" s="26"/>
      <c r="S433" s="26"/>
      <c r="T433" s="26"/>
      <c r="U433" s="24"/>
      <c r="V433" s="24"/>
      <c r="W433" s="24"/>
      <c r="X433" s="63"/>
      <c r="Y433" s="63"/>
      <c r="Z433" s="63"/>
      <c r="AA433" s="63"/>
      <c r="AB433" s="24"/>
      <c r="AC433" s="24"/>
    </row>
    <row r="434" spans="1:29" s="28" customFormat="1" x14ac:dyDescent="0.3">
      <c r="A434" s="27" t="s">
        <v>7146</v>
      </c>
      <c r="B434" s="27" t="s">
        <v>2273</v>
      </c>
      <c r="C434" s="29"/>
      <c r="D434" s="28" t="s">
        <v>4881</v>
      </c>
      <c r="E434" s="20" t="s">
        <v>566</v>
      </c>
      <c r="F434" s="20" t="s">
        <v>2490</v>
      </c>
      <c r="G434" s="27"/>
      <c r="H434" s="20"/>
      <c r="I434" s="29"/>
      <c r="J434" s="29"/>
      <c r="K434" s="27"/>
      <c r="L434" s="27"/>
      <c r="M434" s="27" t="s">
        <v>7147</v>
      </c>
      <c r="N434" s="27"/>
      <c r="O434" s="29" t="s">
        <v>7148</v>
      </c>
      <c r="P434" s="27"/>
      <c r="Q434" s="27"/>
      <c r="R434" s="29"/>
      <c r="S434" s="29"/>
      <c r="T434" s="29"/>
      <c r="U434" s="27"/>
      <c r="V434" s="27"/>
      <c r="W434" s="27"/>
      <c r="X434" s="64"/>
      <c r="Y434" s="64"/>
      <c r="Z434" s="64"/>
      <c r="AA434" s="64"/>
      <c r="AB434" s="27"/>
      <c r="AC434" s="27"/>
    </row>
    <row r="435" spans="1:29" s="25" customFormat="1" x14ac:dyDescent="0.3">
      <c r="A435" s="24">
        <v>246</v>
      </c>
      <c r="B435" s="24" t="s">
        <v>2272</v>
      </c>
      <c r="C435" s="26">
        <v>51</v>
      </c>
      <c r="D435" s="25" t="s">
        <v>567</v>
      </c>
      <c r="E435" s="19" t="s">
        <v>568</v>
      </c>
      <c r="F435" s="19"/>
      <c r="G435" s="24"/>
      <c r="H435" s="19"/>
      <c r="I435" s="26" t="s">
        <v>49</v>
      </c>
      <c r="J435" s="26" t="s">
        <v>5121</v>
      </c>
      <c r="K435" s="24" t="s">
        <v>49</v>
      </c>
      <c r="L435" s="24" t="s">
        <v>3477</v>
      </c>
      <c r="M435" s="24" t="s">
        <v>5383</v>
      </c>
      <c r="N435" s="24" t="s">
        <v>5384</v>
      </c>
      <c r="O435" s="26"/>
      <c r="P435" s="24" t="s">
        <v>6535</v>
      </c>
      <c r="Q435" s="24"/>
      <c r="R435" s="26"/>
      <c r="S435" s="26"/>
      <c r="T435" s="26"/>
      <c r="U435" s="24"/>
      <c r="V435" s="24"/>
      <c r="W435" s="24"/>
      <c r="X435" s="63"/>
      <c r="Y435" s="63"/>
      <c r="Z435" s="63"/>
      <c r="AA435" s="63"/>
      <c r="AB435" s="24"/>
      <c r="AC435" s="24"/>
    </row>
    <row r="436" spans="1:29" s="28" customFormat="1" x14ac:dyDescent="0.3">
      <c r="A436" s="27" t="s">
        <v>7149</v>
      </c>
      <c r="B436" s="27" t="s">
        <v>2273</v>
      </c>
      <c r="C436" s="29"/>
      <c r="D436" s="28" t="s">
        <v>4882</v>
      </c>
      <c r="E436" s="20" t="s">
        <v>568</v>
      </c>
      <c r="F436" s="20" t="s">
        <v>2491</v>
      </c>
      <c r="G436" s="27"/>
      <c r="H436" s="20"/>
      <c r="I436" s="29"/>
      <c r="J436" s="29"/>
      <c r="K436" s="27"/>
      <c r="L436" s="27"/>
      <c r="M436" s="27" t="s">
        <v>7150</v>
      </c>
      <c r="N436" s="27"/>
      <c r="O436" s="29" t="s">
        <v>7151</v>
      </c>
      <c r="P436" s="27"/>
      <c r="Q436" s="27"/>
      <c r="R436" s="29"/>
      <c r="S436" s="29"/>
      <c r="T436" s="29"/>
      <c r="U436" s="27"/>
      <c r="V436" s="27"/>
      <c r="W436" s="27"/>
      <c r="X436" s="64"/>
      <c r="Y436" s="64"/>
      <c r="Z436" s="64"/>
      <c r="AA436" s="64"/>
      <c r="AB436" s="27"/>
      <c r="AC436" s="27"/>
    </row>
    <row r="437" spans="1:29" s="25" customFormat="1" x14ac:dyDescent="0.3">
      <c r="A437" s="24">
        <v>247</v>
      </c>
      <c r="B437" s="24" t="s">
        <v>2272</v>
      </c>
      <c r="C437" s="26">
        <v>107</v>
      </c>
      <c r="D437" s="25" t="s">
        <v>571</v>
      </c>
      <c r="E437" s="19" t="s">
        <v>572</v>
      </c>
      <c r="F437" s="19"/>
      <c r="G437" s="24"/>
      <c r="H437" s="19"/>
      <c r="I437" s="26" t="s">
        <v>49</v>
      </c>
      <c r="J437" s="26" t="s">
        <v>5121</v>
      </c>
      <c r="K437" s="24" t="s">
        <v>49</v>
      </c>
      <c r="L437" s="24" t="s">
        <v>3083</v>
      </c>
      <c r="M437" s="24" t="s">
        <v>5385</v>
      </c>
      <c r="N437" s="24" t="s">
        <v>5386</v>
      </c>
      <c r="O437" s="26" t="s">
        <v>1829</v>
      </c>
      <c r="P437" s="24" t="s">
        <v>6416</v>
      </c>
      <c r="Q437" s="24"/>
      <c r="R437" s="26"/>
      <c r="S437" s="26"/>
      <c r="T437" s="26"/>
      <c r="U437" s="24"/>
      <c r="V437" s="24"/>
      <c r="W437" s="24"/>
      <c r="X437" s="63"/>
      <c r="Y437" s="63"/>
      <c r="Z437" s="63"/>
      <c r="AA437" s="63"/>
      <c r="AB437" s="24"/>
      <c r="AC437" s="24"/>
    </row>
    <row r="438" spans="1:29" s="25" customFormat="1" x14ac:dyDescent="0.3">
      <c r="A438" s="24">
        <v>248</v>
      </c>
      <c r="B438" s="24" t="s">
        <v>2272</v>
      </c>
      <c r="C438" s="26">
        <v>105</v>
      </c>
      <c r="D438" s="25" t="s">
        <v>575</v>
      </c>
      <c r="E438" s="19" t="s">
        <v>1831</v>
      </c>
      <c r="F438" s="19"/>
      <c r="G438" s="24"/>
      <c r="H438" s="19"/>
      <c r="I438" s="26" t="s">
        <v>49</v>
      </c>
      <c r="J438" s="26" t="s">
        <v>5121</v>
      </c>
      <c r="K438" s="24" t="s">
        <v>49</v>
      </c>
      <c r="L438" s="24" t="s">
        <v>3479</v>
      </c>
      <c r="M438" s="24" t="s">
        <v>5387</v>
      </c>
      <c r="N438" s="24" t="s">
        <v>5388</v>
      </c>
      <c r="O438" s="26" t="s">
        <v>1830</v>
      </c>
      <c r="P438" s="24" t="s">
        <v>8560</v>
      </c>
      <c r="Q438" s="24"/>
      <c r="R438" s="26"/>
      <c r="S438" s="26"/>
      <c r="T438" s="26"/>
      <c r="U438" s="24"/>
      <c r="V438" s="24"/>
      <c r="W438" s="24"/>
      <c r="X438" s="63"/>
      <c r="Y438" s="63"/>
      <c r="Z438" s="63"/>
      <c r="AA438" s="63"/>
      <c r="AB438" s="24"/>
      <c r="AC438" s="24"/>
    </row>
    <row r="439" spans="1:29" s="25" customFormat="1" x14ac:dyDescent="0.3">
      <c r="A439" s="24">
        <v>249</v>
      </c>
      <c r="B439" s="24" t="s">
        <v>2272</v>
      </c>
      <c r="C439" s="26">
        <v>105</v>
      </c>
      <c r="D439" s="25" t="s">
        <v>576</v>
      </c>
      <c r="E439" s="19" t="s">
        <v>1832</v>
      </c>
      <c r="F439" s="19"/>
      <c r="G439" s="24"/>
      <c r="H439" s="19"/>
      <c r="I439" s="26" t="s">
        <v>49</v>
      </c>
      <c r="J439" s="26" t="s">
        <v>5121</v>
      </c>
      <c r="K439" s="24" t="s">
        <v>49</v>
      </c>
      <c r="L439" s="24" t="s">
        <v>3479</v>
      </c>
      <c r="M439" s="24" t="s">
        <v>5390</v>
      </c>
      <c r="N439" s="24" t="s">
        <v>5391</v>
      </c>
      <c r="O439" s="26"/>
      <c r="P439" s="24" t="s">
        <v>6536</v>
      </c>
      <c r="Q439" s="24"/>
      <c r="R439" s="26"/>
      <c r="S439" s="26"/>
      <c r="T439" s="26"/>
      <c r="U439" s="24"/>
      <c r="V439" s="24"/>
      <c r="W439" s="24"/>
      <c r="X439" s="63"/>
      <c r="Y439" s="63"/>
      <c r="Z439" s="63"/>
      <c r="AA439" s="63"/>
      <c r="AB439" s="24"/>
      <c r="AC439" s="24"/>
    </row>
    <row r="440" spans="1:29" s="28" customFormat="1" x14ac:dyDescent="0.3">
      <c r="A440" s="27" t="s">
        <v>5752</v>
      </c>
      <c r="B440" s="27" t="s">
        <v>2273</v>
      </c>
      <c r="C440" s="29"/>
      <c r="D440" s="28" t="s">
        <v>4883</v>
      </c>
      <c r="E440" s="20" t="s">
        <v>1832</v>
      </c>
      <c r="F440" s="20" t="s">
        <v>5751</v>
      </c>
      <c r="G440" s="27"/>
      <c r="H440" s="20"/>
      <c r="I440" s="29"/>
      <c r="J440" s="29"/>
      <c r="K440" s="27"/>
      <c r="L440" s="27"/>
      <c r="M440" s="27" t="s">
        <v>7152</v>
      </c>
      <c r="N440" s="27" t="s">
        <v>5391</v>
      </c>
      <c r="O440" s="29" t="s">
        <v>7153</v>
      </c>
      <c r="P440" s="27"/>
      <c r="Q440" s="27"/>
      <c r="R440" s="29"/>
      <c r="S440" s="29"/>
      <c r="T440" s="29"/>
      <c r="U440" s="27"/>
      <c r="V440" s="27"/>
      <c r="W440" s="27"/>
      <c r="X440" s="64"/>
      <c r="Y440" s="64"/>
      <c r="Z440" s="64"/>
      <c r="AA440" s="64"/>
      <c r="AB440" s="27"/>
      <c r="AC440" s="27"/>
    </row>
    <row r="441" spans="1:29" s="25" customFormat="1" x14ac:dyDescent="0.3">
      <c r="A441" s="24">
        <v>250</v>
      </c>
      <c r="B441" s="24" t="s">
        <v>2272</v>
      </c>
      <c r="C441" s="26">
        <v>107</v>
      </c>
      <c r="D441" s="25" t="s">
        <v>578</v>
      </c>
      <c r="E441" s="19" t="s">
        <v>579</v>
      </c>
      <c r="F441" s="19"/>
      <c r="G441" s="24"/>
      <c r="H441" s="19"/>
      <c r="I441" s="26" t="s">
        <v>49</v>
      </c>
      <c r="J441" s="26" t="s">
        <v>5121</v>
      </c>
      <c r="K441" s="24" t="s">
        <v>49</v>
      </c>
      <c r="L441" s="24" t="s">
        <v>3083</v>
      </c>
      <c r="M441" s="24" t="s">
        <v>6012</v>
      </c>
      <c r="N441" s="24" t="s">
        <v>5393</v>
      </c>
      <c r="O441" s="26"/>
      <c r="P441" s="24" t="s">
        <v>6417</v>
      </c>
      <c r="Q441" s="24"/>
      <c r="R441" s="26"/>
      <c r="S441" s="26"/>
      <c r="T441" s="26"/>
      <c r="U441" s="24"/>
      <c r="V441" s="24"/>
      <c r="W441" s="24"/>
      <c r="X441" s="63"/>
      <c r="Y441" s="63"/>
      <c r="Z441" s="63"/>
      <c r="AA441" s="63"/>
      <c r="AB441" s="24"/>
      <c r="AC441" s="24"/>
    </row>
    <row r="442" spans="1:29" s="28" customFormat="1" x14ac:dyDescent="0.3">
      <c r="A442" s="27" t="s">
        <v>7154</v>
      </c>
      <c r="B442" s="27" t="s">
        <v>2273</v>
      </c>
      <c r="C442" s="29"/>
      <c r="D442" s="28" t="s">
        <v>4884</v>
      </c>
      <c r="E442" s="20" t="s">
        <v>579</v>
      </c>
      <c r="F442" s="20" t="s">
        <v>2364</v>
      </c>
      <c r="G442" s="27"/>
      <c r="H442" s="20"/>
      <c r="I442" s="29"/>
      <c r="J442" s="29"/>
      <c r="K442" s="27"/>
      <c r="L442" s="27"/>
      <c r="M442" s="27" t="s">
        <v>7155</v>
      </c>
      <c r="N442" s="27"/>
      <c r="O442" s="29" t="s">
        <v>7156</v>
      </c>
      <c r="P442" s="27"/>
      <c r="Q442" s="27"/>
      <c r="R442" s="29"/>
      <c r="S442" s="29"/>
      <c r="T442" s="29"/>
      <c r="U442" s="27"/>
      <c r="V442" s="27"/>
      <c r="W442" s="27"/>
      <c r="X442" s="64"/>
      <c r="Y442" s="64"/>
      <c r="Z442" s="64"/>
      <c r="AA442" s="64"/>
      <c r="AB442" s="27"/>
      <c r="AC442" s="27"/>
    </row>
    <row r="443" spans="1:29" s="25" customFormat="1" x14ac:dyDescent="0.3">
      <c r="A443" s="24">
        <v>251</v>
      </c>
      <c r="B443" s="24" t="s">
        <v>2272</v>
      </c>
      <c r="C443" s="26">
        <v>107</v>
      </c>
      <c r="D443" s="25" t="s">
        <v>580</v>
      </c>
      <c r="E443" s="19" t="s">
        <v>581</v>
      </c>
      <c r="F443" s="19"/>
      <c r="G443" s="24"/>
      <c r="H443" s="19"/>
      <c r="I443" s="26" t="s">
        <v>49</v>
      </c>
      <c r="J443" s="26" t="s">
        <v>5121</v>
      </c>
      <c r="K443" s="24" t="s">
        <v>49</v>
      </c>
      <c r="L443" s="24" t="s">
        <v>3482</v>
      </c>
      <c r="M443" s="24" t="s">
        <v>5394</v>
      </c>
      <c r="N443" s="24" t="s">
        <v>5395</v>
      </c>
      <c r="O443" s="26" t="s">
        <v>1833</v>
      </c>
      <c r="P443" s="24" t="s">
        <v>6418</v>
      </c>
      <c r="Q443" s="24"/>
      <c r="R443" s="26"/>
      <c r="S443" s="26"/>
      <c r="T443" s="26"/>
      <c r="U443" s="24"/>
      <c r="V443" s="24"/>
      <c r="W443" s="24"/>
      <c r="X443" s="63"/>
      <c r="Y443" s="63"/>
      <c r="Z443" s="63"/>
      <c r="AA443" s="63"/>
      <c r="AB443" s="24"/>
      <c r="AC443" s="24"/>
    </row>
    <row r="444" spans="1:29" s="25" customFormat="1" x14ac:dyDescent="0.3">
      <c r="A444" s="24">
        <v>252</v>
      </c>
      <c r="B444" s="24" t="s">
        <v>2272</v>
      </c>
      <c r="C444" s="26">
        <v>107</v>
      </c>
      <c r="D444" s="25" t="s">
        <v>3484</v>
      </c>
      <c r="E444" s="19" t="s">
        <v>3485</v>
      </c>
      <c r="F444" s="19"/>
      <c r="G444" s="24"/>
      <c r="H444" s="19"/>
      <c r="I444" s="26" t="s">
        <v>49</v>
      </c>
      <c r="J444" s="26" t="s">
        <v>5121</v>
      </c>
      <c r="K444" s="24" t="s">
        <v>49</v>
      </c>
      <c r="L444" s="24" t="s">
        <v>3074</v>
      </c>
      <c r="M444" s="24" t="s">
        <v>6013</v>
      </c>
      <c r="N444" s="24" t="s">
        <v>6014</v>
      </c>
      <c r="O444" s="26" t="s">
        <v>4349</v>
      </c>
      <c r="P444" s="24" t="s">
        <v>6419</v>
      </c>
      <c r="Q444" s="24"/>
      <c r="R444" s="26"/>
      <c r="S444" s="26"/>
      <c r="T444" s="26"/>
      <c r="U444" s="24"/>
      <c r="V444" s="24"/>
      <c r="W444" s="24"/>
      <c r="X444" s="63"/>
      <c r="Y444" s="63"/>
      <c r="Z444" s="63"/>
      <c r="AA444" s="63"/>
      <c r="AB444" s="24"/>
      <c r="AC444" s="24"/>
    </row>
    <row r="445" spans="1:29" s="25" customFormat="1" x14ac:dyDescent="0.3">
      <c r="A445" s="24">
        <v>253</v>
      </c>
      <c r="B445" s="24" t="s">
        <v>2272</v>
      </c>
      <c r="C445" s="26">
        <v>107</v>
      </c>
      <c r="D445" s="25" t="s">
        <v>582</v>
      </c>
      <c r="E445" s="19" t="s">
        <v>583</v>
      </c>
      <c r="F445" s="19"/>
      <c r="G445" s="24"/>
      <c r="H445" s="19"/>
      <c r="I445" s="26" t="s">
        <v>49</v>
      </c>
      <c r="J445" s="26" t="s">
        <v>5121</v>
      </c>
      <c r="K445" s="24" t="s">
        <v>49</v>
      </c>
      <c r="L445" s="24" t="s">
        <v>3083</v>
      </c>
      <c r="M445" s="24" t="s">
        <v>5396</v>
      </c>
      <c r="N445" s="24" t="s">
        <v>5397</v>
      </c>
      <c r="O445" s="26" t="s">
        <v>1836</v>
      </c>
      <c r="P445" s="24" t="s">
        <v>6420</v>
      </c>
      <c r="Q445" s="24"/>
      <c r="R445" s="26"/>
      <c r="S445" s="26"/>
      <c r="T445" s="26"/>
      <c r="U445" s="24"/>
      <c r="V445" s="24"/>
      <c r="W445" s="24"/>
      <c r="X445" s="63"/>
      <c r="Y445" s="63"/>
      <c r="Z445" s="63"/>
      <c r="AA445" s="63"/>
      <c r="AB445" s="24"/>
      <c r="AC445" s="24"/>
    </row>
    <row r="446" spans="1:29" s="25" customFormat="1" x14ac:dyDescent="0.3">
      <c r="A446" s="24">
        <v>254</v>
      </c>
      <c r="B446" s="24" t="s">
        <v>2272</v>
      </c>
      <c r="C446" s="26">
        <v>109</v>
      </c>
      <c r="D446" s="25" t="s">
        <v>584</v>
      </c>
      <c r="E446" s="19" t="s">
        <v>585</v>
      </c>
      <c r="F446" s="19"/>
      <c r="G446" s="24"/>
      <c r="H446" s="19"/>
      <c r="I446" s="26" t="s">
        <v>49</v>
      </c>
      <c r="J446" s="26" t="s">
        <v>5121</v>
      </c>
      <c r="K446" s="24" t="s">
        <v>49</v>
      </c>
      <c r="L446" s="24" t="s">
        <v>3488</v>
      </c>
      <c r="M446" s="24" t="s">
        <v>5398</v>
      </c>
      <c r="N446" s="24" t="s">
        <v>5399</v>
      </c>
      <c r="O446" s="26"/>
      <c r="P446" s="24" t="s">
        <v>6421</v>
      </c>
      <c r="Q446" s="24"/>
      <c r="R446" s="26"/>
      <c r="S446" s="26"/>
      <c r="T446" s="26"/>
      <c r="U446" s="24"/>
      <c r="V446" s="24"/>
      <c r="W446" s="24"/>
      <c r="X446" s="63"/>
      <c r="Y446" s="63"/>
      <c r="Z446" s="63"/>
      <c r="AA446" s="63"/>
      <c r="AB446" s="24"/>
      <c r="AC446" s="24"/>
    </row>
    <row r="447" spans="1:29" s="28" customFormat="1" x14ac:dyDescent="0.3">
      <c r="A447" s="27" t="s">
        <v>7157</v>
      </c>
      <c r="B447" s="27" t="s">
        <v>2273</v>
      </c>
      <c r="C447" s="29"/>
      <c r="D447" s="28" t="s">
        <v>4885</v>
      </c>
      <c r="E447" s="20" t="s">
        <v>585</v>
      </c>
      <c r="F447" s="20" t="s">
        <v>2492</v>
      </c>
      <c r="G447" s="27"/>
      <c r="H447" s="20"/>
      <c r="I447" s="29"/>
      <c r="J447" s="29"/>
      <c r="K447" s="27"/>
      <c r="L447" s="27"/>
      <c r="M447" s="27" t="s">
        <v>7158</v>
      </c>
      <c r="N447" s="27" t="s">
        <v>7159</v>
      </c>
      <c r="O447" s="29" t="s">
        <v>7160</v>
      </c>
      <c r="P447" s="27"/>
      <c r="Q447" s="27"/>
      <c r="R447" s="29"/>
      <c r="S447" s="29"/>
      <c r="T447" s="29"/>
      <c r="U447" s="27"/>
      <c r="V447" s="27"/>
      <c r="W447" s="27"/>
      <c r="X447" s="64"/>
      <c r="Y447" s="64"/>
      <c r="Z447" s="64"/>
      <c r="AA447" s="64"/>
      <c r="AB447" s="27"/>
      <c r="AC447" s="27"/>
    </row>
    <row r="448" spans="1:29" s="25" customFormat="1" x14ac:dyDescent="0.3">
      <c r="A448" s="24">
        <v>255</v>
      </c>
      <c r="B448" s="24" t="s">
        <v>2272</v>
      </c>
      <c r="C448" s="26">
        <v>109</v>
      </c>
      <c r="D448" s="25" t="s">
        <v>586</v>
      </c>
      <c r="E448" s="19" t="s">
        <v>587</v>
      </c>
      <c r="F448" s="19"/>
      <c r="G448" s="24"/>
      <c r="H448" s="19"/>
      <c r="I448" s="26" t="s">
        <v>89</v>
      </c>
      <c r="J448" s="26" t="s">
        <v>37</v>
      </c>
      <c r="K448" s="24"/>
      <c r="L448" s="24" t="s">
        <v>3490</v>
      </c>
      <c r="M448" s="24" t="s">
        <v>6016</v>
      </c>
      <c r="N448" s="24" t="s">
        <v>5400</v>
      </c>
      <c r="O448" s="26" t="s">
        <v>1837</v>
      </c>
      <c r="P448" s="24"/>
      <c r="Q448" s="24"/>
      <c r="R448" s="26"/>
      <c r="S448" s="26"/>
      <c r="T448" s="26"/>
      <c r="U448" s="24"/>
      <c r="V448" s="24"/>
      <c r="W448" s="24"/>
      <c r="X448" s="63"/>
      <c r="Y448" s="63"/>
      <c r="Z448" s="63"/>
      <c r="AA448" s="63"/>
      <c r="AB448" s="24"/>
      <c r="AC448" s="24"/>
    </row>
    <row r="449" spans="1:29" s="25" customFormat="1" x14ac:dyDescent="0.3">
      <c r="A449" s="24">
        <v>256</v>
      </c>
      <c r="B449" s="24" t="s">
        <v>2272</v>
      </c>
      <c r="C449" s="26">
        <v>109</v>
      </c>
      <c r="D449" s="25" t="s">
        <v>588</v>
      </c>
      <c r="E449" s="19" t="s">
        <v>589</v>
      </c>
      <c r="F449" s="19"/>
      <c r="G449" s="24"/>
      <c r="H449" s="19"/>
      <c r="I449" s="26" t="s">
        <v>89</v>
      </c>
      <c r="J449" s="26" t="s">
        <v>37</v>
      </c>
      <c r="K449" s="24"/>
      <c r="L449" s="24" t="s">
        <v>3490</v>
      </c>
      <c r="M449" s="24" t="s">
        <v>6017</v>
      </c>
      <c r="N449" s="24" t="s">
        <v>5401</v>
      </c>
      <c r="O449" s="26"/>
      <c r="P449" s="24"/>
      <c r="Q449" s="24"/>
      <c r="R449" s="26"/>
      <c r="S449" s="26"/>
      <c r="T449" s="26"/>
      <c r="U449" s="24"/>
      <c r="V449" s="24"/>
      <c r="W449" s="24"/>
      <c r="X449" s="63"/>
      <c r="Y449" s="63"/>
      <c r="Z449" s="63"/>
      <c r="AA449" s="63"/>
      <c r="AB449" s="24"/>
      <c r="AC449" s="24"/>
    </row>
    <row r="450" spans="1:29" s="25" customFormat="1" x14ac:dyDescent="0.3">
      <c r="A450" s="24">
        <v>257</v>
      </c>
      <c r="B450" s="24" t="s">
        <v>2272</v>
      </c>
      <c r="C450" s="26">
        <v>109</v>
      </c>
      <c r="D450" s="25" t="s">
        <v>590</v>
      </c>
      <c r="E450" s="19" t="s">
        <v>591</v>
      </c>
      <c r="F450" s="19"/>
      <c r="G450" s="24"/>
      <c r="H450" s="19"/>
      <c r="I450" s="26" t="s">
        <v>49</v>
      </c>
      <c r="J450" s="26" t="s">
        <v>5121</v>
      </c>
      <c r="K450" s="24" t="s">
        <v>49</v>
      </c>
      <c r="L450" s="24" t="s">
        <v>3493</v>
      </c>
      <c r="M450" s="24" t="s">
        <v>5402</v>
      </c>
      <c r="N450" s="24" t="s">
        <v>5403</v>
      </c>
      <c r="O450" s="26" t="s">
        <v>1838</v>
      </c>
      <c r="P450" s="24" t="s">
        <v>6537</v>
      </c>
      <c r="Q450" s="24"/>
      <c r="R450" s="26"/>
      <c r="S450" s="26"/>
      <c r="T450" s="26"/>
      <c r="U450" s="24"/>
      <c r="V450" s="24"/>
      <c r="W450" s="24"/>
      <c r="X450" s="63"/>
      <c r="Y450" s="63"/>
      <c r="Z450" s="63"/>
      <c r="AA450" s="63"/>
      <c r="AB450" s="24"/>
      <c r="AC450" s="24"/>
    </row>
    <row r="451" spans="1:29" s="25" customFormat="1" x14ac:dyDescent="0.3">
      <c r="A451" s="24">
        <v>258</v>
      </c>
      <c r="B451" s="24" t="s">
        <v>2272</v>
      </c>
      <c r="C451" s="26">
        <v>109</v>
      </c>
      <c r="D451" s="25" t="s">
        <v>592</v>
      </c>
      <c r="E451" s="19" t="s">
        <v>593</v>
      </c>
      <c r="F451" s="19"/>
      <c r="G451" s="24"/>
      <c r="H451" s="19"/>
      <c r="I451" s="26" t="s">
        <v>49</v>
      </c>
      <c r="J451" s="26" t="s">
        <v>5121</v>
      </c>
      <c r="K451" s="24" t="s">
        <v>49</v>
      </c>
      <c r="L451" s="24" t="s">
        <v>3495</v>
      </c>
      <c r="M451" s="24" t="s">
        <v>6018</v>
      </c>
      <c r="N451" s="24" t="s">
        <v>5404</v>
      </c>
      <c r="O451" s="26" t="s">
        <v>1839</v>
      </c>
      <c r="P451" s="24" t="s">
        <v>6538</v>
      </c>
      <c r="Q451" s="24"/>
      <c r="R451" s="26"/>
      <c r="S451" s="26"/>
      <c r="T451" s="26"/>
      <c r="U451" s="24"/>
      <c r="V451" s="24"/>
      <c r="W451" s="24"/>
      <c r="X451" s="63"/>
      <c r="Y451" s="63"/>
      <c r="Z451" s="63"/>
      <c r="AA451" s="63"/>
      <c r="AB451" s="24"/>
      <c r="AC451" s="24"/>
    </row>
    <row r="452" spans="1:29" s="25" customFormat="1" x14ac:dyDescent="0.3">
      <c r="A452" s="24">
        <v>259</v>
      </c>
      <c r="B452" s="24" t="s">
        <v>2272</v>
      </c>
      <c r="C452" s="26">
        <v>111</v>
      </c>
      <c r="D452" s="25" t="s">
        <v>5814</v>
      </c>
      <c r="E452" s="19" t="s">
        <v>598</v>
      </c>
      <c r="F452" s="19"/>
      <c r="G452" s="24" t="s">
        <v>1841</v>
      </c>
      <c r="H452" s="19"/>
      <c r="I452" s="26" t="s">
        <v>37</v>
      </c>
      <c r="J452" s="26" t="s">
        <v>37</v>
      </c>
      <c r="K452" s="24" t="s">
        <v>3019</v>
      </c>
      <c r="L452" s="24" t="s">
        <v>3498</v>
      </c>
      <c r="M452" s="24" t="s">
        <v>52</v>
      </c>
      <c r="N452" s="24"/>
      <c r="O452" s="26"/>
      <c r="P452" s="24" t="s">
        <v>6539</v>
      </c>
      <c r="Q452" s="24"/>
      <c r="R452" s="26"/>
      <c r="S452" s="26"/>
      <c r="T452" s="26"/>
      <c r="U452" s="24"/>
      <c r="V452" s="24"/>
      <c r="W452" s="24"/>
      <c r="X452" s="63"/>
      <c r="Y452" s="63"/>
      <c r="Z452" s="63"/>
      <c r="AA452" s="63"/>
      <c r="AB452" s="24"/>
      <c r="AC452" s="24"/>
    </row>
    <row r="453" spans="1:29" s="28" customFormat="1" x14ac:dyDescent="0.3">
      <c r="A453" s="27" t="s">
        <v>6279</v>
      </c>
      <c r="B453" s="27" t="s">
        <v>2273</v>
      </c>
      <c r="C453" s="29"/>
      <c r="D453" s="28" t="s">
        <v>6280</v>
      </c>
      <c r="E453" s="20" t="s">
        <v>598</v>
      </c>
      <c r="F453" s="20" t="s">
        <v>2493</v>
      </c>
      <c r="G453" s="27"/>
      <c r="H453" s="20"/>
      <c r="I453" s="29"/>
      <c r="J453" s="29"/>
      <c r="K453" s="27"/>
      <c r="L453" s="27"/>
      <c r="M453" s="27" t="s">
        <v>7161</v>
      </c>
      <c r="N453" s="27"/>
      <c r="O453" s="29" t="s">
        <v>7162</v>
      </c>
      <c r="P453" s="27"/>
      <c r="Q453" s="27"/>
      <c r="R453" s="29"/>
      <c r="S453" s="29"/>
      <c r="T453" s="29"/>
      <c r="U453" s="27"/>
      <c r="V453" s="27"/>
      <c r="W453" s="27"/>
      <c r="X453" s="64"/>
      <c r="Y453" s="64"/>
      <c r="Z453" s="64"/>
      <c r="AA453" s="64"/>
      <c r="AB453" s="27"/>
      <c r="AC453" s="27"/>
    </row>
    <row r="454" spans="1:29" s="25" customFormat="1" x14ac:dyDescent="0.3">
      <c r="A454" s="24">
        <v>260</v>
      </c>
      <c r="B454" s="24" t="s">
        <v>2272</v>
      </c>
      <c r="C454" s="26">
        <v>111</v>
      </c>
      <c r="D454" s="25" t="s">
        <v>596</v>
      </c>
      <c r="E454" s="19" t="s">
        <v>597</v>
      </c>
      <c r="F454" s="19"/>
      <c r="G454" s="24"/>
      <c r="H454" s="19"/>
      <c r="I454" s="26" t="s">
        <v>49</v>
      </c>
      <c r="J454" s="26" t="s">
        <v>5121</v>
      </c>
      <c r="K454" s="24" t="s">
        <v>49</v>
      </c>
      <c r="L454" s="24" t="s">
        <v>3083</v>
      </c>
      <c r="M454" s="24" t="s">
        <v>5405</v>
      </c>
      <c r="N454" s="24" t="s">
        <v>4351</v>
      </c>
      <c r="O454" s="26" t="s">
        <v>1840</v>
      </c>
      <c r="P454" s="24" t="s">
        <v>6422</v>
      </c>
      <c r="Q454" s="24"/>
      <c r="R454" s="26"/>
      <c r="S454" s="26"/>
      <c r="T454" s="26"/>
      <c r="U454" s="24"/>
      <c r="V454" s="24"/>
      <c r="W454" s="24"/>
      <c r="X454" s="63"/>
      <c r="Y454" s="63"/>
      <c r="Z454" s="63"/>
      <c r="AA454" s="63"/>
      <c r="AB454" s="24"/>
      <c r="AC454" s="24"/>
    </row>
    <row r="455" spans="1:29" s="25" customFormat="1" x14ac:dyDescent="0.3">
      <c r="A455" s="24">
        <v>261</v>
      </c>
      <c r="B455" s="24" t="s">
        <v>2272</v>
      </c>
      <c r="C455" s="26">
        <v>111</v>
      </c>
      <c r="D455" s="25" t="s">
        <v>599</v>
      </c>
      <c r="E455" s="19" t="s">
        <v>600</v>
      </c>
      <c r="F455" s="19"/>
      <c r="G455" s="24"/>
      <c r="H455" s="19"/>
      <c r="I455" s="26" t="s">
        <v>49</v>
      </c>
      <c r="J455" s="26" t="s">
        <v>5121</v>
      </c>
      <c r="K455" s="24" t="s">
        <v>49</v>
      </c>
      <c r="L455" s="24" t="s">
        <v>3083</v>
      </c>
      <c r="M455" s="24" t="s">
        <v>5407</v>
      </c>
      <c r="N455" s="24" t="s">
        <v>1620</v>
      </c>
      <c r="O455" s="26" t="s">
        <v>1842</v>
      </c>
      <c r="P455" s="24" t="s">
        <v>6423</v>
      </c>
      <c r="Q455" s="24"/>
      <c r="R455" s="26"/>
      <c r="S455" s="26"/>
      <c r="T455" s="26"/>
      <c r="U455" s="24"/>
      <c r="V455" s="24"/>
      <c r="W455" s="24"/>
      <c r="X455" s="63"/>
      <c r="Y455" s="63"/>
      <c r="Z455" s="63"/>
      <c r="AA455" s="63"/>
      <c r="AB455" s="24"/>
      <c r="AC455" s="24"/>
    </row>
    <row r="456" spans="1:29" s="25" customFormat="1" x14ac:dyDescent="0.3">
      <c r="A456" s="24">
        <v>262</v>
      </c>
      <c r="B456" s="24" t="s">
        <v>2272</v>
      </c>
      <c r="C456" s="26">
        <v>125</v>
      </c>
      <c r="D456" s="25" t="s">
        <v>607</v>
      </c>
      <c r="E456" s="19" t="s">
        <v>608</v>
      </c>
      <c r="F456" s="19"/>
      <c r="G456" s="24"/>
      <c r="H456" s="19"/>
      <c r="I456" s="26" t="s">
        <v>89</v>
      </c>
      <c r="J456" s="26" t="s">
        <v>37</v>
      </c>
      <c r="K456" s="24"/>
      <c r="L456" s="24" t="s">
        <v>3501</v>
      </c>
      <c r="M456" s="24" t="s">
        <v>5411</v>
      </c>
      <c r="N456" s="24" t="s">
        <v>5412</v>
      </c>
      <c r="O456" s="26"/>
      <c r="P456" s="24"/>
      <c r="Q456" s="24"/>
      <c r="R456" s="26"/>
      <c r="S456" s="26"/>
      <c r="T456" s="26"/>
      <c r="U456" s="24"/>
      <c r="V456" s="24"/>
      <c r="W456" s="24"/>
      <c r="X456" s="63"/>
      <c r="Y456" s="63"/>
      <c r="Z456" s="63"/>
      <c r="AA456" s="63"/>
      <c r="AB456" s="24"/>
      <c r="AC456" s="24"/>
    </row>
    <row r="457" spans="1:29" s="28" customFormat="1" x14ac:dyDescent="0.3">
      <c r="A457" s="27" t="s">
        <v>6281</v>
      </c>
      <c r="B457" s="27" t="s">
        <v>2273</v>
      </c>
      <c r="C457" s="29"/>
      <c r="D457" s="28" t="s">
        <v>4887</v>
      </c>
      <c r="E457" s="20" t="s">
        <v>608</v>
      </c>
      <c r="F457" s="20" t="s">
        <v>2496</v>
      </c>
      <c r="G457" s="27"/>
      <c r="H457" s="20"/>
      <c r="I457" s="29"/>
      <c r="J457" s="29"/>
      <c r="K457" s="27"/>
      <c r="L457" s="27"/>
      <c r="M457" s="27" t="s">
        <v>7163</v>
      </c>
      <c r="N457" s="27"/>
      <c r="O457" s="29" t="s">
        <v>7164</v>
      </c>
      <c r="P457" s="27"/>
      <c r="Q457" s="27"/>
      <c r="R457" s="29"/>
      <c r="S457" s="29"/>
      <c r="T457" s="29"/>
      <c r="U457" s="27"/>
      <c r="V457" s="27"/>
      <c r="W457" s="27"/>
      <c r="X457" s="64"/>
      <c r="Y457" s="64"/>
      <c r="Z457" s="64"/>
      <c r="AA457" s="64"/>
      <c r="AB457" s="27"/>
      <c r="AC457" s="27"/>
    </row>
    <row r="458" spans="1:29" s="25" customFormat="1" x14ac:dyDescent="0.3">
      <c r="A458" s="24">
        <v>263</v>
      </c>
      <c r="B458" s="24" t="s">
        <v>2272</v>
      </c>
      <c r="C458" s="26">
        <v>125</v>
      </c>
      <c r="D458" s="25" t="s">
        <v>605</v>
      </c>
      <c r="E458" s="19" t="s">
        <v>606</v>
      </c>
      <c r="F458" s="19"/>
      <c r="G458" s="24"/>
      <c r="H458" s="19"/>
      <c r="I458" s="26" t="s">
        <v>89</v>
      </c>
      <c r="J458" s="26" t="s">
        <v>37</v>
      </c>
      <c r="K458" s="24"/>
      <c r="L458" s="24" t="s">
        <v>3503</v>
      </c>
      <c r="M458" s="24" t="s">
        <v>6020</v>
      </c>
      <c r="N458" s="24" t="s">
        <v>5410</v>
      </c>
      <c r="O458" s="26"/>
      <c r="P458" s="24" t="s">
        <v>6540</v>
      </c>
      <c r="Q458" s="24"/>
      <c r="R458" s="26"/>
      <c r="S458" s="26"/>
      <c r="T458" s="26"/>
      <c r="U458" s="24"/>
      <c r="V458" s="24"/>
      <c r="W458" s="24"/>
      <c r="X458" s="63"/>
      <c r="Y458" s="63"/>
      <c r="Z458" s="63"/>
      <c r="AA458" s="63"/>
      <c r="AB458" s="24"/>
      <c r="AC458" s="24"/>
    </row>
    <row r="459" spans="1:29" s="28" customFormat="1" x14ac:dyDescent="0.3">
      <c r="A459" s="27" t="s">
        <v>6282</v>
      </c>
      <c r="B459" s="27" t="s">
        <v>2273</v>
      </c>
      <c r="C459" s="29"/>
      <c r="D459" s="28" t="s">
        <v>4886</v>
      </c>
      <c r="E459" s="20" t="s">
        <v>606</v>
      </c>
      <c r="F459" s="20" t="s">
        <v>2494</v>
      </c>
      <c r="G459" s="27"/>
      <c r="H459" s="20"/>
      <c r="I459" s="29"/>
      <c r="J459" s="29"/>
      <c r="K459" s="27"/>
      <c r="L459" s="27"/>
      <c r="M459" s="27" t="s">
        <v>7165</v>
      </c>
      <c r="N459" s="27"/>
      <c r="O459" s="29" t="s">
        <v>7166</v>
      </c>
      <c r="P459" s="27"/>
      <c r="Q459" s="27"/>
      <c r="R459" s="29"/>
      <c r="S459" s="29"/>
      <c r="T459" s="29"/>
      <c r="U459" s="27"/>
      <c r="V459" s="27"/>
      <c r="W459" s="27"/>
      <c r="X459" s="64"/>
      <c r="Y459" s="64"/>
      <c r="Z459" s="64"/>
      <c r="AA459" s="64"/>
      <c r="AB459" s="27"/>
      <c r="AC459" s="27"/>
    </row>
    <row r="460" spans="1:29" s="28" customFormat="1" x14ac:dyDescent="0.3">
      <c r="A460" s="27" t="s">
        <v>7167</v>
      </c>
      <c r="B460" s="27" t="s">
        <v>2273</v>
      </c>
      <c r="C460" s="29"/>
      <c r="D460" s="28" t="s">
        <v>4886</v>
      </c>
      <c r="E460" s="20" t="s">
        <v>606</v>
      </c>
      <c r="F460" s="20" t="s">
        <v>2495</v>
      </c>
      <c r="G460" s="27"/>
      <c r="H460" s="20"/>
      <c r="I460" s="29"/>
      <c r="J460" s="29"/>
      <c r="K460" s="27"/>
      <c r="L460" s="27"/>
      <c r="M460" s="27" t="s">
        <v>7168</v>
      </c>
      <c r="N460" s="27"/>
      <c r="O460" s="29" t="s">
        <v>7169</v>
      </c>
      <c r="P460" s="27"/>
      <c r="Q460" s="27"/>
      <c r="R460" s="29"/>
      <c r="S460" s="29"/>
      <c r="T460" s="29"/>
      <c r="U460" s="27"/>
      <c r="V460" s="27"/>
      <c r="W460" s="27"/>
      <c r="X460" s="64"/>
      <c r="Y460" s="64"/>
      <c r="Z460" s="64"/>
      <c r="AA460" s="64"/>
      <c r="AB460" s="27"/>
      <c r="AC460" s="27"/>
    </row>
    <row r="461" spans="1:29" s="25" customFormat="1" x14ac:dyDescent="0.3">
      <c r="A461" s="24">
        <v>264</v>
      </c>
      <c r="B461" s="24" t="s">
        <v>2272</v>
      </c>
      <c r="C461" s="26">
        <v>125</v>
      </c>
      <c r="D461" s="25" t="s">
        <v>1845</v>
      </c>
      <c r="E461" s="19" t="s">
        <v>604</v>
      </c>
      <c r="F461" s="19"/>
      <c r="G461" s="24"/>
      <c r="H461" s="19"/>
      <c r="I461" s="26" t="s">
        <v>89</v>
      </c>
      <c r="J461" s="26" t="s">
        <v>37</v>
      </c>
      <c r="K461" s="24" t="s">
        <v>1844</v>
      </c>
      <c r="L461" s="24" t="s">
        <v>6476</v>
      </c>
      <c r="M461" s="24" t="s">
        <v>5408</v>
      </c>
      <c r="N461" s="24" t="s">
        <v>5409</v>
      </c>
      <c r="O461" s="26" t="s">
        <v>1843</v>
      </c>
      <c r="P461" s="24" t="s">
        <v>3002</v>
      </c>
      <c r="Q461" s="24"/>
      <c r="R461" s="26"/>
      <c r="S461" s="26"/>
      <c r="T461" s="26"/>
      <c r="U461" s="24"/>
      <c r="V461" s="24"/>
      <c r="W461" s="24"/>
      <c r="X461" s="63"/>
      <c r="Y461" s="63"/>
      <c r="Z461" s="63"/>
      <c r="AA461" s="63"/>
      <c r="AB461" s="24"/>
      <c r="AC461" s="24"/>
    </row>
    <row r="462" spans="1:29" s="25" customFormat="1" x14ac:dyDescent="0.3">
      <c r="A462" s="24">
        <v>265</v>
      </c>
      <c r="B462" s="24" t="s">
        <v>2272</v>
      </c>
      <c r="C462" s="26">
        <v>127</v>
      </c>
      <c r="D462" s="25" t="s">
        <v>612</v>
      </c>
      <c r="E462" s="19" t="s">
        <v>613</v>
      </c>
      <c r="F462" s="19"/>
      <c r="G462" s="24"/>
      <c r="H462" s="19"/>
      <c r="I462" s="26" t="s">
        <v>37</v>
      </c>
      <c r="J462" s="26" t="s">
        <v>37</v>
      </c>
      <c r="K462" s="24"/>
      <c r="L462" s="24" t="s">
        <v>3507</v>
      </c>
      <c r="M462" s="24" t="s">
        <v>5413</v>
      </c>
      <c r="N462" s="24" t="s">
        <v>5414</v>
      </c>
      <c r="O462" s="26"/>
      <c r="P462" s="24"/>
      <c r="Q462" s="24"/>
      <c r="R462" s="26"/>
      <c r="S462" s="26"/>
      <c r="T462" s="26"/>
      <c r="U462" s="24"/>
      <c r="V462" s="24"/>
      <c r="W462" s="24"/>
      <c r="X462" s="63"/>
      <c r="Y462" s="63"/>
      <c r="Z462" s="63"/>
      <c r="AA462" s="63"/>
      <c r="AB462" s="24"/>
      <c r="AC462" s="24"/>
    </row>
    <row r="463" spans="1:29" s="28" customFormat="1" x14ac:dyDescent="0.3">
      <c r="A463" s="27" t="s">
        <v>6283</v>
      </c>
      <c r="B463" s="27" t="s">
        <v>2273</v>
      </c>
      <c r="C463" s="29"/>
      <c r="D463" s="28" t="s">
        <v>4889</v>
      </c>
      <c r="E463" s="20" t="s">
        <v>613</v>
      </c>
      <c r="F463" s="20" t="s">
        <v>2498</v>
      </c>
      <c r="G463" s="27"/>
      <c r="H463" s="20"/>
      <c r="I463" s="29"/>
      <c r="J463" s="29"/>
      <c r="K463" s="27"/>
      <c r="L463" s="27"/>
      <c r="M463" s="27" t="s">
        <v>7170</v>
      </c>
      <c r="N463" s="27"/>
      <c r="O463" s="29" t="s">
        <v>7171</v>
      </c>
      <c r="P463" s="27"/>
      <c r="Q463" s="27"/>
      <c r="R463" s="29"/>
      <c r="S463" s="29"/>
      <c r="T463" s="29"/>
      <c r="U463" s="27"/>
      <c r="V463" s="27"/>
      <c r="W463" s="27"/>
      <c r="X463" s="64"/>
      <c r="Y463" s="64"/>
      <c r="Z463" s="64"/>
      <c r="AA463" s="64"/>
      <c r="AB463" s="27"/>
      <c r="AC463" s="27"/>
    </row>
    <row r="464" spans="1:29" s="25" customFormat="1" x14ac:dyDescent="0.3">
      <c r="A464" s="24">
        <v>266</v>
      </c>
      <c r="B464" s="24" t="s">
        <v>2272</v>
      </c>
      <c r="C464" s="26">
        <v>127</v>
      </c>
      <c r="D464" s="25" t="s">
        <v>614</v>
      </c>
      <c r="E464" s="19" t="s">
        <v>615</v>
      </c>
      <c r="F464" s="19"/>
      <c r="G464" s="24"/>
      <c r="H464" s="19"/>
      <c r="I464" s="26" t="s">
        <v>346</v>
      </c>
      <c r="J464" s="26" t="s">
        <v>37</v>
      </c>
      <c r="K464" s="24"/>
      <c r="L464" s="24" t="s">
        <v>6478</v>
      </c>
      <c r="M464" s="24" t="s">
        <v>6022</v>
      </c>
      <c r="N464" s="24" t="s">
        <v>5415</v>
      </c>
      <c r="O464" s="26"/>
      <c r="P464" s="24"/>
      <c r="Q464" s="24"/>
      <c r="R464" s="26"/>
      <c r="S464" s="26"/>
      <c r="T464" s="26"/>
      <c r="U464" s="24"/>
      <c r="V464" s="24"/>
      <c r="W464" s="24"/>
      <c r="X464" s="63"/>
      <c r="Y464" s="63"/>
      <c r="Z464" s="63"/>
      <c r="AA464" s="63"/>
      <c r="AB464" s="24"/>
      <c r="AC464" s="24"/>
    </row>
    <row r="465" spans="1:29" s="28" customFormat="1" x14ac:dyDescent="0.3">
      <c r="A465" s="27" t="s">
        <v>6284</v>
      </c>
      <c r="B465" s="27" t="s">
        <v>2273</v>
      </c>
      <c r="C465" s="29"/>
      <c r="D465" s="28" t="s">
        <v>4890</v>
      </c>
      <c r="E465" s="20" t="s">
        <v>615</v>
      </c>
      <c r="F465" s="20" t="s">
        <v>2499</v>
      </c>
      <c r="G465" s="27"/>
      <c r="H465" s="20"/>
      <c r="I465" s="29"/>
      <c r="J465" s="29"/>
      <c r="K465" s="27"/>
      <c r="L465" s="27"/>
      <c r="M465" s="27" t="s">
        <v>7172</v>
      </c>
      <c r="N465" s="27"/>
      <c r="O465" s="29" t="s">
        <v>7173</v>
      </c>
      <c r="P465" s="27"/>
      <c r="Q465" s="27"/>
      <c r="R465" s="29"/>
      <c r="S465" s="29"/>
      <c r="T465" s="29"/>
      <c r="U465" s="27"/>
      <c r="V465" s="27"/>
      <c r="W465" s="27"/>
      <c r="X465" s="64"/>
      <c r="Y465" s="64"/>
      <c r="Z465" s="64"/>
      <c r="AA465" s="64"/>
      <c r="AB465" s="27"/>
      <c r="AC465" s="27"/>
    </row>
    <row r="466" spans="1:29" s="25" customFormat="1" x14ac:dyDescent="0.3">
      <c r="A466" s="24">
        <v>267</v>
      </c>
      <c r="B466" s="24" t="s">
        <v>2272</v>
      </c>
      <c r="C466" s="26">
        <v>127</v>
      </c>
      <c r="D466" s="25" t="s">
        <v>610</v>
      </c>
      <c r="E466" s="19" t="s">
        <v>611</v>
      </c>
      <c r="F466" s="19"/>
      <c r="G466" s="24"/>
      <c r="H466" s="19"/>
      <c r="I466" s="26" t="s">
        <v>37</v>
      </c>
      <c r="J466" s="26" t="s">
        <v>5121</v>
      </c>
      <c r="K466" s="24" t="s">
        <v>4352</v>
      </c>
      <c r="L466" s="24" t="s">
        <v>6477</v>
      </c>
      <c r="M466" s="24" t="s">
        <v>6021</v>
      </c>
      <c r="N466" s="24"/>
      <c r="O466" s="26"/>
      <c r="P466" s="24" t="s">
        <v>8561</v>
      </c>
      <c r="Q466" s="24"/>
      <c r="R466" s="26"/>
      <c r="S466" s="26"/>
      <c r="T466" s="26"/>
      <c r="U466" s="24"/>
      <c r="V466" s="24"/>
      <c r="W466" s="24"/>
      <c r="X466" s="63"/>
      <c r="Y466" s="63"/>
      <c r="Z466" s="63"/>
      <c r="AA466" s="63"/>
      <c r="AB466" s="24"/>
      <c r="AC466" s="24"/>
    </row>
    <row r="467" spans="1:29" s="28" customFormat="1" x14ac:dyDescent="0.3">
      <c r="A467" s="27" t="s">
        <v>7174</v>
      </c>
      <c r="B467" s="27" t="s">
        <v>2273</v>
      </c>
      <c r="C467" s="29"/>
      <c r="D467" s="28" t="s">
        <v>4888</v>
      </c>
      <c r="E467" s="20" t="s">
        <v>611</v>
      </c>
      <c r="F467" s="20" t="s">
        <v>2497</v>
      </c>
      <c r="G467" s="27"/>
      <c r="H467" s="20"/>
      <c r="I467" s="29"/>
      <c r="J467" s="29"/>
      <c r="K467" s="27"/>
      <c r="L467" s="27"/>
      <c r="M467" s="27" t="s">
        <v>7175</v>
      </c>
      <c r="N467" s="27"/>
      <c r="O467" s="29" t="s">
        <v>7176</v>
      </c>
      <c r="P467" s="27"/>
      <c r="Q467" s="27"/>
      <c r="R467" s="29"/>
      <c r="S467" s="29"/>
      <c r="T467" s="29"/>
      <c r="U467" s="27"/>
      <c r="V467" s="27"/>
      <c r="W467" s="27"/>
      <c r="X467" s="64"/>
      <c r="Y467" s="64"/>
      <c r="Z467" s="64"/>
      <c r="AA467" s="64"/>
      <c r="AB467" s="27"/>
      <c r="AC467" s="27"/>
    </row>
    <row r="468" spans="1:29" s="25" customFormat="1" x14ac:dyDescent="0.3">
      <c r="A468" s="24">
        <v>268</v>
      </c>
      <c r="B468" s="24" t="s">
        <v>2272</v>
      </c>
      <c r="C468" s="26">
        <v>129</v>
      </c>
      <c r="D468" s="25" t="s">
        <v>620</v>
      </c>
      <c r="E468" s="19" t="s">
        <v>621</v>
      </c>
      <c r="F468" s="19"/>
      <c r="G468" s="24"/>
      <c r="H468" s="19"/>
      <c r="I468" s="26" t="s">
        <v>37</v>
      </c>
      <c r="J468" s="26" t="s">
        <v>37</v>
      </c>
      <c r="K468" s="24" t="s">
        <v>3019</v>
      </c>
      <c r="L468" s="24" t="s">
        <v>3510</v>
      </c>
      <c r="M468" s="24" t="s">
        <v>5416</v>
      </c>
      <c r="N468" s="24"/>
      <c r="O468" s="26" t="s">
        <v>1846</v>
      </c>
      <c r="P468" s="24" t="s">
        <v>6541</v>
      </c>
      <c r="Q468" s="24"/>
      <c r="R468" s="26"/>
      <c r="S468" s="26"/>
      <c r="T468" s="26"/>
      <c r="U468" s="24"/>
      <c r="V468" s="24"/>
      <c r="W468" s="24"/>
      <c r="X468" s="63"/>
      <c r="Y468" s="63"/>
      <c r="Z468" s="63"/>
      <c r="AA468" s="63"/>
      <c r="AB468" s="24"/>
      <c r="AC468" s="24"/>
    </row>
    <row r="469" spans="1:29" s="25" customFormat="1" x14ac:dyDescent="0.3">
      <c r="A469" s="24">
        <v>269</v>
      </c>
      <c r="B469" s="24" t="s">
        <v>2272</v>
      </c>
      <c r="C469" s="26"/>
      <c r="D469" s="25" t="s">
        <v>5819</v>
      </c>
      <c r="E469" s="19" t="s">
        <v>5820</v>
      </c>
      <c r="F469" s="19"/>
      <c r="G469" s="24"/>
      <c r="H469" s="19"/>
      <c r="I469" s="26" t="s">
        <v>49</v>
      </c>
      <c r="J469" s="26"/>
      <c r="K469" s="24" t="s">
        <v>49</v>
      </c>
      <c r="L469" s="24"/>
      <c r="M469" s="24" t="s">
        <v>6023</v>
      </c>
      <c r="N469" s="24"/>
      <c r="O469" s="26" t="s">
        <v>6024</v>
      </c>
      <c r="P469" s="24" t="s">
        <v>6424</v>
      </c>
      <c r="Q469" s="24"/>
      <c r="R469" s="26"/>
      <c r="S469" s="26"/>
      <c r="T469" s="26"/>
      <c r="U469" s="24"/>
      <c r="V469" s="24"/>
      <c r="W469" s="24"/>
      <c r="X469" s="63"/>
      <c r="Y469" s="63"/>
      <c r="Z469" s="63"/>
      <c r="AA469" s="63"/>
      <c r="AB469" s="24"/>
      <c r="AC469" s="24"/>
    </row>
    <row r="470" spans="1:29" s="25" customFormat="1" x14ac:dyDescent="0.3">
      <c r="A470" s="24">
        <v>270</v>
      </c>
      <c r="B470" s="24" t="s">
        <v>2272</v>
      </c>
      <c r="C470" s="26">
        <v>129</v>
      </c>
      <c r="D470" s="25" t="s">
        <v>617</v>
      </c>
      <c r="E470" s="19" t="s">
        <v>618</v>
      </c>
      <c r="F470" s="19"/>
      <c r="G470" s="24"/>
      <c r="H470" s="19"/>
      <c r="I470" s="26" t="s">
        <v>89</v>
      </c>
      <c r="J470" s="26" t="s">
        <v>37</v>
      </c>
      <c r="K470" s="24"/>
      <c r="L470" s="24" t="s">
        <v>3512</v>
      </c>
      <c r="M470" s="24" t="s">
        <v>6025</v>
      </c>
      <c r="N470" s="24"/>
      <c r="O470" s="26"/>
      <c r="P470" s="24"/>
      <c r="Q470" s="24"/>
      <c r="R470" s="26"/>
      <c r="S470" s="26"/>
      <c r="T470" s="26"/>
      <c r="U470" s="24"/>
      <c r="V470" s="24"/>
      <c r="W470" s="24"/>
      <c r="X470" s="63"/>
      <c r="Y470" s="63"/>
      <c r="Z470" s="63"/>
      <c r="AA470" s="63"/>
      <c r="AB470" s="24"/>
      <c r="AC470" s="24"/>
    </row>
    <row r="471" spans="1:29" s="28" customFormat="1" x14ac:dyDescent="0.3">
      <c r="A471" s="27" t="s">
        <v>7177</v>
      </c>
      <c r="B471" s="27" t="s">
        <v>2273</v>
      </c>
      <c r="C471" s="29">
        <v>129</v>
      </c>
      <c r="D471" s="28" t="s">
        <v>4891</v>
      </c>
      <c r="E471" s="20" t="s">
        <v>618</v>
      </c>
      <c r="F471" s="20" t="s">
        <v>2332</v>
      </c>
      <c r="G471" s="27" t="s">
        <v>4574</v>
      </c>
      <c r="H471" s="20" t="s">
        <v>4575</v>
      </c>
      <c r="I471" s="29"/>
      <c r="J471" s="29" t="s">
        <v>37</v>
      </c>
      <c r="K471" s="27"/>
      <c r="L471" s="27" t="s">
        <v>3512</v>
      </c>
      <c r="M471" s="27" t="s">
        <v>7178</v>
      </c>
      <c r="N471" s="27"/>
      <c r="O471" s="29" t="s">
        <v>7179</v>
      </c>
      <c r="P471" s="27"/>
      <c r="Q471" s="27"/>
      <c r="R471" s="29"/>
      <c r="S471" s="29"/>
      <c r="T471" s="29"/>
      <c r="U471" s="27"/>
      <c r="V471" s="27"/>
      <c r="W471" s="27"/>
      <c r="X471" s="64"/>
      <c r="Y471" s="64"/>
      <c r="Z471" s="64"/>
      <c r="AA471" s="64"/>
      <c r="AB471" s="27"/>
      <c r="AC471" s="27"/>
    </row>
    <row r="472" spans="1:29" s="25" customFormat="1" x14ac:dyDescent="0.3">
      <c r="A472" s="24">
        <v>271</v>
      </c>
      <c r="B472" s="24" t="s">
        <v>2272</v>
      </c>
      <c r="C472" s="26">
        <v>111</v>
      </c>
      <c r="D472" s="25" t="s">
        <v>623</v>
      </c>
      <c r="E472" s="19" t="s">
        <v>624</v>
      </c>
      <c r="F472" s="19"/>
      <c r="G472" s="24"/>
      <c r="H472" s="19"/>
      <c r="I472" s="26" t="s">
        <v>49</v>
      </c>
      <c r="J472" s="26" t="s">
        <v>5121</v>
      </c>
      <c r="K472" s="24" t="s">
        <v>49</v>
      </c>
      <c r="L472" s="24" t="s">
        <v>3514</v>
      </c>
      <c r="M472" s="24" t="s">
        <v>5417</v>
      </c>
      <c r="N472" s="24"/>
      <c r="O472" s="26" t="s">
        <v>1848</v>
      </c>
      <c r="P472" s="24" t="s">
        <v>6425</v>
      </c>
      <c r="Q472" s="24"/>
      <c r="R472" s="26"/>
      <c r="S472" s="26"/>
      <c r="T472" s="26"/>
      <c r="U472" s="24"/>
      <c r="V472" s="24"/>
      <c r="W472" s="24"/>
      <c r="X472" s="63"/>
      <c r="Y472" s="63"/>
      <c r="Z472" s="63"/>
      <c r="AA472" s="63"/>
      <c r="AB472" s="24"/>
      <c r="AC472" s="24"/>
    </row>
    <row r="473" spans="1:29" s="25" customFormat="1" x14ac:dyDescent="0.3">
      <c r="A473" s="24">
        <v>272</v>
      </c>
      <c r="B473" s="24" t="s">
        <v>2272</v>
      </c>
      <c r="C473" s="26">
        <v>113</v>
      </c>
      <c r="D473" s="25" t="s">
        <v>625</v>
      </c>
      <c r="E473" s="19" t="s">
        <v>626</v>
      </c>
      <c r="F473" s="19"/>
      <c r="G473" s="24"/>
      <c r="H473" s="19"/>
      <c r="I473" s="26" t="s">
        <v>37</v>
      </c>
      <c r="J473" s="26" t="s">
        <v>37</v>
      </c>
      <c r="K473" s="24" t="s">
        <v>3029</v>
      </c>
      <c r="L473" s="24" t="s">
        <v>3516</v>
      </c>
      <c r="M473" s="24" t="s">
        <v>6026</v>
      </c>
      <c r="N473" s="24"/>
      <c r="O473" s="26" t="s">
        <v>1849</v>
      </c>
      <c r="P473" s="24" t="s">
        <v>6542</v>
      </c>
      <c r="Q473" s="24"/>
      <c r="R473" s="26"/>
      <c r="S473" s="26"/>
      <c r="T473" s="26"/>
      <c r="U473" s="24"/>
      <c r="V473" s="24"/>
      <c r="W473" s="24"/>
      <c r="X473" s="63"/>
      <c r="Y473" s="63"/>
      <c r="Z473" s="63"/>
      <c r="AA473" s="63"/>
      <c r="AB473" s="24"/>
      <c r="AC473" s="24"/>
    </row>
    <row r="474" spans="1:29" s="25" customFormat="1" x14ac:dyDescent="0.3">
      <c r="A474" s="24">
        <v>273</v>
      </c>
      <c r="B474" s="24" t="s">
        <v>2272</v>
      </c>
      <c r="C474" s="26">
        <v>111</v>
      </c>
      <c r="D474" s="25" t="s">
        <v>627</v>
      </c>
      <c r="E474" s="19" t="s">
        <v>628</v>
      </c>
      <c r="F474" s="19"/>
      <c r="G474" s="24"/>
      <c r="H474" s="19"/>
      <c r="I474" s="26" t="s">
        <v>49</v>
      </c>
      <c r="J474" s="26" t="s">
        <v>5121</v>
      </c>
      <c r="K474" s="24" t="s">
        <v>49</v>
      </c>
      <c r="L474" s="24" t="s">
        <v>3081</v>
      </c>
      <c r="M474" s="24" t="s">
        <v>5418</v>
      </c>
      <c r="N474" s="24"/>
      <c r="O474" s="26"/>
      <c r="P474" s="24" t="s">
        <v>6543</v>
      </c>
      <c r="Q474" s="24"/>
      <c r="R474" s="26"/>
      <c r="S474" s="26"/>
      <c r="T474" s="26"/>
      <c r="U474" s="24"/>
      <c r="V474" s="24"/>
      <c r="W474" s="24"/>
      <c r="X474" s="63"/>
      <c r="Y474" s="63"/>
      <c r="Z474" s="63"/>
      <c r="AA474" s="63"/>
      <c r="AB474" s="24"/>
      <c r="AC474" s="24"/>
    </row>
    <row r="475" spans="1:29" s="28" customFormat="1" x14ac:dyDescent="0.3">
      <c r="A475" s="27" t="s">
        <v>7180</v>
      </c>
      <c r="B475" s="27" t="s">
        <v>2273</v>
      </c>
      <c r="C475" s="29"/>
      <c r="D475" s="28" t="s">
        <v>4892</v>
      </c>
      <c r="E475" s="20" t="s">
        <v>628</v>
      </c>
      <c r="F475" s="20" t="s">
        <v>2500</v>
      </c>
      <c r="G475" s="27"/>
      <c r="H475" s="20"/>
      <c r="I475" s="29"/>
      <c r="J475" s="29"/>
      <c r="K475" s="27"/>
      <c r="L475" s="27"/>
      <c r="M475" s="27" t="s">
        <v>7181</v>
      </c>
      <c r="N475" s="27" t="s">
        <v>7032</v>
      </c>
      <c r="O475" s="29" t="s">
        <v>7182</v>
      </c>
      <c r="P475" s="27"/>
      <c r="Q475" s="27"/>
      <c r="R475" s="29"/>
      <c r="S475" s="29"/>
      <c r="T475" s="29"/>
      <c r="U475" s="27"/>
      <c r="V475" s="27"/>
      <c r="W475" s="27"/>
      <c r="X475" s="64"/>
      <c r="Y475" s="64"/>
      <c r="Z475" s="64"/>
      <c r="AA475" s="64"/>
      <c r="AB475" s="27"/>
      <c r="AC475" s="27"/>
    </row>
    <row r="476" spans="1:29" s="25" customFormat="1" x14ac:dyDescent="0.3">
      <c r="A476" s="24">
        <v>274</v>
      </c>
      <c r="B476" s="24" t="s">
        <v>2272</v>
      </c>
      <c r="C476" s="26">
        <v>111</v>
      </c>
      <c r="D476" s="25" t="s">
        <v>629</v>
      </c>
      <c r="E476" s="19" t="s">
        <v>630</v>
      </c>
      <c r="F476" s="19"/>
      <c r="G476" s="24"/>
      <c r="H476" s="19"/>
      <c r="I476" s="26" t="s">
        <v>89</v>
      </c>
      <c r="J476" s="26" t="s">
        <v>37</v>
      </c>
      <c r="K476" s="24"/>
      <c r="L476" s="24" t="s">
        <v>3519</v>
      </c>
      <c r="M476" s="24" t="s">
        <v>5419</v>
      </c>
      <c r="N476" s="24" t="s">
        <v>5420</v>
      </c>
      <c r="O476" s="26" t="s">
        <v>1850</v>
      </c>
      <c r="P476" s="24" t="s">
        <v>6426</v>
      </c>
      <c r="Q476" s="24"/>
      <c r="R476" s="26"/>
      <c r="S476" s="26"/>
      <c r="T476" s="26"/>
      <c r="U476" s="24"/>
      <c r="V476" s="24"/>
      <c r="W476" s="24"/>
      <c r="X476" s="63"/>
      <c r="Y476" s="63"/>
      <c r="Z476" s="63"/>
      <c r="AA476" s="63"/>
      <c r="AB476" s="24"/>
      <c r="AC476" s="24"/>
    </row>
    <row r="477" spans="1:29" s="25" customFormat="1" x14ac:dyDescent="0.3">
      <c r="A477" s="24">
        <v>275</v>
      </c>
      <c r="B477" s="24" t="s">
        <v>2272</v>
      </c>
      <c r="C477" s="26">
        <v>113</v>
      </c>
      <c r="D477" s="25" t="s">
        <v>632</v>
      </c>
      <c r="E477" s="19" t="s">
        <v>633</v>
      </c>
      <c r="F477" s="19"/>
      <c r="G477" s="24"/>
      <c r="H477" s="19"/>
      <c r="I477" s="26" t="s">
        <v>49</v>
      </c>
      <c r="J477" s="26" t="s">
        <v>5121</v>
      </c>
      <c r="K477" s="24" t="s">
        <v>49</v>
      </c>
      <c r="L477" s="24" t="s">
        <v>8562</v>
      </c>
      <c r="M477" s="24" t="s">
        <v>5218</v>
      </c>
      <c r="N477" s="24" t="s">
        <v>1629</v>
      </c>
      <c r="O477" s="26"/>
      <c r="P477" s="24" t="s">
        <v>6544</v>
      </c>
      <c r="Q477" s="24"/>
      <c r="R477" s="26"/>
      <c r="S477" s="26"/>
      <c r="T477" s="26"/>
      <c r="U477" s="24"/>
      <c r="V477" s="24"/>
      <c r="W477" s="24"/>
      <c r="X477" s="63"/>
      <c r="Y477" s="63"/>
      <c r="Z477" s="63"/>
      <c r="AA477" s="63"/>
      <c r="AB477" s="24"/>
      <c r="AC477" s="24"/>
    </row>
    <row r="478" spans="1:29" s="28" customFormat="1" x14ac:dyDescent="0.3">
      <c r="A478" s="27" t="s">
        <v>7183</v>
      </c>
      <c r="B478" s="27" t="s">
        <v>2273</v>
      </c>
      <c r="C478" s="29"/>
      <c r="D478" s="28" t="s">
        <v>4893</v>
      </c>
      <c r="E478" s="20" t="s">
        <v>633</v>
      </c>
      <c r="F478" s="20" t="s">
        <v>2501</v>
      </c>
      <c r="G478" s="27"/>
      <c r="H478" s="20"/>
      <c r="I478" s="29"/>
      <c r="J478" s="29"/>
      <c r="K478" s="27"/>
      <c r="L478" s="27"/>
      <c r="M478" s="27" t="s">
        <v>7184</v>
      </c>
      <c r="N478" s="27" t="s">
        <v>7185</v>
      </c>
      <c r="O478" s="29" t="s">
        <v>7186</v>
      </c>
      <c r="P478" s="27"/>
      <c r="Q478" s="27"/>
      <c r="R478" s="29"/>
      <c r="S478" s="29"/>
      <c r="T478" s="29"/>
      <c r="U478" s="27"/>
      <c r="V478" s="27"/>
      <c r="W478" s="27"/>
      <c r="X478" s="64"/>
      <c r="Y478" s="64"/>
      <c r="Z478" s="64"/>
      <c r="AA478" s="64"/>
      <c r="AB478" s="27"/>
      <c r="AC478" s="27"/>
    </row>
    <row r="479" spans="1:29" s="25" customFormat="1" x14ac:dyDescent="0.3">
      <c r="A479" s="24">
        <v>276</v>
      </c>
      <c r="B479" s="24" t="s">
        <v>2272</v>
      </c>
      <c r="C479" s="26">
        <v>115</v>
      </c>
      <c r="D479" s="25" t="s">
        <v>640</v>
      </c>
      <c r="E479" s="19" t="s">
        <v>1856</v>
      </c>
      <c r="F479" s="19"/>
      <c r="G479" s="24"/>
      <c r="H479" s="19"/>
      <c r="I479" s="26" t="s">
        <v>37</v>
      </c>
      <c r="J479" s="26" t="s">
        <v>37</v>
      </c>
      <c r="K479" s="24"/>
      <c r="L479" s="24" t="s">
        <v>3526</v>
      </c>
      <c r="M479" s="24" t="s">
        <v>52</v>
      </c>
      <c r="N479" s="24"/>
      <c r="O479" s="26"/>
      <c r="P479" s="24" t="s">
        <v>9</v>
      </c>
      <c r="Q479" s="24"/>
      <c r="R479" s="26"/>
      <c r="S479" s="26"/>
      <c r="T479" s="26"/>
      <c r="U479" s="24"/>
      <c r="V479" s="24"/>
      <c r="W479" s="24"/>
      <c r="X479" s="63"/>
      <c r="Y479" s="63"/>
      <c r="Z479" s="63"/>
      <c r="AA479" s="63"/>
      <c r="AB479" s="24"/>
      <c r="AC479" s="24"/>
    </row>
    <row r="480" spans="1:29" s="28" customFormat="1" x14ac:dyDescent="0.3">
      <c r="A480" s="27" t="s">
        <v>7187</v>
      </c>
      <c r="B480" s="27" t="s">
        <v>2273</v>
      </c>
      <c r="C480" s="29"/>
      <c r="D480" s="28" t="s">
        <v>4894</v>
      </c>
      <c r="E480" s="20" t="s">
        <v>1856</v>
      </c>
      <c r="F480" s="20" t="s">
        <v>2502</v>
      </c>
      <c r="G480" s="27"/>
      <c r="H480" s="20"/>
      <c r="I480" s="29"/>
      <c r="J480" s="29"/>
      <c r="K480" s="27"/>
      <c r="L480" s="27"/>
      <c r="M480" s="27" t="s">
        <v>7188</v>
      </c>
      <c r="N480" s="27"/>
      <c r="O480" s="29" t="s">
        <v>7189</v>
      </c>
      <c r="P480" s="27"/>
      <c r="Q480" s="27"/>
      <c r="R480" s="29"/>
      <c r="S480" s="29"/>
      <c r="T480" s="29"/>
      <c r="U480" s="27"/>
      <c r="V480" s="27"/>
      <c r="W480" s="27"/>
      <c r="X480" s="64"/>
      <c r="Y480" s="64"/>
      <c r="Z480" s="64"/>
      <c r="AA480" s="64"/>
      <c r="AB480" s="27"/>
      <c r="AC480" s="27"/>
    </row>
    <row r="481" spans="1:29" s="25" customFormat="1" x14ac:dyDescent="0.3">
      <c r="A481" s="24">
        <v>277</v>
      </c>
      <c r="B481" s="24" t="s">
        <v>2272</v>
      </c>
      <c r="C481" s="26">
        <v>113</v>
      </c>
      <c r="D481" s="25" t="s">
        <v>638</v>
      </c>
      <c r="E481" s="19" t="s">
        <v>639</v>
      </c>
      <c r="F481" s="19"/>
      <c r="G481" s="24"/>
      <c r="H481" s="19"/>
      <c r="I481" s="26" t="s">
        <v>37</v>
      </c>
      <c r="J481" s="26" t="s">
        <v>37</v>
      </c>
      <c r="K481" s="24"/>
      <c r="L481" s="24" t="s">
        <v>3150</v>
      </c>
      <c r="M481" s="24" t="s">
        <v>5423</v>
      </c>
      <c r="N481" s="24"/>
      <c r="O481" s="26" t="s">
        <v>1855</v>
      </c>
      <c r="P481" s="24"/>
      <c r="Q481" s="24"/>
      <c r="R481" s="26"/>
      <c r="S481" s="26"/>
      <c r="T481" s="26"/>
      <c r="U481" s="24"/>
      <c r="V481" s="24"/>
      <c r="W481" s="24"/>
      <c r="X481" s="63"/>
      <c r="Y481" s="63"/>
      <c r="Z481" s="63"/>
      <c r="AA481" s="63"/>
      <c r="AB481" s="24"/>
      <c r="AC481" s="24"/>
    </row>
    <row r="482" spans="1:29" s="25" customFormat="1" x14ac:dyDescent="0.3">
      <c r="A482" s="24">
        <v>278</v>
      </c>
      <c r="B482" s="24" t="s">
        <v>2272</v>
      </c>
      <c r="C482" s="26">
        <v>113</v>
      </c>
      <c r="D482" s="25" t="s">
        <v>636</v>
      </c>
      <c r="E482" s="19" t="s">
        <v>637</v>
      </c>
      <c r="F482" s="19"/>
      <c r="G482" s="24" t="s">
        <v>1854</v>
      </c>
      <c r="H482" s="19"/>
      <c r="I482" s="26" t="s">
        <v>89</v>
      </c>
      <c r="J482" s="26" t="s">
        <v>37</v>
      </c>
      <c r="K482" s="24" t="s">
        <v>1650</v>
      </c>
      <c r="L482" s="24" t="s">
        <v>3523</v>
      </c>
      <c r="M482" s="24" t="s">
        <v>5207</v>
      </c>
      <c r="N482" s="24" t="s">
        <v>5422</v>
      </c>
      <c r="O482" s="26" t="s">
        <v>1853</v>
      </c>
      <c r="P482" s="24" t="s">
        <v>6427</v>
      </c>
      <c r="Q482" s="24"/>
      <c r="R482" s="26"/>
      <c r="S482" s="26"/>
      <c r="T482" s="26"/>
      <c r="U482" s="24"/>
      <c r="V482" s="24"/>
      <c r="W482" s="24"/>
      <c r="X482" s="63"/>
      <c r="Y482" s="63"/>
      <c r="Z482" s="63"/>
      <c r="AA482" s="63"/>
      <c r="AB482" s="24"/>
      <c r="AC482" s="24"/>
    </row>
    <row r="483" spans="1:29" s="25" customFormat="1" x14ac:dyDescent="0.3">
      <c r="A483" s="24">
        <v>279</v>
      </c>
      <c r="B483" s="24" t="s">
        <v>2272</v>
      </c>
      <c r="C483" s="26">
        <v>113</v>
      </c>
      <c r="D483" s="25" t="s">
        <v>634</v>
      </c>
      <c r="E483" s="19" t="s">
        <v>635</v>
      </c>
      <c r="F483" s="19"/>
      <c r="G483" s="24"/>
      <c r="H483" s="19"/>
      <c r="I483" s="26" t="s">
        <v>37</v>
      </c>
      <c r="J483" s="26" t="s">
        <v>37</v>
      </c>
      <c r="K483" s="24"/>
      <c r="L483" s="24" t="s">
        <v>3150</v>
      </c>
      <c r="M483" s="24" t="s">
        <v>6027</v>
      </c>
      <c r="N483" s="24" t="s">
        <v>5421</v>
      </c>
      <c r="O483" s="26" t="s">
        <v>1852</v>
      </c>
      <c r="P483" s="24"/>
      <c r="Q483" s="24"/>
      <c r="R483" s="26"/>
      <c r="S483" s="26"/>
      <c r="T483" s="26"/>
      <c r="U483" s="24"/>
      <c r="V483" s="24"/>
      <c r="W483" s="24"/>
      <c r="X483" s="63"/>
      <c r="Y483" s="63"/>
      <c r="Z483" s="63"/>
      <c r="AA483" s="63"/>
      <c r="AB483" s="24"/>
      <c r="AC483" s="24"/>
    </row>
    <row r="484" spans="1:29" s="25" customFormat="1" x14ac:dyDescent="0.3">
      <c r="A484" s="24">
        <v>280</v>
      </c>
      <c r="B484" s="24" t="s">
        <v>2272</v>
      </c>
      <c r="C484" s="26">
        <v>115</v>
      </c>
      <c r="D484" s="25" t="s">
        <v>645</v>
      </c>
      <c r="E484" s="19" t="s">
        <v>646</v>
      </c>
      <c r="F484" s="19"/>
      <c r="G484" s="24"/>
      <c r="H484" s="19"/>
      <c r="I484" s="26" t="s">
        <v>37</v>
      </c>
      <c r="J484" s="26" t="s">
        <v>37</v>
      </c>
      <c r="K484" s="24"/>
      <c r="L484" s="24" t="s">
        <v>3532</v>
      </c>
      <c r="M484" s="24" t="s">
        <v>647</v>
      </c>
      <c r="N484" s="24"/>
      <c r="O484" s="26"/>
      <c r="P484" s="24" t="s">
        <v>3533</v>
      </c>
      <c r="Q484" s="24"/>
      <c r="R484" s="26"/>
      <c r="S484" s="26"/>
      <c r="T484" s="26"/>
      <c r="U484" s="24"/>
      <c r="V484" s="24"/>
      <c r="W484" s="24"/>
      <c r="X484" s="63"/>
      <c r="Y484" s="63"/>
      <c r="Z484" s="63"/>
      <c r="AA484" s="63"/>
      <c r="AB484" s="24"/>
      <c r="AC484" s="24"/>
    </row>
    <row r="485" spans="1:29" s="28" customFormat="1" x14ac:dyDescent="0.3">
      <c r="A485" s="27" t="s">
        <v>7190</v>
      </c>
      <c r="B485" s="27" t="s">
        <v>2273</v>
      </c>
      <c r="C485" s="29"/>
      <c r="D485" s="28" t="s">
        <v>4895</v>
      </c>
      <c r="E485" s="20" t="s">
        <v>646</v>
      </c>
      <c r="F485" s="20" t="s">
        <v>2503</v>
      </c>
      <c r="G485" s="27"/>
      <c r="H485" s="20"/>
      <c r="I485" s="29"/>
      <c r="J485" s="29"/>
      <c r="K485" s="27"/>
      <c r="L485" s="27"/>
      <c r="M485" s="27" t="s">
        <v>7191</v>
      </c>
      <c r="N485" s="27"/>
      <c r="O485" s="29" t="s">
        <v>7192</v>
      </c>
      <c r="P485" s="27"/>
      <c r="Q485" s="27"/>
      <c r="R485" s="29"/>
      <c r="S485" s="29"/>
      <c r="T485" s="29"/>
      <c r="U485" s="27"/>
      <c r="V485" s="27"/>
      <c r="W485" s="27"/>
      <c r="X485" s="64"/>
      <c r="Y485" s="64"/>
      <c r="Z485" s="64"/>
      <c r="AA485" s="64"/>
      <c r="AB485" s="27"/>
      <c r="AC485" s="27"/>
    </row>
    <row r="486" spans="1:29" s="25" customFormat="1" x14ac:dyDescent="0.3">
      <c r="A486" s="24">
        <v>281</v>
      </c>
      <c r="B486" s="24" t="s">
        <v>2272</v>
      </c>
      <c r="C486" s="26">
        <v>117</v>
      </c>
      <c r="D486" s="25" t="s">
        <v>1860</v>
      </c>
      <c r="E486" s="19" t="s">
        <v>648</v>
      </c>
      <c r="F486" s="19"/>
      <c r="G486" s="24" t="s">
        <v>1861</v>
      </c>
      <c r="H486" s="19"/>
      <c r="I486" s="26" t="s">
        <v>37</v>
      </c>
      <c r="J486" s="26" t="s">
        <v>37</v>
      </c>
      <c r="K486" s="24"/>
      <c r="L486" s="24" t="s">
        <v>3150</v>
      </c>
      <c r="M486" s="24" t="s">
        <v>213</v>
      </c>
      <c r="N486" s="24"/>
      <c r="O486" s="26"/>
      <c r="P486" s="24"/>
      <c r="Q486" s="24"/>
      <c r="R486" s="26"/>
      <c r="S486" s="26"/>
      <c r="T486" s="26"/>
      <c r="U486" s="24"/>
      <c r="V486" s="24"/>
      <c r="W486" s="24"/>
      <c r="X486" s="63"/>
      <c r="Y486" s="63"/>
      <c r="Z486" s="63"/>
      <c r="AA486" s="63"/>
      <c r="AB486" s="24"/>
      <c r="AC486" s="24"/>
    </row>
    <row r="487" spans="1:29" s="28" customFormat="1" x14ac:dyDescent="0.3">
      <c r="A487" s="27" t="s">
        <v>7193</v>
      </c>
      <c r="B487" s="27" t="s">
        <v>2273</v>
      </c>
      <c r="C487" s="29"/>
      <c r="D487" s="28" t="s">
        <v>4896</v>
      </c>
      <c r="E487" s="20" t="s">
        <v>648</v>
      </c>
      <c r="F487" s="20" t="s">
        <v>2504</v>
      </c>
      <c r="G487" s="27"/>
      <c r="H487" s="20"/>
      <c r="I487" s="29"/>
      <c r="J487" s="29"/>
      <c r="K487" s="27"/>
      <c r="L487" s="27"/>
      <c r="M487" s="27" t="s">
        <v>7194</v>
      </c>
      <c r="N487" s="27"/>
      <c r="O487" s="29" t="s">
        <v>7195</v>
      </c>
      <c r="P487" s="27"/>
      <c r="Q487" s="27"/>
      <c r="R487" s="29"/>
      <c r="S487" s="29"/>
      <c r="T487" s="29"/>
      <c r="U487" s="27"/>
      <c r="V487" s="27"/>
      <c r="W487" s="27"/>
      <c r="X487" s="64"/>
      <c r="Y487" s="64"/>
      <c r="Z487" s="64"/>
      <c r="AA487" s="64"/>
      <c r="AB487" s="27"/>
      <c r="AC487" s="27"/>
    </row>
    <row r="488" spans="1:29" s="25" customFormat="1" x14ac:dyDescent="0.3">
      <c r="A488" s="24">
        <v>282</v>
      </c>
      <c r="B488" s="24" t="s">
        <v>2272</v>
      </c>
      <c r="C488" s="26">
        <v>115</v>
      </c>
      <c r="D488" s="25" t="s">
        <v>643</v>
      </c>
      <c r="E488" s="19" t="s">
        <v>644</v>
      </c>
      <c r="F488" s="19"/>
      <c r="G488" s="24" t="s">
        <v>1858</v>
      </c>
      <c r="H488" s="19"/>
      <c r="I488" s="26" t="s">
        <v>37</v>
      </c>
      <c r="J488" s="26" t="s">
        <v>37</v>
      </c>
      <c r="K488" s="24"/>
      <c r="L488" s="24" t="s">
        <v>3530</v>
      </c>
      <c r="M488" s="24" t="s">
        <v>5426</v>
      </c>
      <c r="N488" s="24" t="s">
        <v>5427</v>
      </c>
      <c r="O488" s="26" t="s">
        <v>6652</v>
      </c>
      <c r="P488" s="24"/>
      <c r="Q488" s="24"/>
      <c r="R488" s="26"/>
      <c r="S488" s="26"/>
      <c r="T488" s="26"/>
      <c r="U488" s="24"/>
      <c r="V488" s="24"/>
      <c r="W488" s="24"/>
      <c r="X488" s="63"/>
      <c r="Y488" s="63"/>
      <c r="Z488" s="63"/>
      <c r="AA488" s="63"/>
      <c r="AB488" s="24"/>
      <c r="AC488" s="24"/>
    </row>
    <row r="489" spans="1:29" s="25" customFormat="1" x14ac:dyDescent="0.3">
      <c r="A489" s="24">
        <v>283</v>
      </c>
      <c r="B489" s="24" t="s">
        <v>2272</v>
      </c>
      <c r="C489" s="26">
        <v>115</v>
      </c>
      <c r="D489" s="25" t="s">
        <v>641</v>
      </c>
      <c r="E489" s="19" t="s">
        <v>642</v>
      </c>
      <c r="F489" s="19"/>
      <c r="G489" s="24"/>
      <c r="H489" s="19"/>
      <c r="I489" s="26" t="s">
        <v>89</v>
      </c>
      <c r="J489" s="26" t="s">
        <v>37</v>
      </c>
      <c r="K489" s="24"/>
      <c r="L489" s="24" t="s">
        <v>3528</v>
      </c>
      <c r="M489" s="24" t="s">
        <v>5424</v>
      </c>
      <c r="N489" s="24" t="s">
        <v>5425</v>
      </c>
      <c r="O489" s="26" t="s">
        <v>1857</v>
      </c>
      <c r="P489" s="24"/>
      <c r="Q489" s="24"/>
      <c r="R489" s="26"/>
      <c r="S489" s="26"/>
      <c r="T489" s="26"/>
      <c r="U489" s="24"/>
      <c r="V489" s="24"/>
      <c r="W489" s="24"/>
      <c r="X489" s="63"/>
      <c r="Y489" s="63"/>
      <c r="Z489" s="63"/>
      <c r="AA489" s="63"/>
      <c r="AB489" s="24"/>
      <c r="AC489" s="24"/>
    </row>
    <row r="490" spans="1:29" s="25" customFormat="1" x14ac:dyDescent="0.3">
      <c r="A490" s="24">
        <v>284</v>
      </c>
      <c r="B490" s="24" t="s">
        <v>2272</v>
      </c>
      <c r="C490" s="26">
        <v>121</v>
      </c>
      <c r="D490" s="25" t="s">
        <v>670</v>
      </c>
      <c r="E490" s="19" t="s">
        <v>671</v>
      </c>
      <c r="F490" s="19"/>
      <c r="G490" s="24" t="s">
        <v>1871</v>
      </c>
      <c r="H490" s="19"/>
      <c r="I490" s="26" t="s">
        <v>37</v>
      </c>
      <c r="J490" s="26" t="s">
        <v>37</v>
      </c>
      <c r="K490" s="24"/>
      <c r="L490" s="24" t="s">
        <v>3551</v>
      </c>
      <c r="M490" s="24" t="s">
        <v>5435</v>
      </c>
      <c r="N490" s="24"/>
      <c r="O490" s="26"/>
      <c r="P490" s="24"/>
      <c r="Q490" s="24"/>
      <c r="R490" s="26"/>
      <c r="S490" s="26"/>
      <c r="T490" s="26"/>
      <c r="U490" s="24"/>
      <c r="V490" s="24"/>
      <c r="W490" s="24"/>
      <c r="X490" s="63"/>
      <c r="Y490" s="63"/>
      <c r="Z490" s="63"/>
      <c r="AA490" s="63"/>
      <c r="AB490" s="24"/>
      <c r="AC490" s="24"/>
    </row>
    <row r="491" spans="1:29" s="28" customFormat="1" x14ac:dyDescent="0.3">
      <c r="A491" s="27" t="s">
        <v>7196</v>
      </c>
      <c r="B491" s="27" t="s">
        <v>2273</v>
      </c>
      <c r="C491" s="29"/>
      <c r="D491" s="28" t="s">
        <v>4903</v>
      </c>
      <c r="E491" s="20" t="s">
        <v>671</v>
      </c>
      <c r="F491" s="20" t="s">
        <v>2515</v>
      </c>
      <c r="G491" s="27"/>
      <c r="H491" s="20"/>
      <c r="I491" s="29"/>
      <c r="J491" s="29"/>
      <c r="K491" s="27"/>
      <c r="L491" s="27"/>
      <c r="M491" s="27" t="s">
        <v>7197</v>
      </c>
      <c r="N491" s="27"/>
      <c r="O491" s="29" t="s">
        <v>7198</v>
      </c>
      <c r="P491" s="27"/>
      <c r="Q491" s="27"/>
      <c r="R491" s="29"/>
      <c r="S491" s="29"/>
      <c r="T491" s="29"/>
      <c r="U491" s="27"/>
      <c r="V491" s="27"/>
      <c r="W491" s="27"/>
      <c r="X491" s="64"/>
      <c r="Y491" s="64"/>
      <c r="Z491" s="64"/>
      <c r="AA491" s="64"/>
      <c r="AB491" s="27"/>
      <c r="AC491" s="27"/>
    </row>
    <row r="492" spans="1:29" s="25" customFormat="1" x14ac:dyDescent="0.3">
      <c r="A492" s="24">
        <v>285</v>
      </c>
      <c r="B492" s="24" t="s">
        <v>2272</v>
      </c>
      <c r="C492" s="26">
        <v>121</v>
      </c>
      <c r="D492" s="25" t="s">
        <v>672</v>
      </c>
      <c r="E492" s="19" t="s">
        <v>673</v>
      </c>
      <c r="F492" s="19"/>
      <c r="G492" s="24"/>
      <c r="H492" s="19"/>
      <c r="I492" s="26" t="s">
        <v>89</v>
      </c>
      <c r="J492" s="26" t="s">
        <v>37</v>
      </c>
      <c r="K492" s="24"/>
      <c r="L492" s="24" t="s">
        <v>3553</v>
      </c>
      <c r="M492" s="24" t="s">
        <v>5436</v>
      </c>
      <c r="N492" s="24" t="s">
        <v>5437</v>
      </c>
      <c r="O492" s="26" t="s">
        <v>1872</v>
      </c>
      <c r="P492" s="24"/>
      <c r="Q492" s="24"/>
      <c r="R492" s="26"/>
      <c r="S492" s="26"/>
      <c r="T492" s="26"/>
      <c r="U492" s="24"/>
      <c r="V492" s="24"/>
      <c r="W492" s="24"/>
      <c r="X492" s="63"/>
      <c r="Y492" s="63"/>
      <c r="Z492" s="63"/>
      <c r="AA492" s="63"/>
      <c r="AB492" s="24"/>
      <c r="AC492" s="24"/>
    </row>
    <row r="493" spans="1:29" s="25" customFormat="1" x14ac:dyDescent="0.3">
      <c r="A493" s="24">
        <v>286</v>
      </c>
      <c r="B493" s="24" t="s">
        <v>2272</v>
      </c>
      <c r="C493" s="26">
        <v>121</v>
      </c>
      <c r="D493" s="25" t="s">
        <v>667</v>
      </c>
      <c r="E493" s="19" t="s">
        <v>668</v>
      </c>
      <c r="F493" s="19"/>
      <c r="G493" s="24"/>
      <c r="H493" s="19"/>
      <c r="I493" s="26" t="s">
        <v>346</v>
      </c>
      <c r="J493" s="26" t="s">
        <v>37</v>
      </c>
      <c r="K493" s="24"/>
      <c r="L493" s="24" t="s">
        <v>8563</v>
      </c>
      <c r="M493" s="24" t="s">
        <v>5298</v>
      </c>
      <c r="N493" s="24"/>
      <c r="O493" s="26"/>
      <c r="P493" s="24" t="s">
        <v>669</v>
      </c>
      <c r="Q493" s="24"/>
      <c r="R493" s="26"/>
      <c r="S493" s="26"/>
      <c r="T493" s="26"/>
      <c r="U493" s="24"/>
      <c r="V493" s="24"/>
      <c r="W493" s="24"/>
      <c r="X493" s="63"/>
      <c r="Y493" s="63"/>
      <c r="Z493" s="63"/>
      <c r="AA493" s="63"/>
      <c r="AB493" s="24"/>
      <c r="AC493" s="24"/>
    </row>
    <row r="494" spans="1:29" s="28" customFormat="1" x14ac:dyDescent="0.3">
      <c r="A494" s="27" t="s">
        <v>7199</v>
      </c>
      <c r="B494" s="27" t="s">
        <v>2273</v>
      </c>
      <c r="C494" s="29"/>
      <c r="D494" s="28" t="s">
        <v>4902</v>
      </c>
      <c r="E494" s="20" t="s">
        <v>668</v>
      </c>
      <c r="F494" s="20" t="s">
        <v>2514</v>
      </c>
      <c r="G494" s="27"/>
      <c r="H494" s="20"/>
      <c r="I494" s="29"/>
      <c r="J494" s="29"/>
      <c r="K494" s="27"/>
      <c r="L494" s="27"/>
      <c r="M494" s="27" t="s">
        <v>7200</v>
      </c>
      <c r="N494" s="27" t="s">
        <v>7201</v>
      </c>
      <c r="O494" s="29" t="s">
        <v>7202</v>
      </c>
      <c r="P494" s="27"/>
      <c r="Q494" s="27"/>
      <c r="R494" s="29"/>
      <c r="S494" s="29"/>
      <c r="T494" s="29"/>
      <c r="U494" s="27"/>
      <c r="V494" s="27"/>
      <c r="W494" s="27"/>
      <c r="X494" s="64"/>
      <c r="Y494" s="64"/>
      <c r="Z494" s="64"/>
      <c r="AA494" s="64"/>
      <c r="AB494" s="27"/>
      <c r="AC494" s="27"/>
    </row>
    <row r="495" spans="1:29" s="28" customFormat="1" x14ac:dyDescent="0.3">
      <c r="A495" s="27" t="s">
        <v>7203</v>
      </c>
      <c r="B495" s="27" t="s">
        <v>2273</v>
      </c>
      <c r="C495" s="29"/>
      <c r="D495" s="28" t="s">
        <v>4902</v>
      </c>
      <c r="E495" s="20" t="s">
        <v>668</v>
      </c>
      <c r="F495" s="20" t="s">
        <v>7204</v>
      </c>
      <c r="G495" s="27"/>
      <c r="H495" s="20"/>
      <c r="I495" s="29"/>
      <c r="J495" s="29"/>
      <c r="K495" s="27"/>
      <c r="L495" s="27"/>
      <c r="M495" s="27" t="s">
        <v>7205</v>
      </c>
      <c r="N495" s="27"/>
      <c r="O495" s="29" t="s">
        <v>7206</v>
      </c>
      <c r="P495" s="27"/>
      <c r="Q495" s="27"/>
      <c r="R495" s="29"/>
      <c r="S495" s="29"/>
      <c r="T495" s="29"/>
      <c r="U495" s="27"/>
      <c r="V495" s="27"/>
      <c r="W495" s="27"/>
      <c r="X495" s="64"/>
      <c r="Y495" s="64"/>
      <c r="Z495" s="64"/>
      <c r="AA495" s="64"/>
      <c r="AB495" s="27"/>
      <c r="AC495" s="27"/>
    </row>
    <row r="496" spans="1:29" s="25" customFormat="1" x14ac:dyDescent="0.3">
      <c r="A496" s="24">
        <v>287</v>
      </c>
      <c r="B496" s="24" t="s">
        <v>2272</v>
      </c>
      <c r="C496" s="26">
        <v>117</v>
      </c>
      <c r="D496" s="25" t="s">
        <v>649</v>
      </c>
      <c r="E496" s="19" t="s">
        <v>650</v>
      </c>
      <c r="F496" s="19"/>
      <c r="G496" s="24"/>
      <c r="H496" s="19" t="s">
        <v>4357</v>
      </c>
      <c r="I496" s="26" t="s">
        <v>346</v>
      </c>
      <c r="J496" s="26" t="s">
        <v>37</v>
      </c>
      <c r="K496" s="24"/>
      <c r="L496" s="24" t="s">
        <v>3532</v>
      </c>
      <c r="M496" s="24" t="s">
        <v>5428</v>
      </c>
      <c r="N496" s="24"/>
      <c r="O496" s="26"/>
      <c r="P496" s="24"/>
      <c r="Q496" s="24"/>
      <c r="R496" s="26"/>
      <c r="S496" s="26"/>
      <c r="T496" s="26"/>
      <c r="U496" s="24"/>
      <c r="V496" s="24"/>
      <c r="W496" s="24"/>
      <c r="X496" s="63"/>
      <c r="Y496" s="63"/>
      <c r="Z496" s="63"/>
      <c r="AA496" s="63"/>
      <c r="AB496" s="24"/>
      <c r="AC496" s="24"/>
    </row>
    <row r="497" spans="1:29" s="28" customFormat="1" x14ac:dyDescent="0.3">
      <c r="A497" s="27" t="s">
        <v>7207</v>
      </c>
      <c r="B497" s="27" t="s">
        <v>2273</v>
      </c>
      <c r="C497" s="29"/>
      <c r="D497" s="28" t="s">
        <v>4897</v>
      </c>
      <c r="E497" s="20" t="s">
        <v>650</v>
      </c>
      <c r="F497" s="20" t="s">
        <v>2508</v>
      </c>
      <c r="G497" s="27"/>
      <c r="H497" s="20"/>
      <c r="I497" s="29"/>
      <c r="J497" s="29"/>
      <c r="K497" s="27"/>
      <c r="L497" s="27"/>
      <c r="M497" s="27" t="s">
        <v>7208</v>
      </c>
      <c r="N497" s="27"/>
      <c r="O497" s="29" t="s">
        <v>7209</v>
      </c>
      <c r="P497" s="27"/>
      <c r="Q497" s="27"/>
      <c r="R497" s="29"/>
      <c r="S497" s="29"/>
      <c r="T497" s="29"/>
      <c r="U497" s="27"/>
      <c r="V497" s="27"/>
      <c r="W497" s="27"/>
      <c r="X497" s="64"/>
      <c r="Y497" s="64"/>
      <c r="Z497" s="64"/>
      <c r="AA497" s="64"/>
      <c r="AB497" s="27"/>
      <c r="AC497" s="27"/>
    </row>
    <row r="498" spans="1:29" s="28" customFormat="1" x14ac:dyDescent="0.3">
      <c r="A498" s="27" t="s">
        <v>7210</v>
      </c>
      <c r="B498" s="27" t="s">
        <v>2273</v>
      </c>
      <c r="C498" s="29"/>
      <c r="D498" s="28" t="s">
        <v>4897</v>
      </c>
      <c r="E498" s="20" t="s">
        <v>650</v>
      </c>
      <c r="F498" s="20" t="s">
        <v>2509</v>
      </c>
      <c r="G498" s="27"/>
      <c r="H498" s="20"/>
      <c r="I498" s="29"/>
      <c r="J498" s="29"/>
      <c r="K498" s="27"/>
      <c r="L498" s="27"/>
      <c r="M498" s="27" t="s">
        <v>7211</v>
      </c>
      <c r="N498" s="27"/>
      <c r="O498" s="29" t="s">
        <v>7212</v>
      </c>
      <c r="P498" s="27"/>
      <c r="Q498" s="27"/>
      <c r="R498" s="29"/>
      <c r="S498" s="29"/>
      <c r="T498" s="29"/>
      <c r="U498" s="27"/>
      <c r="V498" s="27"/>
      <c r="W498" s="27"/>
      <c r="X498" s="64"/>
      <c r="Y498" s="64"/>
      <c r="Z498" s="64"/>
      <c r="AA498" s="64"/>
      <c r="AB498" s="27"/>
      <c r="AC498" s="27"/>
    </row>
    <row r="499" spans="1:29" s="25" customFormat="1" x14ac:dyDescent="0.3">
      <c r="A499" s="24">
        <v>288</v>
      </c>
      <c r="B499" s="24" t="s">
        <v>2272</v>
      </c>
      <c r="C499" s="26">
        <v>117</v>
      </c>
      <c r="D499" s="25" t="s">
        <v>651</v>
      </c>
      <c r="E499" s="19" t="s">
        <v>652</v>
      </c>
      <c r="F499" s="19"/>
      <c r="G499" s="24"/>
      <c r="H499" s="19"/>
      <c r="I499" s="26" t="s">
        <v>89</v>
      </c>
      <c r="J499" s="26" t="s">
        <v>37</v>
      </c>
      <c r="K499" s="24"/>
      <c r="L499" s="24" t="s">
        <v>3537</v>
      </c>
      <c r="M499" s="24" t="s">
        <v>5429</v>
      </c>
      <c r="N499" s="24" t="s">
        <v>5430</v>
      </c>
      <c r="O499" s="26" t="s">
        <v>1863</v>
      </c>
      <c r="P499" s="24" t="s">
        <v>6428</v>
      </c>
      <c r="Q499" s="24"/>
      <c r="R499" s="26"/>
      <c r="S499" s="26"/>
      <c r="T499" s="26"/>
      <c r="U499" s="24"/>
      <c r="V499" s="24"/>
      <c r="W499" s="24"/>
      <c r="X499" s="63"/>
      <c r="Y499" s="63"/>
      <c r="Z499" s="63"/>
      <c r="AA499" s="63"/>
      <c r="AB499" s="24"/>
      <c r="AC499" s="24"/>
    </row>
    <row r="500" spans="1:29" s="25" customFormat="1" x14ac:dyDescent="0.3">
      <c r="A500" s="24">
        <v>289</v>
      </c>
      <c r="B500" s="24" t="s">
        <v>2272</v>
      </c>
      <c r="C500" s="26">
        <v>117</v>
      </c>
      <c r="D500" s="25" t="s">
        <v>653</v>
      </c>
      <c r="E500" s="19" t="s">
        <v>654</v>
      </c>
      <c r="F500" s="19"/>
      <c r="G500" s="24"/>
      <c r="H500" s="19"/>
      <c r="I500" s="26" t="s">
        <v>37</v>
      </c>
      <c r="J500" s="26" t="s">
        <v>37</v>
      </c>
      <c r="K500" s="24"/>
      <c r="L500" s="24" t="s">
        <v>3539</v>
      </c>
      <c r="M500" s="24" t="s">
        <v>5431</v>
      </c>
      <c r="N500" s="24"/>
      <c r="O500" s="26"/>
      <c r="P500" s="24"/>
      <c r="Q500" s="24"/>
      <c r="R500" s="26"/>
      <c r="S500" s="26"/>
      <c r="T500" s="26"/>
      <c r="U500" s="24"/>
      <c r="V500" s="24"/>
      <c r="W500" s="24"/>
      <c r="X500" s="63"/>
      <c r="Y500" s="63"/>
      <c r="Z500" s="63"/>
      <c r="AA500" s="63"/>
      <c r="AB500" s="24"/>
      <c r="AC500" s="24"/>
    </row>
    <row r="501" spans="1:29" s="28" customFormat="1" x14ac:dyDescent="0.3">
      <c r="A501" s="27" t="s">
        <v>7213</v>
      </c>
      <c r="B501" s="27" t="s">
        <v>2273</v>
      </c>
      <c r="C501" s="29"/>
      <c r="D501" s="28" t="s">
        <v>4898</v>
      </c>
      <c r="E501" s="20" t="s">
        <v>654</v>
      </c>
      <c r="F501" s="20" t="s">
        <v>2510</v>
      </c>
      <c r="G501" s="27"/>
      <c r="H501" s="20"/>
      <c r="I501" s="29"/>
      <c r="J501" s="29"/>
      <c r="K501" s="27"/>
      <c r="L501" s="27"/>
      <c r="M501" s="27" t="s">
        <v>7214</v>
      </c>
      <c r="N501" s="27"/>
      <c r="O501" s="29" t="s">
        <v>7215</v>
      </c>
      <c r="P501" s="27"/>
      <c r="Q501" s="27"/>
      <c r="R501" s="29"/>
      <c r="S501" s="29"/>
      <c r="T501" s="29"/>
      <c r="U501" s="27"/>
      <c r="V501" s="27"/>
      <c r="W501" s="27"/>
      <c r="X501" s="64"/>
      <c r="Y501" s="64"/>
      <c r="Z501" s="64"/>
      <c r="AA501" s="64"/>
      <c r="AB501" s="27"/>
      <c r="AC501" s="27"/>
    </row>
    <row r="502" spans="1:29" s="25" customFormat="1" x14ac:dyDescent="0.3">
      <c r="A502" s="24">
        <v>290</v>
      </c>
      <c r="B502" s="24" t="s">
        <v>2272</v>
      </c>
      <c r="C502" s="26">
        <v>121</v>
      </c>
      <c r="D502" s="25" t="s">
        <v>1865</v>
      </c>
      <c r="E502" s="19" t="s">
        <v>655</v>
      </c>
      <c r="F502" s="19"/>
      <c r="G502" s="24"/>
      <c r="H502" s="19" t="s">
        <v>4359</v>
      </c>
      <c r="I502" s="26" t="s">
        <v>346</v>
      </c>
      <c r="J502" s="26" t="s">
        <v>37</v>
      </c>
      <c r="K502" s="24"/>
      <c r="L502" s="24" t="s">
        <v>3532</v>
      </c>
      <c r="M502" s="24" t="s">
        <v>4358</v>
      </c>
      <c r="N502" s="24"/>
      <c r="O502" s="26" t="s">
        <v>6029</v>
      </c>
      <c r="P502" s="24"/>
      <c r="Q502" s="24"/>
      <c r="R502" s="26"/>
      <c r="S502" s="26"/>
      <c r="T502" s="26"/>
      <c r="U502" s="24"/>
      <c r="V502" s="24"/>
      <c r="W502" s="24"/>
      <c r="X502" s="63"/>
      <c r="Y502" s="63"/>
      <c r="Z502" s="63"/>
      <c r="AA502" s="63"/>
      <c r="AB502" s="24"/>
      <c r="AC502" s="24"/>
    </row>
    <row r="503" spans="1:29" s="25" customFormat="1" x14ac:dyDescent="0.3">
      <c r="A503" s="24">
        <v>291</v>
      </c>
      <c r="B503" s="24" t="s">
        <v>2272</v>
      </c>
      <c r="C503" s="26">
        <v>119</v>
      </c>
      <c r="D503" s="25" t="s">
        <v>662</v>
      </c>
      <c r="E503" s="19" t="s">
        <v>663</v>
      </c>
      <c r="F503" s="19"/>
      <c r="G503" s="24" t="s">
        <v>1868</v>
      </c>
      <c r="H503" s="19"/>
      <c r="I503" s="26" t="s">
        <v>346</v>
      </c>
      <c r="J503" s="26" t="s">
        <v>37</v>
      </c>
      <c r="K503" s="24"/>
      <c r="L503" s="24" t="s">
        <v>3546</v>
      </c>
      <c r="M503" s="24" t="s">
        <v>5434</v>
      </c>
      <c r="N503" s="24"/>
      <c r="O503" s="26"/>
      <c r="P503" s="24" t="s">
        <v>664</v>
      </c>
      <c r="Q503" s="24"/>
      <c r="R503" s="26"/>
      <c r="S503" s="26"/>
      <c r="T503" s="26"/>
      <c r="U503" s="24"/>
      <c r="V503" s="24"/>
      <c r="W503" s="24"/>
      <c r="X503" s="63"/>
      <c r="Y503" s="63"/>
      <c r="Z503" s="63"/>
      <c r="AA503" s="63"/>
      <c r="AB503" s="24"/>
      <c r="AC503" s="24"/>
    </row>
    <row r="504" spans="1:29" s="28" customFormat="1" x14ac:dyDescent="0.3">
      <c r="A504" s="27" t="s">
        <v>7216</v>
      </c>
      <c r="B504" s="27" t="s">
        <v>2273</v>
      </c>
      <c r="C504" s="29">
        <v>119</v>
      </c>
      <c r="D504" s="28" t="s">
        <v>4901</v>
      </c>
      <c r="E504" s="20" t="s">
        <v>663</v>
      </c>
      <c r="F504" s="20" t="s">
        <v>2513</v>
      </c>
      <c r="G504" s="27" t="s">
        <v>4578</v>
      </c>
      <c r="H504" s="20" t="s">
        <v>4579</v>
      </c>
      <c r="I504" s="29"/>
      <c r="J504" s="29" t="s">
        <v>37</v>
      </c>
      <c r="K504" s="27"/>
      <c r="L504" s="27" t="s">
        <v>3546</v>
      </c>
      <c r="M504" s="27" t="s">
        <v>7217</v>
      </c>
      <c r="N504" s="27"/>
      <c r="O504" s="29" t="s">
        <v>7218</v>
      </c>
      <c r="P504" s="27"/>
      <c r="Q504" s="27"/>
      <c r="R504" s="29"/>
      <c r="S504" s="29"/>
      <c r="T504" s="29"/>
      <c r="U504" s="27"/>
      <c r="V504" s="27"/>
      <c r="W504" s="27"/>
      <c r="X504" s="64"/>
      <c r="Y504" s="64"/>
      <c r="Z504" s="64"/>
      <c r="AA504" s="64"/>
      <c r="AB504" s="27"/>
      <c r="AC504" s="27"/>
    </row>
    <row r="505" spans="1:29" s="25" customFormat="1" x14ac:dyDescent="0.3">
      <c r="A505" s="24">
        <v>292</v>
      </c>
      <c r="B505" s="24" t="s">
        <v>2272</v>
      </c>
      <c r="C505" s="26">
        <v>119</v>
      </c>
      <c r="D505" s="25" t="s">
        <v>6545</v>
      </c>
      <c r="E505" s="19" t="s">
        <v>666</v>
      </c>
      <c r="F505" s="19"/>
      <c r="G505" s="24" t="s">
        <v>665</v>
      </c>
      <c r="H505" s="19"/>
      <c r="I505" s="26" t="s">
        <v>346</v>
      </c>
      <c r="J505" s="26" t="s">
        <v>37</v>
      </c>
      <c r="K505" s="24"/>
      <c r="L505" s="24" t="s">
        <v>3546</v>
      </c>
      <c r="M505" s="24" t="s">
        <v>6653</v>
      </c>
      <c r="N505" s="24" t="s">
        <v>6654</v>
      </c>
      <c r="O505" s="26" t="s">
        <v>6655</v>
      </c>
      <c r="P505" s="24" t="s">
        <v>3548</v>
      </c>
      <c r="Q505" s="24"/>
      <c r="R505" s="26"/>
      <c r="S505" s="26"/>
      <c r="T505" s="26"/>
      <c r="U505" s="24"/>
      <c r="V505" s="24"/>
      <c r="W505" s="24"/>
      <c r="X505" s="63"/>
      <c r="Y505" s="63"/>
      <c r="Z505" s="63"/>
      <c r="AA505" s="63"/>
      <c r="AB505" s="24"/>
      <c r="AC505" s="24"/>
    </row>
    <row r="506" spans="1:29" s="25" customFormat="1" x14ac:dyDescent="0.3">
      <c r="A506" s="24">
        <v>293</v>
      </c>
      <c r="B506" s="24" t="s">
        <v>2272</v>
      </c>
      <c r="C506" s="26">
        <v>119</v>
      </c>
      <c r="D506" s="25" t="s">
        <v>656</v>
      </c>
      <c r="E506" s="19" t="s">
        <v>657</v>
      </c>
      <c r="F506" s="19"/>
      <c r="G506" s="24"/>
      <c r="H506" s="19"/>
      <c r="I506" s="26" t="s">
        <v>89</v>
      </c>
      <c r="J506" s="26" t="s">
        <v>37</v>
      </c>
      <c r="K506" s="24"/>
      <c r="L506" s="24" t="s">
        <v>3388</v>
      </c>
      <c r="M506" s="24" t="s">
        <v>5310</v>
      </c>
      <c r="N506" s="24"/>
      <c r="O506" s="26"/>
      <c r="P506" s="24"/>
      <c r="Q506" s="24"/>
      <c r="R506" s="26"/>
      <c r="S506" s="26"/>
      <c r="T506" s="26"/>
      <c r="U506" s="24"/>
      <c r="V506" s="24"/>
      <c r="W506" s="24"/>
      <c r="X506" s="63"/>
      <c r="Y506" s="63"/>
      <c r="Z506" s="63"/>
      <c r="AA506" s="63"/>
      <c r="AB506" s="24"/>
      <c r="AC506" s="24"/>
    </row>
    <row r="507" spans="1:29" s="28" customFormat="1" x14ac:dyDescent="0.3">
      <c r="A507" s="27" t="s">
        <v>7219</v>
      </c>
      <c r="B507" s="27" t="s">
        <v>2273</v>
      </c>
      <c r="C507" s="29">
        <v>119</v>
      </c>
      <c r="D507" s="28" t="s">
        <v>4899</v>
      </c>
      <c r="E507" s="20" t="s">
        <v>657</v>
      </c>
      <c r="F507" s="20" t="s">
        <v>2426</v>
      </c>
      <c r="G507" s="27"/>
      <c r="H507" s="20" t="s">
        <v>4576</v>
      </c>
      <c r="I507" s="29"/>
      <c r="J507" s="29" t="s">
        <v>37</v>
      </c>
      <c r="K507" s="27"/>
      <c r="L507" s="27" t="s">
        <v>3388</v>
      </c>
      <c r="M507" s="27" t="s">
        <v>7220</v>
      </c>
      <c r="N507" s="27" t="s">
        <v>7221</v>
      </c>
      <c r="O507" s="29" t="s">
        <v>7222</v>
      </c>
      <c r="P507" s="27"/>
      <c r="Q507" s="27"/>
      <c r="R507" s="29"/>
      <c r="S507" s="29"/>
      <c r="T507" s="29"/>
      <c r="U507" s="27"/>
      <c r="V507" s="27"/>
      <c r="W507" s="27"/>
      <c r="X507" s="64"/>
      <c r="Y507" s="64"/>
      <c r="Z507" s="64"/>
      <c r="AA507" s="64"/>
      <c r="AB507" s="27"/>
      <c r="AC507" s="27"/>
    </row>
    <row r="508" spans="1:29" s="25" customFormat="1" x14ac:dyDescent="0.3">
      <c r="A508" s="24">
        <v>294</v>
      </c>
      <c r="B508" s="24" t="s">
        <v>2272</v>
      </c>
      <c r="C508" s="26">
        <v>119</v>
      </c>
      <c r="D508" s="25" t="s">
        <v>660</v>
      </c>
      <c r="E508" s="19" t="s">
        <v>661</v>
      </c>
      <c r="F508" s="19"/>
      <c r="G508" s="24"/>
      <c r="H508" s="19"/>
      <c r="I508" s="26" t="s">
        <v>37</v>
      </c>
      <c r="J508" s="26" t="s">
        <v>37</v>
      </c>
      <c r="K508" s="24"/>
      <c r="L508" s="24" t="s">
        <v>3125</v>
      </c>
      <c r="M508" s="24" t="s">
        <v>5433</v>
      </c>
      <c r="N508" s="24"/>
      <c r="O508" s="26"/>
      <c r="P508" s="24"/>
      <c r="Q508" s="24"/>
      <c r="R508" s="26"/>
      <c r="S508" s="26"/>
      <c r="T508" s="26"/>
      <c r="U508" s="24"/>
      <c r="V508" s="24"/>
      <c r="W508" s="24"/>
      <c r="X508" s="63"/>
      <c r="Y508" s="63"/>
      <c r="Z508" s="63"/>
      <c r="AA508" s="63"/>
      <c r="AB508" s="24"/>
      <c r="AC508" s="24"/>
    </row>
    <row r="509" spans="1:29" s="28" customFormat="1" x14ac:dyDescent="0.3">
      <c r="A509" s="27" t="s">
        <v>7223</v>
      </c>
      <c r="B509" s="27" t="s">
        <v>2273</v>
      </c>
      <c r="C509" s="29">
        <v>119</v>
      </c>
      <c r="D509" s="28" t="s">
        <v>4900</v>
      </c>
      <c r="E509" s="20" t="s">
        <v>661</v>
      </c>
      <c r="F509" s="20" t="s">
        <v>2512</v>
      </c>
      <c r="G509" s="27"/>
      <c r="H509" s="20" t="s">
        <v>4577</v>
      </c>
      <c r="I509" s="29"/>
      <c r="J509" s="29" t="s">
        <v>37</v>
      </c>
      <c r="K509" s="27"/>
      <c r="L509" s="27" t="s">
        <v>3125</v>
      </c>
      <c r="M509" s="27" t="s">
        <v>7224</v>
      </c>
      <c r="N509" s="27"/>
      <c r="O509" s="29" t="s">
        <v>7225</v>
      </c>
      <c r="P509" s="27"/>
      <c r="Q509" s="27"/>
      <c r="R509" s="29"/>
      <c r="S509" s="29"/>
      <c r="T509" s="29"/>
      <c r="U509" s="27"/>
      <c r="V509" s="27"/>
      <c r="W509" s="27"/>
      <c r="X509" s="64"/>
      <c r="Y509" s="64"/>
      <c r="Z509" s="64"/>
      <c r="AA509" s="64"/>
      <c r="AB509" s="27"/>
      <c r="AC509" s="27"/>
    </row>
    <row r="510" spans="1:29" s="25" customFormat="1" x14ac:dyDescent="0.3">
      <c r="A510" s="24">
        <v>295</v>
      </c>
      <c r="B510" s="24" t="s">
        <v>2272</v>
      </c>
      <c r="C510" s="26">
        <v>119</v>
      </c>
      <c r="D510" s="25" t="s">
        <v>658</v>
      </c>
      <c r="E510" s="19" t="s">
        <v>659</v>
      </c>
      <c r="F510" s="19"/>
      <c r="G510" s="24"/>
      <c r="H510" s="19"/>
      <c r="I510" s="26" t="s">
        <v>37</v>
      </c>
      <c r="J510" s="26" t="s">
        <v>37</v>
      </c>
      <c r="K510" s="24"/>
      <c r="L510" s="24" t="s">
        <v>3543</v>
      </c>
      <c r="M510" s="24" t="s">
        <v>5432</v>
      </c>
      <c r="N510" s="24"/>
      <c r="O510" s="26" t="s">
        <v>6657</v>
      </c>
      <c r="P510" s="24"/>
      <c r="Q510" s="24"/>
      <c r="R510" s="26"/>
      <c r="S510" s="26"/>
      <c r="T510" s="26"/>
      <c r="U510" s="24"/>
      <c r="V510" s="24"/>
      <c r="W510" s="24"/>
      <c r="X510" s="63"/>
      <c r="Y510" s="63"/>
      <c r="Z510" s="63"/>
      <c r="AA510" s="63"/>
      <c r="AB510" s="24"/>
      <c r="AC510" s="24"/>
    </row>
    <row r="511" spans="1:29" s="25" customFormat="1" x14ac:dyDescent="0.3">
      <c r="A511" s="24">
        <v>296</v>
      </c>
      <c r="B511" s="24" t="s">
        <v>2272</v>
      </c>
      <c r="C511" s="26">
        <v>123</v>
      </c>
      <c r="D511" s="25" t="s">
        <v>676</v>
      </c>
      <c r="E511" s="19" t="s">
        <v>677</v>
      </c>
      <c r="F511" s="19"/>
      <c r="G511" s="24"/>
      <c r="H511" s="19"/>
      <c r="I511" s="26" t="s">
        <v>353</v>
      </c>
      <c r="J511" s="26" t="s">
        <v>353</v>
      </c>
      <c r="K511" s="24" t="s">
        <v>3019</v>
      </c>
      <c r="L511" s="24" t="s">
        <v>3555</v>
      </c>
      <c r="M511" s="24" t="s">
        <v>5438</v>
      </c>
      <c r="N511" s="24"/>
      <c r="O511" s="26" t="s">
        <v>1873</v>
      </c>
      <c r="P511" s="24" t="s">
        <v>3556</v>
      </c>
      <c r="Q511" s="24"/>
      <c r="R511" s="26"/>
      <c r="S511" s="26"/>
      <c r="T511" s="26"/>
      <c r="U511" s="24"/>
      <c r="V511" s="24"/>
      <c r="W511" s="24"/>
      <c r="X511" s="63"/>
      <c r="Y511" s="63"/>
      <c r="Z511" s="63"/>
      <c r="AA511" s="63"/>
      <c r="AB511" s="24"/>
      <c r="AC511" s="24"/>
    </row>
    <row r="512" spans="1:29" s="25" customFormat="1" x14ac:dyDescent="0.3">
      <c r="A512" s="24">
        <v>297</v>
      </c>
      <c r="B512" s="24" t="s">
        <v>2272</v>
      </c>
      <c r="C512" s="26">
        <v>123</v>
      </c>
      <c r="D512" s="25" t="s">
        <v>678</v>
      </c>
      <c r="E512" s="19" t="s">
        <v>679</v>
      </c>
      <c r="F512" s="19"/>
      <c r="G512" s="24"/>
      <c r="H512" s="19"/>
      <c r="I512" s="26" t="s">
        <v>49</v>
      </c>
      <c r="J512" s="26" t="s">
        <v>5121</v>
      </c>
      <c r="K512" s="24" t="s">
        <v>49</v>
      </c>
      <c r="L512" s="24" t="s">
        <v>3558</v>
      </c>
      <c r="M512" s="24" t="s">
        <v>5439</v>
      </c>
      <c r="N512" s="24" t="s">
        <v>5440</v>
      </c>
      <c r="O512" s="26" t="s">
        <v>1874</v>
      </c>
      <c r="P512" s="24" t="s">
        <v>6429</v>
      </c>
      <c r="Q512" s="24"/>
      <c r="R512" s="26"/>
      <c r="S512" s="26"/>
      <c r="T512" s="26"/>
      <c r="U512" s="24"/>
      <c r="V512" s="24"/>
      <c r="W512" s="24"/>
      <c r="X512" s="63"/>
      <c r="Y512" s="63"/>
      <c r="Z512" s="63"/>
      <c r="AA512" s="63"/>
      <c r="AB512" s="24"/>
      <c r="AC512" s="24"/>
    </row>
    <row r="513" spans="1:29" s="25" customFormat="1" x14ac:dyDescent="0.3">
      <c r="A513" s="24">
        <v>298</v>
      </c>
      <c r="B513" s="24" t="s">
        <v>2272</v>
      </c>
      <c r="C513" s="26">
        <v>123</v>
      </c>
      <c r="D513" s="25" t="s">
        <v>680</v>
      </c>
      <c r="E513" s="19" t="s">
        <v>681</v>
      </c>
      <c r="F513" s="19"/>
      <c r="G513" s="24"/>
      <c r="H513" s="19"/>
      <c r="I513" s="26" t="s">
        <v>49</v>
      </c>
      <c r="J513" s="26" t="s">
        <v>5121</v>
      </c>
      <c r="K513" s="24" t="s">
        <v>49</v>
      </c>
      <c r="L513" s="24" t="s">
        <v>3439</v>
      </c>
      <c r="M513" s="24" t="s">
        <v>5441</v>
      </c>
      <c r="N513" s="24" t="s">
        <v>5442</v>
      </c>
      <c r="O513" s="26" t="s">
        <v>1875</v>
      </c>
      <c r="P513" s="24" t="s">
        <v>6430</v>
      </c>
      <c r="Q513" s="24"/>
      <c r="R513" s="26"/>
      <c r="S513" s="26"/>
      <c r="T513" s="26"/>
      <c r="U513" s="24"/>
      <c r="V513" s="24"/>
      <c r="W513" s="24"/>
      <c r="X513" s="63"/>
      <c r="Y513" s="63"/>
      <c r="Z513" s="63"/>
      <c r="AA513" s="63"/>
      <c r="AB513" s="24"/>
      <c r="AC513" s="24"/>
    </row>
    <row r="514" spans="1:29" s="25" customFormat="1" x14ac:dyDescent="0.3">
      <c r="A514" s="24">
        <v>299</v>
      </c>
      <c r="B514" s="24" t="s">
        <v>2272</v>
      </c>
      <c r="C514" s="26">
        <v>185</v>
      </c>
      <c r="D514" s="25" t="s">
        <v>1876</v>
      </c>
      <c r="E514" s="19" t="s">
        <v>685</v>
      </c>
      <c r="F514" s="19"/>
      <c r="G514" s="24" t="s">
        <v>684</v>
      </c>
      <c r="H514" s="19" t="s">
        <v>4362</v>
      </c>
      <c r="I514" s="26" t="s">
        <v>178</v>
      </c>
      <c r="J514" s="26" t="s">
        <v>37</v>
      </c>
      <c r="K514" s="24"/>
      <c r="L514" s="24" t="s">
        <v>3561</v>
      </c>
      <c r="M514" s="24" t="s">
        <v>242</v>
      </c>
      <c r="N514" s="24"/>
      <c r="O514" s="26"/>
      <c r="P514" s="24" t="s">
        <v>6546</v>
      </c>
      <c r="Q514" s="24"/>
      <c r="R514" s="26"/>
      <c r="S514" s="26"/>
      <c r="T514" s="26"/>
      <c r="U514" s="24"/>
      <c r="V514" s="24"/>
      <c r="W514" s="24"/>
      <c r="X514" s="63"/>
      <c r="Y514" s="63"/>
      <c r="Z514" s="63"/>
      <c r="AA514" s="63"/>
      <c r="AB514" s="24"/>
      <c r="AC514" s="24"/>
    </row>
    <row r="515" spans="1:29" s="28" customFormat="1" x14ac:dyDescent="0.3">
      <c r="A515" s="27" t="s">
        <v>6286</v>
      </c>
      <c r="B515" s="27" t="s">
        <v>2273</v>
      </c>
      <c r="C515" s="29"/>
      <c r="D515" s="28" t="s">
        <v>6285</v>
      </c>
      <c r="E515" s="20" t="s">
        <v>685</v>
      </c>
      <c r="F515" s="20" t="s">
        <v>2516</v>
      </c>
      <c r="G515" s="27"/>
      <c r="H515" s="20"/>
      <c r="I515" s="29"/>
      <c r="J515" s="29"/>
      <c r="K515" s="27"/>
      <c r="L515" s="27"/>
      <c r="M515" s="27" t="s">
        <v>7226</v>
      </c>
      <c r="N515" s="27" t="s">
        <v>7227</v>
      </c>
      <c r="O515" s="29" t="s">
        <v>7228</v>
      </c>
      <c r="P515" s="27"/>
      <c r="Q515" s="27"/>
      <c r="R515" s="29"/>
      <c r="S515" s="29"/>
      <c r="T515" s="29"/>
      <c r="U515" s="27"/>
      <c r="V515" s="27"/>
      <c r="W515" s="27"/>
      <c r="X515" s="64"/>
      <c r="Y515" s="64"/>
      <c r="Z515" s="64"/>
      <c r="AA515" s="64"/>
      <c r="AB515" s="27"/>
      <c r="AC515" s="27"/>
    </row>
    <row r="516" spans="1:29" s="25" customFormat="1" x14ac:dyDescent="0.3">
      <c r="A516" s="24">
        <v>300</v>
      </c>
      <c r="B516" s="24" t="s">
        <v>2272</v>
      </c>
      <c r="C516" s="26">
        <v>185</v>
      </c>
      <c r="D516" s="25" t="s">
        <v>687</v>
      </c>
      <c r="E516" s="19" t="s">
        <v>688</v>
      </c>
      <c r="F516" s="19"/>
      <c r="G516" s="24"/>
      <c r="H516" s="19"/>
      <c r="I516" s="26" t="s">
        <v>37</v>
      </c>
      <c r="J516" s="26" t="s">
        <v>37</v>
      </c>
      <c r="K516" s="24"/>
      <c r="L516" s="24" t="s">
        <v>3563</v>
      </c>
      <c r="M516" s="24" t="s">
        <v>5406</v>
      </c>
      <c r="N516" s="24"/>
      <c r="O516" s="26"/>
      <c r="P516" s="24"/>
      <c r="Q516" s="24"/>
      <c r="R516" s="26"/>
      <c r="S516" s="26"/>
      <c r="T516" s="26"/>
      <c r="U516" s="24"/>
      <c r="V516" s="24"/>
      <c r="W516" s="24"/>
      <c r="X516" s="63"/>
      <c r="Y516" s="63"/>
      <c r="Z516" s="63"/>
      <c r="AA516" s="63"/>
      <c r="AB516" s="24"/>
      <c r="AC516" s="24"/>
    </row>
    <row r="517" spans="1:29" s="28" customFormat="1" x14ac:dyDescent="0.3">
      <c r="A517" s="27" t="s">
        <v>7229</v>
      </c>
      <c r="B517" s="27" t="s">
        <v>2273</v>
      </c>
      <c r="C517" s="29"/>
      <c r="D517" s="28" t="s">
        <v>4904</v>
      </c>
      <c r="E517" s="20" t="s">
        <v>688</v>
      </c>
      <c r="F517" s="20" t="s">
        <v>2517</v>
      </c>
      <c r="G517" s="27"/>
      <c r="H517" s="20"/>
      <c r="I517" s="29"/>
      <c r="J517" s="29"/>
      <c r="K517" s="27"/>
      <c r="L517" s="27"/>
      <c r="M517" s="27" t="s">
        <v>7230</v>
      </c>
      <c r="N517" s="27"/>
      <c r="O517" s="29" t="s">
        <v>7231</v>
      </c>
      <c r="P517" s="27"/>
      <c r="Q517" s="27"/>
      <c r="R517" s="29"/>
      <c r="S517" s="29"/>
      <c r="T517" s="29"/>
      <c r="U517" s="27"/>
      <c r="V517" s="27"/>
      <c r="W517" s="27"/>
      <c r="X517" s="64"/>
      <c r="Y517" s="64"/>
      <c r="Z517" s="64"/>
      <c r="AA517" s="64"/>
      <c r="AB517" s="27"/>
      <c r="AC517" s="27"/>
    </row>
    <row r="518" spans="1:29" s="25" customFormat="1" ht="40.799999999999997" x14ac:dyDescent="0.3">
      <c r="A518" s="24">
        <v>301</v>
      </c>
      <c r="B518" s="24" t="s">
        <v>2272</v>
      </c>
      <c r="C518" s="26">
        <v>185</v>
      </c>
      <c r="D518" s="25" t="s">
        <v>689</v>
      </c>
      <c r="E518" s="19" t="s">
        <v>690</v>
      </c>
      <c r="F518" s="19"/>
      <c r="G518" s="24" t="s">
        <v>1879</v>
      </c>
      <c r="H518" s="19"/>
      <c r="I518" s="26" t="s">
        <v>346</v>
      </c>
      <c r="J518" s="26" t="s">
        <v>37</v>
      </c>
      <c r="K518" s="24"/>
      <c r="L518" s="103" t="s">
        <v>6547</v>
      </c>
      <c r="M518" s="24" t="s">
        <v>5443</v>
      </c>
      <c r="N518" s="24"/>
      <c r="O518" s="26"/>
      <c r="P518" s="24"/>
      <c r="Q518" s="24"/>
      <c r="R518" s="26"/>
      <c r="S518" s="26"/>
      <c r="T518" s="26"/>
      <c r="U518" s="24"/>
      <c r="V518" s="24"/>
      <c r="W518" s="24"/>
      <c r="X518" s="63"/>
      <c r="Y518" s="63"/>
      <c r="Z518" s="63"/>
      <c r="AA518" s="63"/>
      <c r="AB518" s="24"/>
      <c r="AC518" s="24"/>
    </row>
    <row r="519" spans="1:29" s="28" customFormat="1" x14ac:dyDescent="0.3">
      <c r="A519" s="27" t="s">
        <v>6287</v>
      </c>
      <c r="B519" s="27" t="s">
        <v>2273</v>
      </c>
      <c r="C519" s="29">
        <v>185</v>
      </c>
      <c r="D519" s="28" t="s">
        <v>4905</v>
      </c>
      <c r="E519" s="20" t="s">
        <v>690</v>
      </c>
      <c r="F519" s="20" t="s">
        <v>2369</v>
      </c>
      <c r="G519" s="27" t="s">
        <v>4581</v>
      </c>
      <c r="H519" s="20" t="s">
        <v>4582</v>
      </c>
      <c r="I519" s="29"/>
      <c r="J519" s="29" t="s">
        <v>37</v>
      </c>
      <c r="K519" s="27"/>
      <c r="L519" s="27" t="s">
        <v>4580</v>
      </c>
      <c r="M519" s="27" t="s">
        <v>7232</v>
      </c>
      <c r="N519" s="27" t="s">
        <v>5259</v>
      </c>
      <c r="O519" s="29" t="s">
        <v>7233</v>
      </c>
      <c r="P519" s="27"/>
      <c r="Q519" s="27"/>
      <c r="R519" s="29"/>
      <c r="S519" s="29"/>
      <c r="T519" s="29"/>
      <c r="U519" s="27"/>
      <c r="V519" s="27"/>
      <c r="W519" s="27"/>
      <c r="X519" s="64"/>
      <c r="Y519" s="64"/>
      <c r="Z519" s="64"/>
      <c r="AA519" s="64"/>
      <c r="AB519" s="27"/>
      <c r="AC519" s="27"/>
    </row>
    <row r="520" spans="1:29" s="28" customFormat="1" x14ac:dyDescent="0.3">
      <c r="A520" s="27" t="s">
        <v>7234</v>
      </c>
      <c r="B520" s="27" t="s">
        <v>2273</v>
      </c>
      <c r="C520" s="29">
        <v>185</v>
      </c>
      <c r="D520" s="28" t="s">
        <v>4905</v>
      </c>
      <c r="E520" s="20" t="s">
        <v>690</v>
      </c>
      <c r="F520" s="20" t="s">
        <v>2423</v>
      </c>
      <c r="G520" s="27" t="s">
        <v>4584</v>
      </c>
      <c r="H520" s="20" t="s">
        <v>4585</v>
      </c>
      <c r="I520" s="29"/>
      <c r="J520" s="29" t="s">
        <v>37</v>
      </c>
      <c r="K520" s="27"/>
      <c r="L520" s="27" t="s">
        <v>4583</v>
      </c>
      <c r="M520" s="27" t="s">
        <v>6816</v>
      </c>
      <c r="N520" s="27"/>
      <c r="O520" s="29" t="s">
        <v>7235</v>
      </c>
      <c r="P520" s="27"/>
      <c r="Q520" s="27"/>
      <c r="R520" s="29"/>
      <c r="S520" s="29"/>
      <c r="T520" s="29"/>
      <c r="U520" s="27"/>
      <c r="V520" s="27"/>
      <c r="W520" s="27"/>
      <c r="X520" s="64"/>
      <c r="Y520" s="64"/>
      <c r="Z520" s="64"/>
      <c r="AA520" s="64"/>
      <c r="AB520" s="27"/>
      <c r="AC520" s="27"/>
    </row>
    <row r="521" spans="1:29" s="28" customFormat="1" x14ac:dyDescent="0.3">
      <c r="A521" s="27" t="s">
        <v>7236</v>
      </c>
      <c r="B521" s="27" t="s">
        <v>2273</v>
      </c>
      <c r="C521" s="29">
        <v>185</v>
      </c>
      <c r="D521" s="28" t="s">
        <v>4905</v>
      </c>
      <c r="E521" s="20" t="s">
        <v>690</v>
      </c>
      <c r="F521" s="20" t="s">
        <v>2319</v>
      </c>
      <c r="G521" s="27" t="s">
        <v>4584</v>
      </c>
      <c r="H521" s="20" t="s">
        <v>4585</v>
      </c>
      <c r="I521" s="29"/>
      <c r="J521" s="29" t="s">
        <v>37</v>
      </c>
      <c r="K521" s="27"/>
      <c r="L521" s="27" t="s">
        <v>4583</v>
      </c>
      <c r="M521" s="27" t="s">
        <v>6768</v>
      </c>
      <c r="N521" s="27"/>
      <c r="O521" s="29" t="s">
        <v>7237</v>
      </c>
      <c r="P521" s="27"/>
      <c r="Q521" s="27"/>
      <c r="R521" s="29"/>
      <c r="S521" s="29"/>
      <c r="T521" s="29"/>
      <c r="U521" s="27"/>
      <c r="V521" s="27"/>
      <c r="W521" s="27"/>
      <c r="X521" s="64"/>
      <c r="Y521" s="64"/>
      <c r="Z521" s="64"/>
      <c r="AA521" s="64"/>
      <c r="AB521" s="27"/>
      <c r="AC521" s="27"/>
    </row>
    <row r="522" spans="1:29" s="25" customFormat="1" x14ac:dyDescent="0.3">
      <c r="A522" s="24">
        <v>302</v>
      </c>
      <c r="B522" s="24" t="s">
        <v>2272</v>
      </c>
      <c r="C522" s="26">
        <v>187</v>
      </c>
      <c r="D522" s="25" t="s">
        <v>691</v>
      </c>
      <c r="E522" s="19" t="s">
        <v>692</v>
      </c>
      <c r="F522" s="19"/>
      <c r="G522" s="24"/>
      <c r="H522" s="19"/>
      <c r="I522" s="26" t="s">
        <v>57</v>
      </c>
      <c r="J522" s="26" t="s">
        <v>57</v>
      </c>
      <c r="K522" s="24"/>
      <c r="L522" s="24" t="s">
        <v>3566</v>
      </c>
      <c r="M522" s="24" t="s">
        <v>5229</v>
      </c>
      <c r="N522" s="24"/>
      <c r="O522" s="26"/>
      <c r="P522" s="24"/>
      <c r="Q522" s="24"/>
      <c r="R522" s="26"/>
      <c r="S522" s="26"/>
      <c r="T522" s="26"/>
      <c r="U522" s="24"/>
      <c r="V522" s="24"/>
      <c r="W522" s="24"/>
      <c r="X522" s="63"/>
      <c r="Y522" s="63"/>
      <c r="Z522" s="63"/>
      <c r="AA522" s="63"/>
      <c r="AB522" s="24"/>
      <c r="AC522" s="24"/>
    </row>
    <row r="523" spans="1:29" s="28" customFormat="1" x14ac:dyDescent="0.3">
      <c r="A523" s="27" t="s">
        <v>7238</v>
      </c>
      <c r="B523" s="27" t="s">
        <v>2273</v>
      </c>
      <c r="C523" s="29"/>
      <c r="D523" s="28" t="s">
        <v>4906</v>
      </c>
      <c r="E523" s="20" t="s">
        <v>692</v>
      </c>
      <c r="F523" s="20" t="s">
        <v>2518</v>
      </c>
      <c r="G523" s="27"/>
      <c r="H523" s="20"/>
      <c r="I523" s="29"/>
      <c r="J523" s="29"/>
      <c r="K523" s="27"/>
      <c r="L523" s="27"/>
      <c r="M523" s="27" t="s">
        <v>6996</v>
      </c>
      <c r="N523" s="27"/>
      <c r="O523" s="29" t="s">
        <v>7239</v>
      </c>
      <c r="P523" s="27"/>
      <c r="Q523" s="27"/>
      <c r="R523" s="29"/>
      <c r="S523" s="29"/>
      <c r="T523" s="29"/>
      <c r="U523" s="27"/>
      <c r="V523" s="27"/>
      <c r="W523" s="27"/>
      <c r="X523" s="64"/>
      <c r="Y523" s="64"/>
      <c r="Z523" s="64"/>
      <c r="AA523" s="64"/>
      <c r="AB523" s="27"/>
      <c r="AC523" s="27"/>
    </row>
    <row r="524" spans="1:29" s="28" customFormat="1" x14ac:dyDescent="0.3">
      <c r="A524" s="27" t="s">
        <v>7240</v>
      </c>
      <c r="B524" s="27" t="s">
        <v>2273</v>
      </c>
      <c r="C524" s="29"/>
      <c r="D524" s="28" t="s">
        <v>4906</v>
      </c>
      <c r="E524" s="20" t="s">
        <v>692</v>
      </c>
      <c r="F524" s="20" t="s">
        <v>2519</v>
      </c>
      <c r="G524" s="27"/>
      <c r="H524" s="20"/>
      <c r="I524" s="29"/>
      <c r="J524" s="29"/>
      <c r="K524" s="27"/>
      <c r="L524" s="27"/>
      <c r="M524" s="27" t="s">
        <v>7241</v>
      </c>
      <c r="N524" s="27"/>
      <c r="O524" s="29" t="s">
        <v>7242</v>
      </c>
      <c r="P524" s="27"/>
      <c r="Q524" s="27"/>
      <c r="R524" s="29"/>
      <c r="S524" s="29"/>
      <c r="T524" s="29"/>
      <c r="U524" s="27"/>
      <c r="V524" s="27"/>
      <c r="W524" s="27"/>
      <c r="X524" s="64"/>
      <c r="Y524" s="64"/>
      <c r="Z524" s="64"/>
      <c r="AA524" s="64"/>
      <c r="AB524" s="27"/>
      <c r="AC524" s="27"/>
    </row>
    <row r="525" spans="1:29" s="25" customFormat="1" x14ac:dyDescent="0.3">
      <c r="A525" s="24">
        <v>303</v>
      </c>
      <c r="B525" s="24" t="s">
        <v>2272</v>
      </c>
      <c r="C525" s="26">
        <v>187</v>
      </c>
      <c r="D525" s="25" t="s">
        <v>693</v>
      </c>
      <c r="E525" s="19" t="s">
        <v>694</v>
      </c>
      <c r="F525" s="19"/>
      <c r="G525" s="24"/>
      <c r="H525" s="19"/>
      <c r="I525" s="26" t="s">
        <v>37</v>
      </c>
      <c r="J525" s="26" t="s">
        <v>37</v>
      </c>
      <c r="K525" s="24"/>
      <c r="L525" s="24" t="s">
        <v>3568</v>
      </c>
      <c r="M525" s="24" t="s">
        <v>52</v>
      </c>
      <c r="N525" s="24"/>
      <c r="O525" s="26"/>
      <c r="P525" s="24"/>
      <c r="Q525" s="24"/>
      <c r="R525" s="26"/>
      <c r="S525" s="26"/>
      <c r="T525" s="26"/>
      <c r="U525" s="24"/>
      <c r="V525" s="24"/>
      <c r="W525" s="24"/>
      <c r="X525" s="63"/>
      <c r="Y525" s="63"/>
      <c r="Z525" s="63"/>
      <c r="AA525" s="63"/>
      <c r="AB525" s="24"/>
      <c r="AC525" s="24"/>
    </row>
    <row r="526" spans="1:29" s="28" customFormat="1" x14ac:dyDescent="0.3">
      <c r="A526" s="27" t="s">
        <v>7243</v>
      </c>
      <c r="B526" s="27" t="s">
        <v>2273</v>
      </c>
      <c r="C526" s="29"/>
      <c r="D526" s="28" t="s">
        <v>4907</v>
      </c>
      <c r="E526" s="20" t="s">
        <v>694</v>
      </c>
      <c r="F526" s="20" t="s">
        <v>2520</v>
      </c>
      <c r="G526" s="27"/>
      <c r="H526" s="20"/>
      <c r="I526" s="29"/>
      <c r="J526" s="29"/>
      <c r="K526" s="27"/>
      <c r="L526" s="27"/>
      <c r="M526" s="27" t="s">
        <v>7244</v>
      </c>
      <c r="N526" s="27"/>
      <c r="O526" s="29" t="s">
        <v>1631</v>
      </c>
      <c r="P526" s="27"/>
      <c r="Q526" s="27"/>
      <c r="R526" s="29"/>
      <c r="S526" s="29"/>
      <c r="T526" s="29"/>
      <c r="U526" s="27"/>
      <c r="V526" s="27"/>
      <c r="W526" s="27"/>
      <c r="X526" s="64"/>
      <c r="Y526" s="64"/>
      <c r="Z526" s="64"/>
      <c r="AA526" s="64"/>
      <c r="AB526" s="27"/>
      <c r="AC526" s="27"/>
    </row>
    <row r="527" spans="1:29" s="25" customFormat="1" x14ac:dyDescent="0.3">
      <c r="A527" s="24">
        <v>304</v>
      </c>
      <c r="B527" s="24" t="s">
        <v>2272</v>
      </c>
      <c r="C527" s="26">
        <v>189</v>
      </c>
      <c r="D527" s="25" t="s">
        <v>696</v>
      </c>
      <c r="E527" s="19" t="s">
        <v>697</v>
      </c>
      <c r="F527" s="19"/>
      <c r="G527" s="24"/>
      <c r="H527" s="19"/>
      <c r="I527" s="26" t="s">
        <v>49</v>
      </c>
      <c r="J527" s="26" t="s">
        <v>5121</v>
      </c>
      <c r="K527" s="24" t="s">
        <v>49</v>
      </c>
      <c r="L527" s="24" t="s">
        <v>3078</v>
      </c>
      <c r="M527" s="24" t="s">
        <v>5444</v>
      </c>
      <c r="N527" s="24" t="s">
        <v>1880</v>
      </c>
      <c r="O527" s="26" t="s">
        <v>1881</v>
      </c>
      <c r="P527" s="24" t="s">
        <v>6431</v>
      </c>
      <c r="Q527" s="24"/>
      <c r="R527" s="26"/>
      <c r="S527" s="26"/>
      <c r="T527" s="26"/>
      <c r="U527" s="24"/>
      <c r="V527" s="24"/>
      <c r="W527" s="24"/>
      <c r="X527" s="63"/>
      <c r="Y527" s="63"/>
      <c r="Z527" s="63"/>
      <c r="AA527" s="63"/>
      <c r="AB527" s="24"/>
      <c r="AC527" s="24"/>
    </row>
    <row r="528" spans="1:29" s="25" customFormat="1" x14ac:dyDescent="0.3">
      <c r="A528" s="24">
        <v>305</v>
      </c>
      <c r="B528" s="24" t="s">
        <v>2272</v>
      </c>
      <c r="C528" s="26">
        <v>187</v>
      </c>
      <c r="D528" s="25" t="s">
        <v>698</v>
      </c>
      <c r="E528" s="19" t="s">
        <v>699</v>
      </c>
      <c r="F528" s="19"/>
      <c r="G528" s="24"/>
      <c r="H528" s="19"/>
      <c r="I528" s="26" t="s">
        <v>37</v>
      </c>
      <c r="J528" s="26" t="s">
        <v>37</v>
      </c>
      <c r="K528" s="24"/>
      <c r="L528" s="24" t="s">
        <v>3571</v>
      </c>
      <c r="M528" s="24" t="s">
        <v>84</v>
      </c>
      <c r="N528" s="24"/>
      <c r="O528" s="26"/>
      <c r="P528" s="24"/>
      <c r="Q528" s="24"/>
      <c r="R528" s="26"/>
      <c r="S528" s="26"/>
      <c r="T528" s="26"/>
      <c r="U528" s="24"/>
      <c r="V528" s="24"/>
      <c r="W528" s="24"/>
      <c r="X528" s="63"/>
      <c r="Y528" s="63"/>
      <c r="Z528" s="63"/>
      <c r="AA528" s="63"/>
      <c r="AB528" s="24"/>
      <c r="AC528" s="24"/>
    </row>
    <row r="529" spans="1:29" s="28" customFormat="1" x14ac:dyDescent="0.3">
      <c r="A529" s="27" t="s">
        <v>7245</v>
      </c>
      <c r="B529" s="27" t="s">
        <v>2273</v>
      </c>
      <c r="C529" s="29">
        <v>187</v>
      </c>
      <c r="D529" s="28" t="s">
        <v>4908</v>
      </c>
      <c r="E529" s="20" t="s">
        <v>699</v>
      </c>
      <c r="F529" s="20" t="s">
        <v>2319</v>
      </c>
      <c r="G529" s="27"/>
      <c r="H529" s="20" t="s">
        <v>4586</v>
      </c>
      <c r="I529" s="29"/>
      <c r="J529" s="29" t="s">
        <v>37</v>
      </c>
      <c r="K529" s="27"/>
      <c r="L529" s="27" t="s">
        <v>3571</v>
      </c>
      <c r="M529" s="27" t="s">
        <v>6768</v>
      </c>
      <c r="N529" s="27"/>
      <c r="O529" s="29" t="s">
        <v>1906</v>
      </c>
      <c r="P529" s="27"/>
      <c r="Q529" s="27"/>
      <c r="R529" s="29"/>
      <c r="S529" s="29"/>
      <c r="T529" s="29"/>
      <c r="U529" s="27"/>
      <c r="V529" s="27"/>
      <c r="W529" s="27"/>
      <c r="X529" s="64"/>
      <c r="Y529" s="64"/>
      <c r="Z529" s="64"/>
      <c r="AA529" s="64"/>
      <c r="AB529" s="27"/>
      <c r="AC529" s="27"/>
    </row>
    <row r="530" spans="1:29" s="25" customFormat="1" x14ac:dyDescent="0.3">
      <c r="A530" s="24">
        <v>306</v>
      </c>
      <c r="B530" s="24" t="s">
        <v>2272</v>
      </c>
      <c r="C530" s="26">
        <v>189</v>
      </c>
      <c r="D530" s="25" t="s">
        <v>700</v>
      </c>
      <c r="E530" s="19" t="s">
        <v>701</v>
      </c>
      <c r="F530" s="19"/>
      <c r="G530" s="24"/>
      <c r="H530" s="19"/>
      <c r="I530" s="26" t="s">
        <v>57</v>
      </c>
      <c r="J530" s="26" t="s">
        <v>57</v>
      </c>
      <c r="K530" s="24"/>
      <c r="L530" s="24" t="s">
        <v>3573</v>
      </c>
      <c r="M530" s="24" t="s">
        <v>5229</v>
      </c>
      <c r="N530" s="24"/>
      <c r="O530" s="26" t="s">
        <v>1883</v>
      </c>
      <c r="P530" s="24"/>
      <c r="Q530" s="24"/>
      <c r="R530" s="26"/>
      <c r="S530" s="26"/>
      <c r="T530" s="26"/>
      <c r="U530" s="24"/>
      <c r="V530" s="24"/>
      <c r="W530" s="24"/>
      <c r="X530" s="63"/>
      <c r="Y530" s="63"/>
      <c r="Z530" s="63"/>
      <c r="AA530" s="63"/>
      <c r="AB530" s="24"/>
      <c r="AC530" s="24"/>
    </row>
    <row r="531" spans="1:29" s="25" customFormat="1" x14ac:dyDescent="0.3">
      <c r="A531" s="24">
        <v>307</v>
      </c>
      <c r="B531" s="24" t="s">
        <v>2272</v>
      </c>
      <c r="C531" s="26">
        <v>189</v>
      </c>
      <c r="D531" s="25" t="s">
        <v>702</v>
      </c>
      <c r="E531" s="19" t="s">
        <v>703</v>
      </c>
      <c r="F531" s="19"/>
      <c r="G531" s="24"/>
      <c r="H531" s="19"/>
      <c r="I531" s="26" t="s">
        <v>57</v>
      </c>
      <c r="J531" s="26" t="s">
        <v>57</v>
      </c>
      <c r="K531" s="24"/>
      <c r="L531" s="24" t="s">
        <v>3575</v>
      </c>
      <c r="M531" s="24" t="s">
        <v>5445</v>
      </c>
      <c r="N531" s="24"/>
      <c r="O531" s="26" t="s">
        <v>1884</v>
      </c>
      <c r="P531" s="24"/>
      <c r="Q531" s="24"/>
      <c r="R531" s="26"/>
      <c r="S531" s="26"/>
      <c r="T531" s="26"/>
      <c r="U531" s="24"/>
      <c r="V531" s="24"/>
      <c r="W531" s="24"/>
      <c r="X531" s="63"/>
      <c r="Y531" s="63"/>
      <c r="Z531" s="63"/>
      <c r="AA531" s="63"/>
      <c r="AB531" s="24"/>
      <c r="AC531" s="24"/>
    </row>
    <row r="532" spans="1:29" s="25" customFormat="1" x14ac:dyDescent="0.3">
      <c r="A532" s="24">
        <v>308</v>
      </c>
      <c r="B532" s="24" t="s">
        <v>2272</v>
      </c>
      <c r="C532" s="26">
        <v>191</v>
      </c>
      <c r="D532" s="25" t="s">
        <v>708</v>
      </c>
      <c r="E532" s="19" t="s">
        <v>709</v>
      </c>
      <c r="F532" s="19"/>
      <c r="G532" s="24" t="s">
        <v>1888</v>
      </c>
      <c r="H532" s="19"/>
      <c r="I532" s="26" t="s">
        <v>57</v>
      </c>
      <c r="J532" s="26" t="s">
        <v>57</v>
      </c>
      <c r="K532" s="24"/>
      <c r="L532" s="24" t="s">
        <v>3581</v>
      </c>
      <c r="M532" s="24" t="s">
        <v>5447</v>
      </c>
      <c r="N532" s="24"/>
      <c r="O532" s="26" t="s">
        <v>1887</v>
      </c>
      <c r="P532" s="24"/>
      <c r="Q532" s="24"/>
      <c r="R532" s="26"/>
      <c r="S532" s="26"/>
      <c r="T532" s="26"/>
      <c r="U532" s="24"/>
      <c r="V532" s="24"/>
      <c r="W532" s="24"/>
      <c r="X532" s="63"/>
      <c r="Y532" s="63"/>
      <c r="Z532" s="63"/>
      <c r="AA532" s="63"/>
      <c r="AB532" s="24"/>
      <c r="AC532" s="24"/>
    </row>
    <row r="533" spans="1:29" s="25" customFormat="1" x14ac:dyDescent="0.3">
      <c r="A533" s="24">
        <v>309</v>
      </c>
      <c r="B533" s="24" t="s">
        <v>2272</v>
      </c>
      <c r="C533" s="26">
        <v>189</v>
      </c>
      <c r="D533" s="25" t="s">
        <v>706</v>
      </c>
      <c r="E533" s="19" t="s">
        <v>707</v>
      </c>
      <c r="F533" s="19"/>
      <c r="G533" s="24" t="s">
        <v>1886</v>
      </c>
      <c r="H533" s="19"/>
      <c r="I533" s="26" t="s">
        <v>57</v>
      </c>
      <c r="J533" s="26" t="s">
        <v>57</v>
      </c>
      <c r="K533" s="24"/>
      <c r="L533" s="24" t="s">
        <v>3579</v>
      </c>
      <c r="M533" s="24" t="s">
        <v>5446</v>
      </c>
      <c r="N533" s="24"/>
      <c r="O533" s="26" t="s">
        <v>1885</v>
      </c>
      <c r="P533" s="24"/>
      <c r="Q533" s="24"/>
      <c r="R533" s="26"/>
      <c r="S533" s="26"/>
      <c r="T533" s="26"/>
      <c r="U533" s="24"/>
      <c r="V533" s="24"/>
      <c r="W533" s="24"/>
      <c r="X533" s="63"/>
      <c r="Y533" s="63"/>
      <c r="Z533" s="63"/>
      <c r="AA533" s="63"/>
      <c r="AB533" s="24"/>
      <c r="AC533" s="24"/>
    </row>
    <row r="534" spans="1:29" s="25" customFormat="1" x14ac:dyDescent="0.3">
      <c r="A534" s="24">
        <v>310</v>
      </c>
      <c r="B534" s="24" t="s">
        <v>2272</v>
      </c>
      <c r="C534" s="26">
        <v>191</v>
      </c>
      <c r="D534" s="25" t="s">
        <v>704</v>
      </c>
      <c r="E534" s="19" t="s">
        <v>705</v>
      </c>
      <c r="F534" s="19"/>
      <c r="G534" s="24"/>
      <c r="H534" s="19"/>
      <c r="I534" s="26" t="s">
        <v>37</v>
      </c>
      <c r="J534" s="26" t="s">
        <v>37</v>
      </c>
      <c r="K534" s="24"/>
      <c r="L534" s="24" t="s">
        <v>3577</v>
      </c>
      <c r="M534" s="24" t="s">
        <v>4365</v>
      </c>
      <c r="N534" s="24"/>
      <c r="O534" s="26"/>
      <c r="P534" s="24"/>
      <c r="Q534" s="24"/>
      <c r="R534" s="26"/>
      <c r="S534" s="26"/>
      <c r="T534" s="26"/>
      <c r="U534" s="24"/>
      <c r="V534" s="24"/>
      <c r="W534" s="24"/>
      <c r="X534" s="63"/>
      <c r="Y534" s="63"/>
      <c r="Z534" s="63"/>
      <c r="AA534" s="63"/>
      <c r="AB534" s="24"/>
      <c r="AC534" s="24"/>
    </row>
    <row r="535" spans="1:29" s="28" customFormat="1" x14ac:dyDescent="0.3">
      <c r="A535" s="27" t="s">
        <v>7246</v>
      </c>
      <c r="B535" s="27" t="s">
        <v>2273</v>
      </c>
      <c r="C535" s="29">
        <v>191</v>
      </c>
      <c r="D535" s="28" t="s">
        <v>4909</v>
      </c>
      <c r="E535" s="20" t="s">
        <v>705</v>
      </c>
      <c r="F535" s="20" t="s">
        <v>2522</v>
      </c>
      <c r="G535" s="27"/>
      <c r="H535" s="20" t="s">
        <v>4587</v>
      </c>
      <c r="I535" s="29"/>
      <c r="J535" s="29" t="s">
        <v>37</v>
      </c>
      <c r="K535" s="27"/>
      <c r="L535" s="27" t="s">
        <v>3577</v>
      </c>
      <c r="M535" s="27" t="s">
        <v>7247</v>
      </c>
      <c r="N535" s="27"/>
      <c r="O535" s="29" t="s">
        <v>7248</v>
      </c>
      <c r="P535" s="27"/>
      <c r="Q535" s="27"/>
      <c r="R535" s="29"/>
      <c r="S535" s="29"/>
      <c r="T535" s="29"/>
      <c r="U535" s="27"/>
      <c r="V535" s="27"/>
      <c r="W535" s="27"/>
      <c r="X535" s="64"/>
      <c r="Y535" s="64"/>
      <c r="Z535" s="64"/>
      <c r="AA535" s="64"/>
      <c r="AB535" s="27"/>
      <c r="AC535" s="27"/>
    </row>
    <row r="536" spans="1:29" s="25" customFormat="1" x14ac:dyDescent="0.3">
      <c r="A536" s="24">
        <v>311</v>
      </c>
      <c r="B536" s="24" t="s">
        <v>2272</v>
      </c>
      <c r="C536" s="26">
        <v>191</v>
      </c>
      <c r="D536" s="25" t="s">
        <v>710</v>
      </c>
      <c r="E536" s="19" t="s">
        <v>711</v>
      </c>
      <c r="F536" s="19"/>
      <c r="G536" s="24"/>
      <c r="H536" s="19"/>
      <c r="I536" s="26" t="s">
        <v>37</v>
      </c>
      <c r="J536" s="26" t="s">
        <v>37</v>
      </c>
      <c r="K536" s="24"/>
      <c r="L536" s="24" t="s">
        <v>3583</v>
      </c>
      <c r="M536" s="24" t="s">
        <v>5448</v>
      </c>
      <c r="N536" s="24"/>
      <c r="O536" s="26"/>
      <c r="P536" s="24"/>
      <c r="Q536" s="24"/>
      <c r="R536" s="26"/>
      <c r="S536" s="26"/>
      <c r="T536" s="26"/>
      <c r="U536" s="24"/>
      <c r="V536" s="24"/>
      <c r="W536" s="24"/>
      <c r="X536" s="63"/>
      <c r="Y536" s="63"/>
      <c r="Z536" s="63"/>
      <c r="AA536" s="63"/>
      <c r="AB536" s="24"/>
      <c r="AC536" s="24"/>
    </row>
    <row r="537" spans="1:29" s="28" customFormat="1" x14ac:dyDescent="0.3">
      <c r="A537" s="27" t="s">
        <v>7249</v>
      </c>
      <c r="B537" s="27" t="s">
        <v>2273</v>
      </c>
      <c r="C537" s="29"/>
      <c r="D537" s="28" t="s">
        <v>4910</v>
      </c>
      <c r="E537" s="20" t="s">
        <v>711</v>
      </c>
      <c r="F537" s="20" t="s">
        <v>2523</v>
      </c>
      <c r="G537" s="27"/>
      <c r="H537" s="20"/>
      <c r="I537" s="29"/>
      <c r="J537" s="29"/>
      <c r="K537" s="27"/>
      <c r="L537" s="27"/>
      <c r="M537" s="27" t="s">
        <v>7250</v>
      </c>
      <c r="N537" s="27"/>
      <c r="O537" s="29" t="s">
        <v>7251</v>
      </c>
      <c r="P537" s="27"/>
      <c r="Q537" s="27"/>
      <c r="R537" s="29"/>
      <c r="S537" s="29"/>
      <c r="T537" s="29"/>
      <c r="U537" s="27"/>
      <c r="V537" s="27"/>
      <c r="W537" s="27"/>
      <c r="X537" s="64"/>
      <c r="Y537" s="64"/>
      <c r="Z537" s="64"/>
      <c r="AA537" s="64"/>
      <c r="AB537" s="27"/>
      <c r="AC537" s="27"/>
    </row>
    <row r="538" spans="1:29" s="25" customFormat="1" x14ac:dyDescent="0.3">
      <c r="A538" s="24">
        <v>312</v>
      </c>
      <c r="B538" s="24" t="s">
        <v>2272</v>
      </c>
      <c r="C538" s="26">
        <v>195</v>
      </c>
      <c r="D538" s="25" t="s">
        <v>712</v>
      </c>
      <c r="E538" s="19" t="s">
        <v>713</v>
      </c>
      <c r="F538" s="19"/>
      <c r="G538" s="24"/>
      <c r="H538" s="19"/>
      <c r="I538" s="26" t="s">
        <v>37</v>
      </c>
      <c r="J538" s="26" t="s">
        <v>37</v>
      </c>
      <c r="K538" s="24"/>
      <c r="L538" s="24" t="s">
        <v>3585</v>
      </c>
      <c r="M538" s="24" t="s">
        <v>84</v>
      </c>
      <c r="N538" s="24"/>
      <c r="O538" s="26"/>
      <c r="P538" s="24"/>
      <c r="Q538" s="24"/>
      <c r="R538" s="26"/>
      <c r="S538" s="26"/>
      <c r="T538" s="26"/>
      <c r="U538" s="24"/>
      <c r="V538" s="24"/>
      <c r="W538" s="24"/>
      <c r="X538" s="63"/>
      <c r="Y538" s="63"/>
      <c r="Z538" s="63"/>
      <c r="AA538" s="63"/>
      <c r="AB538" s="24"/>
      <c r="AC538" s="24"/>
    </row>
    <row r="539" spans="1:29" s="28" customFormat="1" x14ac:dyDescent="0.3">
      <c r="A539" s="27" t="s">
        <v>7252</v>
      </c>
      <c r="B539" s="27" t="s">
        <v>2273</v>
      </c>
      <c r="C539" s="29"/>
      <c r="D539" s="28" t="s">
        <v>4911</v>
      </c>
      <c r="E539" s="20" t="s">
        <v>713</v>
      </c>
      <c r="F539" s="20" t="s">
        <v>2524</v>
      </c>
      <c r="G539" s="27"/>
      <c r="H539" s="20"/>
      <c r="I539" s="29"/>
      <c r="J539" s="29"/>
      <c r="K539" s="27"/>
      <c r="L539" s="27"/>
      <c r="M539" s="27" t="s">
        <v>6768</v>
      </c>
      <c r="N539" s="27"/>
      <c r="O539" s="29" t="s">
        <v>7253</v>
      </c>
      <c r="P539" s="27"/>
      <c r="Q539" s="27"/>
      <c r="R539" s="29"/>
      <c r="S539" s="29"/>
      <c r="T539" s="29"/>
      <c r="U539" s="27"/>
      <c r="V539" s="27"/>
      <c r="W539" s="27"/>
      <c r="X539" s="64"/>
      <c r="Y539" s="64"/>
      <c r="Z539" s="64"/>
      <c r="AA539" s="64"/>
      <c r="AB539" s="27"/>
      <c r="AC539" s="27"/>
    </row>
    <row r="540" spans="1:29" s="28" customFormat="1" x14ac:dyDescent="0.3">
      <c r="A540" s="27" t="s">
        <v>7254</v>
      </c>
      <c r="B540" s="27" t="s">
        <v>2273</v>
      </c>
      <c r="C540" s="29"/>
      <c r="D540" s="28" t="s">
        <v>4911</v>
      </c>
      <c r="E540" s="20" t="s">
        <v>713</v>
      </c>
      <c r="F540" s="20" t="s">
        <v>2525</v>
      </c>
      <c r="G540" s="27"/>
      <c r="H540" s="20"/>
      <c r="I540" s="29"/>
      <c r="J540" s="29"/>
      <c r="K540" s="27"/>
      <c r="L540" s="27"/>
      <c r="M540" s="27" t="s">
        <v>7255</v>
      </c>
      <c r="N540" s="27"/>
      <c r="O540" s="29" t="s">
        <v>7256</v>
      </c>
      <c r="P540" s="27"/>
      <c r="Q540" s="27"/>
      <c r="R540" s="29"/>
      <c r="S540" s="29"/>
      <c r="T540" s="29"/>
      <c r="U540" s="27"/>
      <c r="V540" s="27"/>
      <c r="W540" s="27"/>
      <c r="X540" s="64"/>
      <c r="Y540" s="64"/>
      <c r="Z540" s="64"/>
      <c r="AA540" s="64"/>
      <c r="AB540" s="27"/>
      <c r="AC540" s="27"/>
    </row>
    <row r="541" spans="1:29" s="28" customFormat="1" x14ac:dyDescent="0.3">
      <c r="A541" s="27" t="s">
        <v>7257</v>
      </c>
      <c r="B541" s="27" t="s">
        <v>2273</v>
      </c>
      <c r="C541" s="29"/>
      <c r="D541" s="28" t="s">
        <v>4911</v>
      </c>
      <c r="E541" s="20" t="s">
        <v>713</v>
      </c>
      <c r="F541" s="20" t="s">
        <v>2526</v>
      </c>
      <c r="G541" s="27"/>
      <c r="H541" s="20"/>
      <c r="I541" s="29"/>
      <c r="J541" s="29"/>
      <c r="K541" s="27"/>
      <c r="L541" s="27"/>
      <c r="M541" s="27" t="s">
        <v>7258</v>
      </c>
      <c r="N541" s="27"/>
      <c r="O541" s="29" t="s">
        <v>7259</v>
      </c>
      <c r="P541" s="27"/>
      <c r="Q541" s="27"/>
      <c r="R541" s="29"/>
      <c r="S541" s="29"/>
      <c r="T541" s="29"/>
      <c r="U541" s="27"/>
      <c r="V541" s="27"/>
      <c r="W541" s="27"/>
      <c r="X541" s="64"/>
      <c r="Y541" s="64"/>
      <c r="Z541" s="64"/>
      <c r="AA541" s="64"/>
      <c r="AB541" s="27"/>
      <c r="AC541" s="27"/>
    </row>
    <row r="542" spans="1:29" s="25" customFormat="1" x14ac:dyDescent="0.3">
      <c r="A542" s="24">
        <v>313</v>
      </c>
      <c r="B542" s="24" t="s">
        <v>2272</v>
      </c>
      <c r="C542" s="26">
        <v>193</v>
      </c>
      <c r="D542" s="25" t="s">
        <v>2957</v>
      </c>
      <c r="E542" s="19" t="s">
        <v>2958</v>
      </c>
      <c r="F542" s="19"/>
      <c r="G542" s="24"/>
      <c r="H542" s="19"/>
      <c r="I542" s="26" t="s">
        <v>49</v>
      </c>
      <c r="J542" s="26" t="s">
        <v>5121</v>
      </c>
      <c r="K542" s="24" t="s">
        <v>49</v>
      </c>
      <c r="L542" s="24" t="s">
        <v>3078</v>
      </c>
      <c r="M542" s="24" t="s">
        <v>5449</v>
      </c>
      <c r="N542" s="24"/>
      <c r="O542" s="26"/>
      <c r="P542" s="24" t="s">
        <v>8564</v>
      </c>
      <c r="Q542" s="24"/>
      <c r="R542" s="26"/>
      <c r="S542" s="26"/>
      <c r="T542" s="26"/>
      <c r="U542" s="24"/>
      <c r="V542" s="24"/>
      <c r="W542" s="24"/>
      <c r="X542" s="63"/>
      <c r="Y542" s="63"/>
      <c r="Z542" s="63"/>
      <c r="AA542" s="63"/>
      <c r="AB542" s="24"/>
      <c r="AC542" s="24"/>
    </row>
    <row r="543" spans="1:29" s="28" customFormat="1" x14ac:dyDescent="0.3">
      <c r="A543" s="27" t="s">
        <v>7260</v>
      </c>
      <c r="B543" s="27" t="s">
        <v>2273</v>
      </c>
      <c r="C543" s="29"/>
      <c r="D543" s="28" t="s">
        <v>4912</v>
      </c>
      <c r="E543" s="20" t="s">
        <v>2958</v>
      </c>
      <c r="F543" s="20" t="s">
        <v>2962</v>
      </c>
      <c r="G543" s="27"/>
      <c r="H543" s="20"/>
      <c r="I543" s="29"/>
      <c r="J543" s="29"/>
      <c r="K543" s="27"/>
      <c r="L543" s="27"/>
      <c r="M543" s="27" t="s">
        <v>7261</v>
      </c>
      <c r="N543" s="27"/>
      <c r="O543" s="29" t="s">
        <v>7262</v>
      </c>
      <c r="P543" s="27"/>
      <c r="Q543" s="27"/>
      <c r="R543" s="29"/>
      <c r="S543" s="29"/>
      <c r="T543" s="29"/>
      <c r="U543" s="27"/>
      <c r="V543" s="27"/>
      <c r="W543" s="27"/>
      <c r="X543" s="64"/>
      <c r="Y543" s="64"/>
      <c r="Z543" s="64"/>
      <c r="AA543" s="64"/>
      <c r="AB543" s="27"/>
      <c r="AC543" s="27"/>
    </row>
    <row r="544" spans="1:29" s="25" customFormat="1" x14ac:dyDescent="0.3">
      <c r="A544" s="24">
        <v>314</v>
      </c>
      <c r="B544" s="24" t="s">
        <v>2272</v>
      </c>
      <c r="C544" s="26">
        <v>195</v>
      </c>
      <c r="D544" s="25" t="s">
        <v>714</v>
      </c>
      <c r="E544" s="19" t="s">
        <v>715</v>
      </c>
      <c r="F544" s="19"/>
      <c r="G544" s="24"/>
      <c r="H544" s="19"/>
      <c r="I544" s="26" t="s">
        <v>89</v>
      </c>
      <c r="J544" s="26" t="s">
        <v>37</v>
      </c>
      <c r="K544" s="24"/>
      <c r="L544" s="24" t="s">
        <v>3588</v>
      </c>
      <c r="M544" s="24" t="s">
        <v>5450</v>
      </c>
      <c r="N544" s="24" t="s">
        <v>5451</v>
      </c>
      <c r="O544" s="26" t="s">
        <v>1890</v>
      </c>
      <c r="P544" s="24"/>
      <c r="Q544" s="24"/>
      <c r="R544" s="26"/>
      <c r="S544" s="26"/>
      <c r="T544" s="26"/>
      <c r="U544" s="24"/>
      <c r="V544" s="24"/>
      <c r="W544" s="24"/>
      <c r="X544" s="63"/>
      <c r="Y544" s="63"/>
      <c r="Z544" s="63"/>
      <c r="AA544" s="63"/>
      <c r="AB544" s="24"/>
      <c r="AC544" s="24"/>
    </row>
    <row r="545" spans="1:29" s="25" customFormat="1" x14ac:dyDescent="0.3">
      <c r="A545" s="24">
        <v>315</v>
      </c>
      <c r="B545" s="24" t="s">
        <v>2272</v>
      </c>
      <c r="C545" s="26">
        <v>195</v>
      </c>
      <c r="D545" s="25" t="s">
        <v>716</v>
      </c>
      <c r="E545" s="19" t="s">
        <v>717</v>
      </c>
      <c r="F545" s="19"/>
      <c r="G545" s="24"/>
      <c r="H545" s="19"/>
      <c r="I545" s="26" t="s">
        <v>89</v>
      </c>
      <c r="J545" s="26" t="s">
        <v>37</v>
      </c>
      <c r="K545" s="24"/>
      <c r="L545" s="24" t="s">
        <v>3590</v>
      </c>
      <c r="M545" s="24" t="s">
        <v>5452</v>
      </c>
      <c r="N545" s="24" t="s">
        <v>1889</v>
      </c>
      <c r="O545" s="26"/>
      <c r="P545" s="24"/>
      <c r="Q545" s="24"/>
      <c r="R545" s="26"/>
      <c r="S545" s="26"/>
      <c r="T545" s="26"/>
      <c r="U545" s="24"/>
      <c r="V545" s="24"/>
      <c r="W545" s="24"/>
      <c r="X545" s="63"/>
      <c r="Y545" s="63"/>
      <c r="Z545" s="63"/>
      <c r="AA545" s="63"/>
      <c r="AB545" s="24"/>
      <c r="AC545" s="24"/>
    </row>
    <row r="546" spans="1:29" s="28" customFormat="1" x14ac:dyDescent="0.3">
      <c r="A546" s="27" t="s">
        <v>7263</v>
      </c>
      <c r="B546" s="27" t="s">
        <v>2273</v>
      </c>
      <c r="C546" s="29"/>
      <c r="D546" s="28" t="s">
        <v>4913</v>
      </c>
      <c r="E546" s="20" t="s">
        <v>717</v>
      </c>
      <c r="F546" s="20" t="s">
        <v>2427</v>
      </c>
      <c r="G546" s="27"/>
      <c r="H546" s="20"/>
      <c r="I546" s="29"/>
      <c r="J546" s="29"/>
      <c r="K546" s="27"/>
      <c r="L546" s="27"/>
      <c r="M546" s="27" t="s">
        <v>7264</v>
      </c>
      <c r="N546" s="27" t="s">
        <v>7265</v>
      </c>
      <c r="O546" s="29" t="s">
        <v>7266</v>
      </c>
      <c r="P546" s="27"/>
      <c r="Q546" s="27"/>
      <c r="R546" s="29"/>
      <c r="S546" s="29"/>
      <c r="T546" s="29"/>
      <c r="U546" s="27"/>
      <c r="V546" s="27"/>
      <c r="W546" s="27"/>
      <c r="X546" s="64"/>
      <c r="Y546" s="64"/>
      <c r="Z546" s="64"/>
      <c r="AA546" s="64"/>
      <c r="AB546" s="27"/>
      <c r="AC546" s="27"/>
    </row>
    <row r="547" spans="1:29" s="25" customFormat="1" x14ac:dyDescent="0.3">
      <c r="A547" s="24">
        <v>316</v>
      </c>
      <c r="B547" s="24" t="s">
        <v>2272</v>
      </c>
      <c r="C547" s="26">
        <v>195</v>
      </c>
      <c r="D547" s="25" t="s">
        <v>718</v>
      </c>
      <c r="E547" s="19" t="s">
        <v>719</v>
      </c>
      <c r="F547" s="19"/>
      <c r="G547" s="24"/>
      <c r="H547" s="19"/>
      <c r="I547" s="26" t="s">
        <v>37</v>
      </c>
      <c r="J547" s="26" t="s">
        <v>37</v>
      </c>
      <c r="K547" s="24"/>
      <c r="L547" s="24" t="s">
        <v>3176</v>
      </c>
      <c r="M547" s="24" t="s">
        <v>84</v>
      </c>
      <c r="N547" s="24"/>
      <c r="O547" s="26"/>
      <c r="P547" s="24"/>
      <c r="Q547" s="24"/>
      <c r="R547" s="26"/>
      <c r="S547" s="26"/>
      <c r="T547" s="26"/>
      <c r="U547" s="24"/>
      <c r="V547" s="24"/>
      <c r="W547" s="24"/>
      <c r="X547" s="63"/>
      <c r="Y547" s="63"/>
      <c r="Z547" s="63"/>
      <c r="AA547" s="63"/>
      <c r="AB547" s="24"/>
      <c r="AC547" s="24"/>
    </row>
    <row r="548" spans="1:29" s="28" customFormat="1" x14ac:dyDescent="0.3">
      <c r="A548" s="27" t="s">
        <v>7267</v>
      </c>
      <c r="B548" s="27" t="s">
        <v>2273</v>
      </c>
      <c r="C548" s="29"/>
      <c r="D548" s="28" t="s">
        <v>2527</v>
      </c>
      <c r="E548" s="20" t="s">
        <v>719</v>
      </c>
      <c r="F548" s="20" t="s">
        <v>2528</v>
      </c>
      <c r="G548" s="27"/>
      <c r="H548" s="20"/>
      <c r="I548" s="29"/>
      <c r="J548" s="29"/>
      <c r="K548" s="27"/>
      <c r="L548" s="27"/>
      <c r="M548" s="27" t="s">
        <v>6773</v>
      </c>
      <c r="N548" s="27"/>
      <c r="O548" s="29" t="s">
        <v>7268</v>
      </c>
      <c r="P548" s="27"/>
      <c r="Q548" s="27"/>
      <c r="R548" s="29"/>
      <c r="S548" s="29"/>
      <c r="T548" s="29"/>
      <c r="U548" s="27"/>
      <c r="V548" s="27"/>
      <c r="W548" s="27"/>
      <c r="X548" s="64"/>
      <c r="Y548" s="64"/>
      <c r="Z548" s="64"/>
      <c r="AA548" s="64"/>
      <c r="AB548" s="27"/>
      <c r="AC548" s="27"/>
    </row>
    <row r="549" spans="1:29" s="28" customFormat="1" x14ac:dyDescent="0.3">
      <c r="A549" s="27" t="s">
        <v>7269</v>
      </c>
      <c r="B549" s="27" t="s">
        <v>2273</v>
      </c>
      <c r="C549" s="29"/>
      <c r="D549" s="28" t="s">
        <v>2527</v>
      </c>
      <c r="E549" s="20" t="s">
        <v>719</v>
      </c>
      <c r="F549" s="20" t="s">
        <v>2529</v>
      </c>
      <c r="G549" s="27"/>
      <c r="H549" s="20"/>
      <c r="I549" s="29"/>
      <c r="J549" s="29"/>
      <c r="K549" s="27"/>
      <c r="L549" s="27"/>
      <c r="M549" s="27" t="s">
        <v>7270</v>
      </c>
      <c r="N549" s="27"/>
      <c r="O549" s="29" t="s">
        <v>7271</v>
      </c>
      <c r="P549" s="27"/>
      <c r="Q549" s="27"/>
      <c r="R549" s="29"/>
      <c r="S549" s="29"/>
      <c r="T549" s="29"/>
      <c r="U549" s="27"/>
      <c r="V549" s="27"/>
      <c r="W549" s="27"/>
      <c r="X549" s="64"/>
      <c r="Y549" s="64"/>
      <c r="Z549" s="64"/>
      <c r="AA549" s="64"/>
      <c r="AB549" s="27"/>
      <c r="AC549" s="27"/>
    </row>
    <row r="550" spans="1:29" s="25" customFormat="1" x14ac:dyDescent="0.3">
      <c r="A550" s="24">
        <v>317</v>
      </c>
      <c r="B550" s="24" t="s">
        <v>2272</v>
      </c>
      <c r="C550" s="26">
        <v>197</v>
      </c>
      <c r="D550" s="25" t="s">
        <v>720</v>
      </c>
      <c r="E550" s="19" t="s">
        <v>721</v>
      </c>
      <c r="F550" s="19"/>
      <c r="G550" s="24"/>
      <c r="H550" s="19"/>
      <c r="I550" s="26" t="s">
        <v>49</v>
      </c>
      <c r="J550" s="26" t="s">
        <v>5121</v>
      </c>
      <c r="K550" s="24" t="s">
        <v>49</v>
      </c>
      <c r="L550" s="24" t="s">
        <v>3078</v>
      </c>
      <c r="M550" s="24" t="s">
        <v>5218</v>
      </c>
      <c r="N550" s="24" t="s">
        <v>1892</v>
      </c>
      <c r="O550" s="26"/>
      <c r="P550" s="24" t="s">
        <v>6548</v>
      </c>
      <c r="Q550" s="24"/>
      <c r="R550" s="26"/>
      <c r="S550" s="26"/>
      <c r="T550" s="26"/>
      <c r="U550" s="24"/>
      <c r="V550" s="24"/>
      <c r="W550" s="24"/>
      <c r="X550" s="63"/>
      <c r="Y550" s="63"/>
      <c r="Z550" s="63"/>
      <c r="AA550" s="63"/>
      <c r="AB550" s="24"/>
      <c r="AC550" s="24"/>
    </row>
    <row r="551" spans="1:29" s="28" customFormat="1" x14ac:dyDescent="0.3">
      <c r="A551" s="27" t="s">
        <v>7272</v>
      </c>
      <c r="B551" s="27" t="s">
        <v>2273</v>
      </c>
      <c r="C551" s="29"/>
      <c r="D551" s="28" t="s">
        <v>4914</v>
      </c>
      <c r="E551" s="20" t="s">
        <v>721</v>
      </c>
      <c r="F551" s="20" t="s">
        <v>2530</v>
      </c>
      <c r="G551" s="27"/>
      <c r="H551" s="20"/>
      <c r="I551" s="29"/>
      <c r="J551" s="29"/>
      <c r="K551" s="27"/>
      <c r="L551" s="27"/>
      <c r="M551" s="27" t="s">
        <v>7273</v>
      </c>
      <c r="N551" s="27" t="s">
        <v>7274</v>
      </c>
      <c r="O551" s="29" t="s">
        <v>7275</v>
      </c>
      <c r="P551" s="27"/>
      <c r="Q551" s="27"/>
      <c r="R551" s="29"/>
      <c r="S551" s="29"/>
      <c r="T551" s="29"/>
      <c r="U551" s="27"/>
      <c r="V551" s="27"/>
      <c r="W551" s="27"/>
      <c r="X551" s="64"/>
      <c r="Y551" s="64"/>
      <c r="Z551" s="64"/>
      <c r="AA551" s="64"/>
      <c r="AB551" s="27"/>
      <c r="AC551" s="27"/>
    </row>
    <row r="552" spans="1:29" s="25" customFormat="1" x14ac:dyDescent="0.3">
      <c r="A552" s="24">
        <v>318</v>
      </c>
      <c r="B552" s="24" t="s">
        <v>2272</v>
      </c>
      <c r="C552" s="26">
        <v>193</v>
      </c>
      <c r="D552" s="25" t="s">
        <v>722</v>
      </c>
      <c r="E552" s="19" t="s">
        <v>723</v>
      </c>
      <c r="F552" s="19"/>
      <c r="G552" s="24"/>
      <c r="H552" s="19"/>
      <c r="I552" s="26" t="s">
        <v>89</v>
      </c>
      <c r="J552" s="26" t="s">
        <v>37</v>
      </c>
      <c r="K552" s="24"/>
      <c r="L552" s="24" t="s">
        <v>3371</v>
      </c>
      <c r="M552" s="24" t="s">
        <v>5453</v>
      </c>
      <c r="N552" s="24" t="s">
        <v>5454</v>
      </c>
      <c r="O552" s="26" t="s">
        <v>1872</v>
      </c>
      <c r="P552" s="24"/>
      <c r="Q552" s="24"/>
      <c r="R552" s="26"/>
      <c r="S552" s="26"/>
      <c r="T552" s="26"/>
      <c r="U552" s="24"/>
      <c r="V552" s="24"/>
      <c r="W552" s="24"/>
      <c r="X552" s="63"/>
      <c r="Y552" s="63"/>
      <c r="Z552" s="63"/>
      <c r="AA552" s="63"/>
      <c r="AB552" s="24"/>
      <c r="AC552" s="24"/>
    </row>
    <row r="553" spans="1:29" s="25" customFormat="1" x14ac:dyDescent="0.3">
      <c r="A553" s="24">
        <v>319</v>
      </c>
      <c r="B553" s="24" t="s">
        <v>2272</v>
      </c>
      <c r="C553" s="26">
        <v>193</v>
      </c>
      <c r="D553" s="25" t="s">
        <v>724</v>
      </c>
      <c r="E553" s="19" t="s">
        <v>725</v>
      </c>
      <c r="F553" s="19"/>
      <c r="G553" s="24"/>
      <c r="H553" s="19"/>
      <c r="I553" s="26" t="s">
        <v>346</v>
      </c>
      <c r="J553" s="26" t="s">
        <v>37</v>
      </c>
      <c r="K553" s="24"/>
      <c r="L553" s="24" t="s">
        <v>3595</v>
      </c>
      <c r="M553" s="24" t="s">
        <v>5455</v>
      </c>
      <c r="N553" s="24" t="s">
        <v>5456</v>
      </c>
      <c r="O553" s="26" t="s">
        <v>1893</v>
      </c>
      <c r="P553" s="24"/>
      <c r="Q553" s="24"/>
      <c r="R553" s="26"/>
      <c r="S553" s="26"/>
      <c r="T553" s="26"/>
      <c r="U553" s="24"/>
      <c r="V553" s="24"/>
      <c r="W553" s="24"/>
      <c r="X553" s="63"/>
      <c r="Y553" s="63"/>
      <c r="Z553" s="63"/>
      <c r="AA553" s="63"/>
      <c r="AB553" s="24"/>
      <c r="AC553" s="24"/>
    </row>
    <row r="554" spans="1:29" s="25" customFormat="1" x14ac:dyDescent="0.3">
      <c r="A554" s="24">
        <v>320</v>
      </c>
      <c r="B554" s="24" t="s">
        <v>2272</v>
      </c>
      <c r="C554" s="26">
        <v>199</v>
      </c>
      <c r="D554" s="25" t="s">
        <v>726</v>
      </c>
      <c r="E554" s="19" t="s">
        <v>727</v>
      </c>
      <c r="F554" s="19"/>
      <c r="G554" s="24"/>
      <c r="H554" s="19"/>
      <c r="I554" s="26" t="s">
        <v>89</v>
      </c>
      <c r="J554" s="26" t="s">
        <v>5121</v>
      </c>
      <c r="K554" s="24"/>
      <c r="L554" s="24" t="s">
        <v>3086</v>
      </c>
      <c r="M554" s="24" t="s">
        <v>5298</v>
      </c>
      <c r="N554" s="24"/>
      <c r="O554" s="26"/>
      <c r="P554" s="24" t="s">
        <v>6549</v>
      </c>
      <c r="Q554" s="24"/>
      <c r="R554" s="26"/>
      <c r="S554" s="26"/>
      <c r="T554" s="26"/>
      <c r="U554" s="24"/>
      <c r="V554" s="24"/>
      <c r="W554" s="24"/>
      <c r="X554" s="63"/>
      <c r="Y554" s="63"/>
      <c r="Z554" s="63"/>
      <c r="AA554" s="63"/>
      <c r="AB554" s="24"/>
      <c r="AC554" s="24"/>
    </row>
    <row r="555" spans="1:29" s="28" customFormat="1" x14ac:dyDescent="0.3">
      <c r="A555" s="27" t="s">
        <v>6288</v>
      </c>
      <c r="B555" s="27" t="s">
        <v>2273</v>
      </c>
      <c r="C555" s="29">
        <v>199</v>
      </c>
      <c r="D555" s="28" t="s">
        <v>4915</v>
      </c>
      <c r="E555" s="20" t="s">
        <v>727</v>
      </c>
      <c r="F555" s="20" t="s">
        <v>2531</v>
      </c>
      <c r="G555" s="27" t="s">
        <v>4588</v>
      </c>
      <c r="H555" s="20" t="s">
        <v>4589</v>
      </c>
      <c r="I555" s="29"/>
      <c r="J555" s="29" t="s">
        <v>5121</v>
      </c>
      <c r="K555" s="27"/>
      <c r="L555" s="27" t="s">
        <v>3086</v>
      </c>
      <c r="M555" s="27" t="s">
        <v>7276</v>
      </c>
      <c r="N555" s="27" t="s">
        <v>7277</v>
      </c>
      <c r="O555" s="29" t="s">
        <v>7278</v>
      </c>
      <c r="P555" s="27"/>
      <c r="Q555" s="27"/>
      <c r="R555" s="29"/>
      <c r="S555" s="29"/>
      <c r="T555" s="29"/>
      <c r="U555" s="27"/>
      <c r="V555" s="27"/>
      <c r="W555" s="27"/>
      <c r="X555" s="64"/>
      <c r="Y555" s="64"/>
      <c r="Z555" s="64"/>
      <c r="AA555" s="64"/>
      <c r="AB555" s="27"/>
      <c r="AC555" s="27"/>
    </row>
    <row r="556" spans="1:29" s="25" customFormat="1" x14ac:dyDescent="0.3">
      <c r="A556" s="24">
        <v>321</v>
      </c>
      <c r="B556" s="24" t="s">
        <v>2272</v>
      </c>
      <c r="C556" s="26">
        <v>197</v>
      </c>
      <c r="D556" s="25" t="s">
        <v>728</v>
      </c>
      <c r="E556" s="19" t="s">
        <v>729</v>
      </c>
      <c r="F556" s="19"/>
      <c r="G556" s="24"/>
      <c r="H556" s="19"/>
      <c r="I556" s="26" t="s">
        <v>37</v>
      </c>
      <c r="J556" s="26" t="s">
        <v>37</v>
      </c>
      <c r="K556" s="24"/>
      <c r="L556" s="24" t="s">
        <v>3125</v>
      </c>
      <c r="M556" s="24" t="s">
        <v>5457</v>
      </c>
      <c r="N556" s="24"/>
      <c r="O556" s="26"/>
      <c r="P556" s="24"/>
      <c r="Q556" s="24"/>
      <c r="R556" s="26"/>
      <c r="S556" s="26"/>
      <c r="T556" s="26"/>
      <c r="U556" s="24"/>
      <c r="V556" s="24"/>
      <c r="W556" s="24"/>
      <c r="X556" s="63"/>
      <c r="Y556" s="63"/>
      <c r="Z556" s="63"/>
      <c r="AA556" s="63"/>
      <c r="AB556" s="24"/>
      <c r="AC556" s="24"/>
    </row>
    <row r="557" spans="1:29" s="28" customFormat="1" x14ac:dyDescent="0.3">
      <c r="A557" s="27" t="s">
        <v>7279</v>
      </c>
      <c r="B557" s="27" t="s">
        <v>2273</v>
      </c>
      <c r="C557" s="29"/>
      <c r="D557" s="28" t="s">
        <v>4916</v>
      </c>
      <c r="E557" s="20" t="s">
        <v>729</v>
      </c>
      <c r="F557" s="20" t="s">
        <v>2333</v>
      </c>
      <c r="G557" s="27"/>
      <c r="H557" s="20"/>
      <c r="I557" s="29"/>
      <c r="J557" s="29"/>
      <c r="K557" s="27"/>
      <c r="L557" s="27"/>
      <c r="M557" s="27" t="s">
        <v>7280</v>
      </c>
      <c r="N557" s="27"/>
      <c r="O557" s="29" t="s">
        <v>7281</v>
      </c>
      <c r="P557" s="27"/>
      <c r="Q557" s="27"/>
      <c r="R557" s="29"/>
      <c r="S557" s="29"/>
      <c r="T557" s="29"/>
      <c r="U557" s="27"/>
      <c r="V557" s="27"/>
      <c r="W557" s="27"/>
      <c r="X557" s="64"/>
      <c r="Y557" s="64"/>
      <c r="Z557" s="64"/>
      <c r="AA557" s="64"/>
      <c r="AB557" s="27"/>
      <c r="AC557" s="27"/>
    </row>
    <row r="558" spans="1:29" s="25" customFormat="1" x14ac:dyDescent="0.3">
      <c r="A558" s="24">
        <v>322</v>
      </c>
      <c r="B558" s="24" t="s">
        <v>2272</v>
      </c>
      <c r="C558" s="26">
        <v>197</v>
      </c>
      <c r="D558" s="25" t="s">
        <v>730</v>
      </c>
      <c r="E558" s="19" t="s">
        <v>6551</v>
      </c>
      <c r="F558" s="19"/>
      <c r="G558" s="24"/>
      <c r="H558" s="19" t="s">
        <v>731</v>
      </c>
      <c r="I558" s="26" t="s">
        <v>37</v>
      </c>
      <c r="J558" s="26" t="s">
        <v>37</v>
      </c>
      <c r="K558" s="24"/>
      <c r="L558" s="24" t="s">
        <v>3125</v>
      </c>
      <c r="M558" s="24" t="s">
        <v>5458</v>
      </c>
      <c r="N558" s="24"/>
      <c r="O558" s="26" t="s">
        <v>1894</v>
      </c>
      <c r="P558" s="24"/>
      <c r="Q558" s="24"/>
      <c r="R558" s="26"/>
      <c r="S558" s="26"/>
      <c r="T558" s="26"/>
      <c r="U558" s="24"/>
      <c r="V558" s="24"/>
      <c r="W558" s="24"/>
      <c r="X558" s="63"/>
      <c r="Y558" s="63"/>
      <c r="Z558" s="63"/>
      <c r="AA558" s="63"/>
      <c r="AB558" s="24"/>
      <c r="AC558" s="24"/>
    </row>
    <row r="559" spans="1:29" s="25" customFormat="1" x14ac:dyDescent="0.3">
      <c r="A559" s="24">
        <v>323</v>
      </c>
      <c r="B559" s="24" t="s">
        <v>2272</v>
      </c>
      <c r="C559" s="26">
        <v>197</v>
      </c>
      <c r="D559" s="25" t="s">
        <v>732</v>
      </c>
      <c r="E559" s="19" t="s">
        <v>1897</v>
      </c>
      <c r="F559" s="19"/>
      <c r="G559" s="24"/>
      <c r="H559" s="19"/>
      <c r="I559" s="26" t="s">
        <v>37</v>
      </c>
      <c r="J559" s="26" t="s">
        <v>37</v>
      </c>
      <c r="K559" s="24"/>
      <c r="L559" s="24" t="s">
        <v>3598</v>
      </c>
      <c r="M559" s="24" t="s">
        <v>5459</v>
      </c>
      <c r="N559" s="24"/>
      <c r="O559" s="26" t="s">
        <v>1895</v>
      </c>
      <c r="P559" s="24"/>
      <c r="Q559" s="24"/>
      <c r="R559" s="26"/>
      <c r="S559" s="26"/>
      <c r="T559" s="26"/>
      <c r="U559" s="24"/>
      <c r="V559" s="24"/>
      <c r="W559" s="24"/>
      <c r="X559" s="63"/>
      <c r="Y559" s="63"/>
      <c r="Z559" s="63"/>
      <c r="AA559" s="63"/>
      <c r="AB559" s="24"/>
      <c r="AC559" s="24"/>
    </row>
    <row r="560" spans="1:29" s="25" customFormat="1" x14ac:dyDescent="0.3">
      <c r="A560" s="24">
        <v>324</v>
      </c>
      <c r="B560" s="24" t="s">
        <v>2272</v>
      </c>
      <c r="C560" s="26">
        <v>199</v>
      </c>
      <c r="D560" s="25" t="s">
        <v>733</v>
      </c>
      <c r="E560" s="19" t="s">
        <v>734</v>
      </c>
      <c r="F560" s="19"/>
      <c r="G560" s="24"/>
      <c r="H560" s="19"/>
      <c r="I560" s="26" t="s">
        <v>89</v>
      </c>
      <c r="J560" s="26" t="s">
        <v>37</v>
      </c>
      <c r="K560" s="24"/>
      <c r="L560" s="24" t="s">
        <v>3588</v>
      </c>
      <c r="M560" s="24" t="s">
        <v>5460</v>
      </c>
      <c r="N560" s="24" t="s">
        <v>5461</v>
      </c>
      <c r="O560" s="26" t="s">
        <v>1898</v>
      </c>
      <c r="P560" s="24" t="s">
        <v>9</v>
      </c>
      <c r="Q560" s="24"/>
      <c r="R560" s="26"/>
      <c r="S560" s="26"/>
      <c r="T560" s="26"/>
      <c r="U560" s="24"/>
      <c r="V560" s="24"/>
      <c r="W560" s="24"/>
      <c r="X560" s="63"/>
      <c r="Y560" s="63"/>
      <c r="Z560" s="63"/>
      <c r="AA560" s="63"/>
      <c r="AB560" s="24"/>
      <c r="AC560" s="24"/>
    </row>
    <row r="561" spans="1:29" s="25" customFormat="1" x14ac:dyDescent="0.3">
      <c r="A561" s="24">
        <v>325</v>
      </c>
      <c r="B561" s="24" t="s">
        <v>2272</v>
      </c>
      <c r="C561" s="26">
        <v>199</v>
      </c>
      <c r="D561" s="25" t="s">
        <v>735</v>
      </c>
      <c r="E561" s="19" t="s">
        <v>736</v>
      </c>
      <c r="F561" s="19"/>
      <c r="G561" s="24" t="s">
        <v>1901</v>
      </c>
      <c r="H561" s="19"/>
      <c r="I561" s="26" t="s">
        <v>695</v>
      </c>
      <c r="J561" s="26" t="s">
        <v>37</v>
      </c>
      <c r="K561" s="24"/>
      <c r="L561" s="24" t="s">
        <v>3601</v>
      </c>
      <c r="M561" s="24" t="s">
        <v>4368</v>
      </c>
      <c r="N561" s="24"/>
      <c r="O561" s="26"/>
      <c r="P561" s="24" t="s">
        <v>8565</v>
      </c>
      <c r="Q561" s="24"/>
      <c r="R561" s="26"/>
      <c r="S561" s="26"/>
      <c r="T561" s="26"/>
      <c r="U561" s="24"/>
      <c r="V561" s="24"/>
      <c r="W561" s="24"/>
      <c r="X561" s="63"/>
      <c r="Y561" s="63"/>
      <c r="Z561" s="63"/>
      <c r="AA561" s="63"/>
      <c r="AB561" s="24"/>
      <c r="AC561" s="24"/>
    </row>
    <row r="562" spans="1:29" s="28" customFormat="1" x14ac:dyDescent="0.3">
      <c r="A562" s="27" t="s">
        <v>7282</v>
      </c>
      <c r="B562" s="27" t="s">
        <v>2273</v>
      </c>
      <c r="C562" s="29"/>
      <c r="D562" s="28" t="s">
        <v>4917</v>
      </c>
      <c r="E562" s="20" t="s">
        <v>736</v>
      </c>
      <c r="F562" s="20" t="s">
        <v>2532</v>
      </c>
      <c r="G562" s="27"/>
      <c r="H562" s="20"/>
      <c r="I562" s="29"/>
      <c r="J562" s="29"/>
      <c r="K562" s="27"/>
      <c r="L562" s="27"/>
      <c r="M562" s="27" t="s">
        <v>7283</v>
      </c>
      <c r="N562" s="27" t="s">
        <v>7284</v>
      </c>
      <c r="O562" s="29" t="s">
        <v>7285</v>
      </c>
      <c r="P562" s="27"/>
      <c r="Q562" s="27"/>
      <c r="R562" s="29"/>
      <c r="S562" s="29"/>
      <c r="T562" s="29"/>
      <c r="U562" s="27"/>
      <c r="V562" s="27"/>
      <c r="W562" s="27"/>
      <c r="X562" s="64"/>
      <c r="Y562" s="64"/>
      <c r="Z562" s="64"/>
      <c r="AA562" s="64"/>
      <c r="AB562" s="27"/>
      <c r="AC562" s="27"/>
    </row>
    <row r="563" spans="1:29" s="25" customFormat="1" x14ac:dyDescent="0.3">
      <c r="A563" s="24">
        <v>326</v>
      </c>
      <c r="B563" s="24" t="s">
        <v>2272</v>
      </c>
      <c r="C563" s="26">
        <v>173</v>
      </c>
      <c r="D563" s="25" t="s">
        <v>739</v>
      </c>
      <c r="E563" s="19" t="s">
        <v>740</v>
      </c>
      <c r="F563" s="19"/>
      <c r="G563" s="24"/>
      <c r="H563" s="19"/>
      <c r="I563" s="26" t="s">
        <v>37</v>
      </c>
      <c r="J563" s="26" t="s">
        <v>37</v>
      </c>
      <c r="K563" s="24"/>
      <c r="L563" s="24" t="s">
        <v>3125</v>
      </c>
      <c r="M563" s="24" t="s">
        <v>5462</v>
      </c>
      <c r="N563" s="24"/>
      <c r="O563" s="26"/>
      <c r="P563" s="24"/>
      <c r="Q563" s="24"/>
      <c r="R563" s="26"/>
      <c r="S563" s="26"/>
      <c r="T563" s="26"/>
      <c r="U563" s="24"/>
      <c r="V563" s="24"/>
      <c r="W563" s="24"/>
      <c r="X563" s="63"/>
      <c r="Y563" s="63"/>
      <c r="Z563" s="63"/>
      <c r="AA563" s="63"/>
      <c r="AB563" s="24"/>
      <c r="AC563" s="24"/>
    </row>
    <row r="564" spans="1:29" s="28" customFormat="1" x14ac:dyDescent="0.3">
      <c r="A564" s="27" t="s">
        <v>7286</v>
      </c>
      <c r="B564" s="27" t="s">
        <v>2273</v>
      </c>
      <c r="C564" s="29"/>
      <c r="D564" s="28" t="s">
        <v>4918</v>
      </c>
      <c r="E564" s="20" t="s">
        <v>740</v>
      </c>
      <c r="F564" s="20" t="s">
        <v>2533</v>
      </c>
      <c r="G564" s="27"/>
      <c r="H564" s="20"/>
      <c r="I564" s="29"/>
      <c r="J564" s="29"/>
      <c r="K564" s="27"/>
      <c r="L564" s="27"/>
      <c r="M564" s="27" t="s">
        <v>1632</v>
      </c>
      <c r="N564" s="27"/>
      <c r="O564" s="29" t="s">
        <v>1631</v>
      </c>
      <c r="P564" s="27"/>
      <c r="Q564" s="27"/>
      <c r="R564" s="29"/>
      <c r="S564" s="29"/>
      <c r="T564" s="29"/>
      <c r="U564" s="27"/>
      <c r="V564" s="27"/>
      <c r="W564" s="27"/>
      <c r="X564" s="64"/>
      <c r="Y564" s="64"/>
      <c r="Z564" s="64"/>
      <c r="AA564" s="64"/>
      <c r="AB564" s="27"/>
      <c r="AC564" s="27"/>
    </row>
    <row r="565" spans="1:29" s="25" customFormat="1" x14ac:dyDescent="0.3">
      <c r="A565" s="24">
        <v>327</v>
      </c>
      <c r="B565" s="24" t="s">
        <v>2272</v>
      </c>
      <c r="C565" s="26">
        <v>173</v>
      </c>
      <c r="D565" s="25" t="s">
        <v>772</v>
      </c>
      <c r="E565" s="19" t="s">
        <v>773</v>
      </c>
      <c r="F565" s="19"/>
      <c r="G565" s="24"/>
      <c r="H565" s="19"/>
      <c r="I565" s="26" t="s">
        <v>346</v>
      </c>
      <c r="J565" s="26" t="s">
        <v>37</v>
      </c>
      <c r="K565" s="24"/>
      <c r="L565" s="24" t="s">
        <v>3604</v>
      </c>
      <c r="M565" s="24" t="s">
        <v>4370</v>
      </c>
      <c r="N565" s="24"/>
      <c r="O565" s="26"/>
      <c r="P565" s="24"/>
      <c r="Q565" s="24"/>
      <c r="R565" s="26"/>
      <c r="S565" s="26"/>
      <c r="T565" s="26"/>
      <c r="U565" s="24"/>
      <c r="V565" s="24"/>
      <c r="W565" s="24"/>
      <c r="X565" s="63"/>
      <c r="Y565" s="63"/>
      <c r="Z565" s="63"/>
      <c r="AA565" s="63"/>
      <c r="AB565" s="24"/>
      <c r="AC565" s="24"/>
    </row>
    <row r="566" spans="1:29" s="28" customFormat="1" x14ac:dyDescent="0.3">
      <c r="A566" s="27" t="s">
        <v>7287</v>
      </c>
      <c r="B566" s="27" t="s">
        <v>2273</v>
      </c>
      <c r="C566" s="29"/>
      <c r="D566" s="28" t="s">
        <v>4919</v>
      </c>
      <c r="E566" s="20" t="s">
        <v>773</v>
      </c>
      <c r="F566" s="20" t="s">
        <v>2542</v>
      </c>
      <c r="G566" s="27"/>
      <c r="H566" s="20"/>
      <c r="I566" s="29"/>
      <c r="J566" s="29"/>
      <c r="K566" s="27"/>
      <c r="L566" s="27"/>
      <c r="M566" s="27" t="s">
        <v>7288</v>
      </c>
      <c r="N566" s="27" t="s">
        <v>7289</v>
      </c>
      <c r="O566" s="29" t="s">
        <v>7290</v>
      </c>
      <c r="P566" s="27"/>
      <c r="Q566" s="27"/>
      <c r="R566" s="29"/>
      <c r="S566" s="29"/>
      <c r="T566" s="29"/>
      <c r="U566" s="27"/>
      <c r="V566" s="27"/>
      <c r="W566" s="27"/>
      <c r="X566" s="64"/>
      <c r="Y566" s="64"/>
      <c r="Z566" s="64"/>
      <c r="AA566" s="64"/>
      <c r="AB566" s="27"/>
      <c r="AC566" s="27"/>
    </row>
    <row r="567" spans="1:29" s="28" customFormat="1" x14ac:dyDescent="0.3">
      <c r="A567" s="27" t="s">
        <v>7291</v>
      </c>
      <c r="B567" s="27" t="s">
        <v>2273</v>
      </c>
      <c r="C567" s="29"/>
      <c r="D567" s="28" t="s">
        <v>4919</v>
      </c>
      <c r="E567" s="20" t="s">
        <v>773</v>
      </c>
      <c r="F567" s="20" t="s">
        <v>2543</v>
      </c>
      <c r="G567" s="27"/>
      <c r="H567" s="20"/>
      <c r="I567" s="29"/>
      <c r="J567" s="29"/>
      <c r="K567" s="27"/>
      <c r="L567" s="27"/>
      <c r="M567" s="27" t="s">
        <v>7292</v>
      </c>
      <c r="N567" s="27" t="s">
        <v>7293</v>
      </c>
      <c r="O567" s="29" t="s">
        <v>7294</v>
      </c>
      <c r="P567" s="27"/>
      <c r="Q567" s="27"/>
      <c r="R567" s="29"/>
      <c r="S567" s="29"/>
      <c r="T567" s="29"/>
      <c r="U567" s="27"/>
      <c r="V567" s="27"/>
      <c r="W567" s="27"/>
      <c r="X567" s="64"/>
      <c r="Y567" s="64"/>
      <c r="Z567" s="64"/>
      <c r="AA567" s="64"/>
      <c r="AB567" s="27"/>
      <c r="AC567" s="27"/>
    </row>
    <row r="568" spans="1:29" s="28" customFormat="1" x14ac:dyDescent="0.3">
      <c r="A568" s="27" t="s">
        <v>7295</v>
      </c>
      <c r="B568" s="27" t="s">
        <v>2273</v>
      </c>
      <c r="C568" s="29"/>
      <c r="D568" s="28" t="s">
        <v>4919</v>
      </c>
      <c r="E568" s="20" t="s">
        <v>773</v>
      </c>
      <c r="F568" s="20" t="s">
        <v>2544</v>
      </c>
      <c r="G568" s="27"/>
      <c r="H568" s="20"/>
      <c r="I568" s="29"/>
      <c r="J568" s="29"/>
      <c r="K568" s="27"/>
      <c r="L568" s="27"/>
      <c r="M568" s="27" t="s">
        <v>7296</v>
      </c>
      <c r="N568" s="27"/>
      <c r="O568" s="29"/>
      <c r="P568" s="27"/>
      <c r="Q568" s="27"/>
      <c r="R568" s="29"/>
      <c r="S568" s="29"/>
      <c r="T568" s="29"/>
      <c r="U568" s="27"/>
      <c r="V568" s="27"/>
      <c r="W568" s="27"/>
      <c r="X568" s="64"/>
      <c r="Y568" s="64"/>
      <c r="Z568" s="64"/>
      <c r="AA568" s="64"/>
      <c r="AB568" s="27"/>
      <c r="AC568" s="27"/>
    </row>
    <row r="569" spans="1:29" s="25" customFormat="1" x14ac:dyDescent="0.3">
      <c r="A569" s="24">
        <v>328</v>
      </c>
      <c r="B569" s="24" t="s">
        <v>2272</v>
      </c>
      <c r="C569" s="26">
        <v>173</v>
      </c>
      <c r="D569" s="25" t="s">
        <v>1918</v>
      </c>
      <c r="E569" s="19" t="s">
        <v>771</v>
      </c>
      <c r="F569" s="19"/>
      <c r="G569" s="24"/>
      <c r="H569" s="19"/>
      <c r="I569" s="26" t="s">
        <v>37</v>
      </c>
      <c r="J569" s="26" t="s">
        <v>37</v>
      </c>
      <c r="K569" s="24"/>
      <c r="L569" s="24" t="s">
        <v>3606</v>
      </c>
      <c r="M569" s="24" t="s">
        <v>5464</v>
      </c>
      <c r="N569" s="24" t="s">
        <v>2342</v>
      </c>
      <c r="O569" s="26"/>
      <c r="P569" s="24"/>
      <c r="Q569" s="24"/>
      <c r="R569" s="26"/>
      <c r="S569" s="26"/>
      <c r="T569" s="26"/>
      <c r="U569" s="24"/>
      <c r="V569" s="24"/>
      <c r="W569" s="24"/>
      <c r="X569" s="63"/>
      <c r="Y569" s="63"/>
      <c r="Z569" s="63"/>
      <c r="AA569" s="63"/>
      <c r="AB569" s="24"/>
      <c r="AC569" s="24"/>
    </row>
    <row r="570" spans="1:29" s="28" customFormat="1" x14ac:dyDescent="0.3">
      <c r="A570" s="27" t="s">
        <v>7297</v>
      </c>
      <c r="B570" s="27" t="s">
        <v>2273</v>
      </c>
      <c r="C570" s="29"/>
      <c r="D570" s="28" t="s">
        <v>6289</v>
      </c>
      <c r="E570" s="20" t="s">
        <v>771</v>
      </c>
      <c r="F570" s="20" t="s">
        <v>2319</v>
      </c>
      <c r="G570" s="27"/>
      <c r="H570" s="20"/>
      <c r="I570" s="29"/>
      <c r="J570" s="29"/>
      <c r="K570" s="27"/>
      <c r="L570" s="27"/>
      <c r="M570" s="27" t="s">
        <v>6768</v>
      </c>
      <c r="N570" s="27"/>
      <c r="O570" s="29" t="s">
        <v>1906</v>
      </c>
      <c r="P570" s="27"/>
      <c r="Q570" s="27"/>
      <c r="R570" s="29"/>
      <c r="S570" s="29"/>
      <c r="T570" s="29"/>
      <c r="U570" s="27"/>
      <c r="V570" s="27"/>
      <c r="W570" s="27"/>
      <c r="X570" s="64"/>
      <c r="Y570" s="64"/>
      <c r="Z570" s="64"/>
      <c r="AA570" s="64"/>
      <c r="AB570" s="27"/>
      <c r="AC570" s="27"/>
    </row>
    <row r="571" spans="1:29" s="25" customFormat="1" x14ac:dyDescent="0.3">
      <c r="A571" s="24">
        <v>329</v>
      </c>
      <c r="B571" s="24" t="s">
        <v>2272</v>
      </c>
      <c r="C571" s="26">
        <v>175</v>
      </c>
      <c r="D571" s="25" t="s">
        <v>774</v>
      </c>
      <c r="E571" s="19" t="s">
        <v>775</v>
      </c>
      <c r="F571" s="19"/>
      <c r="G571" s="24"/>
      <c r="H571" s="19"/>
      <c r="I571" s="26" t="s">
        <v>253</v>
      </c>
      <c r="J571" s="26" t="s">
        <v>253</v>
      </c>
      <c r="K571" s="24"/>
      <c r="L571" s="24" t="s">
        <v>3608</v>
      </c>
      <c r="M571" s="24" t="s">
        <v>5465</v>
      </c>
      <c r="N571" s="24"/>
      <c r="O571" s="26" t="s">
        <v>1919</v>
      </c>
      <c r="P571" s="24" t="s">
        <v>3003</v>
      </c>
      <c r="Q571" s="24"/>
      <c r="R571" s="26"/>
      <c r="S571" s="26"/>
      <c r="T571" s="26"/>
      <c r="U571" s="24"/>
      <c r="V571" s="24"/>
      <c r="W571" s="24"/>
      <c r="X571" s="63"/>
      <c r="Y571" s="63"/>
      <c r="Z571" s="63"/>
      <c r="AA571" s="63"/>
      <c r="AB571" s="24"/>
      <c r="AC571" s="24"/>
    </row>
    <row r="572" spans="1:29" s="25" customFormat="1" x14ac:dyDescent="0.3">
      <c r="A572" s="24">
        <v>330</v>
      </c>
      <c r="B572" s="24" t="s">
        <v>2272</v>
      </c>
      <c r="C572" s="26">
        <v>175</v>
      </c>
      <c r="D572" s="25" t="s">
        <v>1922</v>
      </c>
      <c r="E572" s="19" t="s">
        <v>776</v>
      </c>
      <c r="F572" s="19"/>
      <c r="G572" s="24"/>
      <c r="H572" s="19"/>
      <c r="I572" s="26" t="s">
        <v>57</v>
      </c>
      <c r="J572" s="26" t="s">
        <v>57</v>
      </c>
      <c r="K572" s="24"/>
      <c r="L572" s="24" t="s">
        <v>3610</v>
      </c>
      <c r="M572" s="24" t="s">
        <v>4373</v>
      </c>
      <c r="N572" s="24"/>
      <c r="O572" s="26"/>
      <c r="P572" s="24"/>
      <c r="Q572" s="24"/>
      <c r="R572" s="26"/>
      <c r="S572" s="26"/>
      <c r="T572" s="26"/>
      <c r="U572" s="24"/>
      <c r="V572" s="24"/>
      <c r="W572" s="24"/>
      <c r="X572" s="63"/>
      <c r="Y572" s="63"/>
      <c r="Z572" s="63"/>
      <c r="AA572" s="63"/>
      <c r="AB572" s="24"/>
      <c r="AC572" s="24"/>
    </row>
    <row r="573" spans="1:29" s="28" customFormat="1" x14ac:dyDescent="0.3">
      <c r="A573" s="27" t="s">
        <v>7298</v>
      </c>
      <c r="B573" s="27" t="s">
        <v>2273</v>
      </c>
      <c r="C573" s="29"/>
      <c r="D573" s="28" t="s">
        <v>6290</v>
      </c>
      <c r="E573" s="20" t="s">
        <v>776</v>
      </c>
      <c r="F573" s="20" t="s">
        <v>2423</v>
      </c>
      <c r="G573" s="27"/>
      <c r="H573" s="20"/>
      <c r="I573" s="29"/>
      <c r="J573" s="29"/>
      <c r="K573" s="27"/>
      <c r="L573" s="27"/>
      <c r="M573" s="27" t="s">
        <v>7299</v>
      </c>
      <c r="N573" s="27"/>
      <c r="O573" s="29" t="s">
        <v>7300</v>
      </c>
      <c r="P573" s="27"/>
      <c r="Q573" s="27"/>
      <c r="R573" s="29"/>
      <c r="S573" s="29"/>
      <c r="T573" s="29"/>
      <c r="U573" s="27"/>
      <c r="V573" s="27"/>
      <c r="W573" s="27"/>
      <c r="X573" s="64"/>
      <c r="Y573" s="64"/>
      <c r="Z573" s="64"/>
      <c r="AA573" s="64"/>
      <c r="AB573" s="27"/>
      <c r="AC573" s="27"/>
    </row>
    <row r="574" spans="1:29" s="28" customFormat="1" x14ac:dyDescent="0.3">
      <c r="A574" s="27" t="s">
        <v>7301</v>
      </c>
      <c r="B574" s="27" t="s">
        <v>2273</v>
      </c>
      <c r="C574" s="29"/>
      <c r="D574" s="28" t="s">
        <v>6290</v>
      </c>
      <c r="E574" s="20" t="s">
        <v>776</v>
      </c>
      <c r="F574" s="20" t="s">
        <v>2545</v>
      </c>
      <c r="G574" s="27"/>
      <c r="H574" s="20"/>
      <c r="I574" s="29"/>
      <c r="J574" s="29"/>
      <c r="K574" s="27"/>
      <c r="L574" s="27"/>
      <c r="M574" s="27" t="s">
        <v>7302</v>
      </c>
      <c r="N574" s="27"/>
      <c r="O574" s="29" t="s">
        <v>7303</v>
      </c>
      <c r="P574" s="27"/>
      <c r="Q574" s="27"/>
      <c r="R574" s="29"/>
      <c r="S574" s="29"/>
      <c r="T574" s="29"/>
      <c r="U574" s="27"/>
      <c r="V574" s="27"/>
      <c r="W574" s="27"/>
      <c r="X574" s="64"/>
      <c r="Y574" s="64"/>
      <c r="Z574" s="64"/>
      <c r="AA574" s="64"/>
      <c r="AB574" s="27"/>
      <c r="AC574" s="27"/>
    </row>
    <row r="575" spans="1:29" s="28" customFormat="1" x14ac:dyDescent="0.3">
      <c r="A575" s="27" t="s">
        <v>7304</v>
      </c>
      <c r="B575" s="27" t="s">
        <v>2273</v>
      </c>
      <c r="C575" s="29"/>
      <c r="D575" s="28" t="s">
        <v>6290</v>
      </c>
      <c r="E575" s="20" t="s">
        <v>776</v>
      </c>
      <c r="F575" s="20" t="s">
        <v>2467</v>
      </c>
      <c r="G575" s="27"/>
      <c r="H575" s="20"/>
      <c r="I575" s="29"/>
      <c r="J575" s="29"/>
      <c r="K575" s="27"/>
      <c r="L575" s="27"/>
      <c r="M575" s="27" t="s">
        <v>7305</v>
      </c>
      <c r="N575" s="27"/>
      <c r="O575" s="29" t="s">
        <v>7306</v>
      </c>
      <c r="P575" s="27"/>
      <c r="Q575" s="27"/>
      <c r="R575" s="29"/>
      <c r="S575" s="29"/>
      <c r="T575" s="29"/>
      <c r="U575" s="27"/>
      <c r="V575" s="27"/>
      <c r="W575" s="27"/>
      <c r="X575" s="64"/>
      <c r="Y575" s="64"/>
      <c r="Z575" s="64"/>
      <c r="AA575" s="64"/>
      <c r="AB575" s="27"/>
      <c r="AC575" s="27"/>
    </row>
    <row r="576" spans="1:29" s="25" customFormat="1" x14ac:dyDescent="0.3">
      <c r="A576" s="24">
        <v>331</v>
      </c>
      <c r="B576" s="24" t="s">
        <v>2272</v>
      </c>
      <c r="C576" s="26">
        <v>175</v>
      </c>
      <c r="D576" s="25" t="s">
        <v>1924</v>
      </c>
      <c r="E576" s="19" t="s">
        <v>777</v>
      </c>
      <c r="F576" s="19"/>
      <c r="G576" s="24"/>
      <c r="H576" s="19"/>
      <c r="I576" s="26" t="s">
        <v>57</v>
      </c>
      <c r="J576" s="26" t="s">
        <v>57</v>
      </c>
      <c r="K576" s="24"/>
      <c r="L576" s="24" t="s">
        <v>3612</v>
      </c>
      <c r="M576" s="24" t="s">
        <v>4374</v>
      </c>
      <c r="N576" s="24"/>
      <c r="O576" s="26" t="s">
        <v>1923</v>
      </c>
      <c r="P576" s="24"/>
      <c r="Q576" s="24"/>
      <c r="R576" s="26"/>
      <c r="S576" s="26"/>
      <c r="T576" s="26"/>
      <c r="U576" s="24"/>
      <c r="V576" s="24"/>
      <c r="W576" s="24"/>
      <c r="X576" s="63"/>
      <c r="Y576" s="63"/>
      <c r="Z576" s="63"/>
      <c r="AA576" s="63"/>
      <c r="AB576" s="24"/>
      <c r="AC576" s="24"/>
    </row>
    <row r="577" spans="1:29" s="25" customFormat="1" x14ac:dyDescent="0.3">
      <c r="A577" s="24">
        <v>332</v>
      </c>
      <c r="B577" s="24" t="s">
        <v>2272</v>
      </c>
      <c r="C577" s="26">
        <v>175</v>
      </c>
      <c r="D577" s="25" t="s">
        <v>1935</v>
      </c>
      <c r="E577" s="19" t="s">
        <v>782</v>
      </c>
      <c r="F577" s="19"/>
      <c r="G577" s="24"/>
      <c r="H577" s="19"/>
      <c r="I577" s="26" t="s">
        <v>57</v>
      </c>
      <c r="J577" s="26" t="s">
        <v>57</v>
      </c>
      <c r="K577" s="24"/>
      <c r="L577" s="24" t="s">
        <v>3614</v>
      </c>
      <c r="M577" s="24" t="s">
        <v>5466</v>
      </c>
      <c r="N577" s="24"/>
      <c r="O577" s="26" t="s">
        <v>1933</v>
      </c>
      <c r="P577" s="24" t="s">
        <v>3004</v>
      </c>
      <c r="Q577" s="24"/>
      <c r="R577" s="26"/>
      <c r="S577" s="26"/>
      <c r="T577" s="26"/>
      <c r="U577" s="24"/>
      <c r="V577" s="24"/>
      <c r="W577" s="24"/>
      <c r="X577" s="63"/>
      <c r="Y577" s="63"/>
      <c r="Z577" s="63"/>
      <c r="AA577" s="63"/>
      <c r="AB577" s="24"/>
      <c r="AC577" s="24"/>
    </row>
    <row r="578" spans="1:29" s="25" customFormat="1" x14ac:dyDescent="0.3">
      <c r="A578" s="24">
        <v>333</v>
      </c>
      <c r="B578" s="24" t="s">
        <v>2272</v>
      </c>
      <c r="C578" s="26">
        <v>177</v>
      </c>
      <c r="D578" s="25" t="s">
        <v>1938</v>
      </c>
      <c r="E578" s="19" t="s">
        <v>783</v>
      </c>
      <c r="F578" s="19"/>
      <c r="G578" s="24"/>
      <c r="H578" s="19"/>
      <c r="I578" s="26" t="s">
        <v>57</v>
      </c>
      <c r="J578" s="26" t="s">
        <v>57</v>
      </c>
      <c r="K578" s="24"/>
      <c r="L578" s="24" t="s">
        <v>3616</v>
      </c>
      <c r="M578" s="24" t="s">
        <v>5467</v>
      </c>
      <c r="N578" s="24"/>
      <c r="O578" s="26" t="s">
        <v>1936</v>
      </c>
      <c r="P578" s="24"/>
      <c r="Q578" s="24"/>
      <c r="R578" s="26"/>
      <c r="S578" s="26"/>
      <c r="T578" s="26"/>
      <c r="U578" s="24"/>
      <c r="V578" s="24"/>
      <c r="W578" s="24"/>
      <c r="X578" s="63"/>
      <c r="Y578" s="63"/>
      <c r="Z578" s="63"/>
      <c r="AA578" s="63"/>
      <c r="AB578" s="24"/>
      <c r="AC578" s="24"/>
    </row>
    <row r="579" spans="1:29" s="25" customFormat="1" x14ac:dyDescent="0.3">
      <c r="A579" s="24">
        <v>334</v>
      </c>
      <c r="B579" s="24" t="s">
        <v>2272</v>
      </c>
      <c r="C579" s="26">
        <v>177</v>
      </c>
      <c r="D579" s="25" t="s">
        <v>1932</v>
      </c>
      <c r="E579" s="19" t="s">
        <v>780</v>
      </c>
      <c r="F579" s="19"/>
      <c r="G579" s="24"/>
      <c r="H579" s="19"/>
      <c r="I579" s="26" t="s">
        <v>57</v>
      </c>
      <c r="J579" s="26" t="s">
        <v>57</v>
      </c>
      <c r="K579" s="24"/>
      <c r="L579" s="24" t="s">
        <v>3618</v>
      </c>
      <c r="M579" s="24" t="s">
        <v>781</v>
      </c>
      <c r="N579" s="24"/>
      <c r="O579" s="26" t="s">
        <v>1929</v>
      </c>
      <c r="P579" s="24" t="s">
        <v>3004</v>
      </c>
      <c r="Q579" s="24"/>
      <c r="R579" s="26"/>
      <c r="S579" s="26"/>
      <c r="T579" s="26"/>
      <c r="U579" s="24"/>
      <c r="V579" s="24"/>
      <c r="W579" s="24"/>
      <c r="X579" s="63"/>
      <c r="Y579" s="63"/>
      <c r="Z579" s="63"/>
      <c r="AA579" s="63"/>
      <c r="AB579" s="24"/>
      <c r="AC579" s="24"/>
    </row>
    <row r="580" spans="1:29" s="25" customFormat="1" x14ac:dyDescent="0.3">
      <c r="A580" s="24">
        <v>335</v>
      </c>
      <c r="B580" s="24" t="s">
        <v>2272</v>
      </c>
      <c r="C580" s="26">
        <v>177</v>
      </c>
      <c r="D580" s="25" t="s">
        <v>1928</v>
      </c>
      <c r="E580" s="19" t="s">
        <v>779</v>
      </c>
      <c r="F580" s="19"/>
      <c r="G580" s="24"/>
      <c r="H580" s="19"/>
      <c r="I580" s="26" t="s">
        <v>57</v>
      </c>
      <c r="J580" s="26" t="s">
        <v>57</v>
      </c>
      <c r="K580" s="24"/>
      <c r="L580" s="24" t="s">
        <v>3620</v>
      </c>
      <c r="M580" s="24" t="s">
        <v>5468</v>
      </c>
      <c r="N580" s="24"/>
      <c r="O580" s="26"/>
      <c r="P580" s="24"/>
      <c r="Q580" s="24"/>
      <c r="R580" s="26"/>
      <c r="S580" s="26"/>
      <c r="T580" s="26"/>
      <c r="U580" s="24"/>
      <c r="V580" s="24"/>
      <c r="W580" s="24"/>
      <c r="X580" s="63"/>
      <c r="Y580" s="63"/>
      <c r="Z580" s="63"/>
      <c r="AA580" s="63"/>
      <c r="AB580" s="24"/>
      <c r="AC580" s="24"/>
    </row>
    <row r="581" spans="1:29" s="28" customFormat="1" x14ac:dyDescent="0.3">
      <c r="A581" s="27" t="s">
        <v>7307</v>
      </c>
      <c r="B581" s="27" t="s">
        <v>2273</v>
      </c>
      <c r="C581" s="29"/>
      <c r="D581" s="28" t="s">
        <v>6291</v>
      </c>
      <c r="E581" s="20" t="s">
        <v>779</v>
      </c>
      <c r="F581" s="20" t="s">
        <v>2546</v>
      </c>
      <c r="G581" s="27"/>
      <c r="H581" s="20"/>
      <c r="I581" s="29"/>
      <c r="J581" s="29"/>
      <c r="K581" s="27"/>
      <c r="L581" s="27"/>
      <c r="M581" s="27" t="s">
        <v>7308</v>
      </c>
      <c r="N581" s="27"/>
      <c r="O581" s="29" t="s">
        <v>7309</v>
      </c>
      <c r="P581" s="27"/>
      <c r="Q581" s="27"/>
      <c r="R581" s="29"/>
      <c r="S581" s="29"/>
      <c r="T581" s="29"/>
      <c r="U581" s="27"/>
      <c r="V581" s="27"/>
      <c r="W581" s="27"/>
      <c r="X581" s="64"/>
      <c r="Y581" s="64"/>
      <c r="Z581" s="64"/>
      <c r="AA581" s="64"/>
      <c r="AB581" s="27"/>
      <c r="AC581" s="27"/>
    </row>
    <row r="582" spans="1:29" s="28" customFormat="1" x14ac:dyDescent="0.3">
      <c r="A582" s="27" t="s">
        <v>7310</v>
      </c>
      <c r="B582" s="27" t="s">
        <v>2273</v>
      </c>
      <c r="C582" s="29"/>
      <c r="D582" s="28" t="s">
        <v>6291</v>
      </c>
      <c r="E582" s="20" t="s">
        <v>779</v>
      </c>
      <c r="F582" s="20" t="s">
        <v>2547</v>
      </c>
      <c r="G582" s="27"/>
      <c r="H582" s="20"/>
      <c r="I582" s="29"/>
      <c r="J582" s="29"/>
      <c r="K582" s="27"/>
      <c r="L582" s="27"/>
      <c r="M582" s="27" t="s">
        <v>2042</v>
      </c>
      <c r="N582" s="27"/>
      <c r="O582" s="29" t="s">
        <v>2041</v>
      </c>
      <c r="P582" s="27"/>
      <c r="Q582" s="27"/>
      <c r="R582" s="29"/>
      <c r="S582" s="29"/>
      <c r="T582" s="29"/>
      <c r="U582" s="27"/>
      <c r="V582" s="27"/>
      <c r="W582" s="27"/>
      <c r="X582" s="64"/>
      <c r="Y582" s="64"/>
      <c r="Z582" s="64"/>
      <c r="AA582" s="64"/>
      <c r="AB582" s="27"/>
      <c r="AC582" s="27"/>
    </row>
    <row r="583" spans="1:29" s="25" customFormat="1" x14ac:dyDescent="0.3">
      <c r="A583" s="24">
        <v>336</v>
      </c>
      <c r="B583" s="24" t="s">
        <v>2272</v>
      </c>
      <c r="C583" s="26">
        <v>177</v>
      </c>
      <c r="D583" s="25" t="s">
        <v>1926</v>
      </c>
      <c r="E583" s="19" t="s">
        <v>778</v>
      </c>
      <c r="F583" s="19"/>
      <c r="G583" s="24"/>
      <c r="H583" s="19"/>
      <c r="I583" s="26" t="s">
        <v>57</v>
      </c>
      <c r="J583" s="26" t="s">
        <v>57</v>
      </c>
      <c r="K583" s="24"/>
      <c r="L583" s="24" t="s">
        <v>3278</v>
      </c>
      <c r="M583" s="24" t="s">
        <v>4375</v>
      </c>
      <c r="N583" s="24"/>
      <c r="O583" s="26" t="s">
        <v>1925</v>
      </c>
      <c r="P583" s="24"/>
      <c r="Q583" s="24"/>
      <c r="R583" s="26"/>
      <c r="S583" s="26"/>
      <c r="T583" s="26"/>
      <c r="U583" s="24"/>
      <c r="V583" s="24"/>
      <c r="W583" s="24"/>
      <c r="X583" s="63"/>
      <c r="Y583" s="63"/>
      <c r="Z583" s="63"/>
      <c r="AA583" s="63"/>
      <c r="AB583" s="24"/>
      <c r="AC583" s="24"/>
    </row>
    <row r="584" spans="1:29" s="25" customFormat="1" x14ac:dyDescent="0.3">
      <c r="A584" s="24">
        <v>337</v>
      </c>
      <c r="B584" s="24" t="s">
        <v>2272</v>
      </c>
      <c r="C584" s="26">
        <v>179</v>
      </c>
      <c r="D584" s="25" t="s">
        <v>743</v>
      </c>
      <c r="E584" s="19" t="s">
        <v>744</v>
      </c>
      <c r="F584" s="19"/>
      <c r="G584" s="24"/>
      <c r="H584" s="19"/>
      <c r="I584" s="26" t="s">
        <v>57</v>
      </c>
      <c r="J584" s="26" t="s">
        <v>57</v>
      </c>
      <c r="K584" s="24"/>
      <c r="L584" s="24" t="s">
        <v>3623</v>
      </c>
      <c r="M584" s="24" t="s">
        <v>5469</v>
      </c>
      <c r="N584" s="24"/>
      <c r="O584" s="26" t="s">
        <v>1904</v>
      </c>
      <c r="P584" s="24"/>
      <c r="Q584" s="24"/>
      <c r="R584" s="26"/>
      <c r="S584" s="26"/>
      <c r="T584" s="26"/>
      <c r="U584" s="24"/>
      <c r="V584" s="24"/>
      <c r="W584" s="24"/>
      <c r="X584" s="63"/>
      <c r="Y584" s="63"/>
      <c r="Z584" s="63"/>
      <c r="AA584" s="63"/>
      <c r="AB584" s="24"/>
      <c r="AC584" s="24"/>
    </row>
    <row r="585" spans="1:29" s="25" customFormat="1" x14ac:dyDescent="0.3">
      <c r="A585" s="24">
        <v>338</v>
      </c>
      <c r="B585" s="24" t="s">
        <v>2272</v>
      </c>
      <c r="C585" s="26">
        <v>181</v>
      </c>
      <c r="D585" s="25" t="s">
        <v>753</v>
      </c>
      <c r="E585" s="19" t="s">
        <v>754</v>
      </c>
      <c r="F585" s="19"/>
      <c r="G585" s="24" t="s">
        <v>1915</v>
      </c>
      <c r="H585" s="19"/>
      <c r="I585" s="26" t="s">
        <v>57</v>
      </c>
      <c r="J585" s="26" t="s">
        <v>57</v>
      </c>
      <c r="K585" s="24"/>
      <c r="L585" s="24" t="s">
        <v>3625</v>
      </c>
      <c r="M585" s="24" t="s">
        <v>5470</v>
      </c>
      <c r="N585" s="24"/>
      <c r="O585" s="26" t="s">
        <v>1913</v>
      </c>
      <c r="P585" s="24"/>
      <c r="Q585" s="24"/>
      <c r="R585" s="26"/>
      <c r="S585" s="26"/>
      <c r="T585" s="26"/>
      <c r="U585" s="24"/>
      <c r="V585" s="24"/>
      <c r="W585" s="24"/>
      <c r="X585" s="63"/>
      <c r="Y585" s="63"/>
      <c r="Z585" s="63"/>
      <c r="AA585" s="63"/>
      <c r="AB585" s="24"/>
      <c r="AC585" s="24"/>
    </row>
    <row r="586" spans="1:29" s="25" customFormat="1" x14ac:dyDescent="0.3">
      <c r="A586" s="24">
        <v>339</v>
      </c>
      <c r="B586" s="24" t="s">
        <v>2272</v>
      </c>
      <c r="C586" s="26">
        <v>181</v>
      </c>
      <c r="D586" s="25" t="s">
        <v>755</v>
      </c>
      <c r="E586" s="19" t="s">
        <v>756</v>
      </c>
      <c r="F586" s="19"/>
      <c r="G586" s="24" t="s">
        <v>1916</v>
      </c>
      <c r="H586" s="19"/>
      <c r="I586" s="26" t="s">
        <v>57</v>
      </c>
      <c r="J586" s="26" t="s">
        <v>57</v>
      </c>
      <c r="K586" s="24"/>
      <c r="L586" s="24" t="s">
        <v>3627</v>
      </c>
      <c r="M586" s="24" t="s">
        <v>5282</v>
      </c>
      <c r="N586" s="24"/>
      <c r="O586" s="26" t="s">
        <v>1711</v>
      </c>
      <c r="P586" s="24"/>
      <c r="Q586" s="24"/>
      <c r="R586" s="26"/>
      <c r="S586" s="26"/>
      <c r="T586" s="26"/>
      <c r="U586" s="24"/>
      <c r="V586" s="24"/>
      <c r="W586" s="24"/>
      <c r="X586" s="63"/>
      <c r="Y586" s="63"/>
      <c r="Z586" s="63"/>
      <c r="AA586" s="63"/>
      <c r="AB586" s="24"/>
      <c r="AC586" s="24"/>
    </row>
    <row r="587" spans="1:29" s="25" customFormat="1" x14ac:dyDescent="0.3">
      <c r="A587" s="24">
        <v>340</v>
      </c>
      <c r="B587" s="24" t="s">
        <v>2272</v>
      </c>
      <c r="C587" s="26">
        <v>181</v>
      </c>
      <c r="D587" s="25" t="s">
        <v>757</v>
      </c>
      <c r="E587" s="19" t="s">
        <v>758</v>
      </c>
      <c r="F587" s="19"/>
      <c r="G587" s="24"/>
      <c r="H587" s="19"/>
      <c r="I587" s="26" t="s">
        <v>57</v>
      </c>
      <c r="J587" s="26" t="s">
        <v>57</v>
      </c>
      <c r="K587" s="24"/>
      <c r="L587" s="24" t="s">
        <v>3629</v>
      </c>
      <c r="M587" s="24" t="s">
        <v>5471</v>
      </c>
      <c r="N587" s="24"/>
      <c r="O587" s="26" t="s">
        <v>1917</v>
      </c>
      <c r="P587" s="24"/>
      <c r="Q587" s="24"/>
      <c r="R587" s="26"/>
      <c r="S587" s="26"/>
      <c r="T587" s="26"/>
      <c r="U587" s="24"/>
      <c r="V587" s="24"/>
      <c r="W587" s="24"/>
      <c r="X587" s="63"/>
      <c r="Y587" s="63"/>
      <c r="Z587" s="63"/>
      <c r="AA587" s="63"/>
      <c r="AB587" s="24"/>
      <c r="AC587" s="24"/>
    </row>
    <row r="588" spans="1:29" s="25" customFormat="1" x14ac:dyDescent="0.3">
      <c r="A588" s="24">
        <v>341</v>
      </c>
      <c r="B588" s="24" t="s">
        <v>2272</v>
      </c>
      <c r="C588" s="26">
        <v>181</v>
      </c>
      <c r="D588" s="25" t="s">
        <v>759</v>
      </c>
      <c r="E588" s="19" t="s">
        <v>760</v>
      </c>
      <c r="F588" s="19"/>
      <c r="G588" s="24"/>
      <c r="H588" s="19"/>
      <c r="I588" s="26" t="s">
        <v>49</v>
      </c>
      <c r="J588" s="26" t="s">
        <v>5121</v>
      </c>
      <c r="K588" s="24" t="s">
        <v>49</v>
      </c>
      <c r="L588" s="24" t="s">
        <v>3631</v>
      </c>
      <c r="M588" s="24" t="s">
        <v>234</v>
      </c>
      <c r="N588" s="24"/>
      <c r="O588" s="26"/>
      <c r="P588" s="24" t="s">
        <v>6432</v>
      </c>
      <c r="Q588" s="24"/>
      <c r="R588" s="26"/>
      <c r="S588" s="26"/>
      <c r="T588" s="26"/>
      <c r="U588" s="24"/>
      <c r="V588" s="24"/>
      <c r="W588" s="24"/>
      <c r="X588" s="63"/>
      <c r="Y588" s="63"/>
      <c r="Z588" s="63"/>
      <c r="AA588" s="63"/>
      <c r="AB588" s="24"/>
      <c r="AC588" s="24"/>
    </row>
    <row r="589" spans="1:29" s="28" customFormat="1" x14ac:dyDescent="0.3">
      <c r="A589" s="27" t="s">
        <v>7311</v>
      </c>
      <c r="B589" s="27" t="s">
        <v>2273</v>
      </c>
      <c r="C589" s="29">
        <v>181</v>
      </c>
      <c r="D589" s="28" t="s">
        <v>4920</v>
      </c>
      <c r="E589" s="20" t="s">
        <v>760</v>
      </c>
      <c r="F589" s="20" t="s">
        <v>2534</v>
      </c>
      <c r="G589" s="27"/>
      <c r="H589" s="20" t="s">
        <v>4590</v>
      </c>
      <c r="I589" s="29"/>
      <c r="J589" s="29" t="s">
        <v>5121</v>
      </c>
      <c r="K589" s="27"/>
      <c r="L589" s="27" t="s">
        <v>3631</v>
      </c>
      <c r="M589" s="27" t="s">
        <v>7312</v>
      </c>
      <c r="N589" s="27"/>
      <c r="O589" s="29" t="s">
        <v>7313</v>
      </c>
      <c r="P589" s="27"/>
      <c r="Q589" s="27"/>
      <c r="R589" s="29"/>
      <c r="S589" s="29"/>
      <c r="T589" s="29"/>
      <c r="U589" s="27"/>
      <c r="V589" s="27"/>
      <c r="W589" s="27"/>
      <c r="X589" s="64"/>
      <c r="Y589" s="64"/>
      <c r="Z589" s="64"/>
      <c r="AA589" s="64"/>
      <c r="AB589" s="27"/>
      <c r="AC589" s="27"/>
    </row>
    <row r="590" spans="1:29" s="25" customFormat="1" x14ac:dyDescent="0.3">
      <c r="A590" s="24">
        <v>342</v>
      </c>
      <c r="B590" s="24" t="s">
        <v>2272</v>
      </c>
      <c r="C590" s="26">
        <v>181</v>
      </c>
      <c r="D590" s="25" t="s">
        <v>764</v>
      </c>
      <c r="E590" s="19" t="s">
        <v>765</v>
      </c>
      <c r="F590" s="19"/>
      <c r="G590" s="24"/>
      <c r="H590" s="19"/>
      <c r="I590" s="26" t="s">
        <v>37</v>
      </c>
      <c r="J590" s="26" t="s">
        <v>253</v>
      </c>
      <c r="K590" s="24"/>
      <c r="L590" s="24" t="s">
        <v>3633</v>
      </c>
      <c r="M590" s="24" t="s">
        <v>5472</v>
      </c>
      <c r="N590" s="24"/>
      <c r="O590" s="26"/>
      <c r="P590" s="24"/>
      <c r="Q590" s="24"/>
      <c r="R590" s="26"/>
      <c r="S590" s="26"/>
      <c r="T590" s="26"/>
      <c r="U590" s="24"/>
      <c r="V590" s="24"/>
      <c r="W590" s="24"/>
      <c r="X590" s="63"/>
      <c r="Y590" s="63"/>
      <c r="Z590" s="63"/>
      <c r="AA590" s="63"/>
      <c r="AB590" s="24"/>
      <c r="AC590" s="24"/>
    </row>
    <row r="591" spans="1:29" s="28" customFormat="1" x14ac:dyDescent="0.3">
      <c r="A591" s="27" t="s">
        <v>6292</v>
      </c>
      <c r="B591" s="27" t="s">
        <v>2273</v>
      </c>
      <c r="C591" s="29"/>
      <c r="D591" s="28" t="s">
        <v>4921</v>
      </c>
      <c r="E591" s="20" t="s">
        <v>765</v>
      </c>
      <c r="F591" s="20" t="s">
        <v>2540</v>
      </c>
      <c r="G591" s="27"/>
      <c r="H591" s="20"/>
      <c r="I591" s="29"/>
      <c r="J591" s="29"/>
      <c r="K591" s="27"/>
      <c r="L591" s="27"/>
      <c r="M591" s="27" t="s">
        <v>7314</v>
      </c>
      <c r="N591" s="27"/>
      <c r="O591" s="29" t="s">
        <v>7315</v>
      </c>
      <c r="P591" s="27"/>
      <c r="Q591" s="27"/>
      <c r="R591" s="29"/>
      <c r="S591" s="29"/>
      <c r="T591" s="29"/>
      <c r="U591" s="27"/>
      <c r="V591" s="27"/>
      <c r="W591" s="27"/>
      <c r="X591" s="64"/>
      <c r="Y591" s="64"/>
      <c r="Z591" s="64"/>
      <c r="AA591" s="64"/>
      <c r="AB591" s="27"/>
      <c r="AC591" s="27"/>
    </row>
    <row r="592" spans="1:29" s="25" customFormat="1" x14ac:dyDescent="0.3">
      <c r="A592" s="24">
        <v>343</v>
      </c>
      <c r="B592" s="24" t="s">
        <v>2272</v>
      </c>
      <c r="C592" s="26">
        <v>183</v>
      </c>
      <c r="D592" s="25" t="s">
        <v>761</v>
      </c>
      <c r="E592" s="19" t="s">
        <v>762</v>
      </c>
      <c r="F592" s="19"/>
      <c r="G592" s="24"/>
      <c r="H592" s="19"/>
      <c r="I592" s="26" t="s">
        <v>253</v>
      </c>
      <c r="J592" s="26" t="s">
        <v>253</v>
      </c>
      <c r="K592" s="24"/>
      <c r="L592" s="24" t="s">
        <v>3635</v>
      </c>
      <c r="M592" s="24" t="s">
        <v>59</v>
      </c>
      <c r="N592" s="24"/>
      <c r="O592" s="26"/>
      <c r="P592" s="24" t="s">
        <v>763</v>
      </c>
      <c r="Q592" s="24"/>
      <c r="R592" s="26"/>
      <c r="S592" s="26"/>
      <c r="T592" s="26"/>
      <c r="U592" s="24"/>
      <c r="V592" s="24"/>
      <c r="W592" s="24"/>
      <c r="X592" s="63"/>
      <c r="Y592" s="63"/>
      <c r="Z592" s="63"/>
      <c r="AA592" s="63"/>
      <c r="AB592" s="24"/>
      <c r="AC592" s="24"/>
    </row>
    <row r="593" spans="1:29" s="28" customFormat="1" x14ac:dyDescent="0.3">
      <c r="A593" s="27" t="s">
        <v>7316</v>
      </c>
      <c r="B593" s="27" t="s">
        <v>2273</v>
      </c>
      <c r="C593" s="29"/>
      <c r="D593" s="28" t="s">
        <v>4922</v>
      </c>
      <c r="E593" s="20" t="s">
        <v>762</v>
      </c>
      <c r="F593" s="20" t="s">
        <v>2535</v>
      </c>
      <c r="G593" s="27"/>
      <c r="H593" s="20"/>
      <c r="I593" s="29"/>
      <c r="J593" s="29"/>
      <c r="K593" s="27"/>
      <c r="L593" s="27"/>
      <c r="M593" s="27" t="s">
        <v>7317</v>
      </c>
      <c r="N593" s="27"/>
      <c r="O593" s="29" t="s">
        <v>7318</v>
      </c>
      <c r="P593" s="27"/>
      <c r="Q593" s="27"/>
      <c r="R593" s="29"/>
      <c r="S593" s="29"/>
      <c r="T593" s="29"/>
      <c r="U593" s="27"/>
      <c r="V593" s="27"/>
      <c r="W593" s="27"/>
      <c r="X593" s="64"/>
      <c r="Y593" s="64"/>
      <c r="Z593" s="64"/>
      <c r="AA593" s="64"/>
      <c r="AB593" s="27"/>
      <c r="AC593" s="27"/>
    </row>
    <row r="594" spans="1:29" s="28" customFormat="1" x14ac:dyDescent="0.3">
      <c r="A594" s="27" t="s">
        <v>7319</v>
      </c>
      <c r="B594" s="27" t="s">
        <v>2273</v>
      </c>
      <c r="C594" s="29"/>
      <c r="D594" s="28" t="s">
        <v>4922</v>
      </c>
      <c r="E594" s="20" t="s">
        <v>762</v>
      </c>
      <c r="F594" s="20" t="s">
        <v>2536</v>
      </c>
      <c r="G594" s="27"/>
      <c r="H594" s="20"/>
      <c r="I594" s="29"/>
      <c r="J594" s="29"/>
      <c r="K594" s="27"/>
      <c r="L594" s="27"/>
      <c r="M594" s="27" t="s">
        <v>7320</v>
      </c>
      <c r="N594" s="27"/>
      <c r="O594" s="29" t="s">
        <v>7321</v>
      </c>
      <c r="P594" s="27"/>
      <c r="Q594" s="27"/>
      <c r="R594" s="29"/>
      <c r="S594" s="29"/>
      <c r="T594" s="29"/>
      <c r="U594" s="27"/>
      <c r="V594" s="27"/>
      <c r="W594" s="27"/>
      <c r="X594" s="64"/>
      <c r="Y594" s="64"/>
      <c r="Z594" s="64"/>
      <c r="AA594" s="64"/>
      <c r="AB594" s="27"/>
      <c r="AC594" s="27"/>
    </row>
    <row r="595" spans="1:29" s="28" customFormat="1" x14ac:dyDescent="0.3">
      <c r="A595" s="27" t="s">
        <v>7322</v>
      </c>
      <c r="B595" s="27" t="s">
        <v>2273</v>
      </c>
      <c r="C595" s="29"/>
      <c r="D595" s="28" t="s">
        <v>4922</v>
      </c>
      <c r="E595" s="20" t="s">
        <v>762</v>
      </c>
      <c r="F595" s="20" t="s">
        <v>2537</v>
      </c>
      <c r="G595" s="27"/>
      <c r="H595" s="20"/>
      <c r="I595" s="29"/>
      <c r="J595" s="29"/>
      <c r="K595" s="27"/>
      <c r="L595" s="27"/>
      <c r="M595" s="27" t="s">
        <v>7323</v>
      </c>
      <c r="N595" s="27"/>
      <c r="O595" s="29" t="s">
        <v>7324</v>
      </c>
      <c r="P595" s="27"/>
      <c r="Q595" s="27"/>
      <c r="R595" s="29"/>
      <c r="S595" s="29"/>
      <c r="T595" s="29"/>
      <c r="U595" s="27"/>
      <c r="V595" s="27"/>
      <c r="W595" s="27"/>
      <c r="X595" s="64"/>
      <c r="Y595" s="64"/>
      <c r="Z595" s="64"/>
      <c r="AA595" s="64"/>
      <c r="AB595" s="27"/>
      <c r="AC595" s="27"/>
    </row>
    <row r="596" spans="1:29" s="28" customFormat="1" x14ac:dyDescent="0.3">
      <c r="A596" s="27" t="s">
        <v>7325</v>
      </c>
      <c r="B596" s="27" t="s">
        <v>2273</v>
      </c>
      <c r="C596" s="29"/>
      <c r="D596" s="28" t="s">
        <v>4922</v>
      </c>
      <c r="E596" s="20" t="s">
        <v>762</v>
      </c>
      <c r="F596" s="20" t="s">
        <v>2538</v>
      </c>
      <c r="G596" s="27"/>
      <c r="H596" s="20"/>
      <c r="I596" s="29"/>
      <c r="J596" s="29"/>
      <c r="K596" s="27"/>
      <c r="L596" s="27"/>
      <c r="M596" s="27" t="s">
        <v>7326</v>
      </c>
      <c r="N596" s="27"/>
      <c r="O596" s="29" t="s">
        <v>7327</v>
      </c>
      <c r="P596" s="27"/>
      <c r="Q596" s="27"/>
      <c r="R596" s="29"/>
      <c r="S596" s="29"/>
      <c r="T596" s="29"/>
      <c r="U596" s="27"/>
      <c r="V596" s="27"/>
      <c r="W596" s="27"/>
      <c r="X596" s="64"/>
      <c r="Y596" s="64"/>
      <c r="Z596" s="64"/>
      <c r="AA596" s="64"/>
      <c r="AB596" s="27"/>
      <c r="AC596" s="27"/>
    </row>
    <row r="597" spans="1:29" s="25" customFormat="1" x14ac:dyDescent="0.3">
      <c r="A597" s="24">
        <v>344</v>
      </c>
      <c r="B597" s="24" t="s">
        <v>2272</v>
      </c>
      <c r="C597" s="26">
        <v>179</v>
      </c>
      <c r="D597" s="25" t="s">
        <v>747</v>
      </c>
      <c r="E597" s="19" t="s">
        <v>748</v>
      </c>
      <c r="F597" s="19"/>
      <c r="G597" s="24" t="s">
        <v>1909</v>
      </c>
      <c r="H597" s="19"/>
      <c r="I597" s="26" t="s">
        <v>57</v>
      </c>
      <c r="J597" s="26" t="s">
        <v>57</v>
      </c>
      <c r="K597" s="24"/>
      <c r="L597" s="24" t="s">
        <v>3637</v>
      </c>
      <c r="M597" s="24" t="s">
        <v>5473</v>
      </c>
      <c r="N597" s="24"/>
      <c r="O597" s="26" t="s">
        <v>1907</v>
      </c>
      <c r="P597" s="24"/>
      <c r="Q597" s="24"/>
      <c r="R597" s="26"/>
      <c r="S597" s="26"/>
      <c r="T597" s="26"/>
      <c r="U597" s="24"/>
      <c r="V597" s="24"/>
      <c r="W597" s="24"/>
      <c r="X597" s="63"/>
      <c r="Y597" s="63"/>
      <c r="Z597" s="63"/>
      <c r="AA597" s="63"/>
      <c r="AB597" s="24"/>
      <c r="AC597" s="24"/>
    </row>
    <row r="598" spans="1:29" s="25" customFormat="1" x14ac:dyDescent="0.3">
      <c r="A598" s="24">
        <v>345</v>
      </c>
      <c r="B598" s="24" t="s">
        <v>2272</v>
      </c>
      <c r="C598" s="26">
        <v>179</v>
      </c>
      <c r="D598" s="25" t="s">
        <v>751</v>
      </c>
      <c r="E598" s="19" t="s">
        <v>752</v>
      </c>
      <c r="F598" s="19"/>
      <c r="G598" s="24" t="s">
        <v>1912</v>
      </c>
      <c r="H598" s="19"/>
      <c r="I598" s="26" t="s">
        <v>57</v>
      </c>
      <c r="J598" s="26" t="s">
        <v>57</v>
      </c>
      <c r="K598" s="24"/>
      <c r="L598" s="24" t="s">
        <v>3639</v>
      </c>
      <c r="M598" s="24" t="s">
        <v>5474</v>
      </c>
      <c r="N598" s="24"/>
      <c r="O598" s="26" t="s">
        <v>1911</v>
      </c>
      <c r="P598" s="24"/>
      <c r="Q598" s="24"/>
      <c r="R598" s="26"/>
      <c r="S598" s="26"/>
      <c r="T598" s="26"/>
      <c r="U598" s="24"/>
      <c r="V598" s="24"/>
      <c r="W598" s="24"/>
      <c r="X598" s="63"/>
      <c r="Y598" s="63"/>
      <c r="Z598" s="63"/>
      <c r="AA598" s="63"/>
      <c r="AB598" s="24"/>
      <c r="AC598" s="24"/>
    </row>
    <row r="599" spans="1:29" s="25" customFormat="1" x14ac:dyDescent="0.3">
      <c r="A599" s="24">
        <v>346</v>
      </c>
      <c r="B599" s="24" t="s">
        <v>2272</v>
      </c>
      <c r="C599" s="26">
        <v>179</v>
      </c>
      <c r="D599" s="25" t="s">
        <v>749</v>
      </c>
      <c r="E599" s="19" t="s">
        <v>750</v>
      </c>
      <c r="F599" s="19"/>
      <c r="G599" s="24" t="s">
        <v>1910</v>
      </c>
      <c r="H599" s="19"/>
      <c r="I599" s="26" t="s">
        <v>57</v>
      </c>
      <c r="J599" s="26" t="s">
        <v>57</v>
      </c>
      <c r="K599" s="24"/>
      <c r="L599" s="24" t="s">
        <v>3641</v>
      </c>
      <c r="M599" s="24" t="s">
        <v>5475</v>
      </c>
      <c r="N599" s="24"/>
      <c r="O599" s="26" t="s">
        <v>5476</v>
      </c>
      <c r="P599" s="24"/>
      <c r="Q599" s="24"/>
      <c r="R599" s="26"/>
      <c r="S599" s="26"/>
      <c r="T599" s="26"/>
      <c r="U599" s="24"/>
      <c r="V599" s="24"/>
      <c r="W599" s="24"/>
      <c r="X599" s="63"/>
      <c r="Y599" s="63"/>
      <c r="Z599" s="63"/>
      <c r="AA599" s="63"/>
      <c r="AB599" s="24"/>
      <c r="AC599" s="24"/>
    </row>
    <row r="600" spans="1:29" s="25" customFormat="1" x14ac:dyDescent="0.3">
      <c r="A600" s="24">
        <v>347</v>
      </c>
      <c r="B600" s="24" t="s">
        <v>2272</v>
      </c>
      <c r="C600" s="26">
        <v>179</v>
      </c>
      <c r="D600" s="25" t="s">
        <v>745</v>
      </c>
      <c r="E600" s="19" t="s">
        <v>746</v>
      </c>
      <c r="F600" s="19"/>
      <c r="G600" s="24"/>
      <c r="H600" s="19"/>
      <c r="I600" s="26" t="s">
        <v>57</v>
      </c>
      <c r="J600" s="26" t="s">
        <v>57</v>
      </c>
      <c r="K600" s="24"/>
      <c r="L600" s="24" t="s">
        <v>3134</v>
      </c>
      <c r="M600" s="24" t="s">
        <v>5223</v>
      </c>
      <c r="N600" s="24"/>
      <c r="O600" s="26" t="s">
        <v>1906</v>
      </c>
      <c r="P600" s="24"/>
      <c r="Q600" s="24"/>
      <c r="R600" s="26"/>
      <c r="S600" s="26"/>
      <c r="T600" s="26"/>
      <c r="U600" s="24"/>
      <c r="V600" s="24"/>
      <c r="W600" s="24"/>
      <c r="X600" s="63"/>
      <c r="Y600" s="63"/>
      <c r="Z600" s="63"/>
      <c r="AA600" s="63"/>
      <c r="AB600" s="24"/>
      <c r="AC600" s="24"/>
    </row>
    <row r="601" spans="1:29" s="25" customFormat="1" x14ac:dyDescent="0.3">
      <c r="A601" s="24">
        <v>348</v>
      </c>
      <c r="B601" s="24" t="s">
        <v>2272</v>
      </c>
      <c r="C601" s="26">
        <v>183</v>
      </c>
      <c r="D601" s="25" t="s">
        <v>784</v>
      </c>
      <c r="E601" s="19" t="s">
        <v>785</v>
      </c>
      <c r="F601" s="19"/>
      <c r="G601" s="24"/>
      <c r="H601" s="19"/>
      <c r="I601" s="26" t="s">
        <v>49</v>
      </c>
      <c r="J601" s="26" t="s">
        <v>5121</v>
      </c>
      <c r="K601" s="24" t="s">
        <v>49</v>
      </c>
      <c r="L601" s="24" t="s">
        <v>3644</v>
      </c>
      <c r="M601" s="24" t="s">
        <v>786</v>
      </c>
      <c r="N601" s="24"/>
      <c r="O601" s="26"/>
      <c r="P601" s="24" t="s">
        <v>6433</v>
      </c>
      <c r="Q601" s="24"/>
      <c r="R601" s="26"/>
      <c r="S601" s="26"/>
      <c r="T601" s="26"/>
      <c r="U601" s="24"/>
      <c r="V601" s="24"/>
      <c r="W601" s="24"/>
      <c r="X601" s="63"/>
      <c r="Y601" s="63"/>
      <c r="Z601" s="63"/>
      <c r="AA601" s="63"/>
      <c r="AB601" s="24"/>
      <c r="AC601" s="24"/>
    </row>
    <row r="602" spans="1:29" s="28" customFormat="1" x14ac:dyDescent="0.3">
      <c r="A602" s="27" t="s">
        <v>6293</v>
      </c>
      <c r="B602" s="27" t="s">
        <v>2273</v>
      </c>
      <c r="C602" s="29">
        <v>183</v>
      </c>
      <c r="D602" s="28" t="s">
        <v>4923</v>
      </c>
      <c r="E602" s="20" t="s">
        <v>785</v>
      </c>
      <c r="F602" s="20" t="s">
        <v>2548</v>
      </c>
      <c r="G602" s="27" t="s">
        <v>4591</v>
      </c>
      <c r="H602" s="20" t="s">
        <v>4592</v>
      </c>
      <c r="I602" s="29"/>
      <c r="J602" s="29" t="s">
        <v>5121</v>
      </c>
      <c r="K602" s="27"/>
      <c r="L602" s="27" t="s">
        <v>3644</v>
      </c>
      <c r="M602" s="27" t="s">
        <v>7328</v>
      </c>
      <c r="N602" s="27"/>
      <c r="O602" s="29" t="s">
        <v>7329</v>
      </c>
      <c r="P602" s="27"/>
      <c r="Q602" s="27"/>
      <c r="R602" s="29"/>
      <c r="S602" s="29"/>
      <c r="T602" s="29"/>
      <c r="U602" s="27"/>
      <c r="V602" s="27"/>
      <c r="W602" s="27"/>
      <c r="X602" s="64"/>
      <c r="Y602" s="64"/>
      <c r="Z602" s="64"/>
      <c r="AA602" s="64"/>
      <c r="AB602" s="27"/>
      <c r="AC602" s="27"/>
    </row>
    <row r="603" spans="1:29" s="25" customFormat="1" x14ac:dyDescent="0.3">
      <c r="A603" s="24">
        <v>349</v>
      </c>
      <c r="B603" s="24" t="s">
        <v>2272</v>
      </c>
      <c r="C603" s="26">
        <v>183</v>
      </c>
      <c r="D603" s="25" t="s">
        <v>766</v>
      </c>
      <c r="E603" s="19" t="s">
        <v>5825</v>
      </c>
      <c r="F603" s="19"/>
      <c r="G603" s="24"/>
      <c r="H603" s="19" t="s">
        <v>767</v>
      </c>
      <c r="I603" s="26" t="s">
        <v>57</v>
      </c>
      <c r="J603" s="26" t="s">
        <v>57</v>
      </c>
      <c r="K603" s="24"/>
      <c r="L603" s="24" t="s">
        <v>3645</v>
      </c>
      <c r="M603" s="24" t="s">
        <v>5477</v>
      </c>
      <c r="N603" s="24"/>
      <c r="O603" s="26"/>
      <c r="P603" s="24"/>
      <c r="Q603" s="24"/>
      <c r="R603" s="26"/>
      <c r="S603" s="26"/>
      <c r="T603" s="26"/>
      <c r="U603" s="24"/>
      <c r="V603" s="24"/>
      <c r="W603" s="24"/>
      <c r="X603" s="63"/>
      <c r="Y603" s="63"/>
      <c r="Z603" s="63"/>
      <c r="AA603" s="63"/>
      <c r="AB603" s="24"/>
      <c r="AC603" s="24"/>
    </row>
    <row r="604" spans="1:29" s="28" customFormat="1" x14ac:dyDescent="0.3">
      <c r="A604" s="27" t="s">
        <v>7330</v>
      </c>
      <c r="B604" s="27" t="s">
        <v>2273</v>
      </c>
      <c r="C604" s="29"/>
      <c r="D604" s="28" t="s">
        <v>4924</v>
      </c>
      <c r="E604" s="20" t="s">
        <v>5825</v>
      </c>
      <c r="F604" s="20" t="s">
        <v>2423</v>
      </c>
      <c r="G604" s="27"/>
      <c r="H604" s="20"/>
      <c r="I604" s="29"/>
      <c r="J604" s="29"/>
      <c r="K604" s="27"/>
      <c r="L604" s="27"/>
      <c r="M604" s="27" t="s">
        <v>6779</v>
      </c>
      <c r="N604" s="27"/>
      <c r="O604" s="29" t="s">
        <v>7331</v>
      </c>
      <c r="P604" s="27"/>
      <c r="Q604" s="27"/>
      <c r="R604" s="29"/>
      <c r="S604" s="29"/>
      <c r="T604" s="29"/>
      <c r="U604" s="27"/>
      <c r="V604" s="27"/>
      <c r="W604" s="27"/>
      <c r="X604" s="64"/>
      <c r="Y604" s="64"/>
      <c r="Z604" s="64"/>
      <c r="AA604" s="64"/>
      <c r="AB604" s="27"/>
      <c r="AC604" s="27"/>
    </row>
    <row r="605" spans="1:29" s="28" customFormat="1" x14ac:dyDescent="0.3">
      <c r="A605" s="27" t="s">
        <v>7332</v>
      </c>
      <c r="B605" s="27" t="s">
        <v>2273</v>
      </c>
      <c r="C605" s="29"/>
      <c r="D605" s="28" t="s">
        <v>4924</v>
      </c>
      <c r="E605" s="20" t="s">
        <v>5825</v>
      </c>
      <c r="F605" s="20" t="s">
        <v>2304</v>
      </c>
      <c r="G605" s="27"/>
      <c r="H605" s="20"/>
      <c r="I605" s="29"/>
      <c r="J605" s="29"/>
      <c r="K605" s="27"/>
      <c r="L605" s="27"/>
      <c r="M605" s="27" t="s">
        <v>7333</v>
      </c>
      <c r="N605" s="27"/>
      <c r="O605" s="29" t="s">
        <v>7334</v>
      </c>
      <c r="P605" s="27"/>
      <c r="Q605" s="27"/>
      <c r="R605" s="29"/>
      <c r="S605" s="29"/>
      <c r="T605" s="29"/>
      <c r="U605" s="27"/>
      <c r="V605" s="27"/>
      <c r="W605" s="27"/>
      <c r="X605" s="64"/>
      <c r="Y605" s="64"/>
      <c r="Z605" s="64"/>
      <c r="AA605" s="64"/>
      <c r="AB605" s="27"/>
      <c r="AC605" s="27"/>
    </row>
    <row r="606" spans="1:29" s="25" customFormat="1" x14ac:dyDescent="0.3">
      <c r="A606" s="24">
        <v>350</v>
      </c>
      <c r="B606" s="24" t="s">
        <v>2272</v>
      </c>
      <c r="C606" s="26">
        <v>183</v>
      </c>
      <c r="D606" s="25" t="s">
        <v>768</v>
      </c>
      <c r="E606" s="19" t="s">
        <v>769</v>
      </c>
      <c r="F606" s="19"/>
      <c r="G606" s="24"/>
      <c r="H606" s="19"/>
      <c r="I606" s="26" t="s">
        <v>37</v>
      </c>
      <c r="J606" s="26" t="s">
        <v>37</v>
      </c>
      <c r="K606" s="24"/>
      <c r="L606" s="24" t="s">
        <v>3647</v>
      </c>
      <c r="M606" s="24" t="s">
        <v>5478</v>
      </c>
      <c r="N606" s="24"/>
      <c r="O606" s="26"/>
      <c r="P606" s="24"/>
      <c r="Q606" s="24"/>
      <c r="R606" s="26"/>
      <c r="S606" s="26"/>
      <c r="T606" s="26"/>
      <c r="U606" s="24"/>
      <c r="V606" s="24"/>
      <c r="W606" s="24"/>
      <c r="X606" s="63"/>
      <c r="Y606" s="63"/>
      <c r="Z606" s="63"/>
      <c r="AA606" s="63"/>
      <c r="AB606" s="24"/>
      <c r="AC606" s="24"/>
    </row>
    <row r="607" spans="1:29" s="28" customFormat="1" x14ac:dyDescent="0.3">
      <c r="A607" s="27" t="s">
        <v>6294</v>
      </c>
      <c r="B607" s="27" t="s">
        <v>2273</v>
      </c>
      <c r="C607" s="29"/>
      <c r="D607" s="28" t="s">
        <v>4925</v>
      </c>
      <c r="E607" s="20" t="s">
        <v>769</v>
      </c>
      <c r="F607" s="20" t="s">
        <v>2541</v>
      </c>
      <c r="G607" s="27"/>
      <c r="H607" s="20"/>
      <c r="I607" s="29"/>
      <c r="J607" s="29"/>
      <c r="K607" s="27"/>
      <c r="L607" s="27"/>
      <c r="M607" s="27" t="s">
        <v>7335</v>
      </c>
      <c r="N607" s="27"/>
      <c r="O607" s="29" t="s">
        <v>7336</v>
      </c>
      <c r="P607" s="27"/>
      <c r="Q607" s="27"/>
      <c r="R607" s="29"/>
      <c r="S607" s="29"/>
      <c r="T607" s="29"/>
      <c r="U607" s="27"/>
      <c r="V607" s="27"/>
      <c r="W607" s="27"/>
      <c r="X607" s="64"/>
      <c r="Y607" s="64"/>
      <c r="Z607" s="64"/>
      <c r="AA607" s="64"/>
      <c r="AB607" s="27"/>
      <c r="AC607" s="27"/>
    </row>
    <row r="608" spans="1:29" s="25" customFormat="1" x14ac:dyDescent="0.3">
      <c r="A608" s="24">
        <v>351</v>
      </c>
      <c r="B608" s="24" t="s">
        <v>2272</v>
      </c>
      <c r="C608" s="26">
        <v>201</v>
      </c>
      <c r="D608" s="25" t="s">
        <v>789</v>
      </c>
      <c r="E608" s="19" t="s">
        <v>790</v>
      </c>
      <c r="F608" s="19"/>
      <c r="G608" s="24"/>
      <c r="H608" s="19"/>
      <c r="I608" s="26" t="s">
        <v>57</v>
      </c>
      <c r="J608" s="26" t="s">
        <v>57</v>
      </c>
      <c r="K608" s="24"/>
      <c r="L608" s="24" t="s">
        <v>3649</v>
      </c>
      <c r="M608" s="24" t="s">
        <v>5477</v>
      </c>
      <c r="N608" s="24"/>
      <c r="O608" s="26"/>
      <c r="P608" s="24"/>
      <c r="Q608" s="24"/>
      <c r="R608" s="26"/>
      <c r="S608" s="26"/>
      <c r="T608" s="26"/>
      <c r="U608" s="24"/>
      <c r="V608" s="24"/>
      <c r="W608" s="24"/>
      <c r="X608" s="63"/>
      <c r="Y608" s="63"/>
      <c r="Z608" s="63"/>
      <c r="AA608" s="63"/>
      <c r="AB608" s="24"/>
      <c r="AC608" s="24"/>
    </row>
    <row r="609" spans="1:29" s="28" customFormat="1" x14ac:dyDescent="0.3">
      <c r="A609" s="27" t="s">
        <v>6295</v>
      </c>
      <c r="B609" s="27" t="s">
        <v>2273</v>
      </c>
      <c r="C609" s="29"/>
      <c r="D609" s="28" t="s">
        <v>4926</v>
      </c>
      <c r="E609" s="20" t="s">
        <v>790</v>
      </c>
      <c r="F609" s="20" t="s">
        <v>2549</v>
      </c>
      <c r="G609" s="27"/>
      <c r="H609" s="20"/>
      <c r="I609" s="29"/>
      <c r="J609" s="29"/>
      <c r="K609" s="27"/>
      <c r="L609" s="27"/>
      <c r="M609" s="27" t="s">
        <v>7337</v>
      </c>
      <c r="N609" s="27"/>
      <c r="O609" s="29" t="s">
        <v>7338</v>
      </c>
      <c r="P609" s="27"/>
      <c r="Q609" s="27"/>
      <c r="R609" s="29"/>
      <c r="S609" s="29"/>
      <c r="T609" s="29"/>
      <c r="U609" s="27"/>
      <c r="V609" s="27"/>
      <c r="W609" s="27"/>
      <c r="X609" s="64"/>
      <c r="Y609" s="64"/>
      <c r="Z609" s="64"/>
      <c r="AA609" s="64"/>
      <c r="AB609" s="27"/>
      <c r="AC609" s="27"/>
    </row>
    <row r="610" spans="1:29" s="28" customFormat="1" x14ac:dyDescent="0.3">
      <c r="A610" s="27" t="s">
        <v>7339</v>
      </c>
      <c r="B610" s="27" t="s">
        <v>2273</v>
      </c>
      <c r="C610" s="29"/>
      <c r="D610" s="28" t="s">
        <v>4926</v>
      </c>
      <c r="E610" s="20" t="s">
        <v>790</v>
      </c>
      <c r="F610" s="20" t="s">
        <v>2550</v>
      </c>
      <c r="G610" s="27"/>
      <c r="H610" s="20"/>
      <c r="I610" s="29"/>
      <c r="J610" s="29"/>
      <c r="K610" s="27"/>
      <c r="L610" s="27"/>
      <c r="M610" s="27" t="s">
        <v>7340</v>
      </c>
      <c r="N610" s="27"/>
      <c r="O610" s="29" t="s">
        <v>7341</v>
      </c>
      <c r="P610" s="27"/>
      <c r="Q610" s="27"/>
      <c r="R610" s="29"/>
      <c r="S610" s="29"/>
      <c r="T610" s="29"/>
      <c r="U610" s="27"/>
      <c r="V610" s="27"/>
      <c r="W610" s="27"/>
      <c r="X610" s="64"/>
      <c r="Y610" s="64"/>
      <c r="Z610" s="64"/>
      <c r="AA610" s="64"/>
      <c r="AB610" s="27"/>
      <c r="AC610" s="27"/>
    </row>
    <row r="611" spans="1:29" s="28" customFormat="1" x14ac:dyDescent="0.3">
      <c r="A611" s="27" t="s">
        <v>7342</v>
      </c>
      <c r="B611" s="27" t="s">
        <v>2273</v>
      </c>
      <c r="C611" s="29"/>
      <c r="D611" s="28" t="s">
        <v>4926</v>
      </c>
      <c r="E611" s="20" t="s">
        <v>790</v>
      </c>
      <c r="F611" s="20" t="s">
        <v>2494</v>
      </c>
      <c r="G611" s="27"/>
      <c r="H611" s="20"/>
      <c r="I611" s="29"/>
      <c r="J611" s="29"/>
      <c r="K611" s="27"/>
      <c r="L611" s="27"/>
      <c r="M611" s="27" t="s">
        <v>7343</v>
      </c>
      <c r="N611" s="27"/>
      <c r="O611" s="29" t="s">
        <v>7343</v>
      </c>
      <c r="P611" s="27"/>
      <c r="Q611" s="27"/>
      <c r="R611" s="29"/>
      <c r="S611" s="29"/>
      <c r="T611" s="29"/>
      <c r="U611" s="27"/>
      <c r="V611" s="27"/>
      <c r="W611" s="27"/>
      <c r="X611" s="64"/>
      <c r="Y611" s="64"/>
      <c r="Z611" s="64"/>
      <c r="AA611" s="64"/>
      <c r="AB611" s="27"/>
      <c r="AC611" s="27"/>
    </row>
    <row r="612" spans="1:29" s="28" customFormat="1" x14ac:dyDescent="0.3">
      <c r="A612" s="27" t="s">
        <v>7344</v>
      </c>
      <c r="B612" s="27" t="s">
        <v>2273</v>
      </c>
      <c r="C612" s="29"/>
      <c r="D612" s="28" t="s">
        <v>4926</v>
      </c>
      <c r="E612" s="20" t="s">
        <v>790</v>
      </c>
      <c r="F612" s="20" t="s">
        <v>2551</v>
      </c>
      <c r="G612" s="27"/>
      <c r="H612" s="20"/>
      <c r="I612" s="29"/>
      <c r="J612" s="29"/>
      <c r="K612" s="27"/>
      <c r="L612" s="27"/>
      <c r="M612" s="27" t="s">
        <v>7345</v>
      </c>
      <c r="N612" s="27"/>
      <c r="O612" s="29" t="s">
        <v>7346</v>
      </c>
      <c r="P612" s="27"/>
      <c r="Q612" s="27"/>
      <c r="R612" s="29"/>
      <c r="S612" s="29"/>
      <c r="T612" s="29"/>
      <c r="U612" s="27"/>
      <c r="V612" s="27"/>
      <c r="W612" s="27"/>
      <c r="X612" s="64"/>
      <c r="Y612" s="64"/>
      <c r="Z612" s="64"/>
      <c r="AA612" s="64"/>
      <c r="AB612" s="27"/>
      <c r="AC612" s="27"/>
    </row>
    <row r="613" spans="1:29" s="28" customFormat="1" x14ac:dyDescent="0.3">
      <c r="A613" s="27" t="s">
        <v>7347</v>
      </c>
      <c r="B613" s="27" t="s">
        <v>2273</v>
      </c>
      <c r="C613" s="29"/>
      <c r="D613" s="28" t="s">
        <v>4926</v>
      </c>
      <c r="E613" s="20" t="s">
        <v>790</v>
      </c>
      <c r="F613" s="20" t="s">
        <v>2552</v>
      </c>
      <c r="G613" s="27"/>
      <c r="H613" s="20"/>
      <c r="I613" s="29"/>
      <c r="J613" s="29"/>
      <c r="K613" s="27"/>
      <c r="L613" s="27"/>
      <c r="M613" s="27" t="s">
        <v>7348</v>
      </c>
      <c r="N613" s="27"/>
      <c r="O613" s="29" t="s">
        <v>1968</v>
      </c>
      <c r="P613" s="27"/>
      <c r="Q613" s="27"/>
      <c r="R613" s="29"/>
      <c r="S613" s="29"/>
      <c r="T613" s="29"/>
      <c r="U613" s="27"/>
      <c r="V613" s="27"/>
      <c r="W613" s="27"/>
      <c r="X613" s="64"/>
      <c r="Y613" s="64"/>
      <c r="Z613" s="64"/>
      <c r="AA613" s="64"/>
      <c r="AB613" s="27"/>
      <c r="AC613" s="27"/>
    </row>
    <row r="614" spans="1:29" s="25" customFormat="1" x14ac:dyDescent="0.3">
      <c r="A614" s="24">
        <v>352</v>
      </c>
      <c r="B614" s="24" t="s">
        <v>2272</v>
      </c>
      <c r="C614" s="26">
        <v>205</v>
      </c>
      <c r="D614" s="25" t="s">
        <v>793</v>
      </c>
      <c r="E614" s="19" t="s">
        <v>794</v>
      </c>
      <c r="F614" s="19"/>
      <c r="G614" s="24"/>
      <c r="H614" s="19" t="s">
        <v>4381</v>
      </c>
      <c r="I614" s="26" t="s">
        <v>89</v>
      </c>
      <c r="J614" s="26" t="s">
        <v>5121</v>
      </c>
      <c r="K614" s="24"/>
      <c r="L614" s="24" t="s">
        <v>3651</v>
      </c>
      <c r="M614" s="24" t="s">
        <v>5479</v>
      </c>
      <c r="N614" s="24"/>
      <c r="O614" s="26"/>
      <c r="P614" s="24" t="s">
        <v>6434</v>
      </c>
      <c r="Q614" s="24"/>
      <c r="R614" s="26"/>
      <c r="S614" s="26"/>
      <c r="T614" s="26"/>
      <c r="U614" s="24"/>
      <c r="V614" s="24"/>
      <c r="W614" s="24"/>
      <c r="X614" s="63"/>
      <c r="Y614" s="63"/>
      <c r="Z614" s="63"/>
      <c r="AA614" s="63"/>
      <c r="AB614" s="24"/>
      <c r="AC614" s="24"/>
    </row>
    <row r="615" spans="1:29" s="28" customFormat="1" x14ac:dyDescent="0.3">
      <c r="A615" s="27" t="s">
        <v>5753</v>
      </c>
      <c r="B615" s="27" t="s">
        <v>2273</v>
      </c>
      <c r="C615" s="29"/>
      <c r="D615" s="28" t="s">
        <v>4927</v>
      </c>
      <c r="E615" s="20" t="s">
        <v>794</v>
      </c>
      <c r="F615" s="20" t="s">
        <v>2553</v>
      </c>
      <c r="G615" s="27"/>
      <c r="H615" s="20"/>
      <c r="I615" s="29"/>
      <c r="J615" s="29"/>
      <c r="K615" s="27"/>
      <c r="L615" s="27"/>
      <c r="M615" s="27" t="s">
        <v>7349</v>
      </c>
      <c r="N615" s="27"/>
      <c r="O615" s="29" t="s">
        <v>7350</v>
      </c>
      <c r="P615" s="27"/>
      <c r="Q615" s="27"/>
      <c r="R615" s="29"/>
      <c r="S615" s="29"/>
      <c r="T615" s="29"/>
      <c r="U615" s="27"/>
      <c r="V615" s="27"/>
      <c r="W615" s="27"/>
      <c r="X615" s="64"/>
      <c r="Y615" s="64"/>
      <c r="Z615" s="64"/>
      <c r="AA615" s="64"/>
      <c r="AB615" s="27"/>
      <c r="AC615" s="27"/>
    </row>
    <row r="616" spans="1:29" s="25" customFormat="1" ht="20.399999999999999" x14ac:dyDescent="0.3">
      <c r="A616" s="24">
        <v>353</v>
      </c>
      <c r="B616" s="24" t="s">
        <v>2272</v>
      </c>
      <c r="C616" s="26"/>
      <c r="D616" s="25" t="s">
        <v>797</v>
      </c>
      <c r="E616" s="19" t="s">
        <v>798</v>
      </c>
      <c r="F616" s="19"/>
      <c r="G616" s="24"/>
      <c r="H616" s="19"/>
      <c r="I616" s="26" t="s">
        <v>57</v>
      </c>
      <c r="J616" s="26"/>
      <c r="K616" s="24"/>
      <c r="L616" s="103" t="s">
        <v>3653</v>
      </c>
      <c r="M616" s="24" t="s">
        <v>5477</v>
      </c>
      <c r="N616" s="24"/>
      <c r="O616" s="26"/>
      <c r="P616" s="24"/>
      <c r="Q616" s="24"/>
      <c r="R616" s="26"/>
      <c r="S616" s="26"/>
      <c r="T616" s="26"/>
      <c r="U616" s="24"/>
      <c r="V616" s="24"/>
      <c r="W616" s="24"/>
      <c r="X616" s="63"/>
      <c r="Y616" s="63"/>
      <c r="Z616" s="63"/>
      <c r="AA616" s="63"/>
      <c r="AB616" s="24"/>
      <c r="AC616" s="24"/>
    </row>
    <row r="617" spans="1:29" s="28" customFormat="1" x14ac:dyDescent="0.3">
      <c r="A617" s="27" t="s">
        <v>7351</v>
      </c>
      <c r="B617" s="27" t="s">
        <v>2273</v>
      </c>
      <c r="C617" s="29">
        <v>201</v>
      </c>
      <c r="D617" s="28" t="s">
        <v>4928</v>
      </c>
      <c r="E617" s="20" t="s">
        <v>798</v>
      </c>
      <c r="F617" s="20" t="s">
        <v>2554</v>
      </c>
      <c r="G617" s="27" t="s">
        <v>1940</v>
      </c>
      <c r="H617" s="20" t="s">
        <v>798</v>
      </c>
      <c r="I617" s="29"/>
      <c r="J617" s="29" t="s">
        <v>57</v>
      </c>
      <c r="K617" s="27"/>
      <c r="L617" s="27" t="s">
        <v>4593</v>
      </c>
      <c r="M617" s="27" t="s">
        <v>7352</v>
      </c>
      <c r="N617" s="27"/>
      <c r="O617" s="29" t="s">
        <v>7353</v>
      </c>
      <c r="P617" s="27"/>
      <c r="Q617" s="27"/>
      <c r="R617" s="29"/>
      <c r="S617" s="29"/>
      <c r="T617" s="29"/>
      <c r="U617" s="27"/>
      <c r="V617" s="27"/>
      <c r="W617" s="27"/>
      <c r="X617" s="64"/>
      <c r="Y617" s="64"/>
      <c r="Z617" s="64"/>
      <c r="AA617" s="64"/>
      <c r="AB617" s="27"/>
      <c r="AC617" s="27"/>
    </row>
    <row r="618" spans="1:29" s="28" customFormat="1" x14ac:dyDescent="0.3">
      <c r="A618" s="27" t="s">
        <v>7354</v>
      </c>
      <c r="B618" s="27" t="s">
        <v>2273</v>
      </c>
      <c r="C618" s="29">
        <v>201</v>
      </c>
      <c r="D618" s="28" t="s">
        <v>4928</v>
      </c>
      <c r="E618" s="20" t="s">
        <v>798</v>
      </c>
      <c r="F618" s="20" t="s">
        <v>2555</v>
      </c>
      <c r="G618" s="27" t="s">
        <v>2556</v>
      </c>
      <c r="H618" s="20" t="s">
        <v>2557</v>
      </c>
      <c r="I618" s="29"/>
      <c r="J618" s="29" t="s">
        <v>57</v>
      </c>
      <c r="K618" s="27"/>
      <c r="L618" s="27" t="s">
        <v>4594</v>
      </c>
      <c r="M618" s="27" t="s">
        <v>7355</v>
      </c>
      <c r="N618" s="27"/>
      <c r="O618" s="29" t="s">
        <v>7356</v>
      </c>
      <c r="P618" s="27"/>
      <c r="Q618" s="27"/>
      <c r="R618" s="29"/>
      <c r="S618" s="29"/>
      <c r="T618" s="29"/>
      <c r="U618" s="27"/>
      <c r="V618" s="27"/>
      <c r="W618" s="27"/>
      <c r="X618" s="64"/>
      <c r="Y618" s="64"/>
      <c r="Z618" s="64"/>
      <c r="AA618" s="64"/>
      <c r="AB618" s="27"/>
      <c r="AC618" s="27"/>
    </row>
    <row r="619" spans="1:29" s="28" customFormat="1" x14ac:dyDescent="0.3">
      <c r="A619" s="27" t="s">
        <v>7357</v>
      </c>
      <c r="B619" s="27" t="s">
        <v>2273</v>
      </c>
      <c r="C619" s="29">
        <v>201</v>
      </c>
      <c r="D619" s="28" t="s">
        <v>4928</v>
      </c>
      <c r="E619" s="20" t="s">
        <v>798</v>
      </c>
      <c r="F619" s="20" t="s">
        <v>2304</v>
      </c>
      <c r="G619" s="27" t="s">
        <v>2556</v>
      </c>
      <c r="H619" s="20" t="s">
        <v>2557</v>
      </c>
      <c r="I619" s="29"/>
      <c r="J619" s="29"/>
      <c r="K619" s="27"/>
      <c r="L619" s="27"/>
      <c r="M619" s="27" t="s">
        <v>7358</v>
      </c>
      <c r="N619" s="27"/>
      <c r="O619" s="29" t="s">
        <v>7359</v>
      </c>
      <c r="P619" s="27"/>
      <c r="Q619" s="27"/>
      <c r="R619" s="29"/>
      <c r="S619" s="29"/>
      <c r="T619" s="29"/>
      <c r="U619" s="27"/>
      <c r="V619" s="27"/>
      <c r="W619" s="27"/>
      <c r="X619" s="64"/>
      <c r="Y619" s="64"/>
      <c r="Z619" s="64"/>
      <c r="AA619" s="64"/>
      <c r="AB619" s="27"/>
      <c r="AC619" s="27"/>
    </row>
    <row r="620" spans="1:29" s="25" customFormat="1" x14ac:dyDescent="0.3">
      <c r="A620" s="24">
        <v>354</v>
      </c>
      <c r="B620" s="24" t="s">
        <v>2272</v>
      </c>
      <c r="C620" s="26">
        <v>201</v>
      </c>
      <c r="D620" s="25" t="s">
        <v>799</v>
      </c>
      <c r="E620" s="19" t="s">
        <v>800</v>
      </c>
      <c r="F620" s="19"/>
      <c r="G620" s="24"/>
      <c r="H620" s="19"/>
      <c r="I620" s="26" t="s">
        <v>57</v>
      </c>
      <c r="J620" s="26" t="s">
        <v>57</v>
      </c>
      <c r="K620" s="24"/>
      <c r="L620" s="24" t="s">
        <v>3655</v>
      </c>
      <c r="M620" s="24" t="s">
        <v>5480</v>
      </c>
      <c r="N620" s="24"/>
      <c r="O620" s="26" t="s">
        <v>1941</v>
      </c>
      <c r="P620" s="24"/>
      <c r="Q620" s="24"/>
      <c r="R620" s="26"/>
      <c r="S620" s="26"/>
      <c r="T620" s="26"/>
      <c r="U620" s="24"/>
      <c r="V620" s="24"/>
      <c r="W620" s="24"/>
      <c r="X620" s="63"/>
      <c r="Y620" s="63"/>
      <c r="Z620" s="63"/>
      <c r="AA620" s="63"/>
      <c r="AB620" s="24"/>
      <c r="AC620" s="24"/>
    </row>
    <row r="621" spans="1:29" s="25" customFormat="1" x14ac:dyDescent="0.3">
      <c r="A621" s="24">
        <v>355</v>
      </c>
      <c r="B621" s="24" t="s">
        <v>2272</v>
      </c>
      <c r="C621" s="26">
        <v>201</v>
      </c>
      <c r="D621" s="25" t="s">
        <v>801</v>
      </c>
      <c r="E621" s="19" t="s">
        <v>802</v>
      </c>
      <c r="F621" s="19"/>
      <c r="G621" s="24"/>
      <c r="H621" s="19"/>
      <c r="I621" s="26" t="s">
        <v>57</v>
      </c>
      <c r="J621" s="26" t="s">
        <v>57</v>
      </c>
      <c r="K621" s="24"/>
      <c r="L621" s="24" t="s">
        <v>3657</v>
      </c>
      <c r="M621" s="24" t="s">
        <v>5467</v>
      </c>
      <c r="N621" s="24"/>
      <c r="O621" s="26" t="s">
        <v>1942</v>
      </c>
      <c r="P621" s="24"/>
      <c r="Q621" s="24"/>
      <c r="R621" s="26"/>
      <c r="S621" s="26"/>
      <c r="T621" s="26"/>
      <c r="U621" s="24"/>
      <c r="V621" s="24"/>
      <c r="W621" s="24"/>
      <c r="X621" s="63"/>
      <c r="Y621" s="63"/>
      <c r="Z621" s="63"/>
      <c r="AA621" s="63"/>
      <c r="AB621" s="24"/>
      <c r="AC621" s="24"/>
    </row>
    <row r="622" spans="1:29" s="25" customFormat="1" x14ac:dyDescent="0.3">
      <c r="A622" s="24">
        <v>356</v>
      </c>
      <c r="B622" s="24" t="s">
        <v>2272</v>
      </c>
      <c r="C622" s="26">
        <v>203</v>
      </c>
      <c r="D622" s="25" t="s">
        <v>803</v>
      </c>
      <c r="E622" s="19" t="s">
        <v>804</v>
      </c>
      <c r="F622" s="19"/>
      <c r="G622" s="24" t="s">
        <v>1945</v>
      </c>
      <c r="H622" s="19"/>
      <c r="I622" s="26" t="s">
        <v>57</v>
      </c>
      <c r="J622" s="26" t="s">
        <v>57</v>
      </c>
      <c r="K622" s="24" t="s">
        <v>3030</v>
      </c>
      <c r="L622" s="24" t="s">
        <v>3659</v>
      </c>
      <c r="M622" s="24" t="s">
        <v>5481</v>
      </c>
      <c r="N622" s="24"/>
      <c r="O622" s="26" t="s">
        <v>1943</v>
      </c>
      <c r="P622" s="24" t="s">
        <v>9</v>
      </c>
      <c r="Q622" s="24"/>
      <c r="R622" s="26"/>
      <c r="S622" s="26"/>
      <c r="T622" s="26"/>
      <c r="U622" s="24"/>
      <c r="V622" s="24"/>
      <c r="W622" s="24"/>
      <c r="X622" s="63"/>
      <c r="Y622" s="63"/>
      <c r="Z622" s="63"/>
      <c r="AA622" s="63"/>
      <c r="AB622" s="24"/>
      <c r="AC622" s="24"/>
    </row>
    <row r="623" spans="1:29" s="25" customFormat="1" x14ac:dyDescent="0.3">
      <c r="A623" s="24">
        <v>357</v>
      </c>
      <c r="B623" s="24" t="s">
        <v>2272</v>
      </c>
      <c r="C623" s="26">
        <v>201</v>
      </c>
      <c r="D623" s="25" t="s">
        <v>805</v>
      </c>
      <c r="E623" s="19" t="s">
        <v>806</v>
      </c>
      <c r="F623" s="19"/>
      <c r="G623" s="24"/>
      <c r="H623" s="19"/>
      <c r="I623" s="26" t="s">
        <v>57</v>
      </c>
      <c r="J623" s="26" t="s">
        <v>57</v>
      </c>
      <c r="K623" s="24"/>
      <c r="L623" s="24" t="s">
        <v>3661</v>
      </c>
      <c r="M623" s="24" t="s">
        <v>5482</v>
      </c>
      <c r="N623" s="24"/>
      <c r="O623" s="26" t="s">
        <v>1946</v>
      </c>
      <c r="P623" s="24" t="s">
        <v>9</v>
      </c>
      <c r="Q623" s="24"/>
      <c r="R623" s="26"/>
      <c r="S623" s="26"/>
      <c r="T623" s="26"/>
      <c r="U623" s="24"/>
      <c r="V623" s="24"/>
      <c r="W623" s="24"/>
      <c r="X623" s="63"/>
      <c r="Y623" s="63"/>
      <c r="Z623" s="63"/>
      <c r="AA623" s="63"/>
      <c r="AB623" s="24"/>
      <c r="AC623" s="24"/>
    </row>
    <row r="624" spans="1:29" s="25" customFormat="1" x14ac:dyDescent="0.3">
      <c r="A624" s="24">
        <v>358</v>
      </c>
      <c r="B624" s="24" t="s">
        <v>2272</v>
      </c>
      <c r="C624" s="26">
        <v>203</v>
      </c>
      <c r="D624" s="25" t="s">
        <v>807</v>
      </c>
      <c r="E624" s="19" t="s">
        <v>808</v>
      </c>
      <c r="F624" s="19"/>
      <c r="G624" s="24"/>
      <c r="H624" s="19"/>
      <c r="I624" s="26" t="s">
        <v>57</v>
      </c>
      <c r="J624" s="26" t="s">
        <v>57</v>
      </c>
      <c r="K624" s="24"/>
      <c r="L624" s="24" t="s">
        <v>3663</v>
      </c>
      <c r="M624" s="24" t="s">
        <v>5245</v>
      </c>
      <c r="N624" s="24"/>
      <c r="O624" s="26" t="s">
        <v>1947</v>
      </c>
      <c r="P624" s="24"/>
      <c r="Q624" s="24"/>
      <c r="R624" s="26"/>
      <c r="S624" s="26"/>
      <c r="T624" s="26"/>
      <c r="U624" s="24"/>
      <c r="V624" s="24"/>
      <c r="W624" s="24"/>
      <c r="X624" s="63"/>
      <c r="Y624" s="63"/>
      <c r="Z624" s="63"/>
      <c r="AA624" s="63"/>
      <c r="AB624" s="24"/>
      <c r="AC624" s="24"/>
    </row>
    <row r="625" spans="1:29" s="28" customFormat="1" x14ac:dyDescent="0.3">
      <c r="A625" s="27" t="s">
        <v>7360</v>
      </c>
      <c r="B625" s="27" t="s">
        <v>2273</v>
      </c>
      <c r="C625" s="29"/>
      <c r="D625" s="28" t="s">
        <v>4929</v>
      </c>
      <c r="E625" s="20" t="s">
        <v>808</v>
      </c>
      <c r="F625" s="20" t="s">
        <v>2558</v>
      </c>
      <c r="G625" s="27"/>
      <c r="H625" s="20"/>
      <c r="I625" s="29"/>
      <c r="J625" s="29"/>
      <c r="K625" s="27"/>
      <c r="L625" s="27"/>
      <c r="M625" s="27" t="s">
        <v>7361</v>
      </c>
      <c r="N625" s="27"/>
      <c r="O625" s="29"/>
      <c r="P625" s="27"/>
      <c r="Q625" s="27"/>
      <c r="R625" s="29"/>
      <c r="S625" s="29"/>
      <c r="T625" s="29"/>
      <c r="U625" s="27"/>
      <c r="V625" s="27"/>
      <c r="W625" s="27"/>
      <c r="X625" s="64"/>
      <c r="Y625" s="64"/>
      <c r="Z625" s="64"/>
      <c r="AA625" s="64"/>
      <c r="AB625" s="27"/>
      <c r="AC625" s="27"/>
    </row>
    <row r="626" spans="1:29" s="28" customFormat="1" x14ac:dyDescent="0.3">
      <c r="A626" s="27" t="s">
        <v>7362</v>
      </c>
      <c r="B626" s="27" t="s">
        <v>2273</v>
      </c>
      <c r="C626" s="29"/>
      <c r="D626" s="28" t="s">
        <v>4929</v>
      </c>
      <c r="E626" s="20" t="s">
        <v>808</v>
      </c>
      <c r="F626" s="20" t="s">
        <v>2559</v>
      </c>
      <c r="G626" s="27"/>
      <c r="H626" s="20"/>
      <c r="I626" s="29"/>
      <c r="J626" s="29"/>
      <c r="K626" s="27"/>
      <c r="L626" s="27"/>
      <c r="M626" s="27" t="s">
        <v>7363</v>
      </c>
      <c r="N626" s="27"/>
      <c r="O626" s="29"/>
      <c r="P626" s="27"/>
      <c r="Q626" s="27"/>
      <c r="R626" s="29"/>
      <c r="S626" s="29"/>
      <c r="T626" s="29"/>
      <c r="U626" s="27"/>
      <c r="V626" s="27"/>
      <c r="W626" s="27"/>
      <c r="X626" s="64"/>
      <c r="Y626" s="64"/>
      <c r="Z626" s="64"/>
      <c r="AA626" s="64"/>
      <c r="AB626" s="27"/>
      <c r="AC626" s="27"/>
    </row>
    <row r="627" spans="1:29" s="25" customFormat="1" x14ac:dyDescent="0.3">
      <c r="A627" s="24">
        <v>359</v>
      </c>
      <c r="B627" s="24" t="s">
        <v>2272</v>
      </c>
      <c r="C627" s="26">
        <v>203</v>
      </c>
      <c r="D627" s="25" t="s">
        <v>810</v>
      </c>
      <c r="E627" s="19" t="s">
        <v>811</v>
      </c>
      <c r="F627" s="19"/>
      <c r="G627" s="24"/>
      <c r="H627" s="19"/>
      <c r="I627" s="26" t="s">
        <v>57</v>
      </c>
      <c r="J627" s="26" t="s">
        <v>57</v>
      </c>
      <c r="K627" s="24"/>
      <c r="L627" s="24" t="s">
        <v>3665</v>
      </c>
      <c r="M627" s="24" t="s">
        <v>4383</v>
      </c>
      <c r="N627" s="24"/>
      <c r="O627" s="26" t="s">
        <v>1949</v>
      </c>
      <c r="P627" s="24"/>
      <c r="Q627" s="24"/>
      <c r="R627" s="26"/>
      <c r="S627" s="26"/>
      <c r="T627" s="26"/>
      <c r="U627" s="24"/>
      <c r="V627" s="24"/>
      <c r="W627" s="24"/>
      <c r="X627" s="63"/>
      <c r="Y627" s="63"/>
      <c r="Z627" s="63"/>
      <c r="AA627" s="63"/>
      <c r="AB627" s="24"/>
      <c r="AC627" s="24"/>
    </row>
    <row r="628" spans="1:29" s="25" customFormat="1" x14ac:dyDescent="0.3">
      <c r="A628" s="24">
        <v>360</v>
      </c>
      <c r="B628" s="24" t="s">
        <v>2272</v>
      </c>
      <c r="C628" s="26">
        <v>203</v>
      </c>
      <c r="D628" s="25" t="s">
        <v>812</v>
      </c>
      <c r="E628" s="19" t="s">
        <v>813</v>
      </c>
      <c r="F628" s="19"/>
      <c r="G628" s="24"/>
      <c r="H628" s="19" t="s">
        <v>4385</v>
      </c>
      <c r="I628" s="26" t="s">
        <v>57</v>
      </c>
      <c r="J628" s="26" t="s">
        <v>57</v>
      </c>
      <c r="K628" s="24"/>
      <c r="L628" s="24" t="s">
        <v>3612</v>
      </c>
      <c r="M628" s="24" t="s">
        <v>5483</v>
      </c>
      <c r="N628" s="24"/>
      <c r="O628" s="26"/>
      <c r="P628" s="24"/>
      <c r="Q628" s="24"/>
      <c r="R628" s="26"/>
      <c r="S628" s="26"/>
      <c r="T628" s="26"/>
      <c r="U628" s="24"/>
      <c r="V628" s="24"/>
      <c r="W628" s="24"/>
      <c r="X628" s="63"/>
      <c r="Y628" s="63"/>
      <c r="Z628" s="63"/>
      <c r="AA628" s="63"/>
      <c r="AB628" s="24"/>
      <c r="AC628" s="24"/>
    </row>
    <row r="629" spans="1:29" s="28" customFormat="1" x14ac:dyDescent="0.3">
      <c r="A629" s="27" t="s">
        <v>7364</v>
      </c>
      <c r="B629" s="27" t="s">
        <v>2273</v>
      </c>
      <c r="C629" s="29"/>
      <c r="D629" s="28" t="s">
        <v>4930</v>
      </c>
      <c r="E629" s="20" t="s">
        <v>813</v>
      </c>
      <c r="F629" s="20" t="s">
        <v>2302</v>
      </c>
      <c r="G629" s="27"/>
      <c r="H629" s="20"/>
      <c r="I629" s="29"/>
      <c r="J629" s="29"/>
      <c r="K629" s="27"/>
      <c r="L629" s="27"/>
      <c r="M629" s="27" t="s">
        <v>7365</v>
      </c>
      <c r="N629" s="27"/>
      <c r="O629" s="29" t="s">
        <v>1904</v>
      </c>
      <c r="P629" s="27"/>
      <c r="Q629" s="27"/>
      <c r="R629" s="29"/>
      <c r="S629" s="29"/>
      <c r="T629" s="29"/>
      <c r="U629" s="27"/>
      <c r="V629" s="27"/>
      <c r="W629" s="27"/>
      <c r="X629" s="64"/>
      <c r="Y629" s="64"/>
      <c r="Z629" s="64"/>
      <c r="AA629" s="64"/>
      <c r="AB629" s="27"/>
      <c r="AC629" s="27"/>
    </row>
    <row r="630" spans="1:29" s="28" customFormat="1" x14ac:dyDescent="0.3">
      <c r="A630" s="27" t="s">
        <v>7366</v>
      </c>
      <c r="B630" s="27" t="s">
        <v>2273</v>
      </c>
      <c r="C630" s="29"/>
      <c r="D630" s="28" t="s">
        <v>4930</v>
      </c>
      <c r="E630" s="20" t="s">
        <v>813</v>
      </c>
      <c r="F630" s="20" t="s">
        <v>2560</v>
      </c>
      <c r="G630" s="27"/>
      <c r="H630" s="20"/>
      <c r="I630" s="29"/>
      <c r="J630" s="29"/>
      <c r="K630" s="27"/>
      <c r="L630" s="27"/>
      <c r="M630" s="27" t="s">
        <v>7367</v>
      </c>
      <c r="N630" s="27"/>
      <c r="O630" s="29" t="s">
        <v>6903</v>
      </c>
      <c r="P630" s="27"/>
      <c r="Q630" s="27"/>
      <c r="R630" s="29"/>
      <c r="S630" s="29"/>
      <c r="T630" s="29"/>
      <c r="U630" s="27"/>
      <c r="V630" s="27"/>
      <c r="W630" s="27"/>
      <c r="X630" s="64"/>
      <c r="Y630" s="64"/>
      <c r="Z630" s="64"/>
      <c r="AA630" s="64"/>
      <c r="AB630" s="27"/>
      <c r="AC630" s="27"/>
    </row>
    <row r="631" spans="1:29" s="25" customFormat="1" x14ac:dyDescent="0.3">
      <c r="A631" s="24">
        <v>361</v>
      </c>
      <c r="B631" s="24" t="s">
        <v>2272</v>
      </c>
      <c r="C631" s="26">
        <v>203</v>
      </c>
      <c r="D631" s="25" t="s">
        <v>814</v>
      </c>
      <c r="E631" s="19" t="s">
        <v>815</v>
      </c>
      <c r="F631" s="19"/>
      <c r="G631" s="24"/>
      <c r="H631" s="19" t="s">
        <v>4387</v>
      </c>
      <c r="I631" s="26" t="s">
        <v>57</v>
      </c>
      <c r="J631" s="26" t="s">
        <v>57</v>
      </c>
      <c r="K631" s="24"/>
      <c r="L631" s="24" t="s">
        <v>3668</v>
      </c>
      <c r="M631" s="24" t="s">
        <v>5484</v>
      </c>
      <c r="N631" s="24"/>
      <c r="O631" s="26" t="s">
        <v>1950</v>
      </c>
      <c r="P631" s="24"/>
      <c r="Q631" s="24"/>
      <c r="R631" s="26"/>
      <c r="S631" s="26"/>
      <c r="T631" s="26"/>
      <c r="U631" s="24"/>
      <c r="V631" s="24"/>
      <c r="W631" s="24"/>
      <c r="X631" s="63"/>
      <c r="Y631" s="63"/>
      <c r="Z631" s="63"/>
      <c r="AA631" s="63"/>
      <c r="AB631" s="24"/>
      <c r="AC631" s="24"/>
    </row>
    <row r="632" spans="1:29" s="25" customFormat="1" x14ac:dyDescent="0.3">
      <c r="A632" s="24">
        <v>362</v>
      </c>
      <c r="B632" s="24" t="s">
        <v>2272</v>
      </c>
      <c r="C632" s="26">
        <v>203</v>
      </c>
      <c r="D632" s="25" t="s">
        <v>816</v>
      </c>
      <c r="E632" s="19" t="s">
        <v>817</v>
      </c>
      <c r="F632" s="19"/>
      <c r="G632" s="24"/>
      <c r="H632" s="19"/>
      <c r="I632" s="26" t="s">
        <v>57</v>
      </c>
      <c r="J632" s="26" t="s">
        <v>57</v>
      </c>
      <c r="K632" s="24"/>
      <c r="L632" s="24" t="s">
        <v>3670</v>
      </c>
      <c r="M632" s="24" t="s">
        <v>5485</v>
      </c>
      <c r="N632" s="24"/>
      <c r="O632" s="26"/>
      <c r="P632" s="24"/>
      <c r="Q632" s="24"/>
      <c r="R632" s="26"/>
      <c r="S632" s="26"/>
      <c r="T632" s="26"/>
      <c r="U632" s="24"/>
      <c r="V632" s="24"/>
      <c r="W632" s="24"/>
      <c r="X632" s="63"/>
      <c r="Y632" s="63"/>
      <c r="Z632" s="63"/>
      <c r="AA632" s="63"/>
      <c r="AB632" s="24"/>
      <c r="AC632" s="24"/>
    </row>
    <row r="633" spans="1:29" s="28" customFormat="1" x14ac:dyDescent="0.3">
      <c r="A633" s="27" t="s">
        <v>6296</v>
      </c>
      <c r="B633" s="27" t="s">
        <v>2273</v>
      </c>
      <c r="C633" s="29"/>
      <c r="D633" s="28" t="s">
        <v>4931</v>
      </c>
      <c r="E633" s="20" t="s">
        <v>817</v>
      </c>
      <c r="F633" s="20" t="s">
        <v>2561</v>
      </c>
      <c r="G633" s="27"/>
      <c r="H633" s="20"/>
      <c r="I633" s="29"/>
      <c r="J633" s="29"/>
      <c r="K633" s="27"/>
      <c r="L633" s="27"/>
      <c r="M633" s="27" t="s">
        <v>7368</v>
      </c>
      <c r="N633" s="27"/>
      <c r="O633" s="29" t="s">
        <v>7369</v>
      </c>
      <c r="P633" s="27"/>
      <c r="Q633" s="27"/>
      <c r="R633" s="29"/>
      <c r="S633" s="29"/>
      <c r="T633" s="29"/>
      <c r="U633" s="27"/>
      <c r="V633" s="27"/>
      <c r="W633" s="27"/>
      <c r="X633" s="64"/>
      <c r="Y633" s="64"/>
      <c r="Z633" s="64"/>
      <c r="AA633" s="64"/>
      <c r="AB633" s="27"/>
      <c r="AC633" s="27"/>
    </row>
    <row r="634" spans="1:29" s="28" customFormat="1" x14ac:dyDescent="0.3">
      <c r="A634" s="27" t="s">
        <v>6297</v>
      </c>
      <c r="B634" s="27" t="s">
        <v>2273</v>
      </c>
      <c r="C634" s="29"/>
      <c r="D634" s="28" t="s">
        <v>4931</v>
      </c>
      <c r="E634" s="20" t="s">
        <v>817</v>
      </c>
      <c r="F634" s="20" t="s">
        <v>2562</v>
      </c>
      <c r="G634" s="27"/>
      <c r="H634" s="20"/>
      <c r="I634" s="29"/>
      <c r="J634" s="29"/>
      <c r="K634" s="27"/>
      <c r="L634" s="27"/>
      <c r="M634" s="27" t="s">
        <v>7370</v>
      </c>
      <c r="N634" s="27"/>
      <c r="O634" s="29" t="s">
        <v>7371</v>
      </c>
      <c r="P634" s="27"/>
      <c r="Q634" s="27"/>
      <c r="R634" s="29"/>
      <c r="S634" s="29"/>
      <c r="T634" s="29"/>
      <c r="U634" s="27"/>
      <c r="V634" s="27"/>
      <c r="W634" s="27"/>
      <c r="X634" s="64"/>
      <c r="Y634" s="64"/>
      <c r="Z634" s="64"/>
      <c r="AA634" s="64"/>
      <c r="AB634" s="27"/>
      <c r="AC634" s="27"/>
    </row>
    <row r="635" spans="1:29" s="25" customFormat="1" x14ac:dyDescent="0.3">
      <c r="A635" s="24">
        <v>363</v>
      </c>
      <c r="B635" s="24" t="s">
        <v>2272</v>
      </c>
      <c r="C635" s="26">
        <v>205</v>
      </c>
      <c r="D635" s="25" t="s">
        <v>820</v>
      </c>
      <c r="E635" s="19" t="s">
        <v>821</v>
      </c>
      <c r="F635" s="19"/>
      <c r="G635" s="24"/>
      <c r="H635" s="19"/>
      <c r="I635" s="26" t="s">
        <v>37</v>
      </c>
      <c r="J635" s="26" t="s">
        <v>37</v>
      </c>
      <c r="K635" s="24"/>
      <c r="L635" s="24" t="s">
        <v>3672</v>
      </c>
      <c r="M635" s="24" t="s">
        <v>5486</v>
      </c>
      <c r="N635" s="24"/>
      <c r="O635" s="26"/>
      <c r="P635" s="24"/>
      <c r="Q635" s="24"/>
      <c r="R635" s="26"/>
      <c r="S635" s="26"/>
      <c r="T635" s="26"/>
      <c r="U635" s="24"/>
      <c r="V635" s="24"/>
      <c r="W635" s="24"/>
      <c r="X635" s="63"/>
      <c r="Y635" s="63"/>
      <c r="Z635" s="63"/>
      <c r="AA635" s="63"/>
      <c r="AB635" s="24"/>
      <c r="AC635" s="24"/>
    </row>
    <row r="636" spans="1:29" s="28" customFormat="1" x14ac:dyDescent="0.3">
      <c r="A636" s="27" t="s">
        <v>6298</v>
      </c>
      <c r="B636" s="27" t="s">
        <v>2273</v>
      </c>
      <c r="C636" s="29"/>
      <c r="D636" s="28" t="s">
        <v>4932</v>
      </c>
      <c r="E636" s="20" t="s">
        <v>821</v>
      </c>
      <c r="F636" s="20" t="s">
        <v>2563</v>
      </c>
      <c r="G636" s="27"/>
      <c r="H636" s="20"/>
      <c r="I636" s="29"/>
      <c r="J636" s="29"/>
      <c r="K636" s="27"/>
      <c r="L636" s="27"/>
      <c r="M636" s="27" t="s">
        <v>7372</v>
      </c>
      <c r="N636" s="27" t="s">
        <v>7373</v>
      </c>
      <c r="O636" s="29" t="s">
        <v>7374</v>
      </c>
      <c r="P636" s="27"/>
      <c r="Q636" s="27"/>
      <c r="R636" s="29"/>
      <c r="S636" s="29"/>
      <c r="T636" s="29"/>
      <c r="U636" s="27"/>
      <c r="V636" s="27"/>
      <c r="W636" s="27"/>
      <c r="X636" s="64"/>
      <c r="Y636" s="64"/>
      <c r="Z636" s="64"/>
      <c r="AA636" s="64"/>
      <c r="AB636" s="27"/>
      <c r="AC636" s="27"/>
    </row>
    <row r="637" spans="1:29" s="28" customFormat="1" x14ac:dyDescent="0.3">
      <c r="A637" s="27" t="s">
        <v>6299</v>
      </c>
      <c r="B637" s="27" t="s">
        <v>2273</v>
      </c>
      <c r="C637" s="29"/>
      <c r="D637" s="28" t="s">
        <v>4932</v>
      </c>
      <c r="E637" s="20" t="s">
        <v>821</v>
      </c>
      <c r="F637" s="20" t="s">
        <v>2369</v>
      </c>
      <c r="G637" s="27"/>
      <c r="H637" s="20"/>
      <c r="I637" s="29"/>
      <c r="J637" s="29"/>
      <c r="K637" s="27"/>
      <c r="L637" s="27"/>
      <c r="M637" s="27" t="s">
        <v>7375</v>
      </c>
      <c r="N637" s="27" t="s">
        <v>7376</v>
      </c>
      <c r="O637" s="29" t="s">
        <v>7377</v>
      </c>
      <c r="P637" s="27"/>
      <c r="Q637" s="27"/>
      <c r="R637" s="29"/>
      <c r="S637" s="29"/>
      <c r="T637" s="29"/>
      <c r="U637" s="27"/>
      <c r="V637" s="27"/>
      <c r="W637" s="27"/>
      <c r="X637" s="64"/>
      <c r="Y637" s="64"/>
      <c r="Z637" s="64"/>
      <c r="AA637" s="64"/>
      <c r="AB637" s="27"/>
      <c r="AC637" s="27"/>
    </row>
    <row r="638" spans="1:29" s="25" customFormat="1" ht="20.399999999999999" x14ac:dyDescent="0.3">
      <c r="A638" s="24">
        <v>364</v>
      </c>
      <c r="B638" s="24" t="s">
        <v>2272</v>
      </c>
      <c r="C638" s="26">
        <v>211</v>
      </c>
      <c r="D638" s="25" t="s">
        <v>824</v>
      </c>
      <c r="E638" s="19" t="s">
        <v>825</v>
      </c>
      <c r="F638" s="19"/>
      <c r="G638" s="24" t="s">
        <v>1953</v>
      </c>
      <c r="H638" s="19"/>
      <c r="I638" s="26" t="s">
        <v>57</v>
      </c>
      <c r="J638" s="26" t="s">
        <v>57</v>
      </c>
      <c r="K638" s="24"/>
      <c r="L638" s="103" t="s">
        <v>3674</v>
      </c>
      <c r="M638" s="24" t="s">
        <v>5487</v>
      </c>
      <c r="N638" s="24"/>
      <c r="O638" s="26"/>
      <c r="P638" s="24"/>
      <c r="Q638" s="24"/>
      <c r="R638" s="26"/>
      <c r="S638" s="26"/>
      <c r="T638" s="26"/>
      <c r="U638" s="24"/>
      <c r="V638" s="24"/>
      <c r="W638" s="24"/>
      <c r="X638" s="63"/>
      <c r="Y638" s="63"/>
      <c r="Z638" s="63"/>
      <c r="AA638" s="63"/>
      <c r="AB638" s="24"/>
      <c r="AC638" s="24"/>
    </row>
    <row r="639" spans="1:29" s="28" customFormat="1" x14ac:dyDescent="0.3">
      <c r="A639" s="27" t="s">
        <v>7378</v>
      </c>
      <c r="B639" s="27" t="s">
        <v>2273</v>
      </c>
      <c r="C639" s="29">
        <v>211</v>
      </c>
      <c r="D639" s="28" t="s">
        <v>4933</v>
      </c>
      <c r="E639" s="20" t="s">
        <v>825</v>
      </c>
      <c r="F639" s="20" t="s">
        <v>2564</v>
      </c>
      <c r="G639" s="27" t="s">
        <v>4596</v>
      </c>
      <c r="H639" s="20" t="s">
        <v>4597</v>
      </c>
      <c r="I639" s="29"/>
      <c r="J639" s="29" t="s">
        <v>57</v>
      </c>
      <c r="K639" s="27"/>
      <c r="L639" s="27" t="s">
        <v>4595</v>
      </c>
      <c r="M639" s="27" t="s">
        <v>7379</v>
      </c>
      <c r="N639" s="27"/>
      <c r="O639" s="29" t="s">
        <v>1673</v>
      </c>
      <c r="P639" s="27"/>
      <c r="Q639" s="27"/>
      <c r="R639" s="29"/>
      <c r="S639" s="29"/>
      <c r="T639" s="29"/>
      <c r="U639" s="27"/>
      <c r="V639" s="27"/>
      <c r="W639" s="27"/>
      <c r="X639" s="64"/>
      <c r="Y639" s="64"/>
      <c r="Z639" s="64"/>
      <c r="AA639" s="64"/>
      <c r="AB639" s="27"/>
      <c r="AC639" s="27"/>
    </row>
    <row r="640" spans="1:29" s="28" customFormat="1" x14ac:dyDescent="0.3">
      <c r="A640" s="27" t="s">
        <v>7380</v>
      </c>
      <c r="B640" s="27" t="s">
        <v>2273</v>
      </c>
      <c r="C640" s="29">
        <v>211</v>
      </c>
      <c r="D640" s="28" t="s">
        <v>4933</v>
      </c>
      <c r="E640" s="20" t="s">
        <v>825</v>
      </c>
      <c r="F640" s="20" t="s">
        <v>2565</v>
      </c>
      <c r="G640" s="27" t="s">
        <v>4599</v>
      </c>
      <c r="H640" s="20" t="s">
        <v>4600</v>
      </c>
      <c r="I640" s="29"/>
      <c r="J640" s="29" t="s">
        <v>57</v>
      </c>
      <c r="K640" s="27"/>
      <c r="L640" s="27" t="s">
        <v>4598</v>
      </c>
      <c r="M640" s="27" t="s">
        <v>7381</v>
      </c>
      <c r="N640" s="27"/>
      <c r="O640" s="29" t="s">
        <v>7382</v>
      </c>
      <c r="P640" s="27"/>
      <c r="Q640" s="27"/>
      <c r="R640" s="29"/>
      <c r="S640" s="29"/>
      <c r="T640" s="29"/>
      <c r="U640" s="27"/>
      <c r="V640" s="27"/>
      <c r="W640" s="27"/>
      <c r="X640" s="64"/>
      <c r="Y640" s="64"/>
      <c r="Z640" s="64"/>
      <c r="AA640" s="64"/>
      <c r="AB640" s="27"/>
      <c r="AC640" s="27"/>
    </row>
    <row r="641" spans="1:29" s="25" customFormat="1" x14ac:dyDescent="0.3">
      <c r="A641" s="24">
        <v>365</v>
      </c>
      <c r="B641" s="24" t="s">
        <v>2272</v>
      </c>
      <c r="C641" s="26">
        <v>213</v>
      </c>
      <c r="D641" s="25" t="s">
        <v>1957</v>
      </c>
      <c r="E641" s="19" t="s">
        <v>826</v>
      </c>
      <c r="F641" s="19"/>
      <c r="G641" s="24" t="s">
        <v>1956</v>
      </c>
      <c r="H641" s="19"/>
      <c r="I641" s="26" t="s">
        <v>57</v>
      </c>
      <c r="J641" s="26" t="s">
        <v>57</v>
      </c>
      <c r="K641" s="24"/>
      <c r="L641" s="24" t="s">
        <v>3676</v>
      </c>
      <c r="M641" s="24" t="s">
        <v>5488</v>
      </c>
      <c r="N641" s="24"/>
      <c r="O641" s="26" t="s">
        <v>1954</v>
      </c>
      <c r="P641" s="24"/>
      <c r="Q641" s="24"/>
      <c r="R641" s="26"/>
      <c r="S641" s="26"/>
      <c r="T641" s="26"/>
      <c r="U641" s="24"/>
      <c r="V641" s="24"/>
      <c r="W641" s="24"/>
      <c r="X641" s="63"/>
      <c r="Y641" s="63"/>
      <c r="Z641" s="63"/>
      <c r="AA641" s="63"/>
      <c r="AB641" s="24"/>
      <c r="AC641" s="24"/>
    </row>
    <row r="642" spans="1:29" s="25" customFormat="1" x14ac:dyDescent="0.3">
      <c r="A642" s="24">
        <v>366</v>
      </c>
      <c r="B642" s="24" t="s">
        <v>2272</v>
      </c>
      <c r="C642" s="26">
        <v>211</v>
      </c>
      <c r="D642" s="25" t="s">
        <v>827</v>
      </c>
      <c r="E642" s="19" t="s">
        <v>828</v>
      </c>
      <c r="F642" s="19"/>
      <c r="G642" s="24"/>
      <c r="H642" s="19"/>
      <c r="I642" s="26" t="s">
        <v>37</v>
      </c>
      <c r="J642" s="26" t="s">
        <v>37</v>
      </c>
      <c r="K642" s="24"/>
      <c r="L642" s="24" t="s">
        <v>3678</v>
      </c>
      <c r="M642" s="24" t="s">
        <v>84</v>
      </c>
      <c r="N642" s="24"/>
      <c r="O642" s="26"/>
      <c r="P642" s="24"/>
      <c r="Q642" s="24"/>
      <c r="R642" s="26"/>
      <c r="S642" s="26"/>
      <c r="T642" s="26"/>
      <c r="U642" s="24"/>
      <c r="V642" s="24"/>
      <c r="W642" s="24"/>
      <c r="X642" s="63"/>
      <c r="Y642" s="63"/>
      <c r="Z642" s="63"/>
      <c r="AA642" s="63"/>
      <c r="AB642" s="24"/>
      <c r="AC642" s="24"/>
    </row>
    <row r="643" spans="1:29" s="28" customFormat="1" x14ac:dyDescent="0.3">
      <c r="A643" s="27" t="s">
        <v>7383</v>
      </c>
      <c r="B643" s="27" t="s">
        <v>2273</v>
      </c>
      <c r="C643" s="29"/>
      <c r="D643" s="28" t="s">
        <v>4934</v>
      </c>
      <c r="E643" s="20" t="s">
        <v>828</v>
      </c>
      <c r="F643" s="20" t="s">
        <v>2567</v>
      </c>
      <c r="G643" s="27"/>
      <c r="H643" s="20"/>
      <c r="I643" s="29"/>
      <c r="J643" s="29"/>
      <c r="K643" s="27"/>
      <c r="L643" s="27"/>
      <c r="M643" s="27" t="s">
        <v>6929</v>
      </c>
      <c r="N643" s="27"/>
      <c r="O643" s="29" t="s">
        <v>7384</v>
      </c>
      <c r="P643" s="27"/>
      <c r="Q643" s="27"/>
      <c r="R643" s="29"/>
      <c r="S643" s="29"/>
      <c r="T643" s="29"/>
      <c r="U643" s="27"/>
      <c r="V643" s="27"/>
      <c r="W643" s="27"/>
      <c r="X643" s="64"/>
      <c r="Y643" s="64"/>
      <c r="Z643" s="64"/>
      <c r="AA643" s="64"/>
      <c r="AB643" s="27"/>
      <c r="AC643" s="27"/>
    </row>
    <row r="644" spans="1:29" s="28" customFormat="1" x14ac:dyDescent="0.3">
      <c r="A644" s="27" t="s">
        <v>7385</v>
      </c>
      <c r="B644" s="27" t="s">
        <v>2273</v>
      </c>
      <c r="C644" s="29"/>
      <c r="D644" s="28" t="s">
        <v>4934</v>
      </c>
      <c r="E644" s="20" t="s">
        <v>828</v>
      </c>
      <c r="F644" s="20" t="s">
        <v>2568</v>
      </c>
      <c r="G644" s="27"/>
      <c r="H644" s="20"/>
      <c r="I644" s="29"/>
      <c r="J644" s="29"/>
      <c r="K644" s="27"/>
      <c r="L644" s="27"/>
      <c r="M644" s="27" t="s">
        <v>7386</v>
      </c>
      <c r="N644" s="27"/>
      <c r="O644" s="29" t="s">
        <v>1965</v>
      </c>
      <c r="P644" s="27"/>
      <c r="Q644" s="27"/>
      <c r="R644" s="29"/>
      <c r="S644" s="29"/>
      <c r="T644" s="29"/>
      <c r="U644" s="27"/>
      <c r="V644" s="27"/>
      <c r="W644" s="27"/>
      <c r="X644" s="64"/>
      <c r="Y644" s="64"/>
      <c r="Z644" s="64"/>
      <c r="AA644" s="64"/>
      <c r="AB644" s="27"/>
      <c r="AC644" s="27"/>
    </row>
    <row r="645" spans="1:29" s="25" customFormat="1" x14ac:dyDescent="0.3">
      <c r="A645" s="24">
        <v>367</v>
      </c>
      <c r="B645" s="24" t="s">
        <v>2272</v>
      </c>
      <c r="C645" s="26">
        <v>211</v>
      </c>
      <c r="D645" s="25" t="s">
        <v>829</v>
      </c>
      <c r="E645" s="19" t="s">
        <v>830</v>
      </c>
      <c r="F645" s="19"/>
      <c r="G645" s="24"/>
      <c r="H645" s="19"/>
      <c r="I645" s="26" t="s">
        <v>346</v>
      </c>
      <c r="J645" s="26" t="s">
        <v>37</v>
      </c>
      <c r="K645" s="24"/>
      <c r="L645" s="24" t="s">
        <v>3680</v>
      </c>
      <c r="M645" s="24" t="s">
        <v>5489</v>
      </c>
      <c r="N645" s="24"/>
      <c r="O645" s="26"/>
      <c r="P645" s="24"/>
      <c r="Q645" s="24"/>
      <c r="R645" s="26"/>
      <c r="S645" s="26"/>
      <c r="T645" s="26"/>
      <c r="U645" s="24"/>
      <c r="V645" s="24"/>
      <c r="W645" s="24"/>
      <c r="X645" s="63"/>
      <c r="Y645" s="63"/>
      <c r="Z645" s="63"/>
      <c r="AA645" s="63"/>
      <c r="AB645" s="24"/>
      <c r="AC645" s="24"/>
    </row>
    <row r="646" spans="1:29" s="28" customFormat="1" x14ac:dyDescent="0.3">
      <c r="A646" s="27" t="s">
        <v>7387</v>
      </c>
      <c r="B646" s="27" t="s">
        <v>2273</v>
      </c>
      <c r="C646" s="29"/>
      <c r="D646" s="28" t="s">
        <v>4935</v>
      </c>
      <c r="E646" s="20" t="s">
        <v>830</v>
      </c>
      <c r="F646" s="20" t="s">
        <v>2308</v>
      </c>
      <c r="G646" s="27"/>
      <c r="H646" s="20"/>
      <c r="I646" s="29"/>
      <c r="J646" s="29"/>
      <c r="K646" s="27"/>
      <c r="L646" s="27"/>
      <c r="M646" s="27" t="s">
        <v>7388</v>
      </c>
      <c r="N646" s="27" t="s">
        <v>7389</v>
      </c>
      <c r="O646" s="29" t="s">
        <v>7390</v>
      </c>
      <c r="P646" s="27"/>
      <c r="Q646" s="27"/>
      <c r="R646" s="29"/>
      <c r="S646" s="29"/>
      <c r="T646" s="29"/>
      <c r="U646" s="27"/>
      <c r="V646" s="27"/>
      <c r="W646" s="27"/>
      <c r="X646" s="64"/>
      <c r="Y646" s="64"/>
      <c r="Z646" s="64"/>
      <c r="AA646" s="64"/>
      <c r="AB646" s="27"/>
      <c r="AC646" s="27"/>
    </row>
    <row r="647" spans="1:29" s="28" customFormat="1" x14ac:dyDescent="0.3">
      <c r="A647" s="27" t="s">
        <v>7391</v>
      </c>
      <c r="B647" s="27" t="s">
        <v>2273</v>
      </c>
      <c r="C647" s="29"/>
      <c r="D647" s="28" t="s">
        <v>4935</v>
      </c>
      <c r="E647" s="20" t="s">
        <v>830</v>
      </c>
      <c r="F647" s="20" t="s">
        <v>2485</v>
      </c>
      <c r="G647" s="27"/>
      <c r="H647" s="20"/>
      <c r="I647" s="29"/>
      <c r="J647" s="29"/>
      <c r="K647" s="27"/>
      <c r="L647" s="27"/>
      <c r="M647" s="27" t="s">
        <v>7392</v>
      </c>
      <c r="N647" s="27" t="s">
        <v>7393</v>
      </c>
      <c r="O647" s="29" t="s">
        <v>7394</v>
      </c>
      <c r="P647" s="27"/>
      <c r="Q647" s="27"/>
      <c r="R647" s="29"/>
      <c r="S647" s="29"/>
      <c r="T647" s="29"/>
      <c r="U647" s="27"/>
      <c r="V647" s="27"/>
      <c r="W647" s="27"/>
      <c r="X647" s="64"/>
      <c r="Y647" s="64"/>
      <c r="Z647" s="64"/>
      <c r="AA647" s="64"/>
      <c r="AB647" s="27"/>
      <c r="AC647" s="27"/>
    </row>
    <row r="648" spans="1:29" s="28" customFormat="1" x14ac:dyDescent="0.3">
      <c r="A648" s="27" t="s">
        <v>7395</v>
      </c>
      <c r="B648" s="27" t="s">
        <v>2273</v>
      </c>
      <c r="C648" s="29"/>
      <c r="D648" s="28" t="s">
        <v>4935</v>
      </c>
      <c r="E648" s="20" t="s">
        <v>830</v>
      </c>
      <c r="F648" s="20" t="s">
        <v>2551</v>
      </c>
      <c r="G648" s="27"/>
      <c r="H648" s="20"/>
      <c r="I648" s="29"/>
      <c r="J648" s="29"/>
      <c r="K648" s="27"/>
      <c r="L648" s="27"/>
      <c r="M648" s="27" t="s">
        <v>1906</v>
      </c>
      <c r="N648" s="27"/>
      <c r="O648" s="29" t="s">
        <v>1906</v>
      </c>
      <c r="P648" s="27"/>
      <c r="Q648" s="27"/>
      <c r="R648" s="29"/>
      <c r="S648" s="29"/>
      <c r="T648" s="29"/>
      <c r="U648" s="27"/>
      <c r="V648" s="27"/>
      <c r="W648" s="27"/>
      <c r="X648" s="64"/>
      <c r="Y648" s="64"/>
      <c r="Z648" s="64"/>
      <c r="AA648" s="64"/>
      <c r="AB648" s="27"/>
      <c r="AC648" s="27"/>
    </row>
    <row r="649" spans="1:29" s="28" customFormat="1" x14ac:dyDescent="0.3">
      <c r="A649" s="27" t="s">
        <v>7396</v>
      </c>
      <c r="B649" s="27" t="s">
        <v>2273</v>
      </c>
      <c r="C649" s="29"/>
      <c r="D649" s="28" t="s">
        <v>4935</v>
      </c>
      <c r="E649" s="20" t="s">
        <v>830</v>
      </c>
      <c r="F649" s="20" t="s">
        <v>2569</v>
      </c>
      <c r="G649" s="27"/>
      <c r="H649" s="20"/>
      <c r="I649" s="29"/>
      <c r="J649" s="29"/>
      <c r="K649" s="27"/>
      <c r="L649" s="27"/>
      <c r="M649" s="27" t="s">
        <v>7397</v>
      </c>
      <c r="N649" s="27"/>
      <c r="O649" s="29" t="s">
        <v>7398</v>
      </c>
      <c r="P649" s="27"/>
      <c r="Q649" s="27"/>
      <c r="R649" s="29"/>
      <c r="S649" s="29"/>
      <c r="T649" s="29"/>
      <c r="U649" s="27"/>
      <c r="V649" s="27"/>
      <c r="W649" s="27"/>
      <c r="X649" s="64"/>
      <c r="Y649" s="64"/>
      <c r="Z649" s="64"/>
      <c r="AA649" s="64"/>
      <c r="AB649" s="27"/>
      <c r="AC649" s="27"/>
    </row>
    <row r="650" spans="1:29" s="25" customFormat="1" x14ac:dyDescent="0.3">
      <c r="A650" s="24">
        <v>368</v>
      </c>
      <c r="B650" s="24" t="s">
        <v>2272</v>
      </c>
      <c r="C650" s="26">
        <v>211</v>
      </c>
      <c r="D650" s="25" t="s">
        <v>4389</v>
      </c>
      <c r="E650" s="19" t="s">
        <v>1958</v>
      </c>
      <c r="F650" s="19"/>
      <c r="G650" s="24" t="s">
        <v>831</v>
      </c>
      <c r="H650" s="19"/>
      <c r="I650" s="26" t="s">
        <v>37</v>
      </c>
      <c r="J650" s="26" t="s">
        <v>57</v>
      </c>
      <c r="K650" s="24"/>
      <c r="L650" s="24" t="s">
        <v>3681</v>
      </c>
      <c r="M650" s="24" t="s">
        <v>5276</v>
      </c>
      <c r="N650" s="24"/>
      <c r="O650" s="26" t="s">
        <v>1631</v>
      </c>
      <c r="P650" s="24"/>
      <c r="Q650" s="24"/>
      <c r="R650" s="26"/>
      <c r="S650" s="26"/>
      <c r="T650" s="26"/>
      <c r="U650" s="24"/>
      <c r="V650" s="24"/>
      <c r="W650" s="24"/>
      <c r="X650" s="63"/>
      <c r="Y650" s="63"/>
      <c r="Z650" s="63"/>
      <c r="AA650" s="63"/>
      <c r="AB650" s="24"/>
      <c r="AC650" s="24"/>
    </row>
    <row r="651" spans="1:29" s="25" customFormat="1" x14ac:dyDescent="0.3">
      <c r="A651" s="24">
        <v>369</v>
      </c>
      <c r="B651" s="24" t="s">
        <v>2272</v>
      </c>
      <c r="C651" s="26">
        <v>211</v>
      </c>
      <c r="D651" s="25" t="s">
        <v>832</v>
      </c>
      <c r="E651" s="19" t="s">
        <v>833</v>
      </c>
      <c r="F651" s="19"/>
      <c r="G651" s="24"/>
      <c r="H651" s="19"/>
      <c r="I651" s="26" t="s">
        <v>37</v>
      </c>
      <c r="J651" s="26" t="s">
        <v>5121</v>
      </c>
      <c r="K651" s="24" t="s">
        <v>3019</v>
      </c>
      <c r="L651" s="24" t="s">
        <v>3683</v>
      </c>
      <c r="M651" s="24" t="s">
        <v>4390</v>
      </c>
      <c r="N651" s="24" t="s">
        <v>5490</v>
      </c>
      <c r="O651" s="26" t="s">
        <v>1959</v>
      </c>
      <c r="P651" s="24"/>
      <c r="Q651" s="24"/>
      <c r="R651" s="26"/>
      <c r="S651" s="26"/>
      <c r="T651" s="26"/>
      <c r="U651" s="24"/>
      <c r="V651" s="24"/>
      <c r="W651" s="24"/>
      <c r="X651" s="63"/>
      <c r="Y651" s="63"/>
      <c r="Z651" s="63"/>
      <c r="AA651" s="63"/>
      <c r="AB651" s="24"/>
      <c r="AC651" s="24"/>
    </row>
    <row r="652" spans="1:29" s="25" customFormat="1" x14ac:dyDescent="0.3">
      <c r="A652" s="24">
        <v>370</v>
      </c>
      <c r="B652" s="24" t="s">
        <v>2272</v>
      </c>
      <c r="C652" s="26">
        <v>213</v>
      </c>
      <c r="D652" s="25" t="s">
        <v>1960</v>
      </c>
      <c r="E652" s="19" t="s">
        <v>835</v>
      </c>
      <c r="F652" s="19"/>
      <c r="G652" s="24" t="s">
        <v>834</v>
      </c>
      <c r="H652" s="19"/>
      <c r="I652" s="26" t="s">
        <v>57</v>
      </c>
      <c r="J652" s="26" t="s">
        <v>57</v>
      </c>
      <c r="K652" s="24"/>
      <c r="L652" s="24" t="s">
        <v>3685</v>
      </c>
      <c r="M652" s="24" t="s">
        <v>5491</v>
      </c>
      <c r="N652" s="24"/>
      <c r="O652" s="26"/>
      <c r="P652" s="24"/>
      <c r="Q652" s="24"/>
      <c r="R652" s="26"/>
      <c r="S652" s="26"/>
      <c r="T652" s="26"/>
      <c r="U652" s="24"/>
      <c r="V652" s="24"/>
      <c r="W652" s="24"/>
      <c r="X652" s="63"/>
      <c r="Y652" s="63"/>
      <c r="Z652" s="63"/>
      <c r="AA652" s="63"/>
      <c r="AB652" s="24"/>
      <c r="AC652" s="24"/>
    </row>
    <row r="653" spans="1:29" s="28" customFormat="1" x14ac:dyDescent="0.3">
      <c r="A653" s="27" t="s">
        <v>7399</v>
      </c>
      <c r="B653" s="27" t="s">
        <v>2273</v>
      </c>
      <c r="C653" s="29"/>
      <c r="D653" s="28" t="s">
        <v>4936</v>
      </c>
      <c r="E653" s="20" t="s">
        <v>835</v>
      </c>
      <c r="F653" s="20" t="s">
        <v>2385</v>
      </c>
      <c r="G653" s="27"/>
      <c r="H653" s="20"/>
      <c r="I653" s="29"/>
      <c r="J653" s="29"/>
      <c r="K653" s="27"/>
      <c r="L653" s="27"/>
      <c r="M653" s="27" t="s">
        <v>7400</v>
      </c>
      <c r="N653" s="27"/>
      <c r="O653" s="29" t="s">
        <v>7401</v>
      </c>
      <c r="P653" s="27"/>
      <c r="Q653" s="27"/>
      <c r="R653" s="29"/>
      <c r="S653" s="29"/>
      <c r="T653" s="29"/>
      <c r="U653" s="27"/>
      <c r="V653" s="27"/>
      <c r="W653" s="27"/>
      <c r="X653" s="64"/>
      <c r="Y653" s="64"/>
      <c r="Z653" s="64"/>
      <c r="AA653" s="64"/>
      <c r="AB653" s="27"/>
      <c r="AC653" s="27"/>
    </row>
    <row r="654" spans="1:29" s="28" customFormat="1" x14ac:dyDescent="0.3">
      <c r="A654" s="27" t="s">
        <v>7402</v>
      </c>
      <c r="B654" s="27" t="s">
        <v>2273</v>
      </c>
      <c r="C654" s="29"/>
      <c r="D654" s="28" t="s">
        <v>4936</v>
      </c>
      <c r="E654" s="20" t="s">
        <v>835</v>
      </c>
      <c r="F654" s="20" t="s">
        <v>2571</v>
      </c>
      <c r="G654" s="27"/>
      <c r="H654" s="20"/>
      <c r="I654" s="29"/>
      <c r="J654" s="29"/>
      <c r="K654" s="27"/>
      <c r="L654" s="27"/>
      <c r="M654" s="27" t="s">
        <v>7403</v>
      </c>
      <c r="N654" s="27"/>
      <c r="O654" s="29" t="s">
        <v>7404</v>
      </c>
      <c r="P654" s="27"/>
      <c r="Q654" s="27"/>
      <c r="R654" s="29"/>
      <c r="S654" s="29"/>
      <c r="T654" s="29"/>
      <c r="U654" s="27"/>
      <c r="V654" s="27"/>
      <c r="W654" s="27"/>
      <c r="X654" s="64"/>
      <c r="Y654" s="64"/>
      <c r="Z654" s="64"/>
      <c r="AA654" s="64"/>
      <c r="AB654" s="27"/>
      <c r="AC654" s="27"/>
    </row>
    <row r="655" spans="1:29" s="28" customFormat="1" x14ac:dyDescent="0.3">
      <c r="A655" s="27" t="s">
        <v>7405</v>
      </c>
      <c r="B655" s="27" t="s">
        <v>2273</v>
      </c>
      <c r="C655" s="29"/>
      <c r="D655" s="28" t="s">
        <v>4936</v>
      </c>
      <c r="E655" s="20" t="s">
        <v>835</v>
      </c>
      <c r="F655" s="20" t="s">
        <v>2304</v>
      </c>
      <c r="G655" s="27"/>
      <c r="H655" s="20"/>
      <c r="I655" s="29"/>
      <c r="J655" s="29"/>
      <c r="K655" s="27"/>
      <c r="L655" s="27"/>
      <c r="M655" s="27" t="s">
        <v>6777</v>
      </c>
      <c r="N655" s="27"/>
      <c r="O655" s="29" t="s">
        <v>6777</v>
      </c>
      <c r="P655" s="27"/>
      <c r="Q655" s="27"/>
      <c r="R655" s="29"/>
      <c r="S655" s="29"/>
      <c r="T655" s="29"/>
      <c r="U655" s="27"/>
      <c r="V655" s="27"/>
      <c r="W655" s="27"/>
      <c r="X655" s="64"/>
      <c r="Y655" s="64"/>
      <c r="Z655" s="64"/>
      <c r="AA655" s="64"/>
      <c r="AB655" s="27"/>
      <c r="AC655" s="27"/>
    </row>
    <row r="656" spans="1:29" s="28" customFormat="1" x14ac:dyDescent="0.3">
      <c r="A656" s="27" t="s">
        <v>7406</v>
      </c>
      <c r="B656" s="27" t="s">
        <v>2273</v>
      </c>
      <c r="C656" s="29"/>
      <c r="D656" s="28" t="s">
        <v>4936</v>
      </c>
      <c r="E656" s="20" t="s">
        <v>835</v>
      </c>
      <c r="F656" s="20" t="s">
        <v>2572</v>
      </c>
      <c r="G656" s="27"/>
      <c r="H656" s="20"/>
      <c r="I656" s="29"/>
      <c r="J656" s="29"/>
      <c r="K656" s="27"/>
      <c r="L656" s="27"/>
      <c r="M656" s="27" t="s">
        <v>7407</v>
      </c>
      <c r="N656" s="27"/>
      <c r="O656" s="29" t="s">
        <v>6903</v>
      </c>
      <c r="P656" s="27"/>
      <c r="Q656" s="27"/>
      <c r="R656" s="29"/>
      <c r="S656" s="29"/>
      <c r="T656" s="29"/>
      <c r="U656" s="27"/>
      <c r="V656" s="27"/>
      <c r="W656" s="27"/>
      <c r="X656" s="64"/>
      <c r="Y656" s="64"/>
      <c r="Z656" s="64"/>
      <c r="AA656" s="64"/>
      <c r="AB656" s="27"/>
      <c r="AC656" s="27"/>
    </row>
    <row r="657" spans="1:29" s="28" customFormat="1" x14ac:dyDescent="0.3">
      <c r="A657" s="27" t="s">
        <v>7408</v>
      </c>
      <c r="B657" s="27" t="s">
        <v>2273</v>
      </c>
      <c r="C657" s="29"/>
      <c r="D657" s="28" t="s">
        <v>4936</v>
      </c>
      <c r="E657" s="20" t="s">
        <v>835</v>
      </c>
      <c r="F657" s="20" t="s">
        <v>2573</v>
      </c>
      <c r="G657" s="27"/>
      <c r="H657" s="20"/>
      <c r="I657" s="29"/>
      <c r="J657" s="29"/>
      <c r="K657" s="27"/>
      <c r="L657" s="27"/>
      <c r="M657" s="27" t="s">
        <v>7409</v>
      </c>
      <c r="N657" s="27"/>
      <c r="O657" s="29" t="s">
        <v>7410</v>
      </c>
      <c r="P657" s="27"/>
      <c r="Q657" s="27"/>
      <c r="R657" s="29"/>
      <c r="S657" s="29"/>
      <c r="T657" s="29"/>
      <c r="U657" s="27"/>
      <c r="V657" s="27"/>
      <c r="W657" s="27"/>
      <c r="X657" s="64"/>
      <c r="Y657" s="64"/>
      <c r="Z657" s="64"/>
      <c r="AA657" s="64"/>
      <c r="AB657" s="27"/>
      <c r="AC657" s="27"/>
    </row>
    <row r="658" spans="1:29" s="25" customFormat="1" x14ac:dyDescent="0.3">
      <c r="A658" s="24">
        <v>371</v>
      </c>
      <c r="B658" s="24" t="s">
        <v>2272</v>
      </c>
      <c r="C658" s="26">
        <v>213</v>
      </c>
      <c r="D658" s="25" t="s">
        <v>836</v>
      </c>
      <c r="E658" s="19" t="s">
        <v>837</v>
      </c>
      <c r="F658" s="19"/>
      <c r="G658" s="24"/>
      <c r="H658" s="19"/>
      <c r="I658" s="26" t="s">
        <v>37</v>
      </c>
      <c r="J658" s="26" t="s">
        <v>37</v>
      </c>
      <c r="K658" s="24"/>
      <c r="L658" s="24" t="s">
        <v>3233</v>
      </c>
      <c r="M658" s="24" t="s">
        <v>4391</v>
      </c>
      <c r="N658" s="24"/>
      <c r="O658" s="26"/>
      <c r="P658" s="24"/>
      <c r="Q658" s="24"/>
      <c r="R658" s="26"/>
      <c r="S658" s="26"/>
      <c r="T658" s="26"/>
      <c r="U658" s="24"/>
      <c r="V658" s="24"/>
      <c r="W658" s="24"/>
      <c r="X658" s="63"/>
      <c r="Y658" s="63"/>
      <c r="Z658" s="63"/>
      <c r="AA658" s="63"/>
      <c r="AB658" s="24"/>
      <c r="AC658" s="24"/>
    </row>
    <row r="659" spans="1:29" s="28" customFormat="1" x14ac:dyDescent="0.3">
      <c r="A659" s="27" t="s">
        <v>7411</v>
      </c>
      <c r="B659" s="27" t="s">
        <v>2273</v>
      </c>
      <c r="C659" s="29"/>
      <c r="D659" s="28" t="s">
        <v>4937</v>
      </c>
      <c r="E659" s="20" t="s">
        <v>837</v>
      </c>
      <c r="F659" s="20" t="s">
        <v>2574</v>
      </c>
      <c r="G659" s="27"/>
      <c r="H659" s="20"/>
      <c r="I659" s="29"/>
      <c r="J659" s="29"/>
      <c r="K659" s="27"/>
      <c r="L659" s="27"/>
      <c r="M659" s="27" t="s">
        <v>1632</v>
      </c>
      <c r="N659" s="27"/>
      <c r="O659" s="29" t="s">
        <v>7412</v>
      </c>
      <c r="P659" s="27"/>
      <c r="Q659" s="27"/>
      <c r="R659" s="29"/>
      <c r="S659" s="29"/>
      <c r="T659" s="29"/>
      <c r="U659" s="27"/>
      <c r="V659" s="27"/>
      <c r="W659" s="27"/>
      <c r="X659" s="64"/>
      <c r="Y659" s="64"/>
      <c r="Z659" s="64"/>
      <c r="AA659" s="64"/>
      <c r="AB659" s="27"/>
      <c r="AC659" s="27"/>
    </row>
    <row r="660" spans="1:29" s="25" customFormat="1" x14ac:dyDescent="0.3">
      <c r="A660" s="24">
        <v>372</v>
      </c>
      <c r="B660" s="24" t="s">
        <v>2272</v>
      </c>
      <c r="C660" s="26">
        <v>213</v>
      </c>
      <c r="D660" s="25" t="s">
        <v>838</v>
      </c>
      <c r="E660" s="19" t="s">
        <v>839</v>
      </c>
      <c r="F660" s="19"/>
      <c r="G660" s="24"/>
      <c r="H660" s="19"/>
      <c r="I660" s="26" t="s">
        <v>49</v>
      </c>
      <c r="J660" s="26" t="s">
        <v>5121</v>
      </c>
      <c r="K660" s="24" t="s">
        <v>49</v>
      </c>
      <c r="L660" s="24" t="s">
        <v>3439</v>
      </c>
      <c r="M660" s="24" t="s">
        <v>5492</v>
      </c>
      <c r="N660" s="24" t="s">
        <v>5493</v>
      </c>
      <c r="O660" s="26"/>
      <c r="P660" s="24" t="s">
        <v>6435</v>
      </c>
      <c r="Q660" s="24"/>
      <c r="R660" s="26"/>
      <c r="S660" s="26"/>
      <c r="T660" s="26"/>
      <c r="U660" s="24"/>
      <c r="V660" s="24"/>
      <c r="W660" s="24"/>
      <c r="X660" s="63"/>
      <c r="Y660" s="63"/>
      <c r="Z660" s="63"/>
      <c r="AA660" s="63"/>
      <c r="AB660" s="24"/>
      <c r="AC660" s="24"/>
    </row>
    <row r="661" spans="1:29" s="28" customFormat="1" x14ac:dyDescent="0.3">
      <c r="A661" s="27" t="s">
        <v>7413</v>
      </c>
      <c r="B661" s="27" t="s">
        <v>2273</v>
      </c>
      <c r="C661" s="29"/>
      <c r="D661" s="28" t="s">
        <v>4938</v>
      </c>
      <c r="E661" s="20" t="s">
        <v>839</v>
      </c>
      <c r="F661" s="20" t="s">
        <v>2575</v>
      </c>
      <c r="G661" s="27"/>
      <c r="H661" s="20"/>
      <c r="I661" s="29"/>
      <c r="J661" s="29"/>
      <c r="K661" s="27"/>
      <c r="L661" s="27"/>
      <c r="M661" s="27" t="s">
        <v>7414</v>
      </c>
      <c r="N661" s="27" t="s">
        <v>5493</v>
      </c>
      <c r="O661" s="29" t="s">
        <v>7415</v>
      </c>
      <c r="P661" s="27"/>
      <c r="Q661" s="27"/>
      <c r="R661" s="29"/>
      <c r="S661" s="29"/>
      <c r="T661" s="29"/>
      <c r="U661" s="27"/>
      <c r="V661" s="27"/>
      <c r="W661" s="27"/>
      <c r="X661" s="64"/>
      <c r="Y661" s="64"/>
      <c r="Z661" s="64"/>
      <c r="AA661" s="64"/>
      <c r="AB661" s="27"/>
      <c r="AC661" s="27"/>
    </row>
    <row r="662" spans="1:29" s="25" customFormat="1" x14ac:dyDescent="0.3">
      <c r="A662" s="24">
        <v>373</v>
      </c>
      <c r="B662" s="24" t="s">
        <v>2272</v>
      </c>
      <c r="C662" s="26">
        <v>209</v>
      </c>
      <c r="D662" s="25" t="s">
        <v>840</v>
      </c>
      <c r="E662" s="19" t="s">
        <v>841</v>
      </c>
      <c r="F662" s="19"/>
      <c r="G662" s="24"/>
      <c r="H662" s="19"/>
      <c r="I662" s="26" t="s">
        <v>37</v>
      </c>
      <c r="J662" s="26" t="s">
        <v>37</v>
      </c>
      <c r="K662" s="24"/>
      <c r="L662" s="24" t="s">
        <v>3689</v>
      </c>
      <c r="M662" s="24" t="s">
        <v>52</v>
      </c>
      <c r="N662" s="24"/>
      <c r="O662" s="26"/>
      <c r="P662" s="24" t="s">
        <v>9</v>
      </c>
      <c r="Q662" s="24"/>
      <c r="R662" s="26"/>
      <c r="S662" s="26"/>
      <c r="T662" s="26"/>
      <c r="U662" s="24"/>
      <c r="V662" s="24"/>
      <c r="W662" s="24"/>
      <c r="X662" s="63"/>
      <c r="Y662" s="63"/>
      <c r="Z662" s="63"/>
      <c r="AA662" s="63"/>
      <c r="AB662" s="24"/>
      <c r="AC662" s="24"/>
    </row>
    <row r="663" spans="1:29" s="28" customFormat="1" x14ac:dyDescent="0.3">
      <c r="A663" s="27" t="s">
        <v>7416</v>
      </c>
      <c r="B663" s="27" t="s">
        <v>2273</v>
      </c>
      <c r="C663" s="29"/>
      <c r="D663" s="28" t="s">
        <v>4939</v>
      </c>
      <c r="E663" s="20" t="s">
        <v>841</v>
      </c>
      <c r="F663" s="20" t="s">
        <v>2576</v>
      </c>
      <c r="G663" s="27"/>
      <c r="H663" s="20"/>
      <c r="I663" s="29"/>
      <c r="J663" s="29"/>
      <c r="K663" s="27"/>
      <c r="L663" s="27"/>
      <c r="M663" s="27" t="s">
        <v>7417</v>
      </c>
      <c r="N663" s="27"/>
      <c r="O663" s="29" t="s">
        <v>7418</v>
      </c>
      <c r="P663" s="27"/>
      <c r="Q663" s="27"/>
      <c r="R663" s="29"/>
      <c r="S663" s="29"/>
      <c r="T663" s="29"/>
      <c r="U663" s="27"/>
      <c r="V663" s="27"/>
      <c r="W663" s="27"/>
      <c r="X663" s="64"/>
      <c r="Y663" s="64"/>
      <c r="Z663" s="64"/>
      <c r="AA663" s="64"/>
      <c r="AB663" s="27"/>
      <c r="AC663" s="27"/>
    </row>
    <row r="664" spans="1:29" s="25" customFormat="1" x14ac:dyDescent="0.3">
      <c r="A664" s="24">
        <v>374</v>
      </c>
      <c r="B664" s="24" t="s">
        <v>2272</v>
      </c>
      <c r="C664" s="26">
        <v>209</v>
      </c>
      <c r="D664" s="25" t="s">
        <v>842</v>
      </c>
      <c r="E664" s="19" t="s">
        <v>843</v>
      </c>
      <c r="F664" s="19"/>
      <c r="G664" s="24"/>
      <c r="H664" s="19"/>
      <c r="I664" s="26" t="s">
        <v>89</v>
      </c>
      <c r="J664" s="26" t="s">
        <v>37</v>
      </c>
      <c r="K664" s="24"/>
      <c r="L664" s="24" t="s">
        <v>3691</v>
      </c>
      <c r="M664" s="24" t="s">
        <v>5494</v>
      </c>
      <c r="N664" s="24"/>
      <c r="O664" s="26"/>
      <c r="P664" s="24"/>
      <c r="Q664" s="24"/>
      <c r="R664" s="26"/>
      <c r="S664" s="26"/>
      <c r="T664" s="26"/>
      <c r="U664" s="24"/>
      <c r="V664" s="24"/>
      <c r="W664" s="24"/>
      <c r="X664" s="63"/>
      <c r="Y664" s="63"/>
      <c r="Z664" s="63"/>
      <c r="AA664" s="63"/>
      <c r="AB664" s="24"/>
      <c r="AC664" s="24"/>
    </row>
    <row r="665" spans="1:29" s="28" customFormat="1" x14ac:dyDescent="0.3">
      <c r="A665" s="27" t="s">
        <v>6300</v>
      </c>
      <c r="B665" s="27" t="s">
        <v>2273</v>
      </c>
      <c r="C665" s="29">
        <v>209</v>
      </c>
      <c r="D665" s="28" t="s">
        <v>4940</v>
      </c>
      <c r="E665" s="20" t="s">
        <v>843</v>
      </c>
      <c r="F665" s="20" t="s">
        <v>2339</v>
      </c>
      <c r="G665" s="27"/>
      <c r="H665" s="20" t="s">
        <v>4601</v>
      </c>
      <c r="I665" s="29"/>
      <c r="J665" s="29" t="s">
        <v>37</v>
      </c>
      <c r="K665" s="27"/>
      <c r="L665" s="27" t="s">
        <v>3691</v>
      </c>
      <c r="M665" s="27" t="s">
        <v>7419</v>
      </c>
      <c r="N665" s="27" t="s">
        <v>7420</v>
      </c>
      <c r="O665" s="29" t="s">
        <v>7421</v>
      </c>
      <c r="P665" s="27"/>
      <c r="Q665" s="27"/>
      <c r="R665" s="29"/>
      <c r="S665" s="29"/>
      <c r="T665" s="29"/>
      <c r="U665" s="27"/>
      <c r="V665" s="27"/>
      <c r="W665" s="27"/>
      <c r="X665" s="64"/>
      <c r="Y665" s="64"/>
      <c r="Z665" s="64"/>
      <c r="AA665" s="64"/>
      <c r="AB665" s="27"/>
      <c r="AC665" s="27"/>
    </row>
    <row r="666" spans="1:29" s="25" customFormat="1" x14ac:dyDescent="0.3">
      <c r="A666" s="24">
        <v>375</v>
      </c>
      <c r="B666" s="24" t="s">
        <v>2272</v>
      </c>
      <c r="C666" s="26">
        <v>207</v>
      </c>
      <c r="D666" s="25" t="s">
        <v>6554</v>
      </c>
      <c r="E666" s="19" t="s">
        <v>1963</v>
      </c>
      <c r="F666" s="19"/>
      <c r="G666" s="24" t="s">
        <v>6555</v>
      </c>
      <c r="H666" s="19" t="s">
        <v>844</v>
      </c>
      <c r="I666" s="26" t="s">
        <v>37</v>
      </c>
      <c r="J666" s="26" t="s">
        <v>37</v>
      </c>
      <c r="K666" s="24"/>
      <c r="L666" s="24" t="s">
        <v>3692</v>
      </c>
      <c r="M666" s="24" t="s">
        <v>6662</v>
      </c>
      <c r="N666" s="24"/>
      <c r="O666" s="26"/>
      <c r="P666" s="24"/>
      <c r="Q666" s="24"/>
      <c r="R666" s="26"/>
      <c r="S666" s="26"/>
      <c r="T666" s="26"/>
      <c r="U666" s="24"/>
      <c r="V666" s="24"/>
      <c r="W666" s="24"/>
      <c r="X666" s="63"/>
      <c r="Y666" s="63"/>
      <c r="Z666" s="63"/>
      <c r="AA666" s="63"/>
      <c r="AB666" s="24"/>
      <c r="AC666" s="24"/>
    </row>
    <row r="667" spans="1:29" s="28" customFormat="1" x14ac:dyDescent="0.3">
      <c r="A667" s="27" t="s">
        <v>6301</v>
      </c>
      <c r="B667" s="27" t="s">
        <v>2273</v>
      </c>
      <c r="C667" s="29"/>
      <c r="D667" s="28" t="s">
        <v>7422</v>
      </c>
      <c r="E667" s="20" t="s">
        <v>1963</v>
      </c>
      <c r="F667" s="20" t="s">
        <v>7423</v>
      </c>
      <c r="G667" s="27"/>
      <c r="H667" s="20"/>
      <c r="I667" s="29"/>
      <c r="J667" s="29"/>
      <c r="K667" s="27"/>
      <c r="L667" s="27"/>
      <c r="M667" s="27" t="s">
        <v>7424</v>
      </c>
      <c r="N667" s="27"/>
      <c r="O667" s="29" t="s">
        <v>7425</v>
      </c>
      <c r="P667" s="27"/>
      <c r="Q667" s="27"/>
      <c r="R667" s="29"/>
      <c r="S667" s="29"/>
      <c r="T667" s="29"/>
      <c r="U667" s="27"/>
      <c r="V667" s="27"/>
      <c r="W667" s="27"/>
      <c r="X667" s="64"/>
      <c r="Y667" s="64"/>
      <c r="Z667" s="64"/>
      <c r="AA667" s="64"/>
      <c r="AB667" s="27"/>
      <c r="AC667" s="27"/>
    </row>
    <row r="668" spans="1:29" s="28" customFormat="1" x14ac:dyDescent="0.3">
      <c r="A668" s="27" t="s">
        <v>7426</v>
      </c>
      <c r="B668" s="27" t="s">
        <v>2273</v>
      </c>
      <c r="C668" s="29"/>
      <c r="D668" s="28" t="s">
        <v>7422</v>
      </c>
      <c r="E668" s="20" t="s">
        <v>1963</v>
      </c>
      <c r="F668" s="20" t="s">
        <v>7427</v>
      </c>
      <c r="G668" s="27"/>
      <c r="H668" s="20"/>
      <c r="I668" s="29"/>
      <c r="J668" s="29"/>
      <c r="K668" s="27"/>
      <c r="L668" s="27"/>
      <c r="M668" s="27" t="s">
        <v>7428</v>
      </c>
      <c r="N668" s="27"/>
      <c r="O668" s="29"/>
      <c r="P668" s="27"/>
      <c r="Q668" s="27"/>
      <c r="R668" s="29"/>
      <c r="S668" s="29"/>
      <c r="T668" s="29"/>
      <c r="U668" s="27"/>
      <c r="V668" s="27"/>
      <c r="W668" s="27"/>
      <c r="X668" s="64"/>
      <c r="Y668" s="64"/>
      <c r="Z668" s="64"/>
      <c r="AA668" s="64"/>
      <c r="AB668" s="27"/>
      <c r="AC668" s="27"/>
    </row>
    <row r="669" spans="1:29" s="25" customFormat="1" ht="20.399999999999999" x14ac:dyDescent="0.3">
      <c r="A669" s="24">
        <v>376</v>
      </c>
      <c r="B669" s="24" t="s">
        <v>2272</v>
      </c>
      <c r="C669" s="26"/>
      <c r="D669" s="25" t="s">
        <v>845</v>
      </c>
      <c r="E669" s="19" t="s">
        <v>846</v>
      </c>
      <c r="F669" s="19"/>
      <c r="G669" s="24"/>
      <c r="H669" s="19"/>
      <c r="I669" s="26" t="s">
        <v>57</v>
      </c>
      <c r="J669" s="26"/>
      <c r="K669" s="24"/>
      <c r="L669" s="103" t="s">
        <v>5154</v>
      </c>
      <c r="M669" s="24" t="s">
        <v>5477</v>
      </c>
      <c r="N669" s="24"/>
      <c r="O669" s="26"/>
      <c r="P669" s="24"/>
      <c r="Q669" s="24"/>
      <c r="R669" s="26"/>
      <c r="S669" s="26"/>
      <c r="T669" s="26"/>
      <c r="U669" s="24"/>
      <c r="V669" s="24"/>
      <c r="W669" s="24"/>
      <c r="X669" s="63"/>
      <c r="Y669" s="63"/>
      <c r="Z669" s="63"/>
      <c r="AA669" s="63"/>
      <c r="AB669" s="24"/>
      <c r="AC669" s="24"/>
    </row>
    <row r="670" spans="1:29" s="28" customFormat="1" x14ac:dyDescent="0.3">
      <c r="A670" s="27" t="s">
        <v>7429</v>
      </c>
      <c r="B670" s="27" t="s">
        <v>2273</v>
      </c>
      <c r="C670" s="29">
        <v>207</v>
      </c>
      <c r="D670" s="28" t="s">
        <v>4941</v>
      </c>
      <c r="E670" s="20" t="s">
        <v>846</v>
      </c>
      <c r="F670" s="20" t="s">
        <v>2577</v>
      </c>
      <c r="G670" s="27" t="s">
        <v>1964</v>
      </c>
      <c r="H670" s="20" t="s">
        <v>846</v>
      </c>
      <c r="I670" s="29"/>
      <c r="J670" s="29" t="s">
        <v>57</v>
      </c>
      <c r="K670" s="27"/>
      <c r="L670" s="27" t="s">
        <v>4602</v>
      </c>
      <c r="M670" s="27" t="s">
        <v>7430</v>
      </c>
      <c r="N670" s="27"/>
      <c r="O670" s="29" t="s">
        <v>7431</v>
      </c>
      <c r="P670" s="27"/>
      <c r="Q670" s="27"/>
      <c r="R670" s="29"/>
      <c r="S670" s="29"/>
      <c r="T670" s="29"/>
      <c r="U670" s="27"/>
      <c r="V670" s="27"/>
      <c r="W670" s="27"/>
      <c r="X670" s="64"/>
      <c r="Y670" s="64"/>
      <c r="Z670" s="64"/>
      <c r="AA670" s="64"/>
      <c r="AB670" s="27"/>
      <c r="AC670" s="27"/>
    </row>
    <row r="671" spans="1:29" s="28" customFormat="1" x14ac:dyDescent="0.3">
      <c r="A671" s="27" t="s">
        <v>7432</v>
      </c>
      <c r="B671" s="27" t="s">
        <v>2273</v>
      </c>
      <c r="C671" s="29">
        <v>207</v>
      </c>
      <c r="D671" s="28" t="s">
        <v>4941</v>
      </c>
      <c r="E671" s="20" t="s">
        <v>846</v>
      </c>
      <c r="F671" s="20" t="s">
        <v>2578</v>
      </c>
      <c r="G671" s="27" t="s">
        <v>1964</v>
      </c>
      <c r="H671" s="20" t="s">
        <v>846</v>
      </c>
      <c r="I671" s="29"/>
      <c r="J671" s="29"/>
      <c r="K671" s="27"/>
      <c r="L671" s="27"/>
      <c r="M671" s="27" t="s">
        <v>7433</v>
      </c>
      <c r="N671" s="27"/>
      <c r="O671" s="29" t="s">
        <v>7434</v>
      </c>
      <c r="P671" s="27"/>
      <c r="Q671" s="27"/>
      <c r="R671" s="29"/>
      <c r="S671" s="29"/>
      <c r="T671" s="29"/>
      <c r="U671" s="27"/>
      <c r="V671" s="27"/>
      <c r="W671" s="27"/>
      <c r="X671" s="64"/>
      <c r="Y671" s="64"/>
      <c r="Z671" s="64"/>
      <c r="AA671" s="64"/>
      <c r="AB671" s="27"/>
      <c r="AC671" s="27"/>
    </row>
    <row r="672" spans="1:29" s="28" customFormat="1" x14ac:dyDescent="0.3">
      <c r="A672" s="27" t="s">
        <v>7435</v>
      </c>
      <c r="B672" s="27" t="s">
        <v>2273</v>
      </c>
      <c r="C672" s="29">
        <v>207</v>
      </c>
      <c r="D672" s="28" t="s">
        <v>4941</v>
      </c>
      <c r="E672" s="20" t="s">
        <v>846</v>
      </c>
      <c r="F672" s="20" t="s">
        <v>5754</v>
      </c>
      <c r="G672" s="27" t="s">
        <v>2579</v>
      </c>
      <c r="H672" s="20" t="s">
        <v>2580</v>
      </c>
      <c r="I672" s="29"/>
      <c r="J672" s="29" t="s">
        <v>57</v>
      </c>
      <c r="K672" s="27"/>
      <c r="L672" s="27" t="s">
        <v>4603</v>
      </c>
      <c r="M672" s="27" t="s">
        <v>7436</v>
      </c>
      <c r="N672" s="27"/>
      <c r="O672" s="29"/>
      <c r="P672" s="27"/>
      <c r="Q672" s="27"/>
      <c r="R672" s="29"/>
      <c r="S672" s="29"/>
      <c r="T672" s="29"/>
      <c r="U672" s="27"/>
      <c r="V672" s="27"/>
      <c r="W672" s="27"/>
      <c r="X672" s="64"/>
      <c r="Y672" s="64"/>
      <c r="Z672" s="64"/>
      <c r="AA672" s="64"/>
      <c r="AB672" s="27"/>
      <c r="AC672" s="27"/>
    </row>
    <row r="673" spans="1:29" s="25" customFormat="1" x14ac:dyDescent="0.3">
      <c r="A673" s="24">
        <v>377</v>
      </c>
      <c r="B673" s="24" t="s">
        <v>2272</v>
      </c>
      <c r="C673" s="26">
        <v>207</v>
      </c>
      <c r="D673" s="25" t="s">
        <v>847</v>
      </c>
      <c r="E673" s="19" t="s">
        <v>848</v>
      </c>
      <c r="F673" s="19"/>
      <c r="G673" s="24"/>
      <c r="H673" s="19"/>
      <c r="I673" s="26" t="s">
        <v>57</v>
      </c>
      <c r="J673" s="26" t="s">
        <v>57</v>
      </c>
      <c r="K673" s="24"/>
      <c r="L673" s="24" t="s">
        <v>3695</v>
      </c>
      <c r="M673" s="24" t="s">
        <v>5495</v>
      </c>
      <c r="N673" s="24"/>
      <c r="O673" s="26" t="s">
        <v>1965</v>
      </c>
      <c r="P673" s="24"/>
      <c r="Q673" s="24"/>
      <c r="R673" s="26"/>
      <c r="S673" s="26"/>
      <c r="T673" s="26"/>
      <c r="U673" s="24"/>
      <c r="V673" s="24"/>
      <c r="W673" s="24"/>
      <c r="X673" s="63"/>
      <c r="Y673" s="63"/>
      <c r="Z673" s="63"/>
      <c r="AA673" s="63"/>
      <c r="AB673" s="24"/>
      <c r="AC673" s="24"/>
    </row>
    <row r="674" spans="1:29" s="25" customFormat="1" ht="30.6" x14ac:dyDescent="0.3">
      <c r="A674" s="24">
        <v>378</v>
      </c>
      <c r="B674" s="24" t="s">
        <v>2272</v>
      </c>
      <c r="C674" s="26"/>
      <c r="D674" s="25" t="s">
        <v>849</v>
      </c>
      <c r="E674" s="19" t="s">
        <v>850</v>
      </c>
      <c r="F674" s="19"/>
      <c r="G674" s="24"/>
      <c r="H674" s="19"/>
      <c r="I674" s="26" t="s">
        <v>57</v>
      </c>
      <c r="J674" s="26"/>
      <c r="K674" s="24"/>
      <c r="L674" s="103" t="s">
        <v>3697</v>
      </c>
      <c r="M674" s="24" t="s">
        <v>5496</v>
      </c>
      <c r="N674" s="24"/>
      <c r="O674" s="26"/>
      <c r="P674" s="24"/>
      <c r="Q674" s="24"/>
      <c r="R674" s="26"/>
      <c r="S674" s="26"/>
      <c r="T674" s="26"/>
      <c r="U674" s="24"/>
      <c r="V674" s="24"/>
      <c r="W674" s="24"/>
      <c r="X674" s="63"/>
      <c r="Y674" s="63"/>
      <c r="Z674" s="63"/>
      <c r="AA674" s="63"/>
      <c r="AB674" s="24"/>
      <c r="AC674" s="24"/>
    </row>
    <row r="675" spans="1:29" s="28" customFormat="1" x14ac:dyDescent="0.3">
      <c r="A675" s="27" t="s">
        <v>7437</v>
      </c>
      <c r="B675" s="27" t="s">
        <v>2273</v>
      </c>
      <c r="C675" s="29">
        <v>209</v>
      </c>
      <c r="D675" s="28" t="s">
        <v>4942</v>
      </c>
      <c r="E675" s="20" t="s">
        <v>850</v>
      </c>
      <c r="F675" s="20" t="s">
        <v>2581</v>
      </c>
      <c r="G675" s="27" t="s">
        <v>1967</v>
      </c>
      <c r="H675" s="20" t="s">
        <v>850</v>
      </c>
      <c r="I675" s="29"/>
      <c r="J675" s="29" t="s">
        <v>57</v>
      </c>
      <c r="K675" s="27"/>
      <c r="L675" s="27" t="s">
        <v>4604</v>
      </c>
      <c r="M675" s="27" t="s">
        <v>7438</v>
      </c>
      <c r="N675" s="27"/>
      <c r="O675" s="29" t="s">
        <v>7439</v>
      </c>
      <c r="P675" s="27"/>
      <c r="Q675" s="27"/>
      <c r="R675" s="29"/>
      <c r="S675" s="29"/>
      <c r="T675" s="29"/>
      <c r="U675" s="27"/>
      <c r="V675" s="27"/>
      <c r="W675" s="27"/>
      <c r="X675" s="64"/>
      <c r="Y675" s="64"/>
      <c r="Z675" s="64"/>
      <c r="AA675" s="64"/>
      <c r="AB675" s="27"/>
      <c r="AC675" s="27"/>
    </row>
    <row r="676" spans="1:29" s="28" customFormat="1" x14ac:dyDescent="0.3">
      <c r="A676" s="27" t="s">
        <v>7440</v>
      </c>
      <c r="B676" s="27" t="s">
        <v>2273</v>
      </c>
      <c r="C676" s="29">
        <v>209</v>
      </c>
      <c r="D676" s="28" t="s">
        <v>4942</v>
      </c>
      <c r="E676" s="20" t="s">
        <v>850</v>
      </c>
      <c r="F676" s="20" t="s">
        <v>2582</v>
      </c>
      <c r="G676" s="27" t="s">
        <v>2583</v>
      </c>
      <c r="H676" s="20" t="s">
        <v>2584</v>
      </c>
      <c r="I676" s="29"/>
      <c r="J676" s="29" t="s">
        <v>57</v>
      </c>
      <c r="K676" s="27"/>
      <c r="L676" s="27" t="s">
        <v>4605</v>
      </c>
      <c r="M676" s="27" t="s">
        <v>7441</v>
      </c>
      <c r="N676" s="27"/>
      <c r="O676" s="29" t="s">
        <v>7442</v>
      </c>
      <c r="P676" s="27"/>
      <c r="Q676" s="27"/>
      <c r="R676" s="29"/>
      <c r="S676" s="29"/>
      <c r="T676" s="29"/>
      <c r="U676" s="27"/>
      <c r="V676" s="27"/>
      <c r="W676" s="27"/>
      <c r="X676" s="64"/>
      <c r="Y676" s="64"/>
      <c r="Z676" s="64"/>
      <c r="AA676" s="64"/>
      <c r="AB676" s="27"/>
      <c r="AC676" s="27"/>
    </row>
    <row r="677" spans="1:29" s="25" customFormat="1" x14ac:dyDescent="0.3">
      <c r="A677" s="24">
        <v>379</v>
      </c>
      <c r="B677" s="24" t="s">
        <v>2272</v>
      </c>
      <c r="C677" s="26">
        <v>209</v>
      </c>
      <c r="D677" s="25" t="s">
        <v>851</v>
      </c>
      <c r="E677" s="19" t="s">
        <v>852</v>
      </c>
      <c r="F677" s="19"/>
      <c r="G677" s="24"/>
      <c r="H677" s="19"/>
      <c r="I677" s="26" t="s">
        <v>57</v>
      </c>
      <c r="J677" s="26" t="s">
        <v>57</v>
      </c>
      <c r="K677" s="24"/>
      <c r="L677" s="24" t="s">
        <v>3699</v>
      </c>
      <c r="M677" s="24" t="s">
        <v>4395</v>
      </c>
      <c r="N677" s="24"/>
      <c r="O677" s="26" t="s">
        <v>1968</v>
      </c>
      <c r="P677" s="24"/>
      <c r="Q677" s="24"/>
      <c r="R677" s="26"/>
      <c r="S677" s="26"/>
      <c r="T677" s="26"/>
      <c r="U677" s="24"/>
      <c r="V677" s="24"/>
      <c r="W677" s="24"/>
      <c r="X677" s="63"/>
      <c r="Y677" s="63"/>
      <c r="Z677" s="63"/>
      <c r="AA677" s="63"/>
      <c r="AB677" s="24"/>
      <c r="AC677" s="24"/>
    </row>
    <row r="678" spans="1:29" s="25" customFormat="1" x14ac:dyDescent="0.3">
      <c r="A678" s="24">
        <v>380</v>
      </c>
      <c r="B678" s="24" t="s">
        <v>2272</v>
      </c>
      <c r="C678" s="26">
        <v>209</v>
      </c>
      <c r="D678" s="25" t="s">
        <v>853</v>
      </c>
      <c r="E678" s="19" t="s">
        <v>854</v>
      </c>
      <c r="F678" s="19"/>
      <c r="G678" s="24"/>
      <c r="H678" s="19"/>
      <c r="I678" s="26" t="s">
        <v>57</v>
      </c>
      <c r="J678" s="26" t="s">
        <v>57</v>
      </c>
      <c r="K678" s="24"/>
      <c r="L678" s="24" t="s">
        <v>3701</v>
      </c>
      <c r="M678" s="24" t="s">
        <v>4396</v>
      </c>
      <c r="N678" s="24"/>
      <c r="O678" s="26" t="s">
        <v>1970</v>
      </c>
      <c r="P678" s="24"/>
      <c r="Q678" s="24"/>
      <c r="R678" s="26"/>
      <c r="S678" s="26"/>
      <c r="T678" s="26"/>
      <c r="U678" s="24"/>
      <c r="V678" s="24"/>
      <c r="W678" s="24"/>
      <c r="X678" s="63"/>
      <c r="Y678" s="63"/>
      <c r="Z678" s="63"/>
      <c r="AA678" s="63"/>
      <c r="AB678" s="24"/>
      <c r="AC678" s="24"/>
    </row>
    <row r="679" spans="1:29" s="25" customFormat="1" x14ac:dyDescent="0.3">
      <c r="A679" s="24">
        <v>381</v>
      </c>
      <c r="B679" s="24" t="s">
        <v>2272</v>
      </c>
      <c r="C679" s="26">
        <v>205</v>
      </c>
      <c r="D679" s="25" t="s">
        <v>857</v>
      </c>
      <c r="E679" s="19" t="s">
        <v>858</v>
      </c>
      <c r="F679" s="19"/>
      <c r="G679" s="24"/>
      <c r="H679" s="19"/>
      <c r="I679" s="26" t="s">
        <v>37</v>
      </c>
      <c r="J679" s="26" t="s">
        <v>37</v>
      </c>
      <c r="K679" s="24"/>
      <c r="L679" s="24" t="s">
        <v>3125</v>
      </c>
      <c r="M679" s="24" t="s">
        <v>5497</v>
      </c>
      <c r="N679" s="24" t="s">
        <v>1971</v>
      </c>
      <c r="O679" s="26" t="s">
        <v>1972</v>
      </c>
      <c r="P679" s="24"/>
      <c r="Q679" s="24"/>
      <c r="R679" s="26"/>
      <c r="S679" s="26"/>
      <c r="T679" s="26"/>
      <c r="U679" s="24"/>
      <c r="V679" s="24"/>
      <c r="W679" s="24"/>
      <c r="X679" s="63"/>
      <c r="Y679" s="63"/>
      <c r="Z679" s="63"/>
      <c r="AA679" s="63"/>
      <c r="AB679" s="24"/>
      <c r="AC679" s="24"/>
    </row>
    <row r="680" spans="1:29" s="25" customFormat="1" x14ac:dyDescent="0.3">
      <c r="A680" s="24">
        <v>382</v>
      </c>
      <c r="B680" s="24" t="s">
        <v>2272</v>
      </c>
      <c r="C680" s="26">
        <v>205</v>
      </c>
      <c r="D680" s="25" t="s">
        <v>1973</v>
      </c>
      <c r="E680" s="19" t="s">
        <v>1974</v>
      </c>
      <c r="F680" s="19"/>
      <c r="G680" s="24"/>
      <c r="H680" s="19"/>
      <c r="I680" s="26" t="s">
        <v>37</v>
      </c>
      <c r="J680" s="26" t="s">
        <v>57</v>
      </c>
      <c r="K680" s="24"/>
      <c r="L680" s="24" t="s">
        <v>3125</v>
      </c>
      <c r="M680" s="24" t="s">
        <v>5213</v>
      </c>
      <c r="N680" s="24"/>
      <c r="O680" s="26" t="s">
        <v>1631</v>
      </c>
      <c r="P680" s="24"/>
      <c r="Q680" s="24"/>
      <c r="R680" s="26"/>
      <c r="S680" s="26"/>
      <c r="T680" s="26"/>
      <c r="U680" s="24"/>
      <c r="V680" s="24"/>
      <c r="W680" s="24"/>
      <c r="X680" s="63"/>
      <c r="Y680" s="63"/>
      <c r="Z680" s="63"/>
      <c r="AA680" s="63"/>
      <c r="AB680" s="24"/>
      <c r="AC680" s="24"/>
    </row>
    <row r="681" spans="1:29" s="25" customFormat="1" x14ac:dyDescent="0.3">
      <c r="A681" s="24">
        <v>383</v>
      </c>
      <c r="B681" s="24" t="s">
        <v>2272</v>
      </c>
      <c r="C681" s="26">
        <v>215</v>
      </c>
      <c r="D681" s="25" t="s">
        <v>861</v>
      </c>
      <c r="E681" s="19" t="s">
        <v>862</v>
      </c>
      <c r="F681" s="19"/>
      <c r="G681" s="24"/>
      <c r="H681" s="19"/>
      <c r="I681" s="26" t="s">
        <v>37</v>
      </c>
      <c r="J681" s="26" t="s">
        <v>37</v>
      </c>
      <c r="K681" s="24"/>
      <c r="L681" s="24" t="s">
        <v>3681</v>
      </c>
      <c r="M681" s="24" t="s">
        <v>84</v>
      </c>
      <c r="N681" s="24"/>
      <c r="O681" s="26"/>
      <c r="P681" s="24"/>
      <c r="Q681" s="24"/>
      <c r="R681" s="26"/>
      <c r="S681" s="26"/>
      <c r="T681" s="26"/>
      <c r="U681" s="24"/>
      <c r="V681" s="24"/>
      <c r="W681" s="24"/>
      <c r="X681" s="63"/>
      <c r="Y681" s="63"/>
      <c r="Z681" s="63"/>
      <c r="AA681" s="63"/>
      <c r="AB681" s="24"/>
      <c r="AC681" s="24"/>
    </row>
    <row r="682" spans="1:29" s="28" customFormat="1" x14ac:dyDescent="0.3">
      <c r="A682" s="27" t="s">
        <v>7443</v>
      </c>
      <c r="B682" s="27" t="s">
        <v>2273</v>
      </c>
      <c r="C682" s="29"/>
      <c r="D682" s="28" t="s">
        <v>4943</v>
      </c>
      <c r="E682" s="20" t="s">
        <v>862</v>
      </c>
      <c r="F682" s="20" t="s">
        <v>2585</v>
      </c>
      <c r="G682" s="27"/>
      <c r="H682" s="20"/>
      <c r="I682" s="29"/>
      <c r="J682" s="29"/>
      <c r="K682" s="27"/>
      <c r="L682" s="27"/>
      <c r="M682" s="27" t="s">
        <v>7444</v>
      </c>
      <c r="N682" s="27"/>
      <c r="O682" s="29" t="s">
        <v>2035</v>
      </c>
      <c r="P682" s="27"/>
      <c r="Q682" s="27"/>
      <c r="R682" s="29"/>
      <c r="S682" s="29"/>
      <c r="T682" s="29"/>
      <c r="U682" s="27"/>
      <c r="V682" s="27"/>
      <c r="W682" s="27"/>
      <c r="X682" s="64"/>
      <c r="Y682" s="64"/>
      <c r="Z682" s="64"/>
      <c r="AA682" s="64"/>
      <c r="AB682" s="27"/>
      <c r="AC682" s="27"/>
    </row>
    <row r="683" spans="1:29" s="28" customFormat="1" x14ac:dyDescent="0.3">
      <c r="A683" s="27" t="s">
        <v>7445</v>
      </c>
      <c r="B683" s="27" t="s">
        <v>2273</v>
      </c>
      <c r="C683" s="29"/>
      <c r="D683" s="28" t="s">
        <v>4943</v>
      </c>
      <c r="E683" s="20" t="s">
        <v>862</v>
      </c>
      <c r="F683" s="20" t="s">
        <v>2440</v>
      </c>
      <c r="G683" s="27"/>
      <c r="H683" s="20"/>
      <c r="I683" s="29"/>
      <c r="J683" s="29"/>
      <c r="K683" s="27"/>
      <c r="L683" s="27"/>
      <c r="M683" s="27" t="s">
        <v>7446</v>
      </c>
      <c r="N683" s="27"/>
      <c r="O683" s="29" t="s">
        <v>7447</v>
      </c>
      <c r="P683" s="27"/>
      <c r="Q683" s="27"/>
      <c r="R683" s="29"/>
      <c r="S683" s="29"/>
      <c r="T683" s="29"/>
      <c r="U683" s="27"/>
      <c r="V683" s="27"/>
      <c r="W683" s="27"/>
      <c r="X683" s="64"/>
      <c r="Y683" s="64"/>
      <c r="Z683" s="64"/>
      <c r="AA683" s="64"/>
      <c r="AB683" s="27"/>
      <c r="AC683" s="27"/>
    </row>
    <row r="684" spans="1:29" s="28" customFormat="1" x14ac:dyDescent="0.3">
      <c r="A684" s="27" t="s">
        <v>7448</v>
      </c>
      <c r="B684" s="27" t="s">
        <v>2273</v>
      </c>
      <c r="C684" s="29"/>
      <c r="D684" s="28" t="s">
        <v>4943</v>
      </c>
      <c r="E684" s="20" t="s">
        <v>862</v>
      </c>
      <c r="F684" s="20" t="s">
        <v>2304</v>
      </c>
      <c r="G684" s="27"/>
      <c r="H684" s="20"/>
      <c r="I684" s="29"/>
      <c r="J684" s="29"/>
      <c r="K684" s="27"/>
      <c r="L684" s="27"/>
      <c r="M684" s="27" t="s">
        <v>6777</v>
      </c>
      <c r="N684" s="27"/>
      <c r="O684" s="29" t="s">
        <v>6777</v>
      </c>
      <c r="P684" s="27"/>
      <c r="Q684" s="27"/>
      <c r="R684" s="29"/>
      <c r="S684" s="29"/>
      <c r="T684" s="29"/>
      <c r="U684" s="27"/>
      <c r="V684" s="27"/>
      <c r="W684" s="27"/>
      <c r="X684" s="64"/>
      <c r="Y684" s="64"/>
      <c r="Z684" s="64"/>
      <c r="AA684" s="64"/>
      <c r="AB684" s="27"/>
      <c r="AC684" s="27"/>
    </row>
    <row r="685" spans="1:29" s="28" customFormat="1" x14ac:dyDescent="0.3">
      <c r="A685" s="27" t="s">
        <v>7449</v>
      </c>
      <c r="B685" s="27" t="s">
        <v>2273</v>
      </c>
      <c r="C685" s="29"/>
      <c r="D685" s="28" t="s">
        <v>4943</v>
      </c>
      <c r="E685" s="20" t="s">
        <v>862</v>
      </c>
      <c r="F685" s="20" t="s">
        <v>2333</v>
      </c>
      <c r="G685" s="27"/>
      <c r="H685" s="20"/>
      <c r="I685" s="29"/>
      <c r="J685" s="29"/>
      <c r="K685" s="27"/>
      <c r="L685" s="27"/>
      <c r="M685" s="27" t="s">
        <v>7450</v>
      </c>
      <c r="N685" s="27"/>
      <c r="O685" s="29" t="s">
        <v>7451</v>
      </c>
      <c r="P685" s="27"/>
      <c r="Q685" s="27"/>
      <c r="R685" s="29"/>
      <c r="S685" s="29"/>
      <c r="T685" s="29"/>
      <c r="U685" s="27"/>
      <c r="V685" s="27"/>
      <c r="W685" s="27"/>
      <c r="X685" s="64"/>
      <c r="Y685" s="64"/>
      <c r="Z685" s="64"/>
      <c r="AA685" s="64"/>
      <c r="AB685" s="27"/>
      <c r="AC685" s="27"/>
    </row>
    <row r="686" spans="1:29" s="28" customFormat="1" x14ac:dyDescent="0.3">
      <c r="A686" s="27" t="s">
        <v>7452</v>
      </c>
      <c r="B686" s="27" t="s">
        <v>2273</v>
      </c>
      <c r="C686" s="29"/>
      <c r="D686" s="28" t="s">
        <v>4943</v>
      </c>
      <c r="E686" s="20" t="s">
        <v>862</v>
      </c>
      <c r="F686" s="20" t="s">
        <v>2586</v>
      </c>
      <c r="G686" s="27"/>
      <c r="H686" s="20"/>
      <c r="I686" s="29"/>
      <c r="J686" s="29"/>
      <c r="K686" s="27"/>
      <c r="L686" s="27"/>
      <c r="M686" s="27" t="s">
        <v>6918</v>
      </c>
      <c r="N686" s="27"/>
      <c r="O686" s="29" t="s">
        <v>7453</v>
      </c>
      <c r="P686" s="27"/>
      <c r="Q686" s="27"/>
      <c r="R686" s="29"/>
      <c r="S686" s="29"/>
      <c r="T686" s="29"/>
      <c r="U686" s="27"/>
      <c r="V686" s="27"/>
      <c r="W686" s="27"/>
      <c r="X686" s="64"/>
      <c r="Y686" s="64"/>
      <c r="Z686" s="64"/>
      <c r="AA686" s="64"/>
      <c r="AB686" s="27"/>
      <c r="AC686" s="27"/>
    </row>
    <row r="687" spans="1:29" s="28" customFormat="1" x14ac:dyDescent="0.3">
      <c r="A687" s="27" t="s">
        <v>7454</v>
      </c>
      <c r="B687" s="27" t="s">
        <v>2273</v>
      </c>
      <c r="C687" s="29"/>
      <c r="D687" s="28" t="s">
        <v>4943</v>
      </c>
      <c r="E687" s="20" t="s">
        <v>862</v>
      </c>
      <c r="F687" s="20" t="s">
        <v>2587</v>
      </c>
      <c r="G687" s="27"/>
      <c r="H687" s="20"/>
      <c r="I687" s="29"/>
      <c r="J687" s="29"/>
      <c r="K687" s="27"/>
      <c r="L687" s="27"/>
      <c r="M687" s="27" t="s">
        <v>7455</v>
      </c>
      <c r="N687" s="27"/>
      <c r="O687" s="29" t="s">
        <v>7456</v>
      </c>
      <c r="P687" s="27"/>
      <c r="Q687" s="27"/>
      <c r="R687" s="29"/>
      <c r="S687" s="29"/>
      <c r="T687" s="29"/>
      <c r="U687" s="27"/>
      <c r="V687" s="27"/>
      <c r="W687" s="27"/>
      <c r="X687" s="64"/>
      <c r="Y687" s="64"/>
      <c r="Z687" s="64"/>
      <c r="AA687" s="64"/>
      <c r="AB687" s="27"/>
      <c r="AC687" s="27"/>
    </row>
    <row r="688" spans="1:29" s="25" customFormat="1" x14ac:dyDescent="0.3">
      <c r="A688" s="24">
        <v>384</v>
      </c>
      <c r="B688" s="24" t="s">
        <v>2272</v>
      </c>
      <c r="C688" s="26"/>
      <c r="D688" s="25" t="s">
        <v>6557</v>
      </c>
      <c r="E688" s="19" t="s">
        <v>6558</v>
      </c>
      <c r="F688" s="19"/>
      <c r="G688" s="24"/>
      <c r="H688" s="19"/>
      <c r="I688" s="26" t="s">
        <v>49</v>
      </c>
      <c r="J688" s="26"/>
      <c r="K688" s="24" t="s">
        <v>49</v>
      </c>
      <c r="L688" s="24"/>
      <c r="M688" s="24" t="s">
        <v>5218</v>
      </c>
      <c r="N688" s="24" t="s">
        <v>6664</v>
      </c>
      <c r="O688" s="26"/>
      <c r="P688" s="24" t="s">
        <v>6559</v>
      </c>
      <c r="Q688" s="24"/>
      <c r="R688" s="26"/>
      <c r="S688" s="26"/>
      <c r="T688" s="26"/>
      <c r="U688" s="24"/>
      <c r="V688" s="24"/>
      <c r="W688" s="24"/>
      <c r="X688" s="63"/>
      <c r="Y688" s="63"/>
      <c r="Z688" s="63"/>
      <c r="AA688" s="63"/>
      <c r="AB688" s="24"/>
      <c r="AC688" s="24"/>
    </row>
    <row r="689" spans="1:29" s="25" customFormat="1" x14ac:dyDescent="0.3">
      <c r="A689" s="24">
        <v>385</v>
      </c>
      <c r="B689" s="24" t="s">
        <v>2272</v>
      </c>
      <c r="C689" s="26">
        <v>219</v>
      </c>
      <c r="D689" s="25" t="s">
        <v>865</v>
      </c>
      <c r="E689" s="19" t="s">
        <v>866</v>
      </c>
      <c r="F689" s="19"/>
      <c r="G689" s="24"/>
      <c r="H689" s="19" t="s">
        <v>1975</v>
      </c>
      <c r="I689" s="26" t="s">
        <v>57</v>
      </c>
      <c r="J689" s="26" t="s">
        <v>57</v>
      </c>
      <c r="K689" s="24"/>
      <c r="L689" s="24" t="s">
        <v>3681</v>
      </c>
      <c r="M689" s="24" t="s">
        <v>5276</v>
      </c>
      <c r="N689" s="24"/>
      <c r="O689" s="26"/>
      <c r="P689" s="24"/>
      <c r="Q689" s="24"/>
      <c r="R689" s="26"/>
      <c r="S689" s="26"/>
      <c r="T689" s="26"/>
      <c r="U689" s="24"/>
      <c r="V689" s="24"/>
      <c r="W689" s="24"/>
      <c r="X689" s="63"/>
      <c r="Y689" s="63"/>
      <c r="Z689" s="63"/>
      <c r="AA689" s="63"/>
      <c r="AB689" s="24"/>
      <c r="AC689" s="24"/>
    </row>
    <row r="690" spans="1:29" s="28" customFormat="1" x14ac:dyDescent="0.3">
      <c r="A690" s="27" t="s">
        <v>7457</v>
      </c>
      <c r="B690" s="27" t="s">
        <v>2273</v>
      </c>
      <c r="C690" s="29"/>
      <c r="D690" s="28" t="s">
        <v>4944</v>
      </c>
      <c r="E690" s="20" t="s">
        <v>866</v>
      </c>
      <c r="F690" s="20" t="s">
        <v>2588</v>
      </c>
      <c r="G690" s="27"/>
      <c r="H690" s="20"/>
      <c r="I690" s="29"/>
      <c r="J690" s="29"/>
      <c r="K690" s="27"/>
      <c r="L690" s="27"/>
      <c r="M690" s="27" t="s">
        <v>7458</v>
      </c>
      <c r="N690" s="27"/>
      <c r="O690" s="29" t="s">
        <v>7459</v>
      </c>
      <c r="P690" s="27"/>
      <c r="Q690" s="27"/>
      <c r="R690" s="29"/>
      <c r="S690" s="29"/>
      <c r="T690" s="29"/>
      <c r="U690" s="27"/>
      <c r="V690" s="27"/>
      <c r="W690" s="27"/>
      <c r="X690" s="64"/>
      <c r="Y690" s="64"/>
      <c r="Z690" s="64"/>
      <c r="AA690" s="64"/>
      <c r="AB690" s="27"/>
      <c r="AC690" s="27"/>
    </row>
    <row r="691" spans="1:29" s="28" customFormat="1" x14ac:dyDescent="0.3">
      <c r="A691" s="27" t="s">
        <v>7460</v>
      </c>
      <c r="B691" s="27" t="s">
        <v>2273</v>
      </c>
      <c r="C691" s="29"/>
      <c r="D691" s="28" t="s">
        <v>4944</v>
      </c>
      <c r="E691" s="20" t="s">
        <v>866</v>
      </c>
      <c r="F691" s="20" t="s">
        <v>2589</v>
      </c>
      <c r="G691" s="27"/>
      <c r="H691" s="20"/>
      <c r="I691" s="29"/>
      <c r="J691" s="29"/>
      <c r="K691" s="27"/>
      <c r="L691" s="27"/>
      <c r="M691" s="27" t="s">
        <v>7461</v>
      </c>
      <c r="N691" s="27"/>
      <c r="O691" s="29" t="s">
        <v>7462</v>
      </c>
      <c r="P691" s="27"/>
      <c r="Q691" s="27"/>
      <c r="R691" s="29"/>
      <c r="S691" s="29"/>
      <c r="T691" s="29"/>
      <c r="U691" s="27"/>
      <c r="V691" s="27"/>
      <c r="W691" s="27"/>
      <c r="X691" s="64"/>
      <c r="Y691" s="64"/>
      <c r="Z691" s="64"/>
      <c r="AA691" s="64"/>
      <c r="AB691" s="27"/>
      <c r="AC691" s="27"/>
    </row>
    <row r="692" spans="1:29" s="28" customFormat="1" x14ac:dyDescent="0.3">
      <c r="A692" s="27" t="s">
        <v>7463</v>
      </c>
      <c r="B692" s="27" t="s">
        <v>2273</v>
      </c>
      <c r="C692" s="29"/>
      <c r="D692" s="28" t="s">
        <v>4944</v>
      </c>
      <c r="E692" s="20" t="s">
        <v>866</v>
      </c>
      <c r="F692" s="20" t="s">
        <v>2590</v>
      </c>
      <c r="G692" s="27"/>
      <c r="H692" s="20"/>
      <c r="I692" s="29"/>
      <c r="J692" s="29"/>
      <c r="K692" s="27"/>
      <c r="L692" s="27"/>
      <c r="M692" s="27" t="s">
        <v>7464</v>
      </c>
      <c r="N692" s="27"/>
      <c r="O692" s="29" t="s">
        <v>7465</v>
      </c>
      <c r="P692" s="27"/>
      <c r="Q692" s="27"/>
      <c r="R692" s="29"/>
      <c r="S692" s="29"/>
      <c r="T692" s="29"/>
      <c r="U692" s="27"/>
      <c r="V692" s="27"/>
      <c r="W692" s="27"/>
      <c r="X692" s="64"/>
      <c r="Y692" s="64"/>
      <c r="Z692" s="64"/>
      <c r="AA692" s="64"/>
      <c r="AB692" s="27"/>
      <c r="AC692" s="27"/>
    </row>
    <row r="693" spans="1:29" s="25" customFormat="1" x14ac:dyDescent="0.3">
      <c r="A693" s="24">
        <v>386</v>
      </c>
      <c r="B693" s="24" t="s">
        <v>2272</v>
      </c>
      <c r="C693" s="26">
        <v>219</v>
      </c>
      <c r="D693" s="25" t="s">
        <v>867</v>
      </c>
      <c r="E693" s="19" t="s">
        <v>868</v>
      </c>
      <c r="F693" s="19"/>
      <c r="G693" s="24"/>
      <c r="H693" s="19" t="s">
        <v>1978</v>
      </c>
      <c r="I693" s="26" t="s">
        <v>57</v>
      </c>
      <c r="J693" s="26" t="s">
        <v>57</v>
      </c>
      <c r="K693" s="24"/>
      <c r="L693" s="24" t="s">
        <v>3706</v>
      </c>
      <c r="M693" s="24" t="s">
        <v>5467</v>
      </c>
      <c r="N693" s="24"/>
      <c r="O693" s="26" t="s">
        <v>1976</v>
      </c>
      <c r="P693" s="24"/>
      <c r="Q693" s="24"/>
      <c r="R693" s="26"/>
      <c r="S693" s="26"/>
      <c r="T693" s="26"/>
      <c r="U693" s="24"/>
      <c r="V693" s="24"/>
      <c r="W693" s="24"/>
      <c r="X693" s="63"/>
      <c r="Y693" s="63"/>
      <c r="Z693" s="63"/>
      <c r="AA693" s="63"/>
      <c r="AB693" s="24"/>
      <c r="AC693" s="24"/>
    </row>
    <row r="694" spans="1:29" s="25" customFormat="1" x14ac:dyDescent="0.3">
      <c r="A694" s="24">
        <v>387</v>
      </c>
      <c r="B694" s="24" t="s">
        <v>2272</v>
      </c>
      <c r="C694" s="26">
        <v>219</v>
      </c>
      <c r="D694" s="25" t="s">
        <v>869</v>
      </c>
      <c r="E694" s="19" t="s">
        <v>870</v>
      </c>
      <c r="F694" s="19"/>
      <c r="G694" s="24"/>
      <c r="H694" s="19"/>
      <c r="I694" s="26" t="s">
        <v>37</v>
      </c>
      <c r="J694" s="26" t="s">
        <v>37</v>
      </c>
      <c r="K694" s="24"/>
      <c r="L694" s="24" t="s">
        <v>3325</v>
      </c>
      <c r="M694" s="24" t="s">
        <v>84</v>
      </c>
      <c r="N694" s="24"/>
      <c r="O694" s="26"/>
      <c r="P694" s="24"/>
      <c r="Q694" s="24"/>
      <c r="R694" s="26"/>
      <c r="S694" s="26"/>
      <c r="T694" s="26"/>
      <c r="U694" s="24"/>
      <c r="V694" s="24"/>
      <c r="W694" s="24"/>
      <c r="X694" s="63"/>
      <c r="Y694" s="63"/>
      <c r="Z694" s="63"/>
      <c r="AA694" s="63"/>
      <c r="AB694" s="24"/>
      <c r="AC694" s="24"/>
    </row>
    <row r="695" spans="1:29" s="28" customFormat="1" x14ac:dyDescent="0.3">
      <c r="A695" s="27" t="s">
        <v>7466</v>
      </c>
      <c r="B695" s="27" t="s">
        <v>2273</v>
      </c>
      <c r="C695" s="29"/>
      <c r="D695" s="28" t="s">
        <v>4945</v>
      </c>
      <c r="E695" s="20" t="s">
        <v>870</v>
      </c>
      <c r="F695" s="20" t="s">
        <v>2591</v>
      </c>
      <c r="G695" s="27"/>
      <c r="H695" s="20"/>
      <c r="I695" s="29"/>
      <c r="J695" s="29"/>
      <c r="K695" s="27"/>
      <c r="L695" s="27"/>
      <c r="M695" s="27" t="s">
        <v>6768</v>
      </c>
      <c r="N695" s="27"/>
      <c r="O695" s="29" t="s">
        <v>1906</v>
      </c>
      <c r="P695" s="27"/>
      <c r="Q695" s="27"/>
      <c r="R695" s="29"/>
      <c r="S695" s="29"/>
      <c r="T695" s="29"/>
      <c r="U695" s="27"/>
      <c r="V695" s="27"/>
      <c r="W695" s="27"/>
      <c r="X695" s="64"/>
      <c r="Y695" s="64"/>
      <c r="Z695" s="64"/>
      <c r="AA695" s="64"/>
      <c r="AB695" s="27"/>
      <c r="AC695" s="27"/>
    </row>
    <row r="696" spans="1:29" s="28" customFormat="1" x14ac:dyDescent="0.3">
      <c r="A696" s="27" t="s">
        <v>7467</v>
      </c>
      <c r="B696" s="27" t="s">
        <v>2273</v>
      </c>
      <c r="C696" s="29"/>
      <c r="D696" s="28" t="s">
        <v>4945</v>
      </c>
      <c r="E696" s="20" t="s">
        <v>870</v>
      </c>
      <c r="F696" s="20" t="s">
        <v>2592</v>
      </c>
      <c r="G696" s="27"/>
      <c r="H696" s="20"/>
      <c r="I696" s="29"/>
      <c r="J696" s="29"/>
      <c r="K696" s="27"/>
      <c r="L696" s="27"/>
      <c r="M696" s="27" t="s">
        <v>6793</v>
      </c>
      <c r="N696" s="27"/>
      <c r="O696" s="29" t="s">
        <v>7468</v>
      </c>
      <c r="P696" s="27"/>
      <c r="Q696" s="27"/>
      <c r="R696" s="29"/>
      <c r="S696" s="29"/>
      <c r="T696" s="29"/>
      <c r="U696" s="27"/>
      <c r="V696" s="27"/>
      <c r="W696" s="27"/>
      <c r="X696" s="64"/>
      <c r="Y696" s="64"/>
      <c r="Z696" s="64"/>
      <c r="AA696" s="64"/>
      <c r="AB696" s="27"/>
      <c r="AC696" s="27"/>
    </row>
    <row r="697" spans="1:29" s="28" customFormat="1" x14ac:dyDescent="0.3">
      <c r="A697" s="27" t="s">
        <v>7469</v>
      </c>
      <c r="B697" s="27" t="s">
        <v>2273</v>
      </c>
      <c r="C697" s="29"/>
      <c r="D697" s="28" t="s">
        <v>4945</v>
      </c>
      <c r="E697" s="20" t="s">
        <v>870</v>
      </c>
      <c r="F697" s="20" t="s">
        <v>2528</v>
      </c>
      <c r="G697" s="27"/>
      <c r="H697" s="20"/>
      <c r="I697" s="29"/>
      <c r="J697" s="29"/>
      <c r="K697" s="27"/>
      <c r="L697" s="27"/>
      <c r="M697" s="27" t="s">
        <v>6895</v>
      </c>
      <c r="N697" s="27"/>
      <c r="O697" s="29" t="s">
        <v>7470</v>
      </c>
      <c r="P697" s="27"/>
      <c r="Q697" s="27"/>
      <c r="R697" s="29"/>
      <c r="S697" s="29"/>
      <c r="T697" s="29"/>
      <c r="U697" s="27"/>
      <c r="V697" s="27"/>
      <c r="W697" s="27"/>
      <c r="X697" s="64"/>
      <c r="Y697" s="64"/>
      <c r="Z697" s="64"/>
      <c r="AA697" s="64"/>
      <c r="AB697" s="27"/>
      <c r="AC697" s="27"/>
    </row>
    <row r="698" spans="1:29" s="28" customFormat="1" x14ac:dyDescent="0.3">
      <c r="A698" s="27" t="s">
        <v>7471</v>
      </c>
      <c r="B698" s="27" t="s">
        <v>2273</v>
      </c>
      <c r="C698" s="29"/>
      <c r="D698" s="28" t="s">
        <v>4945</v>
      </c>
      <c r="E698" s="20" t="s">
        <v>870</v>
      </c>
      <c r="F698" s="20" t="s">
        <v>2593</v>
      </c>
      <c r="G698" s="27"/>
      <c r="H698" s="20"/>
      <c r="I698" s="29"/>
      <c r="J698" s="29"/>
      <c r="K698" s="27"/>
      <c r="L698" s="27"/>
      <c r="M698" s="27" t="s">
        <v>7472</v>
      </c>
      <c r="N698" s="27"/>
      <c r="O698" s="29" t="s">
        <v>7473</v>
      </c>
      <c r="P698" s="27"/>
      <c r="Q698" s="27"/>
      <c r="R698" s="29"/>
      <c r="S698" s="29"/>
      <c r="T698" s="29"/>
      <c r="U698" s="27"/>
      <c r="V698" s="27"/>
      <c r="W698" s="27"/>
      <c r="X698" s="64"/>
      <c r="Y698" s="64"/>
      <c r="Z698" s="64"/>
      <c r="AA698" s="64"/>
      <c r="AB698" s="27"/>
      <c r="AC698" s="27"/>
    </row>
    <row r="699" spans="1:29" s="28" customFormat="1" x14ac:dyDescent="0.3">
      <c r="A699" s="27" t="s">
        <v>7474</v>
      </c>
      <c r="B699" s="27" t="s">
        <v>2273</v>
      </c>
      <c r="C699" s="29"/>
      <c r="D699" s="28" t="s">
        <v>4945</v>
      </c>
      <c r="E699" s="20" t="s">
        <v>870</v>
      </c>
      <c r="F699" s="20" t="s">
        <v>2594</v>
      </c>
      <c r="G699" s="27"/>
      <c r="H699" s="20"/>
      <c r="I699" s="29"/>
      <c r="J699" s="29"/>
      <c r="K699" s="27"/>
      <c r="L699" s="27"/>
      <c r="M699" s="27" t="s">
        <v>7475</v>
      </c>
      <c r="N699" s="27"/>
      <c r="O699" s="29" t="s">
        <v>1968</v>
      </c>
      <c r="P699" s="27"/>
      <c r="Q699" s="27"/>
      <c r="R699" s="29"/>
      <c r="S699" s="29"/>
      <c r="T699" s="29"/>
      <c r="U699" s="27"/>
      <c r="V699" s="27"/>
      <c r="W699" s="27"/>
      <c r="X699" s="64"/>
      <c r="Y699" s="64"/>
      <c r="Z699" s="64"/>
      <c r="AA699" s="64"/>
      <c r="AB699" s="27"/>
      <c r="AC699" s="27"/>
    </row>
    <row r="700" spans="1:29" s="28" customFormat="1" x14ac:dyDescent="0.3">
      <c r="A700" s="27" t="s">
        <v>7476</v>
      </c>
      <c r="B700" s="27" t="s">
        <v>2273</v>
      </c>
      <c r="C700" s="29"/>
      <c r="D700" s="28" t="s">
        <v>4945</v>
      </c>
      <c r="E700" s="20" t="s">
        <v>870</v>
      </c>
      <c r="F700" s="20" t="s">
        <v>2360</v>
      </c>
      <c r="G700" s="27"/>
      <c r="H700" s="20"/>
      <c r="I700" s="29"/>
      <c r="J700" s="29"/>
      <c r="K700" s="27"/>
      <c r="L700" s="27"/>
      <c r="M700" s="27" t="s">
        <v>6867</v>
      </c>
      <c r="N700" s="27"/>
      <c r="O700" s="29" t="s">
        <v>2003</v>
      </c>
      <c r="P700" s="27"/>
      <c r="Q700" s="27"/>
      <c r="R700" s="29"/>
      <c r="S700" s="29"/>
      <c r="T700" s="29"/>
      <c r="U700" s="27"/>
      <c r="V700" s="27"/>
      <c r="W700" s="27"/>
      <c r="X700" s="64"/>
      <c r="Y700" s="64"/>
      <c r="Z700" s="64"/>
      <c r="AA700" s="64"/>
      <c r="AB700" s="27"/>
      <c r="AC700" s="27"/>
    </row>
    <row r="701" spans="1:29" s="28" customFormat="1" x14ac:dyDescent="0.3">
      <c r="A701" s="27" t="s">
        <v>7477</v>
      </c>
      <c r="B701" s="27" t="s">
        <v>2273</v>
      </c>
      <c r="C701" s="29"/>
      <c r="D701" s="28" t="s">
        <v>4945</v>
      </c>
      <c r="E701" s="20" t="s">
        <v>870</v>
      </c>
      <c r="F701" s="20" t="s">
        <v>2341</v>
      </c>
      <c r="G701" s="27"/>
      <c r="H701" s="20"/>
      <c r="I701" s="29"/>
      <c r="J701" s="29"/>
      <c r="K701" s="27"/>
      <c r="L701" s="27"/>
      <c r="M701" s="27" t="s">
        <v>7478</v>
      </c>
      <c r="N701" s="27"/>
      <c r="O701" s="29" t="s">
        <v>7479</v>
      </c>
      <c r="P701" s="27"/>
      <c r="Q701" s="27"/>
      <c r="R701" s="29"/>
      <c r="S701" s="29"/>
      <c r="T701" s="29"/>
      <c r="U701" s="27"/>
      <c r="V701" s="27"/>
      <c r="W701" s="27"/>
      <c r="X701" s="64"/>
      <c r="Y701" s="64"/>
      <c r="Z701" s="64"/>
      <c r="AA701" s="64"/>
      <c r="AB701" s="27"/>
      <c r="AC701" s="27"/>
    </row>
    <row r="702" spans="1:29" s="28" customFormat="1" x14ac:dyDescent="0.3">
      <c r="A702" s="27" t="s">
        <v>7480</v>
      </c>
      <c r="B702" s="27" t="s">
        <v>2273</v>
      </c>
      <c r="C702" s="29"/>
      <c r="D702" s="28" t="s">
        <v>4945</v>
      </c>
      <c r="E702" s="20" t="s">
        <v>870</v>
      </c>
      <c r="F702" s="20" t="s">
        <v>2586</v>
      </c>
      <c r="G702" s="27"/>
      <c r="H702" s="20"/>
      <c r="I702" s="29"/>
      <c r="J702" s="29"/>
      <c r="K702" s="27"/>
      <c r="L702" s="27"/>
      <c r="M702" s="27" t="s">
        <v>6918</v>
      </c>
      <c r="N702" s="27"/>
      <c r="O702" s="29" t="s">
        <v>7481</v>
      </c>
      <c r="P702" s="27"/>
      <c r="Q702" s="27"/>
      <c r="R702" s="29"/>
      <c r="S702" s="29"/>
      <c r="T702" s="29"/>
      <c r="U702" s="27"/>
      <c r="V702" s="27"/>
      <c r="W702" s="27"/>
      <c r="X702" s="64"/>
      <c r="Y702" s="64"/>
      <c r="Z702" s="64"/>
      <c r="AA702" s="64"/>
      <c r="AB702" s="27"/>
      <c r="AC702" s="27"/>
    </row>
    <row r="703" spans="1:29" s="28" customFormat="1" x14ac:dyDescent="0.3">
      <c r="A703" s="27" t="s">
        <v>7482</v>
      </c>
      <c r="B703" s="27" t="s">
        <v>2273</v>
      </c>
      <c r="C703" s="29"/>
      <c r="D703" s="28" t="s">
        <v>4945</v>
      </c>
      <c r="E703" s="20" t="s">
        <v>870</v>
      </c>
      <c r="F703" s="20" t="s">
        <v>2337</v>
      </c>
      <c r="G703" s="27"/>
      <c r="H703" s="20"/>
      <c r="I703" s="29"/>
      <c r="J703" s="29"/>
      <c r="K703" s="27"/>
      <c r="L703" s="27"/>
      <c r="M703" s="27" t="s">
        <v>7483</v>
      </c>
      <c r="N703" s="27"/>
      <c r="O703" s="29" t="s">
        <v>7484</v>
      </c>
      <c r="P703" s="27"/>
      <c r="Q703" s="27"/>
      <c r="R703" s="29"/>
      <c r="S703" s="29"/>
      <c r="T703" s="29"/>
      <c r="U703" s="27"/>
      <c r="V703" s="27"/>
      <c r="W703" s="27"/>
      <c r="X703" s="64"/>
      <c r="Y703" s="64"/>
      <c r="Z703" s="64"/>
      <c r="AA703" s="64"/>
      <c r="AB703" s="27"/>
      <c r="AC703" s="27"/>
    </row>
    <row r="704" spans="1:29" s="25" customFormat="1" x14ac:dyDescent="0.3">
      <c r="A704" s="24">
        <v>388</v>
      </c>
      <c r="B704" s="24" t="s">
        <v>2272</v>
      </c>
      <c r="C704" s="26">
        <v>217</v>
      </c>
      <c r="D704" s="25" t="s">
        <v>871</v>
      </c>
      <c r="E704" s="19" t="s">
        <v>872</v>
      </c>
      <c r="F704" s="19"/>
      <c r="G704" s="24"/>
      <c r="H704" s="19"/>
      <c r="I704" s="26" t="s">
        <v>57</v>
      </c>
      <c r="J704" s="26" t="s">
        <v>57</v>
      </c>
      <c r="K704" s="24"/>
      <c r="L704" s="24" t="s">
        <v>3709</v>
      </c>
      <c r="M704" s="24" t="s">
        <v>5498</v>
      </c>
      <c r="N704" s="24"/>
      <c r="O704" s="26" t="s">
        <v>1979</v>
      </c>
      <c r="P704" s="24"/>
      <c r="Q704" s="24"/>
      <c r="R704" s="26"/>
      <c r="S704" s="26"/>
      <c r="T704" s="26"/>
      <c r="U704" s="24"/>
      <c r="V704" s="24"/>
      <c r="W704" s="24"/>
      <c r="X704" s="63"/>
      <c r="Y704" s="63"/>
      <c r="Z704" s="63"/>
      <c r="AA704" s="63"/>
      <c r="AB704" s="24"/>
      <c r="AC704" s="24"/>
    </row>
    <row r="705" spans="1:29" s="25" customFormat="1" x14ac:dyDescent="0.3">
      <c r="A705" s="24">
        <v>389</v>
      </c>
      <c r="B705" s="24" t="s">
        <v>2272</v>
      </c>
      <c r="C705" s="26">
        <v>215</v>
      </c>
      <c r="D705" s="25" t="s">
        <v>873</v>
      </c>
      <c r="E705" s="19" t="s">
        <v>874</v>
      </c>
      <c r="F705" s="19"/>
      <c r="G705" s="24"/>
      <c r="H705" s="19"/>
      <c r="I705" s="26" t="s">
        <v>57</v>
      </c>
      <c r="J705" s="26" t="s">
        <v>57</v>
      </c>
      <c r="K705" s="24"/>
      <c r="L705" s="24" t="s">
        <v>3711</v>
      </c>
      <c r="M705" s="24" t="s">
        <v>5499</v>
      </c>
      <c r="N705" s="24"/>
      <c r="O705" s="26"/>
      <c r="P705" s="24"/>
      <c r="Q705" s="24"/>
      <c r="R705" s="26"/>
      <c r="S705" s="26"/>
      <c r="T705" s="26"/>
      <c r="U705" s="24"/>
      <c r="V705" s="24"/>
      <c r="W705" s="24"/>
      <c r="X705" s="63"/>
      <c r="Y705" s="63"/>
      <c r="Z705" s="63"/>
      <c r="AA705" s="63"/>
      <c r="AB705" s="24"/>
      <c r="AC705" s="24"/>
    </row>
    <row r="706" spans="1:29" s="28" customFormat="1" x14ac:dyDescent="0.3">
      <c r="A706" s="27" t="s">
        <v>7485</v>
      </c>
      <c r="B706" s="27" t="s">
        <v>2273</v>
      </c>
      <c r="C706" s="29"/>
      <c r="D706" s="28" t="s">
        <v>4946</v>
      </c>
      <c r="E706" s="20" t="s">
        <v>874</v>
      </c>
      <c r="F706" s="20" t="s">
        <v>2595</v>
      </c>
      <c r="G706" s="27"/>
      <c r="H706" s="20"/>
      <c r="I706" s="29"/>
      <c r="J706" s="29"/>
      <c r="K706" s="27"/>
      <c r="L706" s="27"/>
      <c r="M706" s="27" t="s">
        <v>7486</v>
      </c>
      <c r="N706" s="27"/>
      <c r="O706" s="29" t="s">
        <v>7487</v>
      </c>
      <c r="P706" s="27"/>
      <c r="Q706" s="27"/>
      <c r="R706" s="29"/>
      <c r="S706" s="29"/>
      <c r="T706" s="29"/>
      <c r="U706" s="27"/>
      <c r="V706" s="27"/>
      <c r="W706" s="27"/>
      <c r="X706" s="64"/>
      <c r="Y706" s="64"/>
      <c r="Z706" s="64"/>
      <c r="AA706" s="64"/>
      <c r="AB706" s="27"/>
      <c r="AC706" s="27"/>
    </row>
    <row r="707" spans="1:29" s="28" customFormat="1" x14ac:dyDescent="0.3">
      <c r="A707" s="27" t="s">
        <v>7488</v>
      </c>
      <c r="B707" s="27" t="s">
        <v>2273</v>
      </c>
      <c r="C707" s="29"/>
      <c r="D707" s="28" t="s">
        <v>4946</v>
      </c>
      <c r="E707" s="20" t="s">
        <v>874</v>
      </c>
      <c r="F707" s="20" t="s">
        <v>2596</v>
      </c>
      <c r="G707" s="27"/>
      <c r="H707" s="20"/>
      <c r="I707" s="29"/>
      <c r="J707" s="29"/>
      <c r="K707" s="27"/>
      <c r="L707" s="27"/>
      <c r="M707" s="27" t="s">
        <v>6777</v>
      </c>
      <c r="N707" s="27"/>
      <c r="O707" s="29" t="s">
        <v>7489</v>
      </c>
      <c r="P707" s="27"/>
      <c r="Q707" s="27"/>
      <c r="R707" s="29"/>
      <c r="S707" s="29"/>
      <c r="T707" s="29"/>
      <c r="U707" s="27"/>
      <c r="V707" s="27"/>
      <c r="W707" s="27"/>
      <c r="X707" s="64"/>
      <c r="Y707" s="64"/>
      <c r="Z707" s="64"/>
      <c r="AA707" s="64"/>
      <c r="AB707" s="27"/>
      <c r="AC707" s="27"/>
    </row>
    <row r="708" spans="1:29" s="28" customFormat="1" x14ac:dyDescent="0.3">
      <c r="A708" s="27" t="s">
        <v>7490</v>
      </c>
      <c r="B708" s="27" t="s">
        <v>2273</v>
      </c>
      <c r="C708" s="29"/>
      <c r="D708" s="28" t="s">
        <v>4946</v>
      </c>
      <c r="E708" s="20" t="s">
        <v>874</v>
      </c>
      <c r="F708" s="20" t="s">
        <v>2597</v>
      </c>
      <c r="G708" s="27"/>
      <c r="H708" s="20"/>
      <c r="I708" s="29"/>
      <c r="J708" s="29"/>
      <c r="K708" s="27"/>
      <c r="L708" s="27"/>
      <c r="M708" s="27" t="s">
        <v>7491</v>
      </c>
      <c r="N708" s="27"/>
      <c r="O708" s="29" t="s">
        <v>7492</v>
      </c>
      <c r="P708" s="27"/>
      <c r="Q708" s="27"/>
      <c r="R708" s="29"/>
      <c r="S708" s="29"/>
      <c r="T708" s="29"/>
      <c r="U708" s="27"/>
      <c r="V708" s="27"/>
      <c r="W708" s="27"/>
      <c r="X708" s="64"/>
      <c r="Y708" s="64"/>
      <c r="Z708" s="64"/>
      <c r="AA708" s="64"/>
      <c r="AB708" s="27"/>
      <c r="AC708" s="27"/>
    </row>
    <row r="709" spans="1:29" s="25" customFormat="1" x14ac:dyDescent="0.3">
      <c r="A709" s="24">
        <v>390</v>
      </c>
      <c r="B709" s="24" t="s">
        <v>2272</v>
      </c>
      <c r="C709" s="26">
        <v>215</v>
      </c>
      <c r="D709" s="25" t="s">
        <v>876</v>
      </c>
      <c r="E709" s="19" t="s">
        <v>877</v>
      </c>
      <c r="F709" s="19"/>
      <c r="G709" s="24"/>
      <c r="H709" s="19"/>
      <c r="I709" s="26" t="s">
        <v>57</v>
      </c>
      <c r="J709" s="26" t="s">
        <v>57</v>
      </c>
      <c r="K709" s="24"/>
      <c r="L709" s="24" t="s">
        <v>3713</v>
      </c>
      <c r="M709" s="24" t="s">
        <v>5245</v>
      </c>
      <c r="N709" s="24"/>
      <c r="O709" s="26" t="s">
        <v>1982</v>
      </c>
      <c r="P709" s="24"/>
      <c r="Q709" s="24"/>
      <c r="R709" s="26"/>
      <c r="S709" s="26"/>
      <c r="T709" s="26"/>
      <c r="U709" s="24"/>
      <c r="V709" s="24"/>
      <c r="W709" s="24"/>
      <c r="X709" s="63"/>
      <c r="Y709" s="63"/>
      <c r="Z709" s="63"/>
      <c r="AA709" s="63"/>
      <c r="AB709" s="24"/>
      <c r="AC709" s="24"/>
    </row>
    <row r="710" spans="1:29" s="25" customFormat="1" x14ac:dyDescent="0.3">
      <c r="A710" s="24">
        <v>391</v>
      </c>
      <c r="B710" s="24" t="s">
        <v>2272</v>
      </c>
      <c r="C710" s="26">
        <v>217</v>
      </c>
      <c r="D710" s="25" t="s">
        <v>878</v>
      </c>
      <c r="E710" s="19" t="s">
        <v>879</v>
      </c>
      <c r="F710" s="19"/>
      <c r="G710" s="24"/>
      <c r="H710" s="19"/>
      <c r="I710" s="26" t="s">
        <v>57</v>
      </c>
      <c r="J710" s="26" t="s">
        <v>57</v>
      </c>
      <c r="K710" s="24"/>
      <c r="L710" s="24" t="s">
        <v>3715</v>
      </c>
      <c r="M710" s="24" t="s">
        <v>5485</v>
      </c>
      <c r="N710" s="24"/>
      <c r="O710" s="26" t="s">
        <v>1983</v>
      </c>
      <c r="P710" s="24"/>
      <c r="Q710" s="24"/>
      <c r="R710" s="26"/>
      <c r="S710" s="26"/>
      <c r="T710" s="26"/>
      <c r="U710" s="24"/>
      <c r="V710" s="24"/>
      <c r="W710" s="24"/>
      <c r="X710" s="63"/>
      <c r="Y710" s="63"/>
      <c r="Z710" s="63"/>
      <c r="AA710" s="63"/>
      <c r="AB710" s="24"/>
      <c r="AC710" s="24"/>
    </row>
    <row r="711" spans="1:29" s="25" customFormat="1" x14ac:dyDescent="0.3">
      <c r="A711" s="24">
        <v>392</v>
      </c>
      <c r="B711" s="24" t="s">
        <v>2272</v>
      </c>
      <c r="C711" s="26">
        <v>215</v>
      </c>
      <c r="D711" s="25" t="s">
        <v>880</v>
      </c>
      <c r="E711" s="19" t="s">
        <v>881</v>
      </c>
      <c r="F711" s="19"/>
      <c r="G711" s="24"/>
      <c r="H711" s="19"/>
      <c r="I711" s="26" t="s">
        <v>57</v>
      </c>
      <c r="J711" s="26" t="s">
        <v>57</v>
      </c>
      <c r="K711" s="24"/>
      <c r="L711" s="24" t="s">
        <v>3717</v>
      </c>
      <c r="M711" s="24" t="s">
        <v>5480</v>
      </c>
      <c r="N711" s="24"/>
      <c r="O711" s="26" t="s">
        <v>1984</v>
      </c>
      <c r="P711" s="24"/>
      <c r="Q711" s="24"/>
      <c r="R711" s="26"/>
      <c r="S711" s="26"/>
      <c r="T711" s="26"/>
      <c r="U711" s="24"/>
      <c r="V711" s="24"/>
      <c r="W711" s="24"/>
      <c r="X711" s="63"/>
      <c r="Y711" s="63"/>
      <c r="Z711" s="63"/>
      <c r="AA711" s="63"/>
      <c r="AB711" s="24"/>
      <c r="AC711" s="24"/>
    </row>
    <row r="712" spans="1:29" s="25" customFormat="1" x14ac:dyDescent="0.3">
      <c r="A712" s="24">
        <v>393</v>
      </c>
      <c r="B712" s="24" t="s">
        <v>2272</v>
      </c>
      <c r="C712" s="26">
        <v>217</v>
      </c>
      <c r="D712" s="25" t="s">
        <v>1985</v>
      </c>
      <c r="E712" s="19" t="s">
        <v>883</v>
      </c>
      <c r="F712" s="19"/>
      <c r="G712" s="24"/>
      <c r="H712" s="19"/>
      <c r="I712" s="26" t="s">
        <v>57</v>
      </c>
      <c r="J712" s="26" t="s">
        <v>57</v>
      </c>
      <c r="K712" s="24"/>
      <c r="L712" s="24" t="s">
        <v>3663</v>
      </c>
      <c r="M712" s="24" t="s">
        <v>5245</v>
      </c>
      <c r="N712" s="24"/>
      <c r="O712" s="26"/>
      <c r="P712" s="24"/>
      <c r="Q712" s="24"/>
      <c r="R712" s="26"/>
      <c r="S712" s="26"/>
      <c r="T712" s="26"/>
      <c r="U712" s="24"/>
      <c r="V712" s="24"/>
      <c r="W712" s="24"/>
      <c r="X712" s="63"/>
      <c r="Y712" s="63"/>
      <c r="Z712" s="63"/>
      <c r="AA712" s="63"/>
      <c r="AB712" s="24"/>
      <c r="AC712" s="24"/>
    </row>
    <row r="713" spans="1:29" s="28" customFormat="1" x14ac:dyDescent="0.3">
      <c r="A713" s="27" t="s">
        <v>7493</v>
      </c>
      <c r="B713" s="27" t="s">
        <v>2273</v>
      </c>
      <c r="C713" s="29"/>
      <c r="D713" s="28" t="s">
        <v>5755</v>
      </c>
      <c r="E713" s="20" t="s">
        <v>883</v>
      </c>
      <c r="F713" s="20" t="s">
        <v>2431</v>
      </c>
      <c r="G713" s="27"/>
      <c r="H713" s="20"/>
      <c r="I713" s="29"/>
      <c r="J713" s="29"/>
      <c r="K713" s="27"/>
      <c r="L713" s="27"/>
      <c r="M713" s="27" t="s">
        <v>6793</v>
      </c>
      <c r="N713" s="27"/>
      <c r="O713" s="29" t="s">
        <v>6894</v>
      </c>
      <c r="P713" s="27"/>
      <c r="Q713" s="27"/>
      <c r="R713" s="29"/>
      <c r="S713" s="29"/>
      <c r="T713" s="29"/>
      <c r="U713" s="27"/>
      <c r="V713" s="27"/>
      <c r="W713" s="27"/>
      <c r="X713" s="64"/>
      <c r="Y713" s="64"/>
      <c r="Z713" s="64"/>
      <c r="AA713" s="64"/>
      <c r="AB713" s="27"/>
      <c r="AC713" s="27"/>
    </row>
    <row r="714" spans="1:29" s="28" customFormat="1" x14ac:dyDescent="0.3">
      <c r="A714" s="27" t="s">
        <v>7494</v>
      </c>
      <c r="B714" s="27" t="s">
        <v>2273</v>
      </c>
      <c r="C714" s="29"/>
      <c r="D714" s="28" t="s">
        <v>5755</v>
      </c>
      <c r="E714" s="20" t="s">
        <v>883</v>
      </c>
      <c r="F714" s="20" t="s">
        <v>2598</v>
      </c>
      <c r="G714" s="27"/>
      <c r="H714" s="20"/>
      <c r="I714" s="29"/>
      <c r="J714" s="29"/>
      <c r="K714" s="27"/>
      <c r="L714" s="27"/>
      <c r="M714" s="27" t="s">
        <v>7495</v>
      </c>
      <c r="N714" s="27"/>
      <c r="O714" s="29" t="s">
        <v>7496</v>
      </c>
      <c r="P714" s="27"/>
      <c r="Q714" s="27"/>
      <c r="R714" s="29"/>
      <c r="S714" s="29"/>
      <c r="T714" s="29"/>
      <c r="U714" s="27"/>
      <c r="V714" s="27"/>
      <c r="W714" s="27"/>
      <c r="X714" s="64"/>
      <c r="Y714" s="64"/>
      <c r="Z714" s="64"/>
      <c r="AA714" s="64"/>
      <c r="AB714" s="27"/>
      <c r="AC714" s="27"/>
    </row>
    <row r="715" spans="1:29" s="28" customFormat="1" x14ac:dyDescent="0.3">
      <c r="A715" s="27" t="s">
        <v>6302</v>
      </c>
      <c r="B715" s="27" t="s">
        <v>2273</v>
      </c>
      <c r="C715" s="29"/>
      <c r="D715" s="28" t="s">
        <v>5755</v>
      </c>
      <c r="E715" s="20" t="s">
        <v>883</v>
      </c>
      <c r="F715" s="20" t="s">
        <v>2719</v>
      </c>
      <c r="G715" s="27"/>
      <c r="H715" s="20"/>
      <c r="I715" s="29"/>
      <c r="J715" s="29"/>
      <c r="K715" s="27"/>
      <c r="L715" s="27"/>
      <c r="M715" s="27" t="s">
        <v>7255</v>
      </c>
      <c r="N715" s="27"/>
      <c r="O715" s="29" t="s">
        <v>7497</v>
      </c>
      <c r="P715" s="27"/>
      <c r="Q715" s="27"/>
      <c r="R715" s="29"/>
      <c r="S715" s="29"/>
      <c r="T715" s="29"/>
      <c r="U715" s="27"/>
      <c r="V715" s="27"/>
      <c r="W715" s="27"/>
      <c r="X715" s="64"/>
      <c r="Y715" s="64"/>
      <c r="Z715" s="64"/>
      <c r="AA715" s="64"/>
      <c r="AB715" s="27"/>
      <c r="AC715" s="27"/>
    </row>
    <row r="716" spans="1:29" s="25" customFormat="1" x14ac:dyDescent="0.3">
      <c r="A716" s="24">
        <v>394</v>
      </c>
      <c r="B716" s="24" t="s">
        <v>2272</v>
      </c>
      <c r="C716" s="26">
        <v>217</v>
      </c>
      <c r="D716" s="25" t="s">
        <v>2599</v>
      </c>
      <c r="E716" s="19" t="s">
        <v>2600</v>
      </c>
      <c r="F716" s="19"/>
      <c r="G716" s="24"/>
      <c r="H716" s="19"/>
      <c r="I716" s="26" t="s">
        <v>57</v>
      </c>
      <c r="J716" s="26" t="s">
        <v>57</v>
      </c>
      <c r="K716" s="24"/>
      <c r="L716" s="24" t="s">
        <v>4606</v>
      </c>
      <c r="M716" s="24" t="s">
        <v>5501</v>
      </c>
      <c r="N716" s="24"/>
      <c r="O716" s="26" t="s">
        <v>5502</v>
      </c>
      <c r="P716" s="24"/>
      <c r="Q716" s="24"/>
      <c r="R716" s="26"/>
      <c r="S716" s="26"/>
      <c r="T716" s="26"/>
      <c r="U716" s="24"/>
      <c r="V716" s="24"/>
      <c r="W716" s="24"/>
      <c r="X716" s="63"/>
      <c r="Y716" s="63"/>
      <c r="Z716" s="63"/>
      <c r="AA716" s="63"/>
      <c r="AB716" s="24"/>
      <c r="AC716" s="24"/>
    </row>
    <row r="717" spans="1:29" s="25" customFormat="1" x14ac:dyDescent="0.3">
      <c r="A717" s="24">
        <v>395</v>
      </c>
      <c r="B717" s="24" t="s">
        <v>2272</v>
      </c>
      <c r="C717" s="26">
        <v>217</v>
      </c>
      <c r="D717" s="25" t="s">
        <v>884</v>
      </c>
      <c r="E717" s="19" t="s">
        <v>885</v>
      </c>
      <c r="F717" s="19"/>
      <c r="G717" s="24"/>
      <c r="H717" s="19"/>
      <c r="I717" s="26" t="s">
        <v>37</v>
      </c>
      <c r="J717" s="26" t="s">
        <v>37</v>
      </c>
      <c r="K717" s="24"/>
      <c r="L717" s="24" t="s">
        <v>3720</v>
      </c>
      <c r="M717" s="24" t="s">
        <v>84</v>
      </c>
      <c r="N717" s="24"/>
      <c r="O717" s="26"/>
      <c r="P717" s="24"/>
      <c r="Q717" s="24"/>
      <c r="R717" s="26"/>
      <c r="S717" s="26"/>
      <c r="T717" s="26"/>
      <c r="U717" s="24"/>
      <c r="V717" s="24"/>
      <c r="W717" s="24"/>
      <c r="X717" s="63"/>
      <c r="Y717" s="63"/>
      <c r="Z717" s="63"/>
      <c r="AA717" s="63"/>
      <c r="AB717" s="24"/>
      <c r="AC717" s="24"/>
    </row>
    <row r="718" spans="1:29" s="28" customFormat="1" x14ac:dyDescent="0.3">
      <c r="A718" s="27" t="s">
        <v>6303</v>
      </c>
      <c r="B718" s="27" t="s">
        <v>2273</v>
      </c>
      <c r="C718" s="29"/>
      <c r="D718" s="28" t="s">
        <v>4947</v>
      </c>
      <c r="E718" s="20" t="s">
        <v>885</v>
      </c>
      <c r="F718" s="20" t="s">
        <v>2601</v>
      </c>
      <c r="G718" s="27"/>
      <c r="H718" s="20"/>
      <c r="I718" s="29"/>
      <c r="J718" s="29"/>
      <c r="K718" s="27"/>
      <c r="L718" s="27"/>
      <c r="M718" s="27" t="s">
        <v>7498</v>
      </c>
      <c r="N718" s="27"/>
      <c r="O718" s="29" t="s">
        <v>7499</v>
      </c>
      <c r="P718" s="27"/>
      <c r="Q718" s="27"/>
      <c r="R718" s="29"/>
      <c r="S718" s="29"/>
      <c r="T718" s="29"/>
      <c r="U718" s="27"/>
      <c r="V718" s="27"/>
      <c r="W718" s="27"/>
      <c r="X718" s="64"/>
      <c r="Y718" s="64"/>
      <c r="Z718" s="64"/>
      <c r="AA718" s="64"/>
      <c r="AB718" s="27"/>
      <c r="AC718" s="27"/>
    </row>
    <row r="719" spans="1:29" s="25" customFormat="1" x14ac:dyDescent="0.3">
      <c r="A719" s="24">
        <v>396</v>
      </c>
      <c r="B719" s="24" t="s">
        <v>2272</v>
      </c>
      <c r="C719" s="26">
        <v>221</v>
      </c>
      <c r="D719" s="25" t="s">
        <v>887</v>
      </c>
      <c r="E719" s="19" t="s">
        <v>888</v>
      </c>
      <c r="F719" s="19"/>
      <c r="G719" s="24"/>
      <c r="H719" s="19"/>
      <c r="I719" s="26" t="s">
        <v>57</v>
      </c>
      <c r="J719" s="26" t="s">
        <v>57</v>
      </c>
      <c r="K719" s="24"/>
      <c r="L719" s="24" t="s">
        <v>3722</v>
      </c>
      <c r="M719" s="24" t="s">
        <v>5276</v>
      </c>
      <c r="N719" s="24"/>
      <c r="O719" s="26"/>
      <c r="P719" s="24"/>
      <c r="Q719" s="24"/>
      <c r="R719" s="26"/>
      <c r="S719" s="26"/>
      <c r="T719" s="26"/>
      <c r="U719" s="24"/>
      <c r="V719" s="24"/>
      <c r="W719" s="24"/>
      <c r="X719" s="63"/>
      <c r="Y719" s="63"/>
      <c r="Z719" s="63"/>
      <c r="AA719" s="63"/>
      <c r="AB719" s="24"/>
      <c r="AC719" s="24"/>
    </row>
    <row r="720" spans="1:29" s="28" customFormat="1" x14ac:dyDescent="0.3">
      <c r="A720" s="27" t="s">
        <v>7500</v>
      </c>
      <c r="B720" s="27" t="s">
        <v>2273</v>
      </c>
      <c r="C720" s="29"/>
      <c r="D720" s="28" t="s">
        <v>4948</v>
      </c>
      <c r="E720" s="20" t="s">
        <v>888</v>
      </c>
      <c r="F720" s="20" t="s">
        <v>2602</v>
      </c>
      <c r="G720" s="27"/>
      <c r="H720" s="20"/>
      <c r="I720" s="29"/>
      <c r="J720" s="29"/>
      <c r="K720" s="27"/>
      <c r="L720" s="27"/>
      <c r="M720" s="27" t="s">
        <v>7501</v>
      </c>
      <c r="N720" s="27"/>
      <c r="O720" s="29" t="s">
        <v>7502</v>
      </c>
      <c r="P720" s="27"/>
      <c r="Q720" s="27"/>
      <c r="R720" s="29"/>
      <c r="S720" s="29"/>
      <c r="T720" s="29"/>
      <c r="U720" s="27"/>
      <c r="V720" s="27"/>
      <c r="W720" s="27"/>
      <c r="X720" s="64"/>
      <c r="Y720" s="64"/>
      <c r="Z720" s="64"/>
      <c r="AA720" s="64"/>
      <c r="AB720" s="27"/>
      <c r="AC720" s="27"/>
    </row>
    <row r="721" spans="1:29" s="28" customFormat="1" x14ac:dyDescent="0.3">
      <c r="A721" s="27" t="s">
        <v>6304</v>
      </c>
      <c r="B721" s="27" t="s">
        <v>2273</v>
      </c>
      <c r="C721" s="29"/>
      <c r="D721" s="28" t="s">
        <v>4948</v>
      </c>
      <c r="E721" s="20" t="s">
        <v>888</v>
      </c>
      <c r="F721" s="20" t="s">
        <v>2434</v>
      </c>
      <c r="G721" s="27"/>
      <c r="H721" s="20"/>
      <c r="I721" s="29"/>
      <c r="J721" s="29"/>
      <c r="K721" s="27"/>
      <c r="L721" s="27"/>
      <c r="M721" s="27" t="s">
        <v>7503</v>
      </c>
      <c r="N721" s="27"/>
      <c r="O721" s="29" t="s">
        <v>7504</v>
      </c>
      <c r="P721" s="27"/>
      <c r="Q721" s="27"/>
      <c r="R721" s="29"/>
      <c r="S721" s="29"/>
      <c r="T721" s="29"/>
      <c r="U721" s="27"/>
      <c r="V721" s="27"/>
      <c r="W721" s="27"/>
      <c r="X721" s="64"/>
      <c r="Y721" s="64"/>
      <c r="Z721" s="64"/>
      <c r="AA721" s="64"/>
      <c r="AB721" s="27"/>
      <c r="AC721" s="27"/>
    </row>
    <row r="722" spans="1:29" s="25" customFormat="1" x14ac:dyDescent="0.3">
      <c r="A722" s="24">
        <v>397</v>
      </c>
      <c r="B722" s="24" t="s">
        <v>2272</v>
      </c>
      <c r="C722" s="26">
        <v>221</v>
      </c>
      <c r="D722" s="25" t="s">
        <v>889</v>
      </c>
      <c r="E722" s="19" t="s">
        <v>890</v>
      </c>
      <c r="F722" s="19"/>
      <c r="G722" s="24"/>
      <c r="H722" s="19"/>
      <c r="I722" s="26" t="s">
        <v>89</v>
      </c>
      <c r="J722" s="26" t="s">
        <v>37</v>
      </c>
      <c r="K722" s="24"/>
      <c r="L722" s="24" t="s">
        <v>3724</v>
      </c>
      <c r="M722" s="24" t="s">
        <v>5505</v>
      </c>
      <c r="N722" s="24" t="s">
        <v>1759</v>
      </c>
      <c r="O722" s="26"/>
      <c r="P722" s="24"/>
      <c r="Q722" s="24"/>
      <c r="R722" s="26"/>
      <c r="S722" s="26"/>
      <c r="T722" s="26"/>
      <c r="U722" s="24"/>
      <c r="V722" s="24"/>
      <c r="W722" s="24"/>
      <c r="X722" s="63"/>
      <c r="Y722" s="63"/>
      <c r="Z722" s="63"/>
      <c r="AA722" s="63"/>
      <c r="AB722" s="24"/>
      <c r="AC722" s="24"/>
    </row>
    <row r="723" spans="1:29" s="28" customFormat="1" x14ac:dyDescent="0.3">
      <c r="A723" s="27" t="s">
        <v>7505</v>
      </c>
      <c r="B723" s="27" t="s">
        <v>2273</v>
      </c>
      <c r="C723" s="29">
        <v>221</v>
      </c>
      <c r="D723" s="28" t="s">
        <v>4949</v>
      </c>
      <c r="E723" s="20" t="s">
        <v>890</v>
      </c>
      <c r="F723" s="20" t="s">
        <v>2603</v>
      </c>
      <c r="G723" s="27"/>
      <c r="H723" s="20" t="s">
        <v>4607</v>
      </c>
      <c r="I723" s="29"/>
      <c r="J723" s="29" t="s">
        <v>37</v>
      </c>
      <c r="K723" s="27"/>
      <c r="L723" s="27" t="s">
        <v>3724</v>
      </c>
      <c r="M723" s="27" t="s">
        <v>7506</v>
      </c>
      <c r="N723" s="27" t="s">
        <v>7507</v>
      </c>
      <c r="O723" s="29" t="s">
        <v>7508</v>
      </c>
      <c r="P723" s="27"/>
      <c r="Q723" s="27"/>
      <c r="R723" s="29"/>
      <c r="S723" s="29"/>
      <c r="T723" s="29"/>
      <c r="U723" s="27"/>
      <c r="V723" s="27"/>
      <c r="W723" s="27"/>
      <c r="X723" s="64"/>
      <c r="Y723" s="64"/>
      <c r="Z723" s="64"/>
      <c r="AA723" s="64"/>
      <c r="AB723" s="27"/>
      <c r="AC723" s="27"/>
    </row>
    <row r="724" spans="1:29" s="25" customFormat="1" x14ac:dyDescent="0.3">
      <c r="A724" s="24">
        <v>398</v>
      </c>
      <c r="B724" s="24" t="s">
        <v>2272</v>
      </c>
      <c r="C724" s="26">
        <v>221</v>
      </c>
      <c r="D724" s="25" t="s">
        <v>891</v>
      </c>
      <c r="E724" s="19" t="s">
        <v>892</v>
      </c>
      <c r="F724" s="19"/>
      <c r="G724" s="24"/>
      <c r="H724" s="19"/>
      <c r="I724" s="26" t="s">
        <v>37</v>
      </c>
      <c r="J724" s="26" t="s">
        <v>37</v>
      </c>
      <c r="K724" s="24" t="s">
        <v>5507</v>
      </c>
      <c r="L724" s="24" t="s">
        <v>8566</v>
      </c>
      <c r="M724" s="24" t="s">
        <v>5506</v>
      </c>
      <c r="N724" s="24"/>
      <c r="O724" s="26"/>
      <c r="P724" s="24" t="s">
        <v>6436</v>
      </c>
      <c r="Q724" s="24"/>
      <c r="R724" s="26"/>
      <c r="S724" s="26"/>
      <c r="T724" s="26"/>
      <c r="U724" s="24"/>
      <c r="V724" s="24"/>
      <c r="W724" s="24"/>
      <c r="X724" s="63"/>
      <c r="Y724" s="63"/>
      <c r="Z724" s="63"/>
      <c r="AA724" s="63"/>
      <c r="AB724" s="24"/>
      <c r="AC724" s="24"/>
    </row>
    <row r="725" spans="1:29" s="28" customFormat="1" x14ac:dyDescent="0.3">
      <c r="A725" s="27" t="s">
        <v>7509</v>
      </c>
      <c r="B725" s="27" t="s">
        <v>2273</v>
      </c>
      <c r="C725" s="29"/>
      <c r="D725" s="28" t="s">
        <v>4950</v>
      </c>
      <c r="E725" s="20" t="s">
        <v>892</v>
      </c>
      <c r="F725" s="20" t="s">
        <v>2604</v>
      </c>
      <c r="G725" s="27"/>
      <c r="H725" s="20"/>
      <c r="I725" s="29"/>
      <c r="J725" s="29"/>
      <c r="K725" s="27"/>
      <c r="L725" s="27"/>
      <c r="M725" s="27" t="s">
        <v>7510</v>
      </c>
      <c r="N725" s="27"/>
      <c r="O725" s="29" t="s">
        <v>7511</v>
      </c>
      <c r="P725" s="27"/>
      <c r="Q725" s="27"/>
      <c r="R725" s="29"/>
      <c r="S725" s="29"/>
      <c r="T725" s="29"/>
      <c r="U725" s="27"/>
      <c r="V725" s="27"/>
      <c r="W725" s="27"/>
      <c r="X725" s="64"/>
      <c r="Y725" s="64"/>
      <c r="Z725" s="64"/>
      <c r="AA725" s="64"/>
      <c r="AB725" s="27"/>
      <c r="AC725" s="27"/>
    </row>
    <row r="726" spans="1:29" s="25" customFormat="1" x14ac:dyDescent="0.3">
      <c r="A726" s="24">
        <v>399</v>
      </c>
      <c r="B726" s="24" t="s">
        <v>2272</v>
      </c>
      <c r="C726" s="26">
        <v>221</v>
      </c>
      <c r="D726" s="25" t="s">
        <v>893</v>
      </c>
      <c r="E726" s="19" t="s">
        <v>894</v>
      </c>
      <c r="F726" s="19"/>
      <c r="G726" s="24"/>
      <c r="H726" s="19"/>
      <c r="I726" s="26" t="s">
        <v>49</v>
      </c>
      <c r="J726" s="26" t="s">
        <v>5121</v>
      </c>
      <c r="K726" s="24" t="s">
        <v>49</v>
      </c>
      <c r="L726" s="24" t="s">
        <v>3083</v>
      </c>
      <c r="M726" s="24" t="s">
        <v>5221</v>
      </c>
      <c r="N726" s="24" t="s">
        <v>4405</v>
      </c>
      <c r="O726" s="26" t="s">
        <v>1987</v>
      </c>
      <c r="P726" s="24" t="s">
        <v>6437</v>
      </c>
      <c r="Q726" s="24"/>
      <c r="R726" s="26"/>
      <c r="S726" s="26"/>
      <c r="T726" s="26"/>
      <c r="U726" s="24"/>
      <c r="V726" s="24"/>
      <c r="W726" s="24"/>
      <c r="X726" s="63"/>
      <c r="Y726" s="63"/>
      <c r="Z726" s="63"/>
      <c r="AA726" s="63"/>
      <c r="AB726" s="24"/>
      <c r="AC726" s="24"/>
    </row>
    <row r="727" spans="1:29" s="25" customFormat="1" x14ac:dyDescent="0.3">
      <c r="A727" s="24">
        <v>400</v>
      </c>
      <c r="B727" s="24" t="s">
        <v>2272</v>
      </c>
      <c r="C727" s="26">
        <v>221</v>
      </c>
      <c r="D727" s="25" t="s">
        <v>895</v>
      </c>
      <c r="E727" s="19" t="s">
        <v>896</v>
      </c>
      <c r="F727" s="19"/>
      <c r="G727" s="24"/>
      <c r="H727" s="19"/>
      <c r="I727" s="26" t="s">
        <v>49</v>
      </c>
      <c r="J727" s="26" t="s">
        <v>5121</v>
      </c>
      <c r="K727" s="24" t="s">
        <v>49</v>
      </c>
      <c r="L727" s="24" t="s">
        <v>3728</v>
      </c>
      <c r="M727" s="24" t="s">
        <v>5200</v>
      </c>
      <c r="N727" s="24" t="s">
        <v>1988</v>
      </c>
      <c r="O727" s="26"/>
      <c r="P727" s="24" t="s">
        <v>6438</v>
      </c>
      <c r="Q727" s="24"/>
      <c r="R727" s="26"/>
      <c r="S727" s="26"/>
      <c r="T727" s="26"/>
      <c r="U727" s="24"/>
      <c r="V727" s="24"/>
      <c r="W727" s="24"/>
      <c r="X727" s="63"/>
      <c r="Y727" s="63"/>
      <c r="Z727" s="63"/>
      <c r="AA727" s="63"/>
      <c r="AB727" s="24"/>
      <c r="AC727" s="24"/>
    </row>
    <row r="728" spans="1:29" s="28" customFormat="1" x14ac:dyDescent="0.3">
      <c r="A728" s="27" t="s">
        <v>7512</v>
      </c>
      <c r="B728" s="27" t="s">
        <v>2273</v>
      </c>
      <c r="C728" s="29"/>
      <c r="D728" s="28" t="s">
        <v>4951</v>
      </c>
      <c r="E728" s="20" t="s">
        <v>896</v>
      </c>
      <c r="F728" s="20" t="s">
        <v>2328</v>
      </c>
      <c r="G728" s="27"/>
      <c r="H728" s="20"/>
      <c r="I728" s="29"/>
      <c r="J728" s="29"/>
      <c r="K728" s="27"/>
      <c r="L728" s="27"/>
      <c r="M728" s="27" t="s">
        <v>7513</v>
      </c>
      <c r="N728" s="27" t="s">
        <v>7514</v>
      </c>
      <c r="O728" s="29" t="s">
        <v>7515</v>
      </c>
      <c r="P728" s="27"/>
      <c r="Q728" s="27"/>
      <c r="R728" s="29"/>
      <c r="S728" s="29"/>
      <c r="T728" s="29"/>
      <c r="U728" s="27"/>
      <c r="V728" s="27"/>
      <c r="W728" s="27"/>
      <c r="X728" s="64"/>
      <c r="Y728" s="64"/>
      <c r="Z728" s="64"/>
      <c r="AA728" s="64"/>
      <c r="AB728" s="27"/>
      <c r="AC728" s="27"/>
    </row>
    <row r="729" spans="1:29" s="25" customFormat="1" x14ac:dyDescent="0.3">
      <c r="A729" s="24">
        <v>401</v>
      </c>
      <c r="B729" s="24" t="s">
        <v>2272</v>
      </c>
      <c r="C729" s="26">
        <v>223</v>
      </c>
      <c r="D729" s="25" t="s">
        <v>897</v>
      </c>
      <c r="E729" s="19" t="s">
        <v>898</v>
      </c>
      <c r="F729" s="19"/>
      <c r="G729" s="24"/>
      <c r="H729" s="19"/>
      <c r="I729" s="26" t="s">
        <v>49</v>
      </c>
      <c r="J729" s="26" t="s">
        <v>5121</v>
      </c>
      <c r="K729" s="24" t="s">
        <v>49</v>
      </c>
      <c r="L729" s="24" t="s">
        <v>3730</v>
      </c>
      <c r="M729" s="24" t="s">
        <v>5218</v>
      </c>
      <c r="N729" s="24" t="s">
        <v>1989</v>
      </c>
      <c r="O729" s="26"/>
      <c r="P729" s="24" t="s">
        <v>6560</v>
      </c>
      <c r="Q729" s="24"/>
      <c r="R729" s="26"/>
      <c r="S729" s="26"/>
      <c r="T729" s="26"/>
      <c r="U729" s="24"/>
      <c r="V729" s="24"/>
      <c r="W729" s="24"/>
      <c r="X729" s="63"/>
      <c r="Y729" s="63"/>
      <c r="Z729" s="63"/>
      <c r="AA729" s="63"/>
      <c r="AB729" s="24"/>
      <c r="AC729" s="24"/>
    </row>
    <row r="730" spans="1:29" s="28" customFormat="1" x14ac:dyDescent="0.3">
      <c r="A730" s="27" t="s">
        <v>7516</v>
      </c>
      <c r="B730" s="27" t="s">
        <v>2273</v>
      </c>
      <c r="C730" s="29"/>
      <c r="D730" s="28" t="s">
        <v>4952</v>
      </c>
      <c r="E730" s="20" t="s">
        <v>898</v>
      </c>
      <c r="F730" s="20" t="s">
        <v>2605</v>
      </c>
      <c r="G730" s="27"/>
      <c r="H730" s="20"/>
      <c r="I730" s="29"/>
      <c r="J730" s="29"/>
      <c r="K730" s="27"/>
      <c r="L730" s="27"/>
      <c r="M730" s="27" t="s">
        <v>7517</v>
      </c>
      <c r="N730" s="27" t="s">
        <v>7518</v>
      </c>
      <c r="O730" s="29" t="s">
        <v>7519</v>
      </c>
      <c r="P730" s="27"/>
      <c r="Q730" s="27"/>
      <c r="R730" s="29"/>
      <c r="S730" s="29"/>
      <c r="T730" s="29"/>
      <c r="U730" s="27"/>
      <c r="V730" s="27"/>
      <c r="W730" s="27"/>
      <c r="X730" s="64"/>
      <c r="Y730" s="64"/>
      <c r="Z730" s="64"/>
      <c r="AA730" s="64"/>
      <c r="AB730" s="27"/>
      <c r="AC730" s="27"/>
    </row>
    <row r="731" spans="1:29" s="25" customFormat="1" x14ac:dyDescent="0.3">
      <c r="A731" s="24">
        <v>402</v>
      </c>
      <c r="B731" s="24" t="s">
        <v>2272</v>
      </c>
      <c r="C731" s="26">
        <v>223</v>
      </c>
      <c r="D731" s="25" t="s">
        <v>899</v>
      </c>
      <c r="E731" s="19" t="s">
        <v>900</v>
      </c>
      <c r="F731" s="19"/>
      <c r="G731" s="24"/>
      <c r="H731" s="19"/>
      <c r="I731" s="26" t="s">
        <v>37</v>
      </c>
      <c r="J731" s="26" t="s">
        <v>37</v>
      </c>
      <c r="K731" s="24"/>
      <c r="L731" s="24" t="s">
        <v>3732</v>
      </c>
      <c r="M731" s="24" t="s">
        <v>5508</v>
      </c>
      <c r="N731" s="24"/>
      <c r="O731" s="26" t="s">
        <v>1990</v>
      </c>
      <c r="P731" s="24" t="s">
        <v>6561</v>
      </c>
      <c r="Q731" s="24"/>
      <c r="R731" s="26"/>
      <c r="S731" s="26"/>
      <c r="T731" s="26"/>
      <c r="U731" s="24"/>
      <c r="V731" s="24"/>
      <c r="W731" s="24"/>
      <c r="X731" s="63"/>
      <c r="Y731" s="63"/>
      <c r="Z731" s="63"/>
      <c r="AA731" s="63"/>
      <c r="AB731" s="24"/>
      <c r="AC731" s="24"/>
    </row>
    <row r="732" spans="1:29" s="25" customFormat="1" x14ac:dyDescent="0.3">
      <c r="A732" s="24">
        <v>403</v>
      </c>
      <c r="B732" s="24" t="s">
        <v>2272</v>
      </c>
      <c r="C732" s="26">
        <v>223</v>
      </c>
      <c r="D732" s="25" t="s">
        <v>901</v>
      </c>
      <c r="E732" s="19" t="s">
        <v>902</v>
      </c>
      <c r="F732" s="19"/>
      <c r="G732" s="24"/>
      <c r="H732" s="19"/>
      <c r="I732" s="26" t="s">
        <v>346</v>
      </c>
      <c r="J732" s="26" t="s">
        <v>37</v>
      </c>
      <c r="K732" s="24"/>
      <c r="L732" s="24" t="s">
        <v>3734</v>
      </c>
      <c r="M732" s="24" t="s">
        <v>242</v>
      </c>
      <c r="N732" s="24"/>
      <c r="O732" s="26"/>
      <c r="P732" s="24"/>
      <c r="Q732" s="24"/>
      <c r="R732" s="26"/>
      <c r="S732" s="26"/>
      <c r="T732" s="26"/>
      <c r="U732" s="24"/>
      <c r="V732" s="24"/>
      <c r="W732" s="24"/>
      <c r="X732" s="63"/>
      <c r="Y732" s="63"/>
      <c r="Z732" s="63"/>
      <c r="AA732" s="63"/>
      <c r="AB732" s="24"/>
      <c r="AC732" s="24"/>
    </row>
    <row r="733" spans="1:29" s="28" customFormat="1" x14ac:dyDescent="0.3">
      <c r="A733" s="27" t="s">
        <v>7520</v>
      </c>
      <c r="B733" s="27" t="s">
        <v>2273</v>
      </c>
      <c r="C733" s="29"/>
      <c r="D733" s="28" t="s">
        <v>4953</v>
      </c>
      <c r="E733" s="20" t="s">
        <v>902</v>
      </c>
      <c r="F733" s="20" t="s">
        <v>2606</v>
      </c>
      <c r="G733" s="27"/>
      <c r="H733" s="20"/>
      <c r="I733" s="29"/>
      <c r="J733" s="29"/>
      <c r="K733" s="27"/>
      <c r="L733" s="27"/>
      <c r="M733" s="27" t="s">
        <v>7521</v>
      </c>
      <c r="N733" s="27" t="s">
        <v>7522</v>
      </c>
      <c r="O733" s="29" t="s">
        <v>7523</v>
      </c>
      <c r="P733" s="27"/>
      <c r="Q733" s="27"/>
      <c r="R733" s="29"/>
      <c r="S733" s="29"/>
      <c r="T733" s="29"/>
      <c r="U733" s="27"/>
      <c r="V733" s="27"/>
      <c r="W733" s="27"/>
      <c r="X733" s="64"/>
      <c r="Y733" s="64"/>
      <c r="Z733" s="64"/>
      <c r="AA733" s="64"/>
      <c r="AB733" s="27"/>
      <c r="AC733" s="27"/>
    </row>
    <row r="734" spans="1:29" s="28" customFormat="1" x14ac:dyDescent="0.3">
      <c r="A734" s="27" t="s">
        <v>7524</v>
      </c>
      <c r="B734" s="27" t="s">
        <v>2273</v>
      </c>
      <c r="C734" s="29"/>
      <c r="D734" s="28" t="s">
        <v>4953</v>
      </c>
      <c r="E734" s="20" t="s">
        <v>902</v>
      </c>
      <c r="F734" s="20" t="s">
        <v>2607</v>
      </c>
      <c r="G734" s="27"/>
      <c r="H734" s="20"/>
      <c r="I734" s="29"/>
      <c r="J734" s="29"/>
      <c r="K734" s="27"/>
      <c r="L734" s="27"/>
      <c r="M734" s="27" t="s">
        <v>7525</v>
      </c>
      <c r="N734" s="27"/>
      <c r="O734" s="29" t="s">
        <v>7526</v>
      </c>
      <c r="P734" s="27"/>
      <c r="Q734" s="27"/>
      <c r="R734" s="29"/>
      <c r="S734" s="29"/>
      <c r="T734" s="29"/>
      <c r="U734" s="27"/>
      <c r="V734" s="27"/>
      <c r="W734" s="27"/>
      <c r="X734" s="64"/>
      <c r="Y734" s="64"/>
      <c r="Z734" s="64"/>
      <c r="AA734" s="64"/>
      <c r="AB734" s="27"/>
      <c r="AC734" s="27"/>
    </row>
    <row r="735" spans="1:29" s="25" customFormat="1" x14ac:dyDescent="0.3">
      <c r="A735" s="24">
        <v>404</v>
      </c>
      <c r="B735" s="24" t="s">
        <v>2272</v>
      </c>
      <c r="C735" s="26">
        <v>223</v>
      </c>
      <c r="D735" s="25" t="s">
        <v>905</v>
      </c>
      <c r="E735" s="19" t="s">
        <v>906</v>
      </c>
      <c r="F735" s="19"/>
      <c r="G735" s="24" t="s">
        <v>1992</v>
      </c>
      <c r="H735" s="19"/>
      <c r="I735" s="26" t="s">
        <v>57</v>
      </c>
      <c r="J735" s="26" t="s">
        <v>57</v>
      </c>
      <c r="K735" s="24" t="s">
        <v>3031</v>
      </c>
      <c r="L735" s="24" t="s">
        <v>3736</v>
      </c>
      <c r="M735" s="24" t="s">
        <v>5509</v>
      </c>
      <c r="N735" s="24"/>
      <c r="O735" s="26" t="s">
        <v>1991</v>
      </c>
      <c r="P735" s="24"/>
      <c r="Q735" s="24"/>
      <c r="R735" s="26"/>
      <c r="S735" s="26"/>
      <c r="T735" s="26"/>
      <c r="U735" s="24"/>
      <c r="V735" s="24"/>
      <c r="W735" s="24"/>
      <c r="X735" s="63"/>
      <c r="Y735" s="63"/>
      <c r="Z735" s="63"/>
      <c r="AA735" s="63"/>
      <c r="AB735" s="24"/>
      <c r="AC735" s="24"/>
    </row>
    <row r="736" spans="1:29" s="25" customFormat="1" x14ac:dyDescent="0.3">
      <c r="A736" s="24">
        <v>405</v>
      </c>
      <c r="B736" s="24" t="s">
        <v>2272</v>
      </c>
      <c r="C736" s="26">
        <v>227</v>
      </c>
      <c r="D736" s="25" t="s">
        <v>909</v>
      </c>
      <c r="E736" s="19" t="s">
        <v>910</v>
      </c>
      <c r="F736" s="19"/>
      <c r="G736" s="24" t="s">
        <v>1995</v>
      </c>
      <c r="H736" s="19"/>
      <c r="I736" s="26" t="s">
        <v>57</v>
      </c>
      <c r="J736" s="26" t="s">
        <v>57</v>
      </c>
      <c r="K736" s="24"/>
      <c r="L736" s="24" t="s">
        <v>3676</v>
      </c>
      <c r="M736" s="24" t="s">
        <v>5470</v>
      </c>
      <c r="N736" s="24"/>
      <c r="O736" s="26" t="s">
        <v>1993</v>
      </c>
      <c r="P736" s="24"/>
      <c r="Q736" s="24"/>
      <c r="R736" s="26"/>
      <c r="S736" s="26"/>
      <c r="T736" s="26"/>
      <c r="U736" s="24"/>
      <c r="V736" s="24"/>
      <c r="W736" s="24"/>
      <c r="X736" s="63"/>
      <c r="Y736" s="63"/>
      <c r="Z736" s="63"/>
      <c r="AA736" s="63"/>
      <c r="AB736" s="24"/>
      <c r="AC736" s="24"/>
    </row>
    <row r="737" spans="1:29" s="28" customFormat="1" x14ac:dyDescent="0.3">
      <c r="A737" s="27" t="s">
        <v>7527</v>
      </c>
      <c r="B737" s="27" t="s">
        <v>2273</v>
      </c>
      <c r="C737" s="29"/>
      <c r="D737" s="28" t="s">
        <v>4954</v>
      </c>
      <c r="E737" s="20" t="s">
        <v>910</v>
      </c>
      <c r="F737" s="20" t="s">
        <v>2608</v>
      </c>
      <c r="G737" s="27"/>
      <c r="H737" s="20"/>
      <c r="I737" s="29"/>
      <c r="J737" s="29"/>
      <c r="K737" s="27"/>
      <c r="L737" s="27"/>
      <c r="M737" s="27" t="s">
        <v>7528</v>
      </c>
      <c r="N737" s="27"/>
      <c r="O737" s="29"/>
      <c r="P737" s="27"/>
      <c r="Q737" s="27"/>
      <c r="R737" s="29"/>
      <c r="S737" s="29"/>
      <c r="T737" s="29"/>
      <c r="U737" s="27"/>
      <c r="V737" s="27"/>
      <c r="W737" s="27"/>
      <c r="X737" s="64"/>
      <c r="Y737" s="64"/>
      <c r="Z737" s="64"/>
      <c r="AA737" s="64"/>
      <c r="AB737" s="27"/>
      <c r="AC737" s="27"/>
    </row>
    <row r="738" spans="1:29" s="28" customFormat="1" x14ac:dyDescent="0.3">
      <c r="A738" s="27" t="s">
        <v>7529</v>
      </c>
      <c r="B738" s="27" t="s">
        <v>2273</v>
      </c>
      <c r="C738" s="29"/>
      <c r="D738" s="28" t="s">
        <v>4954</v>
      </c>
      <c r="E738" s="20" t="s">
        <v>910</v>
      </c>
      <c r="F738" s="20" t="s">
        <v>2609</v>
      </c>
      <c r="G738" s="27"/>
      <c r="H738" s="20"/>
      <c r="I738" s="29"/>
      <c r="J738" s="29"/>
      <c r="K738" s="27"/>
      <c r="L738" s="27"/>
      <c r="M738" s="27" t="s">
        <v>7530</v>
      </c>
      <c r="N738" s="27"/>
      <c r="O738" s="29"/>
      <c r="P738" s="27"/>
      <c r="Q738" s="27"/>
      <c r="R738" s="29"/>
      <c r="S738" s="29"/>
      <c r="T738" s="29"/>
      <c r="U738" s="27"/>
      <c r="V738" s="27"/>
      <c r="W738" s="27"/>
      <c r="X738" s="64"/>
      <c r="Y738" s="64"/>
      <c r="Z738" s="64"/>
      <c r="AA738" s="64"/>
      <c r="AB738" s="27"/>
      <c r="AC738" s="27"/>
    </row>
    <row r="739" spans="1:29" s="25" customFormat="1" x14ac:dyDescent="0.3">
      <c r="A739" s="24">
        <v>406</v>
      </c>
      <c r="B739" s="24" t="s">
        <v>2272</v>
      </c>
      <c r="C739" s="26">
        <v>227</v>
      </c>
      <c r="D739" s="25" t="s">
        <v>911</v>
      </c>
      <c r="E739" s="19" t="s">
        <v>912</v>
      </c>
      <c r="F739" s="19"/>
      <c r="G739" s="24" t="s">
        <v>1994</v>
      </c>
      <c r="H739" s="19"/>
      <c r="I739" s="26" t="s">
        <v>57</v>
      </c>
      <c r="J739" s="26" t="s">
        <v>57</v>
      </c>
      <c r="K739" s="24"/>
      <c r="L739" s="24" t="s">
        <v>3739</v>
      </c>
      <c r="M739" s="24" t="s">
        <v>5510</v>
      </c>
      <c r="N739" s="24"/>
      <c r="O739" s="26" t="s">
        <v>1996</v>
      </c>
      <c r="P739" s="24"/>
      <c r="Q739" s="24"/>
      <c r="R739" s="26"/>
      <c r="S739" s="26"/>
      <c r="T739" s="26"/>
      <c r="U739" s="24"/>
      <c r="V739" s="24"/>
      <c r="W739" s="24"/>
      <c r="X739" s="63"/>
      <c r="Y739" s="63"/>
      <c r="Z739" s="63"/>
      <c r="AA739" s="63"/>
      <c r="AB739" s="24"/>
      <c r="AC739" s="24"/>
    </row>
    <row r="740" spans="1:29" s="25" customFormat="1" x14ac:dyDescent="0.3">
      <c r="A740" s="24">
        <v>407</v>
      </c>
      <c r="B740" s="24" t="s">
        <v>2272</v>
      </c>
      <c r="C740" s="26">
        <v>227</v>
      </c>
      <c r="D740" s="25" t="s">
        <v>913</v>
      </c>
      <c r="E740" s="19" t="s">
        <v>914</v>
      </c>
      <c r="F740" s="19"/>
      <c r="G740" s="24" t="s">
        <v>1999</v>
      </c>
      <c r="H740" s="19"/>
      <c r="I740" s="26" t="s">
        <v>57</v>
      </c>
      <c r="J740" s="26" t="s">
        <v>57</v>
      </c>
      <c r="K740" s="24"/>
      <c r="L740" s="24" t="s">
        <v>3741</v>
      </c>
      <c r="M740" s="24" t="s">
        <v>5480</v>
      </c>
      <c r="N740" s="24"/>
      <c r="O740" s="26" t="s">
        <v>1998</v>
      </c>
      <c r="P740" s="24"/>
      <c r="Q740" s="24"/>
      <c r="R740" s="26"/>
      <c r="S740" s="26"/>
      <c r="T740" s="26"/>
      <c r="U740" s="24"/>
      <c r="V740" s="24"/>
      <c r="W740" s="24"/>
      <c r="X740" s="63"/>
      <c r="Y740" s="63"/>
      <c r="Z740" s="63"/>
      <c r="AA740" s="63"/>
      <c r="AB740" s="24"/>
      <c r="AC740" s="24"/>
    </row>
    <row r="741" spans="1:29" s="25" customFormat="1" x14ac:dyDescent="0.3">
      <c r="A741" s="24">
        <v>408</v>
      </c>
      <c r="B741" s="24" t="s">
        <v>2272</v>
      </c>
      <c r="C741" s="26">
        <v>227</v>
      </c>
      <c r="D741" s="25" t="s">
        <v>915</v>
      </c>
      <c r="E741" s="19" t="s">
        <v>916</v>
      </c>
      <c r="F741" s="19"/>
      <c r="G741" s="24" t="s">
        <v>2002</v>
      </c>
      <c r="H741" s="19"/>
      <c r="I741" s="26" t="s">
        <v>57</v>
      </c>
      <c r="J741" s="26" t="s">
        <v>57</v>
      </c>
      <c r="K741" s="24"/>
      <c r="L741" s="24" t="s">
        <v>3743</v>
      </c>
      <c r="M741" s="24" t="s">
        <v>4378</v>
      </c>
      <c r="N741" s="24"/>
      <c r="O741" s="26" t="s">
        <v>2000</v>
      </c>
      <c r="P741" s="24"/>
      <c r="Q741" s="24"/>
      <c r="R741" s="26"/>
      <c r="S741" s="26"/>
      <c r="T741" s="26"/>
      <c r="U741" s="24"/>
      <c r="V741" s="24"/>
      <c r="W741" s="24"/>
      <c r="X741" s="63"/>
      <c r="Y741" s="63"/>
      <c r="Z741" s="63"/>
      <c r="AA741" s="63"/>
      <c r="AB741" s="24"/>
      <c r="AC741" s="24"/>
    </row>
    <row r="742" spans="1:29" s="25" customFormat="1" x14ac:dyDescent="0.3">
      <c r="A742" s="24">
        <v>409</v>
      </c>
      <c r="B742" s="24" t="s">
        <v>2272</v>
      </c>
      <c r="C742" s="26">
        <v>227</v>
      </c>
      <c r="D742" s="25" t="s">
        <v>917</v>
      </c>
      <c r="E742" s="19" t="s">
        <v>918</v>
      </c>
      <c r="F742" s="19"/>
      <c r="G742" s="24" t="s">
        <v>2005</v>
      </c>
      <c r="H742" s="19"/>
      <c r="I742" s="26" t="s">
        <v>57</v>
      </c>
      <c r="J742" s="26" t="s">
        <v>57</v>
      </c>
      <c r="K742" s="24" t="s">
        <v>4410</v>
      </c>
      <c r="L742" s="24" t="s">
        <v>3745</v>
      </c>
      <c r="M742" s="24" t="s">
        <v>5467</v>
      </c>
      <c r="N742" s="24"/>
      <c r="O742" s="26" t="s">
        <v>2003</v>
      </c>
      <c r="P742" s="24"/>
      <c r="Q742" s="24"/>
      <c r="R742" s="26"/>
      <c r="S742" s="26"/>
      <c r="T742" s="26"/>
      <c r="U742" s="24"/>
      <c r="V742" s="24"/>
      <c r="W742" s="24"/>
      <c r="X742" s="63"/>
      <c r="Y742" s="63"/>
      <c r="Z742" s="63"/>
      <c r="AA742" s="63"/>
      <c r="AB742" s="24"/>
      <c r="AC742" s="24"/>
    </row>
    <row r="743" spans="1:29" s="25" customFormat="1" x14ac:dyDescent="0.3">
      <c r="A743" s="24">
        <v>410</v>
      </c>
      <c r="B743" s="24" t="s">
        <v>2272</v>
      </c>
      <c r="C743" s="26">
        <v>229</v>
      </c>
      <c r="D743" s="25" t="s">
        <v>919</v>
      </c>
      <c r="E743" s="19" t="s">
        <v>920</v>
      </c>
      <c r="F743" s="19"/>
      <c r="G743" s="24" t="s">
        <v>2007</v>
      </c>
      <c r="H743" s="19"/>
      <c r="I743" s="26" t="s">
        <v>57</v>
      </c>
      <c r="J743" s="26" t="s">
        <v>57</v>
      </c>
      <c r="K743" s="24"/>
      <c r="L743" s="24" t="s">
        <v>3747</v>
      </c>
      <c r="M743" s="24" t="s">
        <v>4377</v>
      </c>
      <c r="N743" s="24"/>
      <c r="O743" s="26" t="s">
        <v>2006</v>
      </c>
      <c r="P743" s="24"/>
      <c r="Q743" s="24"/>
      <c r="R743" s="26"/>
      <c r="S743" s="26"/>
      <c r="T743" s="26"/>
      <c r="U743" s="24"/>
      <c r="V743" s="24"/>
      <c r="W743" s="24"/>
      <c r="X743" s="63"/>
      <c r="Y743" s="63"/>
      <c r="Z743" s="63"/>
      <c r="AA743" s="63"/>
      <c r="AB743" s="24"/>
      <c r="AC743" s="24"/>
    </row>
    <row r="744" spans="1:29" s="25" customFormat="1" x14ac:dyDescent="0.3">
      <c r="A744" s="24">
        <v>411</v>
      </c>
      <c r="B744" s="24" t="s">
        <v>2272</v>
      </c>
      <c r="C744" s="26">
        <v>229</v>
      </c>
      <c r="D744" s="25" t="s">
        <v>921</v>
      </c>
      <c r="E744" s="19" t="s">
        <v>922</v>
      </c>
      <c r="F744" s="19"/>
      <c r="G744" s="24" t="s">
        <v>2001</v>
      </c>
      <c r="H744" s="19"/>
      <c r="I744" s="26" t="s">
        <v>57</v>
      </c>
      <c r="J744" s="26" t="s">
        <v>57</v>
      </c>
      <c r="K744" s="24"/>
      <c r="L744" s="24" t="s">
        <v>3749</v>
      </c>
      <c r="M744" s="24" t="s">
        <v>5511</v>
      </c>
      <c r="N744" s="24"/>
      <c r="O744" s="26"/>
      <c r="P744" s="24"/>
      <c r="Q744" s="24"/>
      <c r="R744" s="26"/>
      <c r="S744" s="26"/>
      <c r="T744" s="26"/>
      <c r="U744" s="24"/>
      <c r="V744" s="24"/>
      <c r="W744" s="24"/>
      <c r="X744" s="63"/>
      <c r="Y744" s="63"/>
      <c r="Z744" s="63"/>
      <c r="AA744" s="63"/>
      <c r="AB744" s="24"/>
      <c r="AC744" s="24"/>
    </row>
    <row r="745" spans="1:29" s="28" customFormat="1" x14ac:dyDescent="0.3">
      <c r="A745" s="27" t="s">
        <v>5756</v>
      </c>
      <c r="B745" s="27" t="s">
        <v>2273</v>
      </c>
      <c r="C745" s="29"/>
      <c r="D745" s="28" t="s">
        <v>4955</v>
      </c>
      <c r="E745" s="20" t="s">
        <v>922</v>
      </c>
      <c r="F745" s="20" t="s">
        <v>2314</v>
      </c>
      <c r="G745" s="27"/>
      <c r="H745" s="20"/>
      <c r="I745" s="29"/>
      <c r="J745" s="29"/>
      <c r="K745" s="27"/>
      <c r="L745" s="27"/>
      <c r="M745" s="27" t="s">
        <v>7531</v>
      </c>
      <c r="N745" s="27"/>
      <c r="O745" s="29" t="s">
        <v>7532</v>
      </c>
      <c r="P745" s="27"/>
      <c r="Q745" s="27"/>
      <c r="R745" s="29"/>
      <c r="S745" s="29"/>
      <c r="T745" s="29"/>
      <c r="U745" s="27"/>
      <c r="V745" s="27"/>
      <c r="W745" s="27"/>
      <c r="X745" s="64"/>
      <c r="Y745" s="64"/>
      <c r="Z745" s="64"/>
      <c r="AA745" s="64"/>
      <c r="AB745" s="27"/>
      <c r="AC745" s="27"/>
    </row>
    <row r="746" spans="1:29" s="28" customFormat="1" x14ac:dyDescent="0.3">
      <c r="A746" s="27" t="s">
        <v>5757</v>
      </c>
      <c r="B746" s="27" t="s">
        <v>2273</v>
      </c>
      <c r="C746" s="29"/>
      <c r="D746" s="28" t="s">
        <v>4955</v>
      </c>
      <c r="E746" s="20" t="s">
        <v>922</v>
      </c>
      <c r="F746" s="20" t="s">
        <v>2610</v>
      </c>
      <c r="G746" s="27"/>
      <c r="H746" s="20"/>
      <c r="I746" s="29"/>
      <c r="J746" s="29"/>
      <c r="K746" s="27"/>
      <c r="L746" s="27"/>
      <c r="M746" s="27" t="s">
        <v>7533</v>
      </c>
      <c r="N746" s="27"/>
      <c r="O746" s="29" t="s">
        <v>7534</v>
      </c>
      <c r="P746" s="27"/>
      <c r="Q746" s="27"/>
      <c r="R746" s="29"/>
      <c r="S746" s="29"/>
      <c r="T746" s="29"/>
      <c r="U746" s="27"/>
      <c r="V746" s="27"/>
      <c r="W746" s="27"/>
      <c r="X746" s="64"/>
      <c r="Y746" s="64"/>
      <c r="Z746" s="64"/>
      <c r="AA746" s="64"/>
      <c r="AB746" s="27"/>
      <c r="AC746" s="27"/>
    </row>
    <row r="747" spans="1:29" s="25" customFormat="1" x14ac:dyDescent="0.3">
      <c r="A747" s="24">
        <v>412</v>
      </c>
      <c r="B747" s="24" t="s">
        <v>2272</v>
      </c>
      <c r="C747" s="26">
        <v>229</v>
      </c>
      <c r="D747" s="25" t="s">
        <v>923</v>
      </c>
      <c r="E747" s="19" t="s">
        <v>924</v>
      </c>
      <c r="F747" s="19"/>
      <c r="G747" s="24"/>
      <c r="H747" s="19"/>
      <c r="I747" s="26" t="s">
        <v>37</v>
      </c>
      <c r="J747" s="26" t="s">
        <v>37</v>
      </c>
      <c r="K747" s="24" t="s">
        <v>3019</v>
      </c>
      <c r="L747" s="24" t="s">
        <v>3751</v>
      </c>
      <c r="M747" s="24" t="s">
        <v>5512</v>
      </c>
      <c r="N747" s="24"/>
      <c r="O747" s="26"/>
      <c r="P747" s="24" t="s">
        <v>3752</v>
      </c>
      <c r="Q747" s="24"/>
      <c r="R747" s="26"/>
      <c r="S747" s="26"/>
      <c r="T747" s="26"/>
      <c r="U747" s="24"/>
      <c r="V747" s="24"/>
      <c r="W747" s="24"/>
      <c r="X747" s="63"/>
      <c r="Y747" s="63"/>
      <c r="Z747" s="63"/>
      <c r="AA747" s="63"/>
      <c r="AB747" s="24"/>
      <c r="AC747" s="24"/>
    </row>
    <row r="748" spans="1:29" s="28" customFormat="1" x14ac:dyDescent="0.3">
      <c r="A748" s="27" t="s">
        <v>6305</v>
      </c>
      <c r="B748" s="27" t="s">
        <v>2273</v>
      </c>
      <c r="C748" s="29"/>
      <c r="D748" s="28" t="s">
        <v>4956</v>
      </c>
      <c r="E748" s="20" t="s">
        <v>924</v>
      </c>
      <c r="F748" s="20" t="s">
        <v>2611</v>
      </c>
      <c r="G748" s="27"/>
      <c r="H748" s="20"/>
      <c r="I748" s="29"/>
      <c r="J748" s="29"/>
      <c r="K748" s="27"/>
      <c r="L748" s="27"/>
      <c r="M748" s="27" t="s">
        <v>7535</v>
      </c>
      <c r="N748" s="27"/>
      <c r="O748" s="29" t="s">
        <v>7536</v>
      </c>
      <c r="P748" s="27"/>
      <c r="Q748" s="27"/>
      <c r="R748" s="29"/>
      <c r="S748" s="29"/>
      <c r="T748" s="29"/>
      <c r="U748" s="27"/>
      <c r="V748" s="27"/>
      <c r="W748" s="27"/>
      <c r="X748" s="64"/>
      <c r="Y748" s="64"/>
      <c r="Z748" s="64"/>
      <c r="AA748" s="64"/>
      <c r="AB748" s="27"/>
      <c r="AC748" s="27"/>
    </row>
    <row r="749" spans="1:29" s="25" customFormat="1" x14ac:dyDescent="0.3">
      <c r="A749" s="24">
        <v>413</v>
      </c>
      <c r="B749" s="24" t="s">
        <v>2272</v>
      </c>
      <c r="C749" s="26">
        <v>229</v>
      </c>
      <c r="D749" s="25" t="s">
        <v>925</v>
      </c>
      <c r="E749" s="19" t="s">
        <v>926</v>
      </c>
      <c r="F749" s="19"/>
      <c r="G749" s="24"/>
      <c r="H749" s="19"/>
      <c r="I749" s="26" t="s">
        <v>253</v>
      </c>
      <c r="J749" s="26" t="s">
        <v>253</v>
      </c>
      <c r="K749" s="24"/>
      <c r="L749" s="24" t="s">
        <v>3754</v>
      </c>
      <c r="M749" s="24" t="s">
        <v>6058</v>
      </c>
      <c r="N749" s="24"/>
      <c r="O749" s="26"/>
      <c r="P749" s="24" t="s">
        <v>927</v>
      </c>
      <c r="Q749" s="24"/>
      <c r="R749" s="26"/>
      <c r="S749" s="26"/>
      <c r="T749" s="26"/>
      <c r="U749" s="24"/>
      <c r="V749" s="24"/>
      <c r="W749" s="24"/>
      <c r="X749" s="63"/>
      <c r="Y749" s="63"/>
      <c r="Z749" s="63"/>
      <c r="AA749" s="63"/>
      <c r="AB749" s="24"/>
      <c r="AC749" s="24"/>
    </row>
    <row r="750" spans="1:29" s="28" customFormat="1" x14ac:dyDescent="0.3">
      <c r="A750" s="27" t="s">
        <v>7537</v>
      </c>
      <c r="B750" s="27" t="s">
        <v>2273</v>
      </c>
      <c r="C750" s="29"/>
      <c r="D750" s="28" t="s">
        <v>4957</v>
      </c>
      <c r="E750" s="20" t="s">
        <v>926</v>
      </c>
      <c r="F750" s="20" t="s">
        <v>2612</v>
      </c>
      <c r="G750" s="27"/>
      <c r="H750" s="20"/>
      <c r="I750" s="29"/>
      <c r="J750" s="29"/>
      <c r="K750" s="27"/>
      <c r="L750" s="27"/>
      <c r="M750" s="27" t="s">
        <v>7444</v>
      </c>
      <c r="N750" s="27"/>
      <c r="O750" s="29" t="s">
        <v>2035</v>
      </c>
      <c r="P750" s="27"/>
      <c r="Q750" s="27"/>
      <c r="R750" s="29"/>
      <c r="S750" s="29"/>
      <c r="T750" s="29"/>
      <c r="U750" s="27"/>
      <c r="V750" s="27"/>
      <c r="W750" s="27"/>
      <c r="X750" s="64"/>
      <c r="Y750" s="64"/>
      <c r="Z750" s="64"/>
      <c r="AA750" s="64"/>
      <c r="AB750" s="27"/>
      <c r="AC750" s="27"/>
    </row>
    <row r="751" spans="1:29" s="28" customFormat="1" x14ac:dyDescent="0.3">
      <c r="A751" s="27" t="s">
        <v>7538</v>
      </c>
      <c r="B751" s="27" t="s">
        <v>2273</v>
      </c>
      <c r="C751" s="29"/>
      <c r="D751" s="28" t="s">
        <v>4957</v>
      </c>
      <c r="E751" s="20" t="s">
        <v>926</v>
      </c>
      <c r="F751" s="20" t="s">
        <v>2613</v>
      </c>
      <c r="G751" s="27"/>
      <c r="H751" s="20"/>
      <c r="I751" s="29"/>
      <c r="J751" s="29"/>
      <c r="K751" s="27"/>
      <c r="L751" s="27"/>
      <c r="M751" s="27" t="s">
        <v>7255</v>
      </c>
      <c r="N751" s="27"/>
      <c r="O751" s="29" t="s">
        <v>7255</v>
      </c>
      <c r="P751" s="27"/>
      <c r="Q751" s="27"/>
      <c r="R751" s="29"/>
      <c r="S751" s="29"/>
      <c r="T751" s="29"/>
      <c r="U751" s="27"/>
      <c r="V751" s="27"/>
      <c r="W751" s="27"/>
      <c r="X751" s="64"/>
      <c r="Y751" s="64"/>
      <c r="Z751" s="64"/>
      <c r="AA751" s="64"/>
      <c r="AB751" s="27"/>
      <c r="AC751" s="27"/>
    </row>
    <row r="752" spans="1:29" s="28" customFormat="1" x14ac:dyDescent="0.3">
      <c r="A752" s="27" t="s">
        <v>7539</v>
      </c>
      <c r="B752" s="27" t="s">
        <v>2273</v>
      </c>
      <c r="C752" s="29"/>
      <c r="D752" s="28" t="s">
        <v>4957</v>
      </c>
      <c r="E752" s="20" t="s">
        <v>926</v>
      </c>
      <c r="F752" s="20" t="s">
        <v>2300</v>
      </c>
      <c r="G752" s="27"/>
      <c r="H752" s="20"/>
      <c r="I752" s="29"/>
      <c r="J752" s="29"/>
      <c r="K752" s="27"/>
      <c r="L752" s="27"/>
      <c r="M752" s="27" t="s">
        <v>7540</v>
      </c>
      <c r="N752" s="27"/>
      <c r="O752" s="29" t="s">
        <v>7541</v>
      </c>
      <c r="P752" s="27"/>
      <c r="Q752" s="27"/>
      <c r="R752" s="29"/>
      <c r="S752" s="29"/>
      <c r="T752" s="29"/>
      <c r="U752" s="27"/>
      <c r="V752" s="27"/>
      <c r="W752" s="27"/>
      <c r="X752" s="64"/>
      <c r="Y752" s="64"/>
      <c r="Z752" s="64"/>
      <c r="AA752" s="64"/>
      <c r="AB752" s="27"/>
      <c r="AC752" s="27"/>
    </row>
    <row r="753" spans="1:29" s="25" customFormat="1" ht="51" x14ac:dyDescent="0.3">
      <c r="A753" s="24">
        <v>414</v>
      </c>
      <c r="B753" s="24" t="s">
        <v>2272</v>
      </c>
      <c r="C753" s="26">
        <v>231</v>
      </c>
      <c r="D753" s="25" t="s">
        <v>928</v>
      </c>
      <c r="E753" s="19" t="s">
        <v>5158</v>
      </c>
      <c r="F753" s="19"/>
      <c r="G753" s="24"/>
      <c r="H753" s="19"/>
      <c r="I753" s="26" t="s">
        <v>37</v>
      </c>
      <c r="J753" s="26" t="s">
        <v>37</v>
      </c>
      <c r="K753" s="24" t="s">
        <v>6059</v>
      </c>
      <c r="L753" s="24" t="s">
        <v>3755</v>
      </c>
      <c r="M753" s="24" t="s">
        <v>59</v>
      </c>
      <c r="N753" s="24"/>
      <c r="O753" s="26"/>
      <c r="P753" s="103" t="s">
        <v>8567</v>
      </c>
      <c r="Q753" s="24"/>
      <c r="R753" s="26"/>
      <c r="S753" s="26"/>
      <c r="T753" s="26"/>
      <c r="U753" s="24"/>
      <c r="V753" s="24"/>
      <c r="W753" s="24"/>
      <c r="X753" s="63"/>
      <c r="Y753" s="63"/>
      <c r="Z753" s="63"/>
      <c r="AA753" s="63"/>
      <c r="AB753" s="24"/>
      <c r="AC753" s="24"/>
    </row>
    <row r="754" spans="1:29" s="28" customFormat="1" x14ac:dyDescent="0.3">
      <c r="A754" s="27" t="s">
        <v>7542</v>
      </c>
      <c r="B754" s="27" t="s">
        <v>2273</v>
      </c>
      <c r="C754" s="29"/>
      <c r="D754" s="28" t="s">
        <v>4958</v>
      </c>
      <c r="E754" s="20" t="s">
        <v>5158</v>
      </c>
      <c r="F754" s="20" t="s">
        <v>2614</v>
      </c>
      <c r="G754" s="27"/>
      <c r="H754" s="20"/>
      <c r="I754" s="29"/>
      <c r="J754" s="29"/>
      <c r="K754" s="27"/>
      <c r="L754" s="27"/>
      <c r="M754" s="27" t="s">
        <v>6996</v>
      </c>
      <c r="N754" s="27"/>
      <c r="O754" s="29" t="s">
        <v>6996</v>
      </c>
      <c r="P754" s="27"/>
      <c r="Q754" s="27"/>
      <c r="R754" s="29"/>
      <c r="S754" s="29"/>
      <c r="T754" s="29"/>
      <c r="U754" s="27"/>
      <c r="V754" s="27"/>
      <c r="W754" s="27"/>
      <c r="X754" s="64"/>
      <c r="Y754" s="64"/>
      <c r="Z754" s="64"/>
      <c r="AA754" s="64"/>
      <c r="AB754" s="27"/>
      <c r="AC754" s="27"/>
    </row>
    <row r="755" spans="1:29" s="28" customFormat="1" x14ac:dyDescent="0.3">
      <c r="A755" s="27" t="s">
        <v>7543</v>
      </c>
      <c r="B755" s="27" t="s">
        <v>2273</v>
      </c>
      <c r="C755" s="29"/>
      <c r="D755" s="28" t="s">
        <v>4958</v>
      </c>
      <c r="E755" s="20" t="s">
        <v>5158</v>
      </c>
      <c r="F755" s="20" t="s">
        <v>2615</v>
      </c>
      <c r="G755" s="27"/>
      <c r="H755" s="20"/>
      <c r="I755" s="29"/>
      <c r="J755" s="29"/>
      <c r="K755" s="27"/>
      <c r="L755" s="27"/>
      <c r="M755" s="27" t="s">
        <v>7255</v>
      </c>
      <c r="N755" s="27"/>
      <c r="O755" s="29" t="s">
        <v>7255</v>
      </c>
      <c r="P755" s="27"/>
      <c r="Q755" s="27"/>
      <c r="R755" s="29"/>
      <c r="S755" s="29"/>
      <c r="T755" s="29"/>
      <c r="U755" s="27"/>
      <c r="V755" s="27"/>
      <c r="W755" s="27"/>
      <c r="X755" s="64"/>
      <c r="Y755" s="64"/>
      <c r="Z755" s="64"/>
      <c r="AA755" s="64"/>
      <c r="AB755" s="27"/>
      <c r="AC755" s="27"/>
    </row>
    <row r="756" spans="1:29" s="28" customFormat="1" x14ac:dyDescent="0.3">
      <c r="A756" s="27" t="s">
        <v>7544</v>
      </c>
      <c r="B756" s="27" t="s">
        <v>2273</v>
      </c>
      <c r="C756" s="29"/>
      <c r="D756" s="28" t="s">
        <v>4958</v>
      </c>
      <c r="E756" s="20" t="s">
        <v>5158</v>
      </c>
      <c r="F756" s="20" t="s">
        <v>2357</v>
      </c>
      <c r="G756" s="27"/>
      <c r="H756" s="20"/>
      <c r="I756" s="29"/>
      <c r="J756" s="29"/>
      <c r="K756" s="27"/>
      <c r="L756" s="27"/>
      <c r="M756" s="27" t="s">
        <v>7545</v>
      </c>
      <c r="N756" s="27"/>
      <c r="O756" s="29" t="s">
        <v>7546</v>
      </c>
      <c r="P756" s="27"/>
      <c r="Q756" s="27"/>
      <c r="R756" s="29"/>
      <c r="S756" s="29"/>
      <c r="T756" s="29"/>
      <c r="U756" s="27"/>
      <c r="V756" s="27"/>
      <c r="W756" s="27"/>
      <c r="X756" s="64"/>
      <c r="Y756" s="64"/>
      <c r="Z756" s="64"/>
      <c r="AA756" s="64"/>
      <c r="AB756" s="27"/>
      <c r="AC756" s="27"/>
    </row>
    <row r="757" spans="1:29" s="28" customFormat="1" x14ac:dyDescent="0.3">
      <c r="A757" s="27" t="s">
        <v>7547</v>
      </c>
      <c r="B757" s="27" t="s">
        <v>2273</v>
      </c>
      <c r="C757" s="29"/>
      <c r="D757" s="28" t="s">
        <v>4958</v>
      </c>
      <c r="E757" s="20" t="s">
        <v>5158</v>
      </c>
      <c r="F757" s="20" t="s">
        <v>2616</v>
      </c>
      <c r="G757" s="27"/>
      <c r="H757" s="20"/>
      <c r="I757" s="29"/>
      <c r="J757" s="29"/>
      <c r="K757" s="27"/>
      <c r="L757" s="27"/>
      <c r="M757" s="27" t="s">
        <v>6867</v>
      </c>
      <c r="N757" s="27"/>
      <c r="O757" s="29" t="s">
        <v>2003</v>
      </c>
      <c r="P757" s="27"/>
      <c r="Q757" s="27"/>
      <c r="R757" s="29"/>
      <c r="S757" s="29"/>
      <c r="T757" s="29"/>
      <c r="U757" s="27"/>
      <c r="V757" s="27"/>
      <c r="W757" s="27"/>
      <c r="X757" s="64"/>
      <c r="Y757" s="64"/>
      <c r="Z757" s="64"/>
      <c r="AA757" s="64"/>
      <c r="AB757" s="27"/>
      <c r="AC757" s="27"/>
    </row>
    <row r="758" spans="1:29" s="25" customFormat="1" x14ac:dyDescent="0.3">
      <c r="A758" s="24">
        <v>415</v>
      </c>
      <c r="B758" s="24" t="s">
        <v>2272</v>
      </c>
      <c r="C758" s="26">
        <v>231</v>
      </c>
      <c r="D758" s="25" t="s">
        <v>929</v>
      </c>
      <c r="E758" s="19" t="s">
        <v>930</v>
      </c>
      <c r="F758" s="19"/>
      <c r="G758" s="24"/>
      <c r="H758" s="19"/>
      <c r="I758" s="26" t="s">
        <v>42</v>
      </c>
      <c r="J758" s="26" t="s">
        <v>42</v>
      </c>
      <c r="K758" s="24"/>
      <c r="L758" s="24" t="s">
        <v>3757</v>
      </c>
      <c r="M758" s="24" t="s">
        <v>931</v>
      </c>
      <c r="N758" s="24"/>
      <c r="O758" s="26"/>
      <c r="P758" s="24" t="s">
        <v>3758</v>
      </c>
      <c r="Q758" s="24"/>
      <c r="R758" s="26"/>
      <c r="S758" s="26"/>
      <c r="T758" s="26"/>
      <c r="U758" s="24"/>
      <c r="V758" s="24"/>
      <c r="W758" s="24"/>
      <c r="X758" s="63"/>
      <c r="Y758" s="63"/>
      <c r="Z758" s="63"/>
      <c r="AA758" s="63"/>
      <c r="AB758" s="24"/>
      <c r="AC758" s="24"/>
    </row>
    <row r="759" spans="1:29" s="25" customFormat="1" x14ac:dyDescent="0.3">
      <c r="A759" s="24">
        <v>416</v>
      </c>
      <c r="B759" s="24" t="s">
        <v>2272</v>
      </c>
      <c r="C759" s="26">
        <v>225</v>
      </c>
      <c r="D759" s="25" t="s">
        <v>932</v>
      </c>
      <c r="E759" s="19" t="s">
        <v>5160</v>
      </c>
      <c r="F759" s="19"/>
      <c r="G759" s="24"/>
      <c r="H759" s="19" t="s">
        <v>933</v>
      </c>
      <c r="I759" s="26" t="s">
        <v>57</v>
      </c>
      <c r="J759" s="26" t="s">
        <v>57</v>
      </c>
      <c r="K759" s="24"/>
      <c r="L759" s="24" t="s">
        <v>3360</v>
      </c>
      <c r="M759" s="24" t="s">
        <v>5488</v>
      </c>
      <c r="N759" s="24"/>
      <c r="O759" s="26" t="s">
        <v>2008</v>
      </c>
      <c r="P759" s="24"/>
      <c r="Q759" s="24"/>
      <c r="R759" s="26"/>
      <c r="S759" s="26"/>
      <c r="T759" s="26"/>
      <c r="U759" s="24"/>
      <c r="V759" s="24"/>
      <c r="W759" s="24"/>
      <c r="X759" s="63"/>
      <c r="Y759" s="63"/>
      <c r="Z759" s="63"/>
      <c r="AA759" s="63"/>
      <c r="AB759" s="24"/>
      <c r="AC759" s="24"/>
    </row>
    <row r="760" spans="1:29" s="25" customFormat="1" x14ac:dyDescent="0.3">
      <c r="A760" s="24">
        <v>417</v>
      </c>
      <c r="B760" s="24" t="s">
        <v>2272</v>
      </c>
      <c r="C760" s="26">
        <v>225</v>
      </c>
      <c r="D760" s="25" t="s">
        <v>934</v>
      </c>
      <c r="E760" s="19" t="s">
        <v>935</v>
      </c>
      <c r="F760" s="19"/>
      <c r="G760" s="24"/>
      <c r="H760" s="19"/>
      <c r="I760" s="26" t="s">
        <v>57</v>
      </c>
      <c r="J760" s="26" t="s">
        <v>57</v>
      </c>
      <c r="K760" s="24"/>
      <c r="L760" s="24" t="s">
        <v>3649</v>
      </c>
      <c r="M760" s="24" t="s">
        <v>5477</v>
      </c>
      <c r="N760" s="24"/>
      <c r="O760" s="26"/>
      <c r="P760" s="24"/>
      <c r="Q760" s="24"/>
      <c r="R760" s="26"/>
      <c r="S760" s="26"/>
      <c r="T760" s="26"/>
      <c r="U760" s="24"/>
      <c r="V760" s="24"/>
      <c r="W760" s="24"/>
      <c r="X760" s="63"/>
      <c r="Y760" s="63"/>
      <c r="Z760" s="63"/>
      <c r="AA760" s="63"/>
      <c r="AB760" s="24"/>
      <c r="AC760" s="24"/>
    </row>
    <row r="761" spans="1:29" s="28" customFormat="1" x14ac:dyDescent="0.3">
      <c r="A761" s="27" t="s">
        <v>7548</v>
      </c>
      <c r="B761" s="27" t="s">
        <v>2273</v>
      </c>
      <c r="C761" s="29"/>
      <c r="D761" s="28" t="s">
        <v>4959</v>
      </c>
      <c r="E761" s="20" t="s">
        <v>935</v>
      </c>
      <c r="F761" s="20" t="s">
        <v>2618</v>
      </c>
      <c r="G761" s="27"/>
      <c r="H761" s="20"/>
      <c r="I761" s="29"/>
      <c r="J761" s="29"/>
      <c r="K761" s="27"/>
      <c r="L761" s="27"/>
      <c r="M761" s="27" t="s">
        <v>6996</v>
      </c>
      <c r="N761" s="27"/>
      <c r="O761" s="29" t="s">
        <v>6996</v>
      </c>
      <c r="P761" s="27"/>
      <c r="Q761" s="27"/>
      <c r="R761" s="29"/>
      <c r="S761" s="29"/>
      <c r="T761" s="29"/>
      <c r="U761" s="27"/>
      <c r="V761" s="27"/>
      <c r="W761" s="27"/>
      <c r="X761" s="64"/>
      <c r="Y761" s="64"/>
      <c r="Z761" s="64"/>
      <c r="AA761" s="64"/>
      <c r="AB761" s="27"/>
      <c r="AC761" s="27"/>
    </row>
    <row r="762" spans="1:29" s="28" customFormat="1" x14ac:dyDescent="0.3">
      <c r="A762" s="27" t="s">
        <v>7549</v>
      </c>
      <c r="B762" s="27" t="s">
        <v>2273</v>
      </c>
      <c r="C762" s="29"/>
      <c r="D762" s="28" t="s">
        <v>4959</v>
      </c>
      <c r="E762" s="20" t="s">
        <v>935</v>
      </c>
      <c r="F762" s="20" t="s">
        <v>2619</v>
      </c>
      <c r="G762" s="27"/>
      <c r="H762" s="20"/>
      <c r="I762" s="29"/>
      <c r="J762" s="29"/>
      <c r="K762" s="27"/>
      <c r="L762" s="27"/>
      <c r="M762" s="27" t="s">
        <v>7550</v>
      </c>
      <c r="N762" s="27"/>
      <c r="O762" s="29" t="s">
        <v>7551</v>
      </c>
      <c r="P762" s="27"/>
      <c r="Q762" s="27"/>
      <c r="R762" s="29"/>
      <c r="S762" s="29"/>
      <c r="T762" s="29"/>
      <c r="U762" s="27"/>
      <c r="V762" s="27"/>
      <c r="W762" s="27"/>
      <c r="X762" s="64"/>
      <c r="Y762" s="64"/>
      <c r="Z762" s="64"/>
      <c r="AA762" s="64"/>
      <c r="AB762" s="27"/>
      <c r="AC762" s="27"/>
    </row>
    <row r="763" spans="1:29" s="28" customFormat="1" x14ac:dyDescent="0.3">
      <c r="A763" s="27" t="s">
        <v>7552</v>
      </c>
      <c r="B763" s="27" t="s">
        <v>2273</v>
      </c>
      <c r="C763" s="29"/>
      <c r="D763" s="28" t="s">
        <v>4959</v>
      </c>
      <c r="E763" s="20" t="s">
        <v>935</v>
      </c>
      <c r="F763" s="20" t="s">
        <v>2333</v>
      </c>
      <c r="G763" s="27"/>
      <c r="H763" s="20"/>
      <c r="I763" s="29"/>
      <c r="J763" s="29"/>
      <c r="K763" s="27"/>
      <c r="L763" s="27"/>
      <c r="M763" s="27" t="s">
        <v>7553</v>
      </c>
      <c r="N763" s="27"/>
      <c r="O763" s="29" t="s">
        <v>7554</v>
      </c>
      <c r="P763" s="27"/>
      <c r="Q763" s="27"/>
      <c r="R763" s="29"/>
      <c r="S763" s="29"/>
      <c r="T763" s="29"/>
      <c r="U763" s="27"/>
      <c r="V763" s="27"/>
      <c r="W763" s="27"/>
      <c r="X763" s="64"/>
      <c r="Y763" s="64"/>
      <c r="Z763" s="64"/>
      <c r="AA763" s="64"/>
      <c r="AB763" s="27"/>
      <c r="AC763" s="27"/>
    </row>
    <row r="764" spans="1:29" s="28" customFormat="1" x14ac:dyDescent="0.3">
      <c r="A764" s="27" t="s">
        <v>7555</v>
      </c>
      <c r="B764" s="27" t="s">
        <v>2273</v>
      </c>
      <c r="C764" s="29"/>
      <c r="D764" s="28" t="s">
        <v>4959</v>
      </c>
      <c r="E764" s="20" t="s">
        <v>935</v>
      </c>
      <c r="F764" s="20" t="s">
        <v>2304</v>
      </c>
      <c r="G764" s="27"/>
      <c r="H764" s="20"/>
      <c r="I764" s="29"/>
      <c r="J764" s="29"/>
      <c r="K764" s="27"/>
      <c r="L764" s="27"/>
      <c r="M764" s="27" t="s">
        <v>6777</v>
      </c>
      <c r="N764" s="27"/>
      <c r="O764" s="29" t="s">
        <v>6777</v>
      </c>
      <c r="P764" s="27"/>
      <c r="Q764" s="27"/>
      <c r="R764" s="29"/>
      <c r="S764" s="29"/>
      <c r="T764" s="29"/>
      <c r="U764" s="27"/>
      <c r="V764" s="27"/>
      <c r="W764" s="27"/>
      <c r="X764" s="64"/>
      <c r="Y764" s="64"/>
      <c r="Z764" s="64"/>
      <c r="AA764" s="64"/>
      <c r="AB764" s="27"/>
      <c r="AC764" s="27"/>
    </row>
    <row r="765" spans="1:29" s="25" customFormat="1" x14ac:dyDescent="0.3">
      <c r="A765" s="24">
        <v>418</v>
      </c>
      <c r="B765" s="24" t="s">
        <v>2272</v>
      </c>
      <c r="C765" s="26">
        <v>225</v>
      </c>
      <c r="D765" s="25" t="s">
        <v>2010</v>
      </c>
      <c r="E765" s="19" t="s">
        <v>936</v>
      </c>
      <c r="F765" s="19"/>
      <c r="G765" s="24"/>
      <c r="H765" s="19"/>
      <c r="I765" s="26" t="s">
        <v>57</v>
      </c>
      <c r="J765" s="26" t="s">
        <v>57</v>
      </c>
      <c r="K765" s="24"/>
      <c r="L765" s="24" t="s">
        <v>4608</v>
      </c>
      <c r="M765" s="24" t="s">
        <v>5229</v>
      </c>
      <c r="N765" s="24"/>
      <c r="O765" s="26"/>
      <c r="P765" s="24"/>
      <c r="Q765" s="24"/>
      <c r="R765" s="26"/>
      <c r="S765" s="26"/>
      <c r="T765" s="26"/>
      <c r="U765" s="24"/>
      <c r="V765" s="24"/>
      <c r="W765" s="24"/>
      <c r="X765" s="63"/>
      <c r="Y765" s="63"/>
      <c r="Z765" s="63"/>
      <c r="AA765" s="63"/>
      <c r="AB765" s="24"/>
      <c r="AC765" s="24"/>
    </row>
    <row r="766" spans="1:29" s="28" customFormat="1" x14ac:dyDescent="0.3">
      <c r="A766" s="27" t="s">
        <v>7556</v>
      </c>
      <c r="B766" s="27" t="s">
        <v>2273</v>
      </c>
      <c r="C766" s="29"/>
      <c r="D766" s="28" t="s">
        <v>4960</v>
      </c>
      <c r="E766" s="20" t="s">
        <v>936</v>
      </c>
      <c r="F766" s="20" t="s">
        <v>2423</v>
      </c>
      <c r="G766" s="27"/>
      <c r="H766" s="20"/>
      <c r="I766" s="29"/>
      <c r="J766" s="29"/>
      <c r="K766" s="27"/>
      <c r="L766" s="27"/>
      <c r="M766" s="27" t="s">
        <v>7557</v>
      </c>
      <c r="N766" s="27"/>
      <c r="O766" s="29" t="s">
        <v>7558</v>
      </c>
      <c r="P766" s="27"/>
      <c r="Q766" s="27"/>
      <c r="R766" s="29"/>
      <c r="S766" s="29"/>
      <c r="T766" s="29"/>
      <c r="U766" s="27"/>
      <c r="V766" s="27"/>
      <c r="W766" s="27"/>
      <c r="X766" s="64"/>
      <c r="Y766" s="64"/>
      <c r="Z766" s="64"/>
      <c r="AA766" s="64"/>
      <c r="AB766" s="27"/>
      <c r="AC766" s="27"/>
    </row>
    <row r="767" spans="1:29" s="28" customFormat="1" x14ac:dyDescent="0.3">
      <c r="A767" s="27" t="s">
        <v>7559</v>
      </c>
      <c r="B767" s="27" t="s">
        <v>2273</v>
      </c>
      <c r="C767" s="29"/>
      <c r="D767" s="28" t="s">
        <v>4960</v>
      </c>
      <c r="E767" s="20" t="s">
        <v>936</v>
      </c>
      <c r="F767" s="20" t="s">
        <v>2337</v>
      </c>
      <c r="G767" s="27"/>
      <c r="H767" s="20"/>
      <c r="I767" s="29"/>
      <c r="J767" s="29"/>
      <c r="K767" s="27"/>
      <c r="L767" s="27"/>
      <c r="M767" s="27" t="s">
        <v>7483</v>
      </c>
      <c r="N767" s="27"/>
      <c r="O767" s="29" t="s">
        <v>7484</v>
      </c>
      <c r="P767" s="27"/>
      <c r="Q767" s="27"/>
      <c r="R767" s="29"/>
      <c r="S767" s="29"/>
      <c r="T767" s="29"/>
      <c r="U767" s="27"/>
      <c r="V767" s="27"/>
      <c r="W767" s="27"/>
      <c r="X767" s="64"/>
      <c r="Y767" s="64"/>
      <c r="Z767" s="64"/>
      <c r="AA767" s="64"/>
      <c r="AB767" s="27"/>
      <c r="AC767" s="27"/>
    </row>
    <row r="768" spans="1:29" s="28" customFormat="1" x14ac:dyDescent="0.3">
      <c r="A768" s="27" t="s">
        <v>7560</v>
      </c>
      <c r="B768" s="27" t="s">
        <v>2273</v>
      </c>
      <c r="C768" s="29"/>
      <c r="D768" s="28" t="s">
        <v>4960</v>
      </c>
      <c r="E768" s="20" t="s">
        <v>936</v>
      </c>
      <c r="F768" s="20" t="s">
        <v>2620</v>
      </c>
      <c r="G768" s="27"/>
      <c r="H768" s="20"/>
      <c r="I768" s="29"/>
      <c r="J768" s="29"/>
      <c r="K768" s="27"/>
      <c r="L768" s="27"/>
      <c r="M768" s="27" t="s">
        <v>7561</v>
      </c>
      <c r="N768" s="27"/>
      <c r="O768" s="29" t="s">
        <v>7562</v>
      </c>
      <c r="P768" s="27"/>
      <c r="Q768" s="27"/>
      <c r="R768" s="29"/>
      <c r="S768" s="29"/>
      <c r="T768" s="29"/>
      <c r="U768" s="27"/>
      <c r="V768" s="27"/>
      <c r="W768" s="27"/>
      <c r="X768" s="64"/>
      <c r="Y768" s="64"/>
      <c r="Z768" s="64"/>
      <c r="AA768" s="64"/>
      <c r="AB768" s="27"/>
      <c r="AC768" s="27"/>
    </row>
    <row r="769" spans="1:29" s="28" customFormat="1" x14ac:dyDescent="0.3">
      <c r="A769" s="27" t="s">
        <v>7563</v>
      </c>
      <c r="B769" s="27" t="s">
        <v>2273</v>
      </c>
      <c r="C769" s="29"/>
      <c r="D769" s="28" t="s">
        <v>4960</v>
      </c>
      <c r="E769" s="20" t="s">
        <v>936</v>
      </c>
      <c r="F769" s="20" t="s">
        <v>2621</v>
      </c>
      <c r="G769" s="27"/>
      <c r="H769" s="20"/>
      <c r="I769" s="29"/>
      <c r="J769" s="29"/>
      <c r="K769" s="27"/>
      <c r="L769" s="27"/>
      <c r="M769" s="27" t="s">
        <v>7564</v>
      </c>
      <c r="N769" s="27"/>
      <c r="O769" s="29" t="s">
        <v>7565</v>
      </c>
      <c r="P769" s="27"/>
      <c r="Q769" s="27"/>
      <c r="R769" s="29"/>
      <c r="S769" s="29"/>
      <c r="T769" s="29"/>
      <c r="U769" s="27"/>
      <c r="V769" s="27"/>
      <c r="W769" s="27"/>
      <c r="X769" s="64"/>
      <c r="Y769" s="64"/>
      <c r="Z769" s="64"/>
      <c r="AA769" s="64"/>
      <c r="AB769" s="27"/>
      <c r="AC769" s="27"/>
    </row>
    <row r="770" spans="1:29" s="28" customFormat="1" x14ac:dyDescent="0.3">
      <c r="A770" s="27" t="s">
        <v>7566</v>
      </c>
      <c r="B770" s="27" t="s">
        <v>2273</v>
      </c>
      <c r="C770" s="29"/>
      <c r="D770" s="28" t="s">
        <v>4960</v>
      </c>
      <c r="E770" s="20" t="s">
        <v>936</v>
      </c>
      <c r="F770" s="20" t="s">
        <v>2622</v>
      </c>
      <c r="G770" s="27"/>
      <c r="H770" s="20"/>
      <c r="I770" s="29"/>
      <c r="J770" s="29"/>
      <c r="K770" s="27"/>
      <c r="L770" s="27"/>
      <c r="M770" s="27" t="s">
        <v>7567</v>
      </c>
      <c r="N770" s="27"/>
      <c r="O770" s="29" t="s">
        <v>7568</v>
      </c>
      <c r="P770" s="27"/>
      <c r="Q770" s="27"/>
      <c r="R770" s="29"/>
      <c r="S770" s="29"/>
      <c r="T770" s="29"/>
      <c r="U770" s="27"/>
      <c r="V770" s="27"/>
      <c r="W770" s="27"/>
      <c r="X770" s="64"/>
      <c r="Y770" s="64"/>
      <c r="Z770" s="64"/>
      <c r="AA770" s="64"/>
      <c r="AB770" s="27"/>
      <c r="AC770" s="27"/>
    </row>
    <row r="771" spans="1:29" s="28" customFormat="1" x14ac:dyDescent="0.3">
      <c r="A771" s="27" t="s">
        <v>7569</v>
      </c>
      <c r="B771" s="27" t="s">
        <v>2273</v>
      </c>
      <c r="C771" s="29"/>
      <c r="D771" s="28" t="s">
        <v>4960</v>
      </c>
      <c r="E771" s="20" t="s">
        <v>936</v>
      </c>
      <c r="F771" s="20" t="s">
        <v>2472</v>
      </c>
      <c r="G771" s="27"/>
      <c r="H771" s="20"/>
      <c r="I771" s="29"/>
      <c r="J771" s="29"/>
      <c r="K771" s="27"/>
      <c r="L771" s="27"/>
      <c r="M771" s="27" t="s">
        <v>6899</v>
      </c>
      <c r="N771" s="27"/>
      <c r="O771" s="29" t="s">
        <v>2044</v>
      </c>
      <c r="P771" s="27"/>
      <c r="Q771" s="27"/>
      <c r="R771" s="29"/>
      <c r="S771" s="29"/>
      <c r="T771" s="29"/>
      <c r="U771" s="27"/>
      <c r="V771" s="27"/>
      <c r="W771" s="27"/>
      <c r="X771" s="64"/>
      <c r="Y771" s="64"/>
      <c r="Z771" s="64"/>
      <c r="AA771" s="64"/>
      <c r="AB771" s="27"/>
      <c r="AC771" s="27"/>
    </row>
    <row r="772" spans="1:29" s="28" customFormat="1" x14ac:dyDescent="0.3">
      <c r="A772" s="27" t="s">
        <v>7570</v>
      </c>
      <c r="B772" s="27" t="s">
        <v>2273</v>
      </c>
      <c r="C772" s="29"/>
      <c r="D772" s="28" t="s">
        <v>4960</v>
      </c>
      <c r="E772" s="20" t="s">
        <v>936</v>
      </c>
      <c r="F772" s="20" t="s">
        <v>2623</v>
      </c>
      <c r="G772" s="27"/>
      <c r="H772" s="20"/>
      <c r="I772" s="29"/>
      <c r="J772" s="29"/>
      <c r="K772" s="27"/>
      <c r="L772" s="27"/>
      <c r="M772" s="27" t="s">
        <v>7571</v>
      </c>
      <c r="N772" s="27"/>
      <c r="O772" s="29" t="s">
        <v>7572</v>
      </c>
      <c r="P772" s="27"/>
      <c r="Q772" s="27"/>
      <c r="R772" s="29"/>
      <c r="S772" s="29"/>
      <c r="T772" s="29"/>
      <c r="U772" s="27"/>
      <c r="V772" s="27"/>
      <c r="W772" s="27"/>
      <c r="X772" s="64"/>
      <c r="Y772" s="64"/>
      <c r="Z772" s="64"/>
      <c r="AA772" s="64"/>
      <c r="AB772" s="27"/>
      <c r="AC772" s="27"/>
    </row>
    <row r="773" spans="1:29" s="28" customFormat="1" x14ac:dyDescent="0.3">
      <c r="A773" s="27" t="s">
        <v>7573</v>
      </c>
      <c r="B773" s="27" t="s">
        <v>2273</v>
      </c>
      <c r="C773" s="29"/>
      <c r="D773" s="28" t="s">
        <v>4960</v>
      </c>
      <c r="E773" s="20" t="s">
        <v>936</v>
      </c>
      <c r="F773" s="20" t="s">
        <v>2624</v>
      </c>
      <c r="G773" s="27"/>
      <c r="H773" s="20"/>
      <c r="I773" s="29"/>
      <c r="J773" s="29"/>
      <c r="K773" s="27"/>
      <c r="L773" s="27"/>
      <c r="M773" s="27" t="s">
        <v>7574</v>
      </c>
      <c r="N773" s="27"/>
      <c r="O773" s="29" t="s">
        <v>7575</v>
      </c>
      <c r="P773" s="27"/>
      <c r="Q773" s="27"/>
      <c r="R773" s="29"/>
      <c r="S773" s="29"/>
      <c r="T773" s="29"/>
      <c r="U773" s="27"/>
      <c r="V773" s="27"/>
      <c r="W773" s="27"/>
      <c r="X773" s="64"/>
      <c r="Y773" s="64"/>
      <c r="Z773" s="64"/>
      <c r="AA773" s="64"/>
      <c r="AB773" s="27"/>
      <c r="AC773" s="27"/>
    </row>
    <row r="774" spans="1:29" s="28" customFormat="1" x14ac:dyDescent="0.3">
      <c r="A774" s="27" t="s">
        <v>7576</v>
      </c>
      <c r="B774" s="27" t="s">
        <v>2273</v>
      </c>
      <c r="C774" s="29"/>
      <c r="D774" s="28" t="s">
        <v>4960</v>
      </c>
      <c r="E774" s="20" t="s">
        <v>936</v>
      </c>
      <c r="F774" s="20" t="s">
        <v>2625</v>
      </c>
      <c r="G774" s="27"/>
      <c r="H774" s="20"/>
      <c r="I774" s="29"/>
      <c r="J774" s="29"/>
      <c r="K774" s="27"/>
      <c r="L774" s="27"/>
      <c r="M774" s="27" t="s">
        <v>6903</v>
      </c>
      <c r="N774" s="27"/>
      <c r="O774" s="29" t="s">
        <v>7577</v>
      </c>
      <c r="P774" s="27"/>
      <c r="Q774" s="27"/>
      <c r="R774" s="29"/>
      <c r="S774" s="29"/>
      <c r="T774" s="29"/>
      <c r="U774" s="27"/>
      <c r="V774" s="27"/>
      <c r="W774" s="27"/>
      <c r="X774" s="64"/>
      <c r="Y774" s="64"/>
      <c r="Z774" s="64"/>
      <c r="AA774" s="64"/>
      <c r="AB774" s="27"/>
      <c r="AC774" s="27"/>
    </row>
    <row r="775" spans="1:29" s="25" customFormat="1" x14ac:dyDescent="0.3">
      <c r="A775" s="24">
        <v>419</v>
      </c>
      <c r="B775" s="24" t="s">
        <v>2272</v>
      </c>
      <c r="C775" s="26">
        <v>225</v>
      </c>
      <c r="D775" s="25" t="s">
        <v>937</v>
      </c>
      <c r="E775" s="19" t="s">
        <v>938</v>
      </c>
      <c r="F775" s="19"/>
      <c r="G775" s="24"/>
      <c r="H775" s="19" t="s">
        <v>4411</v>
      </c>
      <c r="I775" s="26" t="s">
        <v>57</v>
      </c>
      <c r="J775" s="26" t="s">
        <v>57</v>
      </c>
      <c r="K775" s="24"/>
      <c r="L775" s="24" t="s">
        <v>3762</v>
      </c>
      <c r="M775" s="24" t="s">
        <v>5514</v>
      </c>
      <c r="N775" s="24"/>
      <c r="O775" s="26" t="s">
        <v>2011</v>
      </c>
      <c r="P775" s="24" t="s">
        <v>3005</v>
      </c>
      <c r="Q775" s="24"/>
      <c r="R775" s="26"/>
      <c r="S775" s="26"/>
      <c r="T775" s="26"/>
      <c r="U775" s="24"/>
      <c r="V775" s="24"/>
      <c r="W775" s="24"/>
      <c r="X775" s="63"/>
      <c r="Y775" s="63"/>
      <c r="Z775" s="63"/>
      <c r="AA775" s="63"/>
      <c r="AB775" s="24"/>
      <c r="AC775" s="24"/>
    </row>
    <row r="776" spans="1:29" s="25" customFormat="1" x14ac:dyDescent="0.3">
      <c r="A776" s="24">
        <v>420</v>
      </c>
      <c r="B776" s="24" t="s">
        <v>2272</v>
      </c>
      <c r="C776" s="26">
        <v>225</v>
      </c>
      <c r="D776" s="25" t="s">
        <v>5828</v>
      </c>
      <c r="E776" s="19" t="s">
        <v>5829</v>
      </c>
      <c r="F776" s="19"/>
      <c r="G776" s="24"/>
      <c r="H776" s="19" t="s">
        <v>4610</v>
      </c>
      <c r="I776" s="26" t="s">
        <v>57</v>
      </c>
      <c r="J776" s="26" t="s">
        <v>57</v>
      </c>
      <c r="K776" s="24"/>
      <c r="L776" s="24" t="s">
        <v>4609</v>
      </c>
      <c r="M776" s="24" t="s">
        <v>5467</v>
      </c>
      <c r="N776" s="24"/>
      <c r="O776" s="26" t="s">
        <v>6665</v>
      </c>
      <c r="P776" s="24"/>
      <c r="Q776" s="24"/>
      <c r="R776" s="26"/>
      <c r="S776" s="26"/>
      <c r="T776" s="26"/>
      <c r="U776" s="24"/>
      <c r="V776" s="24"/>
      <c r="W776" s="24"/>
      <c r="X776" s="63"/>
      <c r="Y776" s="63"/>
      <c r="Z776" s="63"/>
      <c r="AA776" s="63"/>
      <c r="AB776" s="24"/>
      <c r="AC776" s="24"/>
    </row>
    <row r="777" spans="1:29" s="25" customFormat="1" x14ac:dyDescent="0.3">
      <c r="A777" s="24">
        <v>421</v>
      </c>
      <c r="B777" s="24" t="s">
        <v>2272</v>
      </c>
      <c r="C777" s="26">
        <v>235</v>
      </c>
      <c r="D777" s="25" t="s">
        <v>942</v>
      </c>
      <c r="E777" s="19" t="s">
        <v>943</v>
      </c>
      <c r="F777" s="19"/>
      <c r="G777" s="24" t="s">
        <v>2014</v>
      </c>
      <c r="H777" s="19"/>
      <c r="I777" s="26" t="s">
        <v>57</v>
      </c>
      <c r="J777" s="26" t="s">
        <v>57</v>
      </c>
      <c r="K777" s="24"/>
      <c r="L777" s="24" t="s">
        <v>3764</v>
      </c>
      <c r="M777" s="24" t="s">
        <v>5484</v>
      </c>
      <c r="N777" s="24"/>
      <c r="O777" s="26" t="s">
        <v>2013</v>
      </c>
      <c r="P777" s="24"/>
      <c r="Q777" s="24"/>
      <c r="R777" s="26"/>
      <c r="S777" s="26"/>
      <c r="T777" s="26"/>
      <c r="U777" s="24"/>
      <c r="V777" s="24"/>
      <c r="W777" s="24"/>
      <c r="X777" s="63"/>
      <c r="Y777" s="63"/>
      <c r="Z777" s="63"/>
      <c r="AA777" s="63"/>
      <c r="AB777" s="24"/>
      <c r="AC777" s="24"/>
    </row>
    <row r="778" spans="1:29" s="25" customFormat="1" x14ac:dyDescent="0.3">
      <c r="A778" s="24">
        <v>422</v>
      </c>
      <c r="B778" s="24" t="s">
        <v>2272</v>
      </c>
      <c r="C778" s="26">
        <v>235</v>
      </c>
      <c r="D778" s="25" t="s">
        <v>940</v>
      </c>
      <c r="E778" s="19" t="s">
        <v>941</v>
      </c>
      <c r="F778" s="19"/>
      <c r="G778" s="24" t="s">
        <v>2012</v>
      </c>
      <c r="H778" s="19"/>
      <c r="I778" s="26" t="s">
        <v>57</v>
      </c>
      <c r="J778" s="26" t="s">
        <v>57</v>
      </c>
      <c r="K778" s="24"/>
      <c r="L778" s="24" t="s">
        <v>3766</v>
      </c>
      <c r="M778" s="24" t="s">
        <v>5483</v>
      </c>
      <c r="N778" s="24"/>
      <c r="O778" s="26" t="s">
        <v>6666</v>
      </c>
      <c r="P778" s="24"/>
      <c r="Q778" s="24"/>
      <c r="R778" s="26"/>
      <c r="S778" s="26"/>
      <c r="T778" s="26"/>
      <c r="U778" s="24"/>
      <c r="V778" s="24"/>
      <c r="W778" s="24"/>
      <c r="X778" s="63"/>
      <c r="Y778" s="63"/>
      <c r="Z778" s="63"/>
      <c r="AA778" s="63"/>
      <c r="AB778" s="24"/>
      <c r="AC778" s="24"/>
    </row>
    <row r="779" spans="1:29" s="25" customFormat="1" x14ac:dyDescent="0.3">
      <c r="A779" s="24">
        <v>423</v>
      </c>
      <c r="B779" s="24" t="s">
        <v>2272</v>
      </c>
      <c r="C779" s="26">
        <v>233</v>
      </c>
      <c r="D779" s="25" t="s">
        <v>946</v>
      </c>
      <c r="E779" s="19" t="s">
        <v>947</v>
      </c>
      <c r="F779" s="19"/>
      <c r="G779" s="24"/>
      <c r="H779" s="19"/>
      <c r="I779" s="26" t="s">
        <v>57</v>
      </c>
      <c r="J779" s="26" t="s">
        <v>57</v>
      </c>
      <c r="K779" s="24"/>
      <c r="L779" s="24" t="s">
        <v>3288</v>
      </c>
      <c r="M779" s="24" t="s">
        <v>5282</v>
      </c>
      <c r="N779" s="24"/>
      <c r="O779" s="26" t="s">
        <v>2015</v>
      </c>
      <c r="P779" s="24"/>
      <c r="Q779" s="24"/>
      <c r="R779" s="26"/>
      <c r="S779" s="26"/>
      <c r="T779" s="26"/>
      <c r="U779" s="24"/>
      <c r="V779" s="24"/>
      <c r="W779" s="24"/>
      <c r="X779" s="63"/>
      <c r="Y779" s="63"/>
      <c r="Z779" s="63"/>
      <c r="AA779" s="63"/>
      <c r="AB779" s="24"/>
      <c r="AC779" s="24"/>
    </row>
    <row r="780" spans="1:29" s="25" customFormat="1" x14ac:dyDescent="0.3">
      <c r="A780" s="24">
        <v>424</v>
      </c>
      <c r="B780" s="24" t="s">
        <v>2272</v>
      </c>
      <c r="C780" s="26">
        <v>233</v>
      </c>
      <c r="D780" s="25" t="s">
        <v>948</v>
      </c>
      <c r="E780" s="19" t="s">
        <v>949</v>
      </c>
      <c r="F780" s="19"/>
      <c r="G780" s="24"/>
      <c r="H780" s="19"/>
      <c r="I780" s="26" t="s">
        <v>253</v>
      </c>
      <c r="J780" s="26" t="s">
        <v>57</v>
      </c>
      <c r="K780" s="24"/>
      <c r="L780" s="24" t="s">
        <v>3125</v>
      </c>
      <c r="M780" s="24" t="s">
        <v>5515</v>
      </c>
      <c r="N780" s="24"/>
      <c r="O780" s="26"/>
      <c r="P780" s="24" t="s">
        <v>8568</v>
      </c>
      <c r="Q780" s="24"/>
      <c r="R780" s="26"/>
      <c r="S780" s="26"/>
      <c r="T780" s="26"/>
      <c r="U780" s="24"/>
      <c r="V780" s="24"/>
      <c r="W780" s="24"/>
      <c r="X780" s="63"/>
      <c r="Y780" s="63"/>
      <c r="Z780" s="63"/>
      <c r="AA780" s="63"/>
      <c r="AB780" s="24"/>
      <c r="AC780" s="24"/>
    </row>
    <row r="781" spans="1:29" s="28" customFormat="1" x14ac:dyDescent="0.3">
      <c r="A781" s="27" t="s">
        <v>7578</v>
      </c>
      <c r="B781" s="27" t="s">
        <v>2273</v>
      </c>
      <c r="C781" s="29"/>
      <c r="D781" s="28" t="s">
        <v>4961</v>
      </c>
      <c r="E781" s="20" t="s">
        <v>949</v>
      </c>
      <c r="F781" s="20" t="s">
        <v>2626</v>
      </c>
      <c r="G781" s="27"/>
      <c r="H781" s="20"/>
      <c r="I781" s="29"/>
      <c r="J781" s="29"/>
      <c r="K781" s="27"/>
      <c r="L781" s="27"/>
      <c r="M781" s="27" t="s">
        <v>7579</v>
      </c>
      <c r="N781" s="27"/>
      <c r="O781" s="29" t="s">
        <v>7580</v>
      </c>
      <c r="P781" s="27"/>
      <c r="Q781" s="27"/>
      <c r="R781" s="29"/>
      <c r="S781" s="29"/>
      <c r="T781" s="29"/>
      <c r="U781" s="27"/>
      <c r="V781" s="27"/>
      <c r="W781" s="27"/>
      <c r="X781" s="64"/>
      <c r="Y781" s="64"/>
      <c r="Z781" s="64"/>
      <c r="AA781" s="64"/>
      <c r="AB781" s="27"/>
      <c r="AC781" s="27"/>
    </row>
    <row r="782" spans="1:29" s="28" customFormat="1" x14ac:dyDescent="0.3">
      <c r="A782" s="27" t="s">
        <v>7581</v>
      </c>
      <c r="B782" s="27" t="s">
        <v>2273</v>
      </c>
      <c r="C782" s="29"/>
      <c r="D782" s="28" t="s">
        <v>4961</v>
      </c>
      <c r="E782" s="20" t="s">
        <v>949</v>
      </c>
      <c r="F782" s="20" t="s">
        <v>2627</v>
      </c>
      <c r="G782" s="27"/>
      <c r="H782" s="20"/>
      <c r="I782" s="29"/>
      <c r="J782" s="29"/>
      <c r="K782" s="27"/>
      <c r="L782" s="27"/>
      <c r="M782" s="27" t="s">
        <v>7582</v>
      </c>
      <c r="N782" s="27"/>
      <c r="O782" s="29" t="s">
        <v>7583</v>
      </c>
      <c r="P782" s="27"/>
      <c r="Q782" s="27"/>
      <c r="R782" s="29"/>
      <c r="S782" s="29"/>
      <c r="T782" s="29"/>
      <c r="U782" s="27"/>
      <c r="V782" s="27"/>
      <c r="W782" s="27"/>
      <c r="X782" s="64"/>
      <c r="Y782" s="64"/>
      <c r="Z782" s="64"/>
      <c r="AA782" s="64"/>
      <c r="AB782" s="27"/>
      <c r="AC782" s="27"/>
    </row>
    <row r="783" spans="1:29" s="28" customFormat="1" x14ac:dyDescent="0.3">
      <c r="A783" s="27" t="s">
        <v>6306</v>
      </c>
      <c r="B783" s="27" t="s">
        <v>2273</v>
      </c>
      <c r="C783" s="29"/>
      <c r="D783" s="28" t="s">
        <v>4961</v>
      </c>
      <c r="E783" s="20" t="s">
        <v>949</v>
      </c>
      <c r="F783" s="20" t="s">
        <v>2628</v>
      </c>
      <c r="G783" s="27"/>
      <c r="H783" s="20"/>
      <c r="I783" s="29"/>
      <c r="J783" s="29"/>
      <c r="K783" s="27"/>
      <c r="L783" s="27"/>
      <c r="M783" s="27" t="s">
        <v>6867</v>
      </c>
      <c r="N783" s="27"/>
      <c r="O783" s="29" t="s">
        <v>7584</v>
      </c>
      <c r="P783" s="27"/>
      <c r="Q783" s="27"/>
      <c r="R783" s="29"/>
      <c r="S783" s="29"/>
      <c r="T783" s="29"/>
      <c r="U783" s="27"/>
      <c r="V783" s="27"/>
      <c r="W783" s="27"/>
      <c r="X783" s="64"/>
      <c r="Y783" s="64"/>
      <c r="Z783" s="64"/>
      <c r="AA783" s="64"/>
      <c r="AB783" s="27"/>
      <c r="AC783" s="27"/>
    </row>
    <row r="784" spans="1:29" s="28" customFormat="1" x14ac:dyDescent="0.3">
      <c r="A784" s="27" t="s">
        <v>6307</v>
      </c>
      <c r="B784" s="27" t="s">
        <v>2273</v>
      </c>
      <c r="C784" s="29"/>
      <c r="D784" s="28" t="s">
        <v>4961</v>
      </c>
      <c r="E784" s="20" t="s">
        <v>949</v>
      </c>
      <c r="F784" s="20" t="s">
        <v>7585</v>
      </c>
      <c r="G784" s="27"/>
      <c r="H784" s="20"/>
      <c r="I784" s="29"/>
      <c r="J784" s="29"/>
      <c r="K784" s="27"/>
      <c r="L784" s="27"/>
      <c r="M784" s="27" t="s">
        <v>7586</v>
      </c>
      <c r="N784" s="27"/>
      <c r="O784" s="29"/>
      <c r="P784" s="27"/>
      <c r="Q784" s="27"/>
      <c r="R784" s="29"/>
      <c r="S784" s="29"/>
      <c r="T784" s="29"/>
      <c r="U784" s="27"/>
      <c r="V784" s="27"/>
      <c r="W784" s="27"/>
      <c r="X784" s="64"/>
      <c r="Y784" s="64"/>
      <c r="Z784" s="64"/>
      <c r="AA784" s="64"/>
      <c r="AB784" s="27"/>
      <c r="AC784" s="27"/>
    </row>
    <row r="785" spans="1:29" s="25" customFormat="1" x14ac:dyDescent="0.3">
      <c r="A785" s="24">
        <v>425</v>
      </c>
      <c r="B785" s="24" t="s">
        <v>2272</v>
      </c>
      <c r="C785" s="26">
        <v>233</v>
      </c>
      <c r="D785" s="25" t="s">
        <v>955</v>
      </c>
      <c r="E785" s="19" t="s">
        <v>956</v>
      </c>
      <c r="F785" s="19"/>
      <c r="G785" s="24"/>
      <c r="H785" s="19"/>
      <c r="I785" s="26" t="s">
        <v>49</v>
      </c>
      <c r="J785" s="26" t="s">
        <v>5121</v>
      </c>
      <c r="K785" s="24" t="s">
        <v>49</v>
      </c>
      <c r="L785" s="24" t="s">
        <v>3770</v>
      </c>
      <c r="M785" s="24" t="s">
        <v>5516</v>
      </c>
      <c r="N785" s="24" t="s">
        <v>5517</v>
      </c>
      <c r="O785" s="26" t="s">
        <v>2020</v>
      </c>
      <c r="P785" s="24" t="s">
        <v>6439</v>
      </c>
      <c r="Q785" s="24"/>
      <c r="R785" s="26"/>
      <c r="S785" s="26"/>
      <c r="T785" s="26"/>
      <c r="U785" s="24"/>
      <c r="V785" s="24"/>
      <c r="W785" s="24"/>
      <c r="X785" s="63"/>
      <c r="Y785" s="63"/>
      <c r="Z785" s="63"/>
      <c r="AA785" s="63"/>
      <c r="AB785" s="24"/>
      <c r="AC785" s="24"/>
    </row>
    <row r="786" spans="1:29" s="25" customFormat="1" ht="20.399999999999999" x14ac:dyDescent="0.3">
      <c r="A786" s="24">
        <v>426</v>
      </c>
      <c r="B786" s="24" t="s">
        <v>2272</v>
      </c>
      <c r="C786" s="26"/>
      <c r="D786" s="25" t="s">
        <v>2017</v>
      </c>
      <c r="E786" s="19" t="s">
        <v>950</v>
      </c>
      <c r="F786" s="19"/>
      <c r="G786" s="24"/>
      <c r="H786" s="19"/>
      <c r="I786" s="26" t="s">
        <v>37</v>
      </c>
      <c r="J786" s="26"/>
      <c r="K786" s="24"/>
      <c r="L786" s="103" t="s">
        <v>8569</v>
      </c>
      <c r="M786" s="24" t="s">
        <v>6668</v>
      </c>
      <c r="N786" s="24"/>
      <c r="O786" s="26"/>
      <c r="P786" s="24"/>
      <c r="Q786" s="24"/>
      <c r="R786" s="26"/>
      <c r="S786" s="26"/>
      <c r="T786" s="26"/>
      <c r="U786" s="24"/>
      <c r="V786" s="24"/>
      <c r="W786" s="24"/>
      <c r="X786" s="63"/>
      <c r="Y786" s="63"/>
      <c r="Z786" s="63"/>
      <c r="AA786" s="63"/>
      <c r="AB786" s="24"/>
      <c r="AC786" s="24"/>
    </row>
    <row r="787" spans="1:29" s="28" customFormat="1" x14ac:dyDescent="0.3">
      <c r="A787" s="27" t="s">
        <v>8580</v>
      </c>
      <c r="B787" s="27" t="s">
        <v>2273</v>
      </c>
      <c r="C787" s="29">
        <v>233</v>
      </c>
      <c r="D787" s="28" t="s">
        <v>7587</v>
      </c>
      <c r="E787" s="20" t="s">
        <v>950</v>
      </c>
      <c r="F787" s="20" t="s">
        <v>8581</v>
      </c>
      <c r="G787" s="27"/>
      <c r="H787" s="20" t="s">
        <v>4611</v>
      </c>
      <c r="I787" s="29"/>
      <c r="J787" s="29" t="s">
        <v>5121</v>
      </c>
      <c r="K787" s="27"/>
      <c r="L787" s="27" t="s">
        <v>8582</v>
      </c>
      <c r="M787" s="27" t="s">
        <v>8583</v>
      </c>
      <c r="N787" s="27" t="s">
        <v>8584</v>
      </c>
      <c r="O787" s="29" t="s">
        <v>8585</v>
      </c>
      <c r="P787" s="27"/>
      <c r="Q787" s="27"/>
      <c r="R787" s="29"/>
      <c r="S787" s="29"/>
      <c r="T787" s="29"/>
      <c r="U787" s="27"/>
      <c r="V787" s="27"/>
      <c r="W787" s="27"/>
      <c r="X787" s="64"/>
      <c r="Y787" s="64"/>
      <c r="Z787" s="64"/>
      <c r="AA787" s="64"/>
      <c r="AB787" s="27"/>
      <c r="AC787" s="27"/>
    </row>
    <row r="788" spans="1:29" s="28" customFormat="1" x14ac:dyDescent="0.3">
      <c r="A788" s="27" t="s">
        <v>6308</v>
      </c>
      <c r="B788" s="27" t="s">
        <v>2273</v>
      </c>
      <c r="C788" s="29">
        <v>233</v>
      </c>
      <c r="D788" s="28" t="s">
        <v>7587</v>
      </c>
      <c r="E788" s="20" t="s">
        <v>950</v>
      </c>
      <c r="F788" s="20" t="s">
        <v>2629</v>
      </c>
      <c r="G788" s="27"/>
      <c r="H788" s="20" t="s">
        <v>4611</v>
      </c>
      <c r="I788" s="29"/>
      <c r="J788" s="29" t="s">
        <v>37</v>
      </c>
      <c r="K788" s="27"/>
      <c r="L788" s="27" t="s">
        <v>3125</v>
      </c>
      <c r="M788" s="27" t="s">
        <v>7588</v>
      </c>
      <c r="N788" s="27"/>
      <c r="O788" s="29" t="s">
        <v>7589</v>
      </c>
      <c r="P788" s="27"/>
      <c r="Q788" s="27"/>
      <c r="R788" s="29"/>
      <c r="S788" s="29"/>
      <c r="T788" s="29"/>
      <c r="U788" s="27"/>
      <c r="V788" s="27"/>
      <c r="W788" s="27"/>
      <c r="X788" s="64"/>
      <c r="Y788" s="64"/>
      <c r="Z788" s="64"/>
      <c r="AA788" s="64"/>
      <c r="AB788" s="27"/>
      <c r="AC788" s="27"/>
    </row>
    <row r="789" spans="1:29" s="28" customFormat="1" x14ac:dyDescent="0.3">
      <c r="A789" s="27" t="s">
        <v>7590</v>
      </c>
      <c r="B789" s="27" t="s">
        <v>2273</v>
      </c>
      <c r="C789" s="29">
        <v>233</v>
      </c>
      <c r="D789" s="28" t="s">
        <v>7587</v>
      </c>
      <c r="E789" s="20" t="s">
        <v>950</v>
      </c>
      <c r="F789" s="20" t="s">
        <v>2630</v>
      </c>
      <c r="G789" s="27"/>
      <c r="H789" s="20" t="s">
        <v>4611</v>
      </c>
      <c r="I789" s="29"/>
      <c r="J789" s="29" t="s">
        <v>37</v>
      </c>
      <c r="K789" s="27"/>
      <c r="L789" s="27" t="s">
        <v>3125</v>
      </c>
      <c r="M789" s="27" t="s">
        <v>6787</v>
      </c>
      <c r="N789" s="27"/>
      <c r="O789" s="29" t="s">
        <v>7580</v>
      </c>
      <c r="P789" s="27"/>
      <c r="Q789" s="27"/>
      <c r="R789" s="29"/>
      <c r="S789" s="29"/>
      <c r="T789" s="29"/>
      <c r="U789" s="27"/>
      <c r="V789" s="27"/>
      <c r="W789" s="27"/>
      <c r="X789" s="64"/>
      <c r="Y789" s="64"/>
      <c r="Z789" s="64"/>
      <c r="AA789" s="64"/>
      <c r="AB789" s="27"/>
      <c r="AC789" s="27"/>
    </row>
    <row r="790" spans="1:29" s="28" customFormat="1" x14ac:dyDescent="0.3">
      <c r="A790" s="27" t="s">
        <v>7591</v>
      </c>
      <c r="B790" s="27" t="s">
        <v>2273</v>
      </c>
      <c r="C790" s="29">
        <v>233</v>
      </c>
      <c r="D790" s="28" t="s">
        <v>7587</v>
      </c>
      <c r="E790" s="20" t="s">
        <v>950</v>
      </c>
      <c r="F790" s="20" t="s">
        <v>2319</v>
      </c>
      <c r="G790" s="27"/>
      <c r="H790" s="20" t="s">
        <v>4611</v>
      </c>
      <c r="I790" s="29"/>
      <c r="J790" s="29" t="s">
        <v>37</v>
      </c>
      <c r="K790" s="27"/>
      <c r="L790" s="27" t="s">
        <v>3125</v>
      </c>
      <c r="M790" s="27" t="s">
        <v>6768</v>
      </c>
      <c r="N790" s="27"/>
      <c r="O790" s="29" t="s">
        <v>7592</v>
      </c>
      <c r="P790" s="27"/>
      <c r="Q790" s="27"/>
      <c r="R790" s="29"/>
      <c r="S790" s="29"/>
      <c r="T790" s="29"/>
      <c r="U790" s="27"/>
      <c r="V790" s="27"/>
      <c r="W790" s="27"/>
      <c r="X790" s="64"/>
      <c r="Y790" s="64"/>
      <c r="Z790" s="64"/>
      <c r="AA790" s="64"/>
      <c r="AB790" s="27"/>
      <c r="AC790" s="27"/>
    </row>
    <row r="791" spans="1:29" s="25" customFormat="1" x14ac:dyDescent="0.3">
      <c r="A791" s="24">
        <v>427</v>
      </c>
      <c r="B791" s="24" t="s">
        <v>2272</v>
      </c>
      <c r="C791" s="26">
        <v>233</v>
      </c>
      <c r="D791" s="25" t="s">
        <v>953</v>
      </c>
      <c r="E791" s="19" t="s">
        <v>954</v>
      </c>
      <c r="F791" s="19"/>
      <c r="G791" s="24"/>
      <c r="H791" s="19"/>
      <c r="I791" s="26" t="s">
        <v>49</v>
      </c>
      <c r="J791" s="26" t="s">
        <v>5121</v>
      </c>
      <c r="K791" s="24" t="s">
        <v>49</v>
      </c>
      <c r="L791" s="24" t="s">
        <v>3164</v>
      </c>
      <c r="M791" s="24" t="s">
        <v>5518</v>
      </c>
      <c r="N791" s="24" t="s">
        <v>5519</v>
      </c>
      <c r="O791" s="26" t="s">
        <v>2019</v>
      </c>
      <c r="P791" s="24" t="s">
        <v>6440</v>
      </c>
      <c r="Q791" s="24"/>
      <c r="R791" s="26"/>
      <c r="S791" s="26"/>
      <c r="T791" s="26"/>
      <c r="U791" s="24"/>
      <c r="V791" s="24"/>
      <c r="W791" s="24"/>
      <c r="X791" s="63"/>
      <c r="Y791" s="63"/>
      <c r="Z791" s="63"/>
      <c r="AA791" s="63"/>
      <c r="AB791" s="24"/>
      <c r="AC791" s="24"/>
    </row>
    <row r="792" spans="1:29" s="25" customFormat="1" x14ac:dyDescent="0.3">
      <c r="A792" s="24">
        <v>428</v>
      </c>
      <c r="B792" s="24" t="s">
        <v>2272</v>
      </c>
      <c r="C792" s="26">
        <v>235</v>
      </c>
      <c r="D792" s="25" t="s">
        <v>951</v>
      </c>
      <c r="E792" s="19" t="s">
        <v>952</v>
      </c>
      <c r="F792" s="19"/>
      <c r="G792" s="24"/>
      <c r="H792" s="19"/>
      <c r="I792" s="26" t="s">
        <v>57</v>
      </c>
      <c r="J792" s="26" t="s">
        <v>57</v>
      </c>
      <c r="K792" s="24"/>
      <c r="L792" s="24" t="s">
        <v>3774</v>
      </c>
      <c r="M792" s="24" t="s">
        <v>875</v>
      </c>
      <c r="N792" s="24"/>
      <c r="O792" s="26"/>
      <c r="P792" s="24"/>
      <c r="Q792" s="24"/>
      <c r="R792" s="26"/>
      <c r="S792" s="26"/>
      <c r="T792" s="26"/>
      <c r="U792" s="24"/>
      <c r="V792" s="24"/>
      <c r="W792" s="24"/>
      <c r="X792" s="63"/>
      <c r="Y792" s="63"/>
      <c r="Z792" s="63"/>
      <c r="AA792" s="63"/>
      <c r="AB792" s="24"/>
      <c r="AC792" s="24"/>
    </row>
    <row r="793" spans="1:29" s="28" customFormat="1" x14ac:dyDescent="0.3">
      <c r="A793" s="27" t="s">
        <v>7593</v>
      </c>
      <c r="B793" s="27" t="s">
        <v>2273</v>
      </c>
      <c r="C793" s="29"/>
      <c r="D793" s="28" t="s">
        <v>4962</v>
      </c>
      <c r="E793" s="20" t="s">
        <v>952</v>
      </c>
      <c r="F793" s="20" t="s">
        <v>2632</v>
      </c>
      <c r="G793" s="27"/>
      <c r="H793" s="20"/>
      <c r="I793" s="29"/>
      <c r="J793" s="29"/>
      <c r="K793" s="27"/>
      <c r="L793" s="27"/>
      <c r="M793" s="27" t="s">
        <v>6899</v>
      </c>
      <c r="N793" s="27"/>
      <c r="O793" s="29" t="s">
        <v>6900</v>
      </c>
      <c r="P793" s="27"/>
      <c r="Q793" s="27"/>
      <c r="R793" s="29"/>
      <c r="S793" s="29"/>
      <c r="T793" s="29"/>
      <c r="U793" s="27"/>
      <c r="V793" s="27"/>
      <c r="W793" s="27"/>
      <c r="X793" s="64"/>
      <c r="Y793" s="64"/>
      <c r="Z793" s="64"/>
      <c r="AA793" s="64"/>
      <c r="AB793" s="27"/>
      <c r="AC793" s="27"/>
    </row>
    <row r="794" spans="1:29" s="28" customFormat="1" x14ac:dyDescent="0.3">
      <c r="A794" s="27" t="s">
        <v>6309</v>
      </c>
      <c r="B794" s="27" t="s">
        <v>2273</v>
      </c>
      <c r="C794" s="29"/>
      <c r="D794" s="28" t="s">
        <v>4962</v>
      </c>
      <c r="E794" s="20" t="s">
        <v>952</v>
      </c>
      <c r="F794" s="20" t="s">
        <v>2633</v>
      </c>
      <c r="G794" s="27"/>
      <c r="H794" s="20"/>
      <c r="I794" s="29"/>
      <c r="J794" s="29"/>
      <c r="K794" s="27"/>
      <c r="L794" s="27"/>
      <c r="M794" s="27" t="s">
        <v>6777</v>
      </c>
      <c r="N794" s="27"/>
      <c r="O794" s="29" t="s">
        <v>2117</v>
      </c>
      <c r="P794" s="27"/>
      <c r="Q794" s="27"/>
      <c r="R794" s="29"/>
      <c r="S794" s="29"/>
      <c r="T794" s="29"/>
      <c r="U794" s="27"/>
      <c r="V794" s="27"/>
      <c r="W794" s="27"/>
      <c r="X794" s="64"/>
      <c r="Y794" s="64"/>
      <c r="Z794" s="64"/>
      <c r="AA794" s="64"/>
      <c r="AB794" s="27"/>
      <c r="AC794" s="27"/>
    </row>
    <row r="795" spans="1:29" s="25" customFormat="1" x14ac:dyDescent="0.3">
      <c r="A795" s="24">
        <v>429</v>
      </c>
      <c r="B795" s="24" t="s">
        <v>2272</v>
      </c>
      <c r="C795" s="26">
        <v>235</v>
      </c>
      <c r="D795" s="25" t="s">
        <v>959</v>
      </c>
      <c r="E795" s="19" t="s">
        <v>960</v>
      </c>
      <c r="F795" s="19"/>
      <c r="G795" s="24"/>
      <c r="H795" s="19"/>
      <c r="I795" s="26" t="s">
        <v>37</v>
      </c>
      <c r="J795" s="26" t="s">
        <v>37</v>
      </c>
      <c r="K795" s="24"/>
      <c r="L795" s="24" t="s">
        <v>3233</v>
      </c>
      <c r="M795" s="24" t="s">
        <v>5520</v>
      </c>
      <c r="N795" s="24"/>
      <c r="O795" s="26"/>
      <c r="P795" s="24"/>
      <c r="Q795" s="24"/>
      <c r="R795" s="26"/>
      <c r="S795" s="26"/>
      <c r="T795" s="26"/>
      <c r="U795" s="24"/>
      <c r="V795" s="24"/>
      <c r="W795" s="24"/>
      <c r="X795" s="63"/>
      <c r="Y795" s="63"/>
      <c r="Z795" s="63"/>
      <c r="AA795" s="63"/>
      <c r="AB795" s="24"/>
      <c r="AC795" s="24"/>
    </row>
    <row r="796" spans="1:29" s="28" customFormat="1" x14ac:dyDescent="0.3">
      <c r="A796" s="27" t="s">
        <v>7594</v>
      </c>
      <c r="B796" s="27" t="s">
        <v>2273</v>
      </c>
      <c r="C796" s="29"/>
      <c r="D796" s="28" t="s">
        <v>4963</v>
      </c>
      <c r="E796" s="20" t="s">
        <v>960</v>
      </c>
      <c r="F796" s="20" t="s">
        <v>2634</v>
      </c>
      <c r="G796" s="27"/>
      <c r="H796" s="20"/>
      <c r="I796" s="29"/>
      <c r="J796" s="29"/>
      <c r="K796" s="27"/>
      <c r="L796" s="27"/>
      <c r="M796" s="27" t="s">
        <v>7595</v>
      </c>
      <c r="N796" s="27"/>
      <c r="O796" s="29" t="s">
        <v>7596</v>
      </c>
      <c r="P796" s="27"/>
      <c r="Q796" s="27"/>
      <c r="R796" s="29"/>
      <c r="S796" s="29"/>
      <c r="T796" s="29"/>
      <c r="U796" s="27"/>
      <c r="V796" s="27"/>
      <c r="W796" s="27"/>
      <c r="X796" s="64"/>
      <c r="Y796" s="64"/>
      <c r="Z796" s="64"/>
      <c r="AA796" s="64"/>
      <c r="AB796" s="27"/>
      <c r="AC796" s="27"/>
    </row>
    <row r="797" spans="1:29" s="28" customFormat="1" x14ac:dyDescent="0.3">
      <c r="A797" s="27" t="s">
        <v>7597</v>
      </c>
      <c r="B797" s="27" t="s">
        <v>2273</v>
      </c>
      <c r="C797" s="29"/>
      <c r="D797" s="28" t="s">
        <v>4963</v>
      </c>
      <c r="E797" s="20" t="s">
        <v>960</v>
      </c>
      <c r="F797" s="20" t="s">
        <v>2507</v>
      </c>
      <c r="G797" s="27"/>
      <c r="H797" s="20"/>
      <c r="I797" s="29"/>
      <c r="J797" s="29"/>
      <c r="K797" s="27"/>
      <c r="L797" s="27"/>
      <c r="M797" s="27" t="s">
        <v>7598</v>
      </c>
      <c r="N797" s="27"/>
      <c r="O797" s="29" t="s">
        <v>7599</v>
      </c>
      <c r="P797" s="27"/>
      <c r="Q797" s="27"/>
      <c r="R797" s="29"/>
      <c r="S797" s="29"/>
      <c r="T797" s="29"/>
      <c r="U797" s="27"/>
      <c r="V797" s="27"/>
      <c r="W797" s="27"/>
      <c r="X797" s="64"/>
      <c r="Y797" s="64"/>
      <c r="Z797" s="64"/>
      <c r="AA797" s="64"/>
      <c r="AB797" s="27"/>
      <c r="AC797" s="27"/>
    </row>
    <row r="798" spans="1:29" s="25" customFormat="1" x14ac:dyDescent="0.3">
      <c r="A798" s="24">
        <v>430</v>
      </c>
      <c r="B798" s="24" t="s">
        <v>2272</v>
      </c>
      <c r="C798" s="26">
        <v>245</v>
      </c>
      <c r="D798" s="25" t="s">
        <v>962</v>
      </c>
      <c r="E798" s="19" t="s">
        <v>963</v>
      </c>
      <c r="F798" s="19"/>
      <c r="G798" s="24"/>
      <c r="H798" s="19"/>
      <c r="I798" s="26" t="s">
        <v>37</v>
      </c>
      <c r="J798" s="26" t="s">
        <v>37</v>
      </c>
      <c r="K798" s="24"/>
      <c r="L798" s="24" t="s">
        <v>3233</v>
      </c>
      <c r="M798" s="24" t="s">
        <v>5521</v>
      </c>
      <c r="N798" s="24"/>
      <c r="O798" s="26"/>
      <c r="P798" s="24"/>
      <c r="Q798" s="24"/>
      <c r="R798" s="26"/>
      <c r="S798" s="26"/>
      <c r="T798" s="26"/>
      <c r="U798" s="24"/>
      <c r="V798" s="24"/>
      <c r="W798" s="24"/>
      <c r="X798" s="63"/>
      <c r="Y798" s="63"/>
      <c r="Z798" s="63"/>
      <c r="AA798" s="63"/>
      <c r="AB798" s="24"/>
      <c r="AC798" s="24"/>
    </row>
    <row r="799" spans="1:29" s="28" customFormat="1" x14ac:dyDescent="0.3">
      <c r="A799" s="27" t="s">
        <v>7600</v>
      </c>
      <c r="B799" s="27" t="s">
        <v>2273</v>
      </c>
      <c r="C799" s="29"/>
      <c r="D799" s="28" t="s">
        <v>4964</v>
      </c>
      <c r="E799" s="20" t="s">
        <v>963</v>
      </c>
      <c r="F799" s="20" t="s">
        <v>2635</v>
      </c>
      <c r="G799" s="27"/>
      <c r="H799" s="20"/>
      <c r="I799" s="29"/>
      <c r="J799" s="29"/>
      <c r="K799" s="27"/>
      <c r="L799" s="27"/>
      <c r="M799" s="27" t="s">
        <v>7601</v>
      </c>
      <c r="N799" s="27"/>
      <c r="O799" s="29" t="s">
        <v>7602</v>
      </c>
      <c r="P799" s="27"/>
      <c r="Q799" s="27"/>
      <c r="R799" s="29"/>
      <c r="S799" s="29"/>
      <c r="T799" s="29"/>
      <c r="U799" s="27"/>
      <c r="V799" s="27"/>
      <c r="W799" s="27"/>
      <c r="X799" s="64"/>
      <c r="Y799" s="64"/>
      <c r="Z799" s="64"/>
      <c r="AA799" s="64"/>
      <c r="AB799" s="27"/>
      <c r="AC799" s="27"/>
    </row>
    <row r="800" spans="1:29" s="25" customFormat="1" x14ac:dyDescent="0.3">
      <c r="A800" s="24">
        <v>431</v>
      </c>
      <c r="B800" s="24" t="s">
        <v>2272</v>
      </c>
      <c r="C800" s="26">
        <v>247</v>
      </c>
      <c r="D800" s="25" t="s">
        <v>966</v>
      </c>
      <c r="E800" s="19" t="s">
        <v>967</v>
      </c>
      <c r="F800" s="19"/>
      <c r="G800" s="24"/>
      <c r="H800" s="19"/>
      <c r="I800" s="26" t="s">
        <v>37</v>
      </c>
      <c r="J800" s="26" t="s">
        <v>37</v>
      </c>
      <c r="K800" s="24"/>
      <c r="L800" s="24" t="s">
        <v>3778</v>
      </c>
      <c r="M800" s="24" t="s">
        <v>84</v>
      </c>
      <c r="N800" s="24"/>
      <c r="O800" s="26"/>
      <c r="P800" s="24"/>
      <c r="Q800" s="24"/>
      <c r="R800" s="26"/>
      <c r="S800" s="26"/>
      <c r="T800" s="26"/>
      <c r="U800" s="24"/>
      <c r="V800" s="24"/>
      <c r="W800" s="24"/>
      <c r="X800" s="63"/>
      <c r="Y800" s="63"/>
      <c r="Z800" s="63"/>
      <c r="AA800" s="63"/>
      <c r="AB800" s="24"/>
      <c r="AC800" s="24"/>
    </row>
    <row r="801" spans="1:29" s="28" customFormat="1" x14ac:dyDescent="0.3">
      <c r="A801" s="27" t="s">
        <v>7603</v>
      </c>
      <c r="B801" s="27" t="s">
        <v>2273</v>
      </c>
      <c r="C801" s="29"/>
      <c r="D801" s="28" t="s">
        <v>4965</v>
      </c>
      <c r="E801" s="20" t="s">
        <v>967</v>
      </c>
      <c r="F801" s="20" t="s">
        <v>2636</v>
      </c>
      <c r="G801" s="27"/>
      <c r="H801" s="20"/>
      <c r="I801" s="29"/>
      <c r="J801" s="29"/>
      <c r="K801" s="27"/>
      <c r="L801" s="27"/>
      <c r="M801" s="27" t="s">
        <v>7604</v>
      </c>
      <c r="N801" s="27"/>
      <c r="O801" s="29" t="s">
        <v>7605</v>
      </c>
      <c r="P801" s="27"/>
      <c r="Q801" s="27"/>
      <c r="R801" s="29"/>
      <c r="S801" s="29"/>
      <c r="T801" s="29"/>
      <c r="U801" s="27"/>
      <c r="V801" s="27"/>
      <c r="W801" s="27"/>
      <c r="X801" s="64"/>
      <c r="Y801" s="64"/>
      <c r="Z801" s="64"/>
      <c r="AA801" s="64"/>
      <c r="AB801" s="27"/>
      <c r="AC801" s="27"/>
    </row>
    <row r="802" spans="1:29" s="25" customFormat="1" x14ac:dyDescent="0.3">
      <c r="A802" s="24">
        <v>432</v>
      </c>
      <c r="B802" s="24" t="s">
        <v>2272</v>
      </c>
      <c r="C802" s="26">
        <v>241</v>
      </c>
      <c r="D802" s="25" t="s">
        <v>970</v>
      </c>
      <c r="E802" s="19" t="s">
        <v>971</v>
      </c>
      <c r="F802" s="19"/>
      <c r="G802" s="24"/>
      <c r="H802" s="19"/>
      <c r="I802" s="26" t="s">
        <v>37</v>
      </c>
      <c r="J802" s="26" t="s">
        <v>37</v>
      </c>
      <c r="K802" s="24"/>
      <c r="L802" s="24" t="s">
        <v>3780</v>
      </c>
      <c r="M802" s="24" t="s">
        <v>5523</v>
      </c>
      <c r="N802" s="24"/>
      <c r="O802" s="26"/>
      <c r="P802" s="24"/>
      <c r="Q802" s="24"/>
      <c r="R802" s="26"/>
      <c r="S802" s="26"/>
      <c r="T802" s="26"/>
      <c r="U802" s="24"/>
      <c r="V802" s="24"/>
      <c r="W802" s="24"/>
      <c r="X802" s="63"/>
      <c r="Y802" s="63"/>
      <c r="Z802" s="63"/>
      <c r="AA802" s="63"/>
      <c r="AB802" s="24"/>
      <c r="AC802" s="24"/>
    </row>
    <row r="803" spans="1:29" s="28" customFormat="1" x14ac:dyDescent="0.3">
      <c r="A803" s="27" t="s">
        <v>7606</v>
      </c>
      <c r="B803" s="27" t="s">
        <v>2273</v>
      </c>
      <c r="C803" s="29"/>
      <c r="D803" s="28" t="s">
        <v>4966</v>
      </c>
      <c r="E803" s="20" t="s">
        <v>971</v>
      </c>
      <c r="F803" s="20" t="s">
        <v>2637</v>
      </c>
      <c r="G803" s="27"/>
      <c r="H803" s="20"/>
      <c r="I803" s="29"/>
      <c r="J803" s="29"/>
      <c r="K803" s="27"/>
      <c r="L803" s="27"/>
      <c r="M803" s="27" t="s">
        <v>7607</v>
      </c>
      <c r="N803" s="27"/>
      <c r="O803" s="29" t="s">
        <v>7608</v>
      </c>
      <c r="P803" s="27"/>
      <c r="Q803" s="27"/>
      <c r="R803" s="29"/>
      <c r="S803" s="29"/>
      <c r="T803" s="29"/>
      <c r="U803" s="27"/>
      <c r="V803" s="27"/>
      <c r="W803" s="27"/>
      <c r="X803" s="64"/>
      <c r="Y803" s="64"/>
      <c r="Z803" s="64"/>
      <c r="AA803" s="64"/>
      <c r="AB803" s="27"/>
      <c r="AC803" s="27"/>
    </row>
    <row r="804" spans="1:29" s="25" customFormat="1" x14ac:dyDescent="0.3">
      <c r="A804" s="24">
        <v>433</v>
      </c>
      <c r="B804" s="24" t="s">
        <v>2272</v>
      </c>
      <c r="C804" s="26">
        <v>241</v>
      </c>
      <c r="D804" s="25" t="s">
        <v>972</v>
      </c>
      <c r="E804" s="19" t="s">
        <v>973</v>
      </c>
      <c r="F804" s="19"/>
      <c r="G804" s="24"/>
      <c r="H804" s="19" t="s">
        <v>2023</v>
      </c>
      <c r="I804" s="26" t="s">
        <v>37</v>
      </c>
      <c r="J804" s="26" t="s">
        <v>37</v>
      </c>
      <c r="K804" s="24"/>
      <c r="L804" s="24" t="s">
        <v>3782</v>
      </c>
      <c r="M804" s="24" t="s">
        <v>974</v>
      </c>
      <c r="N804" s="24"/>
      <c r="O804" s="26"/>
      <c r="P804" s="24"/>
      <c r="Q804" s="24"/>
      <c r="R804" s="26"/>
      <c r="S804" s="26"/>
      <c r="T804" s="26"/>
      <c r="U804" s="24"/>
      <c r="V804" s="24"/>
      <c r="W804" s="24"/>
      <c r="X804" s="63"/>
      <c r="Y804" s="63"/>
      <c r="Z804" s="63"/>
      <c r="AA804" s="63"/>
      <c r="AB804" s="24"/>
      <c r="AC804" s="24"/>
    </row>
    <row r="805" spans="1:29" s="28" customFormat="1" x14ac:dyDescent="0.3">
      <c r="A805" s="27" t="s">
        <v>6310</v>
      </c>
      <c r="B805" s="27" t="s">
        <v>2273</v>
      </c>
      <c r="C805" s="29">
        <v>241</v>
      </c>
      <c r="D805" s="28" t="s">
        <v>4967</v>
      </c>
      <c r="E805" s="20" t="s">
        <v>973</v>
      </c>
      <c r="F805" s="20" t="s">
        <v>2638</v>
      </c>
      <c r="G805" s="27"/>
      <c r="H805" s="20" t="s">
        <v>4612</v>
      </c>
      <c r="I805" s="29"/>
      <c r="J805" s="29" t="s">
        <v>37</v>
      </c>
      <c r="K805" s="27"/>
      <c r="L805" s="27" t="s">
        <v>3782</v>
      </c>
      <c r="M805" s="27" t="s">
        <v>7609</v>
      </c>
      <c r="N805" s="27"/>
      <c r="O805" s="29" t="s">
        <v>2194</v>
      </c>
      <c r="P805" s="27"/>
      <c r="Q805" s="27"/>
      <c r="R805" s="29"/>
      <c r="S805" s="29"/>
      <c r="T805" s="29"/>
      <c r="U805" s="27"/>
      <c r="V805" s="27"/>
      <c r="W805" s="27"/>
      <c r="X805" s="64"/>
      <c r="Y805" s="64"/>
      <c r="Z805" s="64"/>
      <c r="AA805" s="64"/>
      <c r="AB805" s="27"/>
      <c r="AC805" s="27"/>
    </row>
    <row r="806" spans="1:29" s="28" customFormat="1" x14ac:dyDescent="0.3">
      <c r="A806" s="27" t="s">
        <v>6311</v>
      </c>
      <c r="B806" s="27" t="s">
        <v>2273</v>
      </c>
      <c r="C806" s="29">
        <v>241</v>
      </c>
      <c r="D806" s="28" t="s">
        <v>4967</v>
      </c>
      <c r="E806" s="20" t="s">
        <v>973</v>
      </c>
      <c r="F806" s="20" t="s">
        <v>2381</v>
      </c>
      <c r="G806" s="27"/>
      <c r="H806" s="20" t="s">
        <v>4612</v>
      </c>
      <c r="I806" s="29"/>
      <c r="J806" s="29" t="s">
        <v>37</v>
      </c>
      <c r="K806" s="27"/>
      <c r="L806" s="27" t="s">
        <v>3782</v>
      </c>
      <c r="M806" s="27" t="s">
        <v>7610</v>
      </c>
      <c r="N806" s="27"/>
      <c r="O806" s="29" t="s">
        <v>7611</v>
      </c>
      <c r="P806" s="27"/>
      <c r="Q806" s="27"/>
      <c r="R806" s="29"/>
      <c r="S806" s="29"/>
      <c r="T806" s="29"/>
      <c r="U806" s="27"/>
      <c r="V806" s="27"/>
      <c r="W806" s="27"/>
      <c r="X806" s="64"/>
      <c r="Y806" s="64"/>
      <c r="Z806" s="64"/>
      <c r="AA806" s="64"/>
      <c r="AB806" s="27"/>
      <c r="AC806" s="27"/>
    </row>
    <row r="807" spans="1:29" s="28" customFormat="1" x14ac:dyDescent="0.3">
      <c r="A807" s="27" t="s">
        <v>6312</v>
      </c>
      <c r="B807" s="27" t="s">
        <v>2273</v>
      </c>
      <c r="C807" s="29">
        <v>241</v>
      </c>
      <c r="D807" s="28" t="s">
        <v>4967</v>
      </c>
      <c r="E807" s="20" t="s">
        <v>973</v>
      </c>
      <c r="F807" s="20" t="s">
        <v>2639</v>
      </c>
      <c r="G807" s="27"/>
      <c r="H807" s="20" t="s">
        <v>4612</v>
      </c>
      <c r="I807" s="29"/>
      <c r="J807" s="29" t="s">
        <v>37</v>
      </c>
      <c r="K807" s="27"/>
      <c r="L807" s="27" t="s">
        <v>3782</v>
      </c>
      <c r="M807" s="27" t="s">
        <v>7612</v>
      </c>
      <c r="N807" s="27"/>
      <c r="O807" s="29" t="s">
        <v>7613</v>
      </c>
      <c r="P807" s="27"/>
      <c r="Q807" s="27"/>
      <c r="R807" s="29"/>
      <c r="S807" s="29"/>
      <c r="T807" s="29"/>
      <c r="U807" s="27"/>
      <c r="V807" s="27"/>
      <c r="W807" s="27"/>
      <c r="X807" s="64"/>
      <c r="Y807" s="64"/>
      <c r="Z807" s="64"/>
      <c r="AA807" s="64"/>
      <c r="AB807" s="27"/>
      <c r="AC807" s="27"/>
    </row>
    <row r="808" spans="1:29" s="28" customFormat="1" x14ac:dyDescent="0.3">
      <c r="A808" s="27" t="s">
        <v>7614</v>
      </c>
      <c r="B808" s="27" t="s">
        <v>2273</v>
      </c>
      <c r="C808" s="29">
        <v>241</v>
      </c>
      <c r="D808" s="28" t="s">
        <v>4967</v>
      </c>
      <c r="E808" s="20" t="s">
        <v>973</v>
      </c>
      <c r="F808" s="20" t="s">
        <v>2640</v>
      </c>
      <c r="G808" s="27"/>
      <c r="H808" s="20" t="s">
        <v>4612</v>
      </c>
      <c r="I808" s="29"/>
      <c r="J808" s="29" t="s">
        <v>37</v>
      </c>
      <c r="K808" s="27"/>
      <c r="L808" s="27" t="s">
        <v>3782</v>
      </c>
      <c r="M808" s="27" t="s">
        <v>7615</v>
      </c>
      <c r="N808" s="27"/>
      <c r="O808" s="29" t="s">
        <v>7616</v>
      </c>
      <c r="P808" s="27"/>
      <c r="Q808" s="27"/>
      <c r="R808" s="29"/>
      <c r="S808" s="29"/>
      <c r="T808" s="29"/>
      <c r="U808" s="27"/>
      <c r="V808" s="27"/>
      <c r="W808" s="27"/>
      <c r="X808" s="64"/>
      <c r="Y808" s="64"/>
      <c r="Z808" s="64"/>
      <c r="AA808" s="64"/>
      <c r="AB808" s="27"/>
      <c r="AC808" s="27"/>
    </row>
    <row r="809" spans="1:29" s="28" customFormat="1" x14ac:dyDescent="0.3">
      <c r="A809" s="27" t="s">
        <v>7617</v>
      </c>
      <c r="B809" s="27" t="s">
        <v>2273</v>
      </c>
      <c r="C809" s="29">
        <v>241</v>
      </c>
      <c r="D809" s="28" t="s">
        <v>4967</v>
      </c>
      <c r="E809" s="20" t="s">
        <v>973</v>
      </c>
      <c r="F809" s="20" t="s">
        <v>2641</v>
      </c>
      <c r="G809" s="27"/>
      <c r="H809" s="20" t="s">
        <v>4612</v>
      </c>
      <c r="I809" s="29"/>
      <c r="J809" s="29" t="s">
        <v>37</v>
      </c>
      <c r="K809" s="27"/>
      <c r="L809" s="27" t="s">
        <v>3782</v>
      </c>
      <c r="M809" s="27" t="s">
        <v>7618</v>
      </c>
      <c r="N809" s="27"/>
      <c r="O809" s="29" t="s">
        <v>7619</v>
      </c>
      <c r="P809" s="27"/>
      <c r="Q809" s="27"/>
      <c r="R809" s="29"/>
      <c r="S809" s="29"/>
      <c r="T809" s="29"/>
      <c r="U809" s="27"/>
      <c r="V809" s="27"/>
      <c r="W809" s="27"/>
      <c r="X809" s="64"/>
      <c r="Y809" s="64"/>
      <c r="Z809" s="64"/>
      <c r="AA809" s="64"/>
      <c r="AB809" s="27"/>
      <c r="AC809" s="27"/>
    </row>
    <row r="810" spans="1:29" s="28" customFormat="1" x14ac:dyDescent="0.3">
      <c r="A810" s="27" t="s">
        <v>7620</v>
      </c>
      <c r="B810" s="27" t="s">
        <v>2273</v>
      </c>
      <c r="C810" s="29">
        <v>241</v>
      </c>
      <c r="D810" s="28" t="s">
        <v>4967</v>
      </c>
      <c r="E810" s="20" t="s">
        <v>973</v>
      </c>
      <c r="F810" s="20" t="s">
        <v>2642</v>
      </c>
      <c r="G810" s="27"/>
      <c r="H810" s="20" t="s">
        <v>4612</v>
      </c>
      <c r="I810" s="29"/>
      <c r="J810" s="29" t="s">
        <v>37</v>
      </c>
      <c r="K810" s="27"/>
      <c r="L810" s="27" t="s">
        <v>3782</v>
      </c>
      <c r="M810" s="27" t="s">
        <v>7621</v>
      </c>
      <c r="N810" s="27"/>
      <c r="O810" s="29" t="s">
        <v>7622</v>
      </c>
      <c r="P810" s="27"/>
      <c r="Q810" s="27"/>
      <c r="R810" s="29"/>
      <c r="S810" s="29"/>
      <c r="T810" s="29"/>
      <c r="U810" s="27"/>
      <c r="V810" s="27"/>
      <c r="W810" s="27"/>
      <c r="X810" s="64"/>
      <c r="Y810" s="64"/>
      <c r="Z810" s="64"/>
      <c r="AA810" s="64"/>
      <c r="AB810" s="27"/>
      <c r="AC810" s="27"/>
    </row>
    <row r="811" spans="1:29" s="25" customFormat="1" x14ac:dyDescent="0.3">
      <c r="A811" s="24">
        <v>434</v>
      </c>
      <c r="B811" s="24" t="s">
        <v>2272</v>
      </c>
      <c r="C811" s="26">
        <v>241</v>
      </c>
      <c r="D811" s="25" t="s">
        <v>975</v>
      </c>
      <c r="E811" s="19" t="s">
        <v>976</v>
      </c>
      <c r="F811" s="19"/>
      <c r="G811" s="24"/>
      <c r="H811" s="19"/>
      <c r="I811" s="26" t="s">
        <v>89</v>
      </c>
      <c r="J811" s="26" t="s">
        <v>37</v>
      </c>
      <c r="K811" s="24"/>
      <c r="L811" s="24" t="s">
        <v>3784</v>
      </c>
      <c r="M811" s="24" t="s">
        <v>5524</v>
      </c>
      <c r="N811" s="24" t="s">
        <v>5525</v>
      </c>
      <c r="O811" s="26" t="s">
        <v>2025</v>
      </c>
      <c r="P811" s="24"/>
      <c r="Q811" s="24"/>
      <c r="R811" s="26"/>
      <c r="S811" s="26"/>
      <c r="T811" s="26"/>
      <c r="U811" s="24"/>
      <c r="V811" s="24"/>
      <c r="W811" s="24"/>
      <c r="X811" s="63"/>
      <c r="Y811" s="63"/>
      <c r="Z811" s="63"/>
      <c r="AA811" s="63"/>
      <c r="AB811" s="24"/>
      <c r="AC811" s="24"/>
    </row>
    <row r="812" spans="1:29" s="25" customFormat="1" x14ac:dyDescent="0.3">
      <c r="A812" s="24">
        <v>435</v>
      </c>
      <c r="B812" s="24" t="s">
        <v>2272</v>
      </c>
      <c r="C812" s="26">
        <v>241</v>
      </c>
      <c r="D812" s="25" t="s">
        <v>977</v>
      </c>
      <c r="E812" s="19" t="s">
        <v>978</v>
      </c>
      <c r="F812" s="19"/>
      <c r="G812" s="24"/>
      <c r="H812" s="19"/>
      <c r="I812" s="26" t="s">
        <v>37</v>
      </c>
      <c r="J812" s="26" t="s">
        <v>37</v>
      </c>
      <c r="K812" s="24"/>
      <c r="L812" s="24" t="s">
        <v>3786</v>
      </c>
      <c r="M812" s="24" t="s">
        <v>5526</v>
      </c>
      <c r="N812" s="24"/>
      <c r="O812" s="26"/>
      <c r="P812" s="24"/>
      <c r="Q812" s="24"/>
      <c r="R812" s="26"/>
      <c r="S812" s="26"/>
      <c r="T812" s="26"/>
      <c r="U812" s="24"/>
      <c r="V812" s="24"/>
      <c r="W812" s="24"/>
      <c r="X812" s="63"/>
      <c r="Y812" s="63"/>
      <c r="Z812" s="63"/>
      <c r="AA812" s="63"/>
      <c r="AB812" s="24"/>
      <c r="AC812" s="24"/>
    </row>
    <row r="813" spans="1:29" s="28" customFormat="1" x14ac:dyDescent="0.3">
      <c r="A813" s="27" t="s">
        <v>7623</v>
      </c>
      <c r="B813" s="27" t="s">
        <v>2273</v>
      </c>
      <c r="C813" s="29"/>
      <c r="D813" s="28" t="s">
        <v>4968</v>
      </c>
      <c r="E813" s="20" t="s">
        <v>978</v>
      </c>
      <c r="F813" s="20" t="s">
        <v>2506</v>
      </c>
      <c r="G813" s="27"/>
      <c r="H813" s="20"/>
      <c r="I813" s="29"/>
      <c r="J813" s="29"/>
      <c r="K813" s="27"/>
      <c r="L813" s="27"/>
      <c r="M813" s="27" t="s">
        <v>7557</v>
      </c>
      <c r="N813" s="27"/>
      <c r="O813" s="29" t="s">
        <v>7624</v>
      </c>
      <c r="P813" s="27"/>
      <c r="Q813" s="27"/>
      <c r="R813" s="29"/>
      <c r="S813" s="29"/>
      <c r="T813" s="29"/>
      <c r="U813" s="27"/>
      <c r="V813" s="27"/>
      <c r="W813" s="27"/>
      <c r="X813" s="64"/>
      <c r="Y813" s="64"/>
      <c r="Z813" s="64"/>
      <c r="AA813" s="64"/>
      <c r="AB813" s="27"/>
      <c r="AC813" s="27"/>
    </row>
    <row r="814" spans="1:29" s="28" customFormat="1" x14ac:dyDescent="0.3">
      <c r="A814" s="27" t="s">
        <v>7625</v>
      </c>
      <c r="B814" s="27" t="s">
        <v>2273</v>
      </c>
      <c r="C814" s="29"/>
      <c r="D814" s="28" t="s">
        <v>4968</v>
      </c>
      <c r="E814" s="20" t="s">
        <v>978</v>
      </c>
      <c r="F814" s="20" t="s">
        <v>2337</v>
      </c>
      <c r="G814" s="27"/>
      <c r="H814" s="20"/>
      <c r="I814" s="29"/>
      <c r="J814" s="29"/>
      <c r="K814" s="27"/>
      <c r="L814" s="27"/>
      <c r="M814" s="27" t="s">
        <v>7626</v>
      </c>
      <c r="N814" s="27"/>
      <c r="O814" s="29" t="s">
        <v>7627</v>
      </c>
      <c r="P814" s="27"/>
      <c r="Q814" s="27"/>
      <c r="R814" s="29"/>
      <c r="S814" s="29"/>
      <c r="T814" s="29"/>
      <c r="U814" s="27"/>
      <c r="V814" s="27"/>
      <c r="W814" s="27"/>
      <c r="X814" s="64"/>
      <c r="Y814" s="64"/>
      <c r="Z814" s="64"/>
      <c r="AA814" s="64"/>
      <c r="AB814" s="27"/>
      <c r="AC814" s="27"/>
    </row>
    <row r="815" spans="1:29" s="28" customFormat="1" x14ac:dyDescent="0.3">
      <c r="A815" s="27" t="s">
        <v>7628</v>
      </c>
      <c r="B815" s="27" t="s">
        <v>2273</v>
      </c>
      <c r="C815" s="29"/>
      <c r="D815" s="28" t="s">
        <v>4968</v>
      </c>
      <c r="E815" s="20" t="s">
        <v>978</v>
      </c>
      <c r="F815" s="20" t="s">
        <v>2647</v>
      </c>
      <c r="G815" s="27"/>
      <c r="H815" s="20"/>
      <c r="I815" s="29"/>
      <c r="J815" s="29"/>
      <c r="K815" s="27"/>
      <c r="L815" s="27"/>
      <c r="M815" s="27" t="s">
        <v>7629</v>
      </c>
      <c r="N815" s="27"/>
      <c r="O815" s="29" t="s">
        <v>7630</v>
      </c>
      <c r="P815" s="27"/>
      <c r="Q815" s="27"/>
      <c r="R815" s="29"/>
      <c r="S815" s="29"/>
      <c r="T815" s="29"/>
      <c r="U815" s="27"/>
      <c r="V815" s="27"/>
      <c r="W815" s="27"/>
      <c r="X815" s="64"/>
      <c r="Y815" s="64"/>
      <c r="Z815" s="64"/>
      <c r="AA815" s="64"/>
      <c r="AB815" s="27"/>
      <c r="AC815" s="27"/>
    </row>
    <row r="816" spans="1:29" s="28" customFormat="1" x14ac:dyDescent="0.3">
      <c r="A816" s="27" t="s">
        <v>7631</v>
      </c>
      <c r="B816" s="27" t="s">
        <v>2273</v>
      </c>
      <c r="C816" s="29"/>
      <c r="D816" s="28" t="s">
        <v>4968</v>
      </c>
      <c r="E816" s="20" t="s">
        <v>978</v>
      </c>
      <c r="F816" s="20" t="s">
        <v>2586</v>
      </c>
      <c r="G816" s="27"/>
      <c r="H816" s="20"/>
      <c r="I816" s="29"/>
      <c r="J816" s="29"/>
      <c r="K816" s="27"/>
      <c r="L816" s="27"/>
      <c r="M816" s="27" t="s">
        <v>6918</v>
      </c>
      <c r="N816" s="27"/>
      <c r="O816" s="29" t="s">
        <v>7632</v>
      </c>
      <c r="P816" s="27"/>
      <c r="Q816" s="27"/>
      <c r="R816" s="29"/>
      <c r="S816" s="29"/>
      <c r="T816" s="29"/>
      <c r="U816" s="27"/>
      <c r="V816" s="27"/>
      <c r="W816" s="27"/>
      <c r="X816" s="64"/>
      <c r="Y816" s="64"/>
      <c r="Z816" s="64"/>
      <c r="AA816" s="64"/>
      <c r="AB816" s="27"/>
      <c r="AC816" s="27"/>
    </row>
    <row r="817" spans="1:29" s="28" customFormat="1" x14ac:dyDescent="0.3">
      <c r="A817" s="27" t="s">
        <v>7633</v>
      </c>
      <c r="B817" s="27" t="s">
        <v>2273</v>
      </c>
      <c r="C817" s="29"/>
      <c r="D817" s="28" t="s">
        <v>4968</v>
      </c>
      <c r="E817" s="20" t="s">
        <v>978</v>
      </c>
      <c r="F817" s="20" t="s">
        <v>2648</v>
      </c>
      <c r="G817" s="27"/>
      <c r="H817" s="20"/>
      <c r="I817" s="29"/>
      <c r="J817" s="29"/>
      <c r="K817" s="27"/>
      <c r="L817" s="27"/>
      <c r="M817" s="27" t="s">
        <v>7358</v>
      </c>
      <c r="N817" s="27"/>
      <c r="O817" s="29" t="s">
        <v>7634</v>
      </c>
      <c r="P817" s="27"/>
      <c r="Q817" s="27"/>
      <c r="R817" s="29"/>
      <c r="S817" s="29"/>
      <c r="T817" s="29"/>
      <c r="U817" s="27"/>
      <c r="V817" s="27"/>
      <c r="W817" s="27"/>
      <c r="X817" s="64"/>
      <c r="Y817" s="64"/>
      <c r="Z817" s="64"/>
      <c r="AA817" s="64"/>
      <c r="AB817" s="27"/>
      <c r="AC817" s="27"/>
    </row>
    <row r="818" spans="1:29" s="28" customFormat="1" x14ac:dyDescent="0.3">
      <c r="A818" s="27" t="s">
        <v>7635</v>
      </c>
      <c r="B818" s="27" t="s">
        <v>2273</v>
      </c>
      <c r="C818" s="29"/>
      <c r="D818" s="28" t="s">
        <v>4968</v>
      </c>
      <c r="E818" s="20" t="s">
        <v>978</v>
      </c>
      <c r="F818" s="20" t="s">
        <v>2643</v>
      </c>
      <c r="G818" s="27"/>
      <c r="H818" s="20"/>
      <c r="I818" s="29"/>
      <c r="J818" s="29"/>
      <c r="K818" s="27"/>
      <c r="L818" s="27"/>
      <c r="M818" s="27" t="s">
        <v>6768</v>
      </c>
      <c r="N818" s="27"/>
      <c r="O818" s="29" t="s">
        <v>7636</v>
      </c>
      <c r="P818" s="27"/>
      <c r="Q818" s="27"/>
      <c r="R818" s="29"/>
      <c r="S818" s="29"/>
      <c r="T818" s="29"/>
      <c r="U818" s="27"/>
      <c r="V818" s="27"/>
      <c r="W818" s="27"/>
      <c r="X818" s="64"/>
      <c r="Y818" s="64"/>
      <c r="Z818" s="64"/>
      <c r="AA818" s="64"/>
      <c r="AB818" s="27"/>
      <c r="AC818" s="27"/>
    </row>
    <row r="819" spans="1:29" s="28" customFormat="1" x14ac:dyDescent="0.3">
      <c r="A819" s="27" t="s">
        <v>7637</v>
      </c>
      <c r="B819" s="27" t="s">
        <v>2273</v>
      </c>
      <c r="C819" s="29"/>
      <c r="D819" s="28" t="s">
        <v>4968</v>
      </c>
      <c r="E819" s="20" t="s">
        <v>978</v>
      </c>
      <c r="F819" s="20" t="s">
        <v>2649</v>
      </c>
      <c r="G819" s="27"/>
      <c r="H819" s="20"/>
      <c r="I819" s="29"/>
      <c r="J819" s="29"/>
      <c r="K819" s="27"/>
      <c r="L819" s="27"/>
      <c r="M819" s="27" t="s">
        <v>6867</v>
      </c>
      <c r="N819" s="27"/>
      <c r="O819" s="29" t="s">
        <v>7638</v>
      </c>
      <c r="P819" s="27"/>
      <c r="Q819" s="27"/>
      <c r="R819" s="29"/>
      <c r="S819" s="29"/>
      <c r="T819" s="29"/>
      <c r="U819" s="27"/>
      <c r="V819" s="27"/>
      <c r="W819" s="27"/>
      <c r="X819" s="64"/>
      <c r="Y819" s="64"/>
      <c r="Z819" s="64"/>
      <c r="AA819" s="64"/>
      <c r="AB819" s="27"/>
      <c r="AC819" s="27"/>
    </row>
    <row r="820" spans="1:29" s="28" customFormat="1" x14ac:dyDescent="0.3">
      <c r="A820" s="27" t="s">
        <v>7639</v>
      </c>
      <c r="B820" s="27" t="s">
        <v>2273</v>
      </c>
      <c r="C820" s="29">
        <v>243</v>
      </c>
      <c r="D820" s="28" t="s">
        <v>4968</v>
      </c>
      <c r="E820" s="20" t="s">
        <v>978</v>
      </c>
      <c r="F820" s="20" t="s">
        <v>2644</v>
      </c>
      <c r="G820" s="27" t="s">
        <v>2645</v>
      </c>
      <c r="H820" s="20" t="s">
        <v>2646</v>
      </c>
      <c r="I820" s="29"/>
      <c r="J820" s="29" t="s">
        <v>57</v>
      </c>
      <c r="K820" s="27"/>
      <c r="L820" s="27" t="s">
        <v>3786</v>
      </c>
      <c r="M820" s="27" t="s">
        <v>7640</v>
      </c>
      <c r="N820" s="27"/>
      <c r="O820" s="29" t="s">
        <v>7641</v>
      </c>
      <c r="P820" s="27"/>
      <c r="Q820" s="27"/>
      <c r="R820" s="29"/>
      <c r="S820" s="29"/>
      <c r="T820" s="29"/>
      <c r="U820" s="27"/>
      <c r="V820" s="27"/>
      <c r="W820" s="27"/>
      <c r="X820" s="64"/>
      <c r="Y820" s="64"/>
      <c r="Z820" s="64"/>
      <c r="AA820" s="64"/>
      <c r="AB820" s="27"/>
      <c r="AC820" s="27"/>
    </row>
    <row r="821" spans="1:29" s="25" customFormat="1" x14ac:dyDescent="0.3">
      <c r="A821" s="24">
        <v>436</v>
      </c>
      <c r="B821" s="24" t="s">
        <v>2272</v>
      </c>
      <c r="C821" s="26">
        <v>243</v>
      </c>
      <c r="D821" s="25" t="s">
        <v>979</v>
      </c>
      <c r="E821" s="19" t="s">
        <v>980</v>
      </c>
      <c r="F821" s="19"/>
      <c r="G821" s="24"/>
      <c r="H821" s="19"/>
      <c r="I821" s="26" t="s">
        <v>57</v>
      </c>
      <c r="J821" s="26" t="s">
        <v>57</v>
      </c>
      <c r="K821" s="24"/>
      <c r="L821" s="24" t="s">
        <v>3788</v>
      </c>
      <c r="M821" s="24" t="s">
        <v>5488</v>
      </c>
      <c r="N821" s="24"/>
      <c r="O821" s="26" t="s">
        <v>2026</v>
      </c>
      <c r="P821" s="24"/>
      <c r="Q821" s="24"/>
      <c r="R821" s="26"/>
      <c r="S821" s="26"/>
      <c r="T821" s="26"/>
      <c r="U821" s="24"/>
      <c r="V821" s="24"/>
      <c r="W821" s="24"/>
      <c r="X821" s="63"/>
      <c r="Y821" s="63"/>
      <c r="Z821" s="63"/>
      <c r="AA821" s="63"/>
      <c r="AB821" s="24"/>
      <c r="AC821" s="24"/>
    </row>
    <row r="822" spans="1:29" s="25" customFormat="1" x14ac:dyDescent="0.3">
      <c r="A822" s="24">
        <v>437</v>
      </c>
      <c r="B822" s="24" t="s">
        <v>2272</v>
      </c>
      <c r="C822" s="26">
        <v>243</v>
      </c>
      <c r="D822" s="25" t="s">
        <v>981</v>
      </c>
      <c r="E822" s="19" t="s">
        <v>982</v>
      </c>
      <c r="F822" s="19"/>
      <c r="G822" s="24" t="s">
        <v>2028</v>
      </c>
      <c r="H822" s="19"/>
      <c r="I822" s="26" t="s">
        <v>57</v>
      </c>
      <c r="J822" s="26" t="s">
        <v>57</v>
      </c>
      <c r="K822" s="24"/>
      <c r="L822" s="24" t="s">
        <v>3790</v>
      </c>
      <c r="M822" s="24" t="s">
        <v>5527</v>
      </c>
      <c r="N822" s="24"/>
      <c r="O822" s="26" t="s">
        <v>2027</v>
      </c>
      <c r="P822" s="24"/>
      <c r="Q822" s="24"/>
      <c r="R822" s="26"/>
      <c r="S822" s="26"/>
      <c r="T822" s="26"/>
      <c r="U822" s="24"/>
      <c r="V822" s="24"/>
      <c r="W822" s="24"/>
      <c r="X822" s="63"/>
      <c r="Y822" s="63"/>
      <c r="Z822" s="63"/>
      <c r="AA822" s="63"/>
      <c r="AB822" s="24"/>
      <c r="AC822" s="24"/>
    </row>
    <row r="823" spans="1:29" s="25" customFormat="1" x14ac:dyDescent="0.3">
      <c r="A823" s="24">
        <v>438</v>
      </c>
      <c r="B823" s="24" t="s">
        <v>2272</v>
      </c>
      <c r="C823" s="26">
        <v>243</v>
      </c>
      <c r="D823" s="25" t="s">
        <v>983</v>
      </c>
      <c r="E823" s="19" t="s">
        <v>984</v>
      </c>
      <c r="F823" s="19"/>
      <c r="G823" s="24" t="s">
        <v>2030</v>
      </c>
      <c r="H823" s="19"/>
      <c r="I823" s="26" t="s">
        <v>57</v>
      </c>
      <c r="J823" s="26" t="s">
        <v>57</v>
      </c>
      <c r="K823" s="24"/>
      <c r="L823" s="24" t="s">
        <v>3792</v>
      </c>
      <c r="M823" s="24" t="s">
        <v>5528</v>
      </c>
      <c r="N823" s="24"/>
      <c r="O823" s="26"/>
      <c r="P823" s="24"/>
      <c r="Q823" s="24"/>
      <c r="R823" s="26"/>
      <c r="S823" s="26"/>
      <c r="T823" s="26"/>
      <c r="U823" s="24"/>
      <c r="V823" s="24"/>
      <c r="W823" s="24"/>
      <c r="X823" s="63"/>
      <c r="Y823" s="63"/>
      <c r="Z823" s="63"/>
      <c r="AA823" s="63"/>
      <c r="AB823" s="24"/>
      <c r="AC823" s="24"/>
    </row>
    <row r="824" spans="1:29" s="28" customFormat="1" x14ac:dyDescent="0.3">
      <c r="A824" s="27" t="s">
        <v>4615</v>
      </c>
      <c r="B824" s="27" t="s">
        <v>2273</v>
      </c>
      <c r="C824" s="29"/>
      <c r="D824" s="28" t="s">
        <v>4969</v>
      </c>
      <c r="E824" s="20" t="s">
        <v>984</v>
      </c>
      <c r="F824" s="20" t="s">
        <v>2650</v>
      </c>
      <c r="G824" s="27"/>
      <c r="H824" s="20"/>
      <c r="I824" s="29"/>
      <c r="J824" s="29"/>
      <c r="K824" s="27"/>
      <c r="L824" s="27"/>
      <c r="M824" s="27" t="s">
        <v>6779</v>
      </c>
      <c r="N824" s="27"/>
      <c r="O824" s="29" t="s">
        <v>7642</v>
      </c>
      <c r="P824" s="27"/>
      <c r="Q824" s="27"/>
      <c r="R824" s="29"/>
      <c r="S824" s="29"/>
      <c r="T824" s="29"/>
      <c r="U824" s="27"/>
      <c r="V824" s="27"/>
      <c r="W824" s="27"/>
      <c r="X824" s="64"/>
      <c r="Y824" s="64"/>
      <c r="Z824" s="64"/>
      <c r="AA824" s="64"/>
      <c r="AB824" s="27"/>
      <c r="AC824" s="27"/>
    </row>
    <row r="825" spans="1:29" s="28" customFormat="1" x14ac:dyDescent="0.3">
      <c r="A825" s="27" t="s">
        <v>4618</v>
      </c>
      <c r="B825" s="27" t="s">
        <v>2273</v>
      </c>
      <c r="C825" s="29"/>
      <c r="D825" s="28" t="s">
        <v>4969</v>
      </c>
      <c r="E825" s="20" t="s">
        <v>984</v>
      </c>
      <c r="F825" s="20" t="s">
        <v>2651</v>
      </c>
      <c r="G825" s="27"/>
      <c r="H825" s="20"/>
      <c r="I825" s="29"/>
      <c r="J825" s="29"/>
      <c r="K825" s="27"/>
      <c r="L825" s="27"/>
      <c r="M825" s="27" t="s">
        <v>6914</v>
      </c>
      <c r="N825" s="27"/>
      <c r="O825" s="29" t="s">
        <v>7643</v>
      </c>
      <c r="P825" s="27"/>
      <c r="Q825" s="27"/>
      <c r="R825" s="29"/>
      <c r="S825" s="29"/>
      <c r="T825" s="29"/>
      <c r="U825" s="27"/>
      <c r="V825" s="27"/>
      <c r="W825" s="27"/>
      <c r="X825" s="64"/>
      <c r="Y825" s="64"/>
      <c r="Z825" s="64"/>
      <c r="AA825" s="64"/>
      <c r="AB825" s="27"/>
      <c r="AC825" s="27"/>
    </row>
    <row r="826" spans="1:29" s="28" customFormat="1" x14ac:dyDescent="0.3">
      <c r="A826" s="27" t="s">
        <v>7644</v>
      </c>
      <c r="B826" s="27" t="s">
        <v>2273</v>
      </c>
      <c r="C826" s="29"/>
      <c r="D826" s="28" t="s">
        <v>4969</v>
      </c>
      <c r="E826" s="20" t="s">
        <v>984</v>
      </c>
      <c r="F826" s="20" t="s">
        <v>2652</v>
      </c>
      <c r="G826" s="27"/>
      <c r="H826" s="20"/>
      <c r="I826" s="29"/>
      <c r="J826" s="29"/>
      <c r="K826" s="27"/>
      <c r="L826" s="27"/>
      <c r="M826" s="27" t="s">
        <v>6918</v>
      </c>
      <c r="N826" s="27"/>
      <c r="O826" s="29"/>
      <c r="P826" s="27"/>
      <c r="Q826" s="27"/>
      <c r="R826" s="29"/>
      <c r="S826" s="29"/>
      <c r="T826" s="29"/>
      <c r="U826" s="27"/>
      <c r="V826" s="27"/>
      <c r="W826" s="27"/>
      <c r="X826" s="64"/>
      <c r="Y826" s="64"/>
      <c r="Z826" s="64"/>
      <c r="AA826" s="64"/>
      <c r="AB826" s="27"/>
      <c r="AC826" s="27"/>
    </row>
    <row r="827" spans="1:29" s="25" customFormat="1" x14ac:dyDescent="0.3">
      <c r="A827" s="24">
        <v>439</v>
      </c>
      <c r="B827" s="24" t="s">
        <v>2272</v>
      </c>
      <c r="C827" s="26">
        <v>243</v>
      </c>
      <c r="D827" s="25" t="s">
        <v>2033</v>
      </c>
      <c r="E827" s="19" t="s">
        <v>986</v>
      </c>
      <c r="F827" s="19"/>
      <c r="G827" s="24"/>
      <c r="H827" s="19"/>
      <c r="I827" s="26" t="s">
        <v>57</v>
      </c>
      <c r="J827" s="26" t="s">
        <v>57</v>
      </c>
      <c r="K827" s="24"/>
      <c r="L827" s="24" t="s">
        <v>3794</v>
      </c>
      <c r="M827" s="24" t="s">
        <v>5529</v>
      </c>
      <c r="N827" s="24"/>
      <c r="O827" s="26"/>
      <c r="P827" s="24"/>
      <c r="Q827" s="24"/>
      <c r="R827" s="26"/>
      <c r="S827" s="26"/>
      <c r="T827" s="26"/>
      <c r="U827" s="24"/>
      <c r="V827" s="24"/>
      <c r="W827" s="24"/>
      <c r="X827" s="63"/>
      <c r="Y827" s="63"/>
      <c r="Z827" s="63"/>
      <c r="AA827" s="63"/>
      <c r="AB827" s="24"/>
      <c r="AC827" s="24"/>
    </row>
    <row r="828" spans="1:29" s="28" customFormat="1" x14ac:dyDescent="0.3">
      <c r="A828" s="27" t="s">
        <v>7645</v>
      </c>
      <c r="B828" s="27" t="s">
        <v>2273</v>
      </c>
      <c r="C828" s="29"/>
      <c r="D828" s="28" t="s">
        <v>4970</v>
      </c>
      <c r="E828" s="20" t="s">
        <v>986</v>
      </c>
      <c r="F828" s="20" t="s">
        <v>2653</v>
      </c>
      <c r="G828" s="27"/>
      <c r="H828" s="20"/>
      <c r="I828" s="29"/>
      <c r="J828" s="29"/>
      <c r="K828" s="27"/>
      <c r="L828" s="27"/>
      <c r="M828" s="27" t="s">
        <v>6996</v>
      </c>
      <c r="N828" s="27"/>
      <c r="O828" s="29" t="s">
        <v>6996</v>
      </c>
      <c r="P828" s="27"/>
      <c r="Q828" s="27"/>
      <c r="R828" s="29"/>
      <c r="S828" s="29"/>
      <c r="T828" s="29"/>
      <c r="U828" s="27"/>
      <c r="V828" s="27"/>
      <c r="W828" s="27"/>
      <c r="X828" s="64"/>
      <c r="Y828" s="64"/>
      <c r="Z828" s="64"/>
      <c r="AA828" s="64"/>
      <c r="AB828" s="27"/>
      <c r="AC828" s="27"/>
    </row>
    <row r="829" spans="1:29" s="28" customFormat="1" x14ac:dyDescent="0.3">
      <c r="A829" s="27" t="s">
        <v>7646</v>
      </c>
      <c r="B829" s="27" t="s">
        <v>2273</v>
      </c>
      <c r="C829" s="29"/>
      <c r="D829" s="28" t="s">
        <v>4970</v>
      </c>
      <c r="E829" s="20" t="s">
        <v>986</v>
      </c>
      <c r="F829" s="20" t="s">
        <v>2654</v>
      </c>
      <c r="G829" s="27"/>
      <c r="H829" s="20"/>
      <c r="I829" s="29"/>
      <c r="J829" s="29"/>
      <c r="K829" s="27"/>
      <c r="L829" s="27"/>
      <c r="M829" s="27" t="s">
        <v>7647</v>
      </c>
      <c r="N829" s="27"/>
      <c r="O829" s="29" t="s">
        <v>7484</v>
      </c>
      <c r="P829" s="27"/>
      <c r="Q829" s="27"/>
      <c r="R829" s="29"/>
      <c r="S829" s="29"/>
      <c r="T829" s="29"/>
      <c r="U829" s="27"/>
      <c r="V829" s="27"/>
      <c r="W829" s="27"/>
      <c r="X829" s="64"/>
      <c r="Y829" s="64"/>
      <c r="Z829" s="64"/>
      <c r="AA829" s="64"/>
      <c r="AB829" s="27"/>
      <c r="AC829" s="27"/>
    </row>
    <row r="830" spans="1:29" s="28" customFormat="1" x14ac:dyDescent="0.3">
      <c r="A830" s="27" t="s">
        <v>6313</v>
      </c>
      <c r="B830" s="27" t="s">
        <v>2273</v>
      </c>
      <c r="C830" s="29"/>
      <c r="D830" s="28" t="s">
        <v>4970</v>
      </c>
      <c r="E830" s="20" t="s">
        <v>986</v>
      </c>
      <c r="F830" s="20" t="s">
        <v>2655</v>
      </c>
      <c r="G830" s="27"/>
      <c r="H830" s="20"/>
      <c r="I830" s="29"/>
      <c r="J830" s="29"/>
      <c r="K830" s="27"/>
      <c r="L830" s="27"/>
      <c r="M830" s="27" t="s">
        <v>7629</v>
      </c>
      <c r="N830" s="27"/>
      <c r="O830" s="29" t="s">
        <v>7648</v>
      </c>
      <c r="P830" s="27"/>
      <c r="Q830" s="27"/>
      <c r="R830" s="29"/>
      <c r="S830" s="29"/>
      <c r="T830" s="29"/>
      <c r="U830" s="27"/>
      <c r="V830" s="27"/>
      <c r="W830" s="27"/>
      <c r="X830" s="64"/>
      <c r="Y830" s="64"/>
      <c r="Z830" s="64"/>
      <c r="AA830" s="64"/>
      <c r="AB830" s="27"/>
      <c r="AC830" s="27"/>
    </row>
    <row r="831" spans="1:29" s="28" customFormat="1" x14ac:dyDescent="0.3">
      <c r="A831" s="27" t="s">
        <v>7649</v>
      </c>
      <c r="B831" s="27" t="s">
        <v>2273</v>
      </c>
      <c r="C831" s="29"/>
      <c r="D831" s="28" t="s">
        <v>4970</v>
      </c>
      <c r="E831" s="20" t="s">
        <v>986</v>
      </c>
      <c r="F831" s="20" t="s">
        <v>2656</v>
      </c>
      <c r="G831" s="27"/>
      <c r="H831" s="20"/>
      <c r="I831" s="29"/>
      <c r="J831" s="29"/>
      <c r="K831" s="27"/>
      <c r="L831" s="27"/>
      <c r="M831" s="27" t="s">
        <v>7436</v>
      </c>
      <c r="N831" s="27"/>
      <c r="O831" s="29" t="s">
        <v>7650</v>
      </c>
      <c r="P831" s="27"/>
      <c r="Q831" s="27"/>
      <c r="R831" s="29"/>
      <c r="S831" s="29"/>
      <c r="T831" s="29"/>
      <c r="U831" s="27"/>
      <c r="V831" s="27"/>
      <c r="W831" s="27"/>
      <c r="X831" s="64"/>
      <c r="Y831" s="64"/>
      <c r="Z831" s="64"/>
      <c r="AA831" s="64"/>
      <c r="AB831" s="27"/>
      <c r="AC831" s="27"/>
    </row>
    <row r="832" spans="1:29" s="28" customFormat="1" x14ac:dyDescent="0.3">
      <c r="A832" s="27" t="s">
        <v>7651</v>
      </c>
      <c r="B832" s="27" t="s">
        <v>2273</v>
      </c>
      <c r="C832" s="29"/>
      <c r="D832" s="28" t="s">
        <v>4970</v>
      </c>
      <c r="E832" s="20" t="s">
        <v>986</v>
      </c>
      <c r="F832" s="20" t="s">
        <v>2357</v>
      </c>
      <c r="G832" s="27"/>
      <c r="H832" s="20"/>
      <c r="I832" s="29"/>
      <c r="J832" s="29"/>
      <c r="K832" s="27"/>
      <c r="L832" s="27"/>
      <c r="M832" s="27" t="s">
        <v>6867</v>
      </c>
      <c r="N832" s="27"/>
      <c r="O832" s="29" t="s">
        <v>7652</v>
      </c>
      <c r="P832" s="27"/>
      <c r="Q832" s="27"/>
      <c r="R832" s="29"/>
      <c r="S832" s="29"/>
      <c r="T832" s="29"/>
      <c r="U832" s="27"/>
      <c r="V832" s="27"/>
      <c r="W832" s="27"/>
      <c r="X832" s="64"/>
      <c r="Y832" s="64"/>
      <c r="Z832" s="64"/>
      <c r="AA832" s="64"/>
      <c r="AB832" s="27"/>
      <c r="AC832" s="27"/>
    </row>
    <row r="833" spans="1:29" s="25" customFormat="1" ht="20.399999999999999" x14ac:dyDescent="0.3">
      <c r="A833" s="24">
        <v>440</v>
      </c>
      <c r="B833" s="24" t="s">
        <v>2272</v>
      </c>
      <c r="C833" s="26"/>
      <c r="D833" s="25" t="s">
        <v>987</v>
      </c>
      <c r="E833" s="19" t="s">
        <v>988</v>
      </c>
      <c r="F833" s="19"/>
      <c r="G833" s="24"/>
      <c r="H833" s="19"/>
      <c r="I833" s="26" t="s">
        <v>57</v>
      </c>
      <c r="J833" s="26"/>
      <c r="K833" s="24"/>
      <c r="L833" s="103" t="s">
        <v>3796</v>
      </c>
      <c r="M833" s="24" t="s">
        <v>5477</v>
      </c>
      <c r="N833" s="24"/>
      <c r="O833" s="26"/>
      <c r="P833" s="24"/>
      <c r="Q833" s="24"/>
      <c r="R833" s="26"/>
      <c r="S833" s="26"/>
      <c r="T833" s="26"/>
      <c r="U833" s="24"/>
      <c r="V833" s="24"/>
      <c r="W833" s="24"/>
      <c r="X833" s="63"/>
      <c r="Y833" s="63"/>
      <c r="Z833" s="63"/>
      <c r="AA833" s="63"/>
      <c r="AB833" s="24"/>
      <c r="AC833" s="24"/>
    </row>
    <row r="834" spans="1:29" s="28" customFormat="1" x14ac:dyDescent="0.3">
      <c r="A834" s="27" t="s">
        <v>7653</v>
      </c>
      <c r="B834" s="27" t="s">
        <v>2273</v>
      </c>
      <c r="C834" s="29">
        <v>245</v>
      </c>
      <c r="D834" s="28" t="s">
        <v>4971</v>
      </c>
      <c r="E834" s="20" t="s">
        <v>988</v>
      </c>
      <c r="F834" s="20" t="s">
        <v>2657</v>
      </c>
      <c r="G834" s="27" t="s">
        <v>2034</v>
      </c>
      <c r="H834" s="20" t="s">
        <v>988</v>
      </c>
      <c r="I834" s="29"/>
      <c r="J834" s="29" t="s">
        <v>57</v>
      </c>
      <c r="K834" s="27"/>
      <c r="L834" s="27" t="s">
        <v>4613</v>
      </c>
      <c r="M834" s="27" t="s">
        <v>7444</v>
      </c>
      <c r="N834" s="27"/>
      <c r="O834" s="29" t="s">
        <v>2035</v>
      </c>
      <c r="P834" s="27"/>
      <c r="Q834" s="27"/>
      <c r="R834" s="29"/>
      <c r="S834" s="29"/>
      <c r="T834" s="29"/>
      <c r="U834" s="27"/>
      <c r="V834" s="27"/>
      <c r="W834" s="27"/>
      <c r="X834" s="64"/>
      <c r="Y834" s="64"/>
      <c r="Z834" s="64"/>
      <c r="AA834" s="64"/>
      <c r="AB834" s="27"/>
      <c r="AC834" s="27"/>
    </row>
    <row r="835" spans="1:29" s="28" customFormat="1" x14ac:dyDescent="0.3">
      <c r="A835" s="27" t="s">
        <v>7654</v>
      </c>
      <c r="B835" s="27" t="s">
        <v>2273</v>
      </c>
      <c r="C835" s="29">
        <v>245</v>
      </c>
      <c r="D835" s="28" t="s">
        <v>4971</v>
      </c>
      <c r="E835" s="20" t="s">
        <v>988</v>
      </c>
      <c r="F835" s="20" t="s">
        <v>2494</v>
      </c>
      <c r="G835" s="27" t="s">
        <v>2658</v>
      </c>
      <c r="H835" s="20" t="s">
        <v>2659</v>
      </c>
      <c r="I835" s="29"/>
      <c r="J835" s="29" t="s">
        <v>57</v>
      </c>
      <c r="K835" s="27"/>
      <c r="L835" s="27" t="s">
        <v>4614</v>
      </c>
      <c r="M835" s="27" t="s">
        <v>6909</v>
      </c>
      <c r="N835" s="27"/>
      <c r="O835" s="29" t="s">
        <v>7655</v>
      </c>
      <c r="P835" s="27"/>
      <c r="Q835" s="27"/>
      <c r="R835" s="29"/>
      <c r="S835" s="29"/>
      <c r="T835" s="29"/>
      <c r="U835" s="27"/>
      <c r="V835" s="27"/>
      <c r="W835" s="27"/>
      <c r="X835" s="64"/>
      <c r="Y835" s="64"/>
      <c r="Z835" s="64"/>
      <c r="AA835" s="64"/>
      <c r="AB835" s="27"/>
      <c r="AC835" s="27"/>
    </row>
    <row r="836" spans="1:29" s="25" customFormat="1" x14ac:dyDescent="0.3">
      <c r="A836" s="24">
        <v>441</v>
      </c>
      <c r="B836" s="24" t="s">
        <v>2272</v>
      </c>
      <c r="C836" s="26">
        <v>245</v>
      </c>
      <c r="D836" s="25" t="s">
        <v>989</v>
      </c>
      <c r="E836" s="19" t="s">
        <v>990</v>
      </c>
      <c r="F836" s="19"/>
      <c r="G836" s="24"/>
      <c r="H836" s="19"/>
      <c r="I836" s="26" t="s">
        <v>37</v>
      </c>
      <c r="J836" s="26" t="s">
        <v>37</v>
      </c>
      <c r="K836" s="24"/>
      <c r="L836" s="24" t="s">
        <v>3233</v>
      </c>
      <c r="M836" s="24" t="s">
        <v>4414</v>
      </c>
      <c r="N836" s="24"/>
      <c r="O836" s="26"/>
      <c r="P836" s="24"/>
      <c r="Q836" s="24"/>
      <c r="R836" s="26"/>
      <c r="S836" s="26"/>
      <c r="T836" s="26"/>
      <c r="U836" s="24"/>
      <c r="V836" s="24"/>
      <c r="W836" s="24"/>
      <c r="X836" s="63"/>
      <c r="Y836" s="63"/>
      <c r="Z836" s="63"/>
      <c r="AA836" s="63"/>
      <c r="AB836" s="24"/>
      <c r="AC836" s="24"/>
    </row>
    <row r="837" spans="1:29" s="28" customFormat="1" x14ac:dyDescent="0.3">
      <c r="A837" s="27" t="s">
        <v>7656</v>
      </c>
      <c r="B837" s="27" t="s">
        <v>2273</v>
      </c>
      <c r="C837" s="29"/>
      <c r="D837" s="28" t="s">
        <v>4972</v>
      </c>
      <c r="E837" s="20" t="s">
        <v>990</v>
      </c>
      <c r="F837" s="20" t="s">
        <v>2660</v>
      </c>
      <c r="G837" s="27"/>
      <c r="H837" s="20"/>
      <c r="I837" s="29"/>
      <c r="J837" s="29"/>
      <c r="K837" s="27"/>
      <c r="L837" s="27"/>
      <c r="M837" s="27" t="s">
        <v>7657</v>
      </c>
      <c r="N837" s="27"/>
      <c r="O837" s="29" t="s">
        <v>7658</v>
      </c>
      <c r="P837" s="27"/>
      <c r="Q837" s="27"/>
      <c r="R837" s="29"/>
      <c r="S837" s="29"/>
      <c r="T837" s="29"/>
      <c r="U837" s="27"/>
      <c r="V837" s="27"/>
      <c r="W837" s="27"/>
      <c r="X837" s="64"/>
      <c r="Y837" s="64"/>
      <c r="Z837" s="64"/>
      <c r="AA837" s="64"/>
      <c r="AB837" s="27"/>
      <c r="AC837" s="27"/>
    </row>
    <row r="838" spans="1:29" s="25" customFormat="1" x14ac:dyDescent="0.3">
      <c r="A838" s="24">
        <v>442</v>
      </c>
      <c r="B838" s="24" t="s">
        <v>2272</v>
      </c>
      <c r="C838" s="26">
        <v>245</v>
      </c>
      <c r="D838" s="25" t="s">
        <v>991</v>
      </c>
      <c r="E838" s="19" t="s">
        <v>992</v>
      </c>
      <c r="F838" s="19"/>
      <c r="G838" s="24"/>
      <c r="H838" s="19"/>
      <c r="I838" s="26" t="s">
        <v>49</v>
      </c>
      <c r="J838" s="26" t="s">
        <v>5121</v>
      </c>
      <c r="K838" s="24" t="s">
        <v>49</v>
      </c>
      <c r="L838" s="24" t="s">
        <v>3799</v>
      </c>
      <c r="M838" s="24" t="s">
        <v>4415</v>
      </c>
      <c r="N838" s="24"/>
      <c r="O838" s="26"/>
      <c r="P838" s="24" t="s">
        <v>6441</v>
      </c>
      <c r="Q838" s="24"/>
      <c r="R838" s="26"/>
      <c r="S838" s="26"/>
      <c r="T838" s="26"/>
      <c r="U838" s="24"/>
      <c r="V838" s="24"/>
      <c r="W838" s="24"/>
      <c r="X838" s="63"/>
      <c r="Y838" s="63"/>
      <c r="Z838" s="63"/>
      <c r="AA838" s="63"/>
      <c r="AB838" s="24"/>
      <c r="AC838" s="24"/>
    </row>
    <row r="839" spans="1:29" s="28" customFormat="1" x14ac:dyDescent="0.3">
      <c r="A839" s="27" t="s">
        <v>5758</v>
      </c>
      <c r="B839" s="27" t="s">
        <v>2273</v>
      </c>
      <c r="C839" s="29"/>
      <c r="D839" s="28" t="s">
        <v>4973</v>
      </c>
      <c r="E839" s="20" t="s">
        <v>992</v>
      </c>
      <c r="F839" s="20" t="s">
        <v>2365</v>
      </c>
      <c r="G839" s="27"/>
      <c r="H839" s="20"/>
      <c r="I839" s="29"/>
      <c r="J839" s="29"/>
      <c r="K839" s="27"/>
      <c r="L839" s="27"/>
      <c r="M839" s="27" t="s">
        <v>7659</v>
      </c>
      <c r="N839" s="27"/>
      <c r="O839" s="29" t="s">
        <v>7660</v>
      </c>
      <c r="P839" s="27"/>
      <c r="Q839" s="27"/>
      <c r="R839" s="29"/>
      <c r="S839" s="29"/>
      <c r="T839" s="29"/>
      <c r="U839" s="27"/>
      <c r="V839" s="27"/>
      <c r="W839" s="27"/>
      <c r="X839" s="64"/>
      <c r="Y839" s="64"/>
      <c r="Z839" s="64"/>
      <c r="AA839" s="64"/>
      <c r="AB839" s="27"/>
      <c r="AC839" s="27"/>
    </row>
    <row r="840" spans="1:29" s="25" customFormat="1" x14ac:dyDescent="0.3">
      <c r="A840" s="24">
        <v>443</v>
      </c>
      <c r="B840" s="24" t="s">
        <v>2272</v>
      </c>
      <c r="C840" s="26">
        <v>239</v>
      </c>
      <c r="D840" s="25" t="s">
        <v>994</v>
      </c>
      <c r="E840" s="19" t="s">
        <v>995</v>
      </c>
      <c r="F840" s="19"/>
      <c r="G840" s="24"/>
      <c r="H840" s="19"/>
      <c r="I840" s="26" t="s">
        <v>37</v>
      </c>
      <c r="J840" s="26" t="s">
        <v>37</v>
      </c>
      <c r="K840" s="24"/>
      <c r="L840" s="24" t="s">
        <v>3140</v>
      </c>
      <c r="M840" s="24" t="s">
        <v>6065</v>
      </c>
      <c r="N840" s="24"/>
      <c r="O840" s="26"/>
      <c r="P840" s="24" t="s">
        <v>9</v>
      </c>
      <c r="Q840" s="24"/>
      <c r="R840" s="26"/>
      <c r="S840" s="26"/>
      <c r="T840" s="26"/>
      <c r="U840" s="24"/>
      <c r="V840" s="24"/>
      <c r="W840" s="24"/>
      <c r="X840" s="63"/>
      <c r="Y840" s="63"/>
      <c r="Z840" s="63"/>
      <c r="AA840" s="63"/>
      <c r="AB840" s="24"/>
      <c r="AC840" s="24"/>
    </row>
    <row r="841" spans="1:29" s="28" customFormat="1" x14ac:dyDescent="0.3">
      <c r="A841" s="27" t="s">
        <v>6314</v>
      </c>
      <c r="B841" s="27" t="s">
        <v>2273</v>
      </c>
      <c r="C841" s="29"/>
      <c r="D841" s="28" t="s">
        <v>4974</v>
      </c>
      <c r="E841" s="20" t="s">
        <v>995</v>
      </c>
      <c r="F841" s="20" t="s">
        <v>2662</v>
      </c>
      <c r="G841" s="27"/>
      <c r="H841" s="20"/>
      <c r="I841" s="29"/>
      <c r="J841" s="29"/>
      <c r="K841" s="27"/>
      <c r="L841" s="27"/>
      <c r="M841" s="27" t="s">
        <v>1906</v>
      </c>
      <c r="N841" s="27"/>
      <c r="O841" s="29" t="s">
        <v>7661</v>
      </c>
      <c r="P841" s="27"/>
      <c r="Q841" s="27"/>
      <c r="R841" s="29"/>
      <c r="S841" s="29"/>
      <c r="T841" s="29"/>
      <c r="U841" s="27"/>
      <c r="V841" s="27"/>
      <c r="W841" s="27"/>
      <c r="X841" s="64"/>
      <c r="Y841" s="64"/>
      <c r="Z841" s="64"/>
      <c r="AA841" s="64"/>
      <c r="AB841" s="27"/>
      <c r="AC841" s="27"/>
    </row>
    <row r="842" spans="1:29" s="25" customFormat="1" x14ac:dyDescent="0.3">
      <c r="A842" s="24">
        <v>444</v>
      </c>
      <c r="B842" s="24" t="s">
        <v>2272</v>
      </c>
      <c r="C842" s="26">
        <v>239</v>
      </c>
      <c r="D842" s="25" t="s">
        <v>996</v>
      </c>
      <c r="E842" s="19" t="s">
        <v>997</v>
      </c>
      <c r="F842" s="19"/>
      <c r="G842" s="24"/>
      <c r="H842" s="19"/>
      <c r="I842" s="26" t="s">
        <v>57</v>
      </c>
      <c r="J842" s="26" t="s">
        <v>57</v>
      </c>
      <c r="K842" s="24"/>
      <c r="L842" s="24" t="s">
        <v>3802</v>
      </c>
      <c r="M842" s="24" t="s">
        <v>5446</v>
      </c>
      <c r="N842" s="24"/>
      <c r="O842" s="26" t="s">
        <v>2035</v>
      </c>
      <c r="P842" s="24" t="s">
        <v>9</v>
      </c>
      <c r="Q842" s="24"/>
      <c r="R842" s="26"/>
      <c r="S842" s="26"/>
      <c r="T842" s="26"/>
      <c r="U842" s="24"/>
      <c r="V842" s="24"/>
      <c r="W842" s="24"/>
      <c r="X842" s="63"/>
      <c r="Y842" s="63"/>
      <c r="Z842" s="63"/>
      <c r="AA842" s="63"/>
      <c r="AB842" s="24"/>
      <c r="AC842" s="24"/>
    </row>
    <row r="843" spans="1:29" s="28" customFormat="1" x14ac:dyDescent="0.3">
      <c r="A843" s="27" t="s">
        <v>6315</v>
      </c>
      <c r="B843" s="27" t="s">
        <v>2273</v>
      </c>
      <c r="C843" s="29"/>
      <c r="D843" s="28" t="s">
        <v>4975</v>
      </c>
      <c r="E843" s="20" t="s">
        <v>997</v>
      </c>
      <c r="F843" s="20" t="s">
        <v>2663</v>
      </c>
      <c r="G843" s="27"/>
      <c r="H843" s="20"/>
      <c r="I843" s="29"/>
      <c r="J843" s="29"/>
      <c r="K843" s="27"/>
      <c r="L843" s="27"/>
      <c r="M843" s="27" t="s">
        <v>6793</v>
      </c>
      <c r="N843" s="27"/>
      <c r="O843" s="29"/>
      <c r="P843" s="27"/>
      <c r="Q843" s="27"/>
      <c r="R843" s="29"/>
      <c r="S843" s="29"/>
      <c r="T843" s="29"/>
      <c r="U843" s="27"/>
      <c r="V843" s="27"/>
      <c r="W843" s="27"/>
      <c r="X843" s="64"/>
      <c r="Y843" s="64"/>
      <c r="Z843" s="64"/>
      <c r="AA843" s="64"/>
      <c r="AB843" s="27"/>
      <c r="AC843" s="27"/>
    </row>
    <row r="844" spans="1:29" s="28" customFormat="1" x14ac:dyDescent="0.3">
      <c r="A844" s="27" t="s">
        <v>6316</v>
      </c>
      <c r="B844" s="27" t="s">
        <v>2273</v>
      </c>
      <c r="C844" s="29"/>
      <c r="D844" s="28" t="s">
        <v>4975</v>
      </c>
      <c r="E844" s="20" t="s">
        <v>997</v>
      </c>
      <c r="F844" s="20" t="s">
        <v>2484</v>
      </c>
      <c r="G844" s="27"/>
      <c r="H844" s="20"/>
      <c r="I844" s="29"/>
      <c r="J844" s="29"/>
      <c r="K844" s="27"/>
      <c r="L844" s="27"/>
      <c r="M844" s="27" t="s">
        <v>6895</v>
      </c>
      <c r="N844" s="27"/>
      <c r="O844" s="29"/>
      <c r="P844" s="27"/>
      <c r="Q844" s="27"/>
      <c r="R844" s="29"/>
      <c r="S844" s="29"/>
      <c r="T844" s="29"/>
      <c r="U844" s="27"/>
      <c r="V844" s="27"/>
      <c r="W844" s="27"/>
      <c r="X844" s="64"/>
      <c r="Y844" s="64"/>
      <c r="Z844" s="64"/>
      <c r="AA844" s="64"/>
      <c r="AB844" s="27"/>
      <c r="AC844" s="27"/>
    </row>
    <row r="845" spans="1:29" s="28" customFormat="1" x14ac:dyDescent="0.3">
      <c r="A845" s="27" t="s">
        <v>6317</v>
      </c>
      <c r="B845" s="27" t="s">
        <v>2273</v>
      </c>
      <c r="C845" s="29"/>
      <c r="D845" s="28" t="s">
        <v>4975</v>
      </c>
      <c r="E845" s="20" t="s">
        <v>997</v>
      </c>
      <c r="F845" s="20" t="s">
        <v>2337</v>
      </c>
      <c r="G845" s="27"/>
      <c r="H845" s="20"/>
      <c r="I845" s="29"/>
      <c r="J845" s="29"/>
      <c r="K845" s="27"/>
      <c r="L845" s="27"/>
      <c r="M845" s="27" t="s">
        <v>7662</v>
      </c>
      <c r="N845" s="27"/>
      <c r="O845" s="29"/>
      <c r="P845" s="27"/>
      <c r="Q845" s="27"/>
      <c r="R845" s="29"/>
      <c r="S845" s="29"/>
      <c r="T845" s="29"/>
      <c r="U845" s="27"/>
      <c r="V845" s="27"/>
      <c r="W845" s="27"/>
      <c r="X845" s="64"/>
      <c r="Y845" s="64"/>
      <c r="Z845" s="64"/>
      <c r="AA845" s="64"/>
      <c r="AB845" s="27"/>
      <c r="AC845" s="27"/>
    </row>
    <row r="846" spans="1:29" s="25" customFormat="1" x14ac:dyDescent="0.3">
      <c r="A846" s="24">
        <v>445</v>
      </c>
      <c r="B846" s="24" t="s">
        <v>2272</v>
      </c>
      <c r="C846" s="26">
        <v>239</v>
      </c>
      <c r="D846" s="25" t="s">
        <v>998</v>
      </c>
      <c r="E846" s="19" t="s">
        <v>999</v>
      </c>
      <c r="F846" s="19"/>
      <c r="G846" s="24"/>
      <c r="H846" s="19"/>
      <c r="I846" s="26" t="s">
        <v>253</v>
      </c>
      <c r="J846" s="26" t="s">
        <v>253</v>
      </c>
      <c r="K846" s="24"/>
      <c r="L846" s="24" t="s">
        <v>3804</v>
      </c>
      <c r="M846" s="24" t="s">
        <v>5530</v>
      </c>
      <c r="N846" s="24"/>
      <c r="O846" s="26"/>
      <c r="P846" s="24" t="s">
        <v>1000</v>
      </c>
      <c r="Q846" s="24"/>
      <c r="R846" s="26"/>
      <c r="S846" s="26"/>
      <c r="T846" s="26"/>
      <c r="U846" s="24"/>
      <c r="V846" s="24"/>
      <c r="W846" s="24"/>
      <c r="X846" s="63"/>
      <c r="Y846" s="63"/>
      <c r="Z846" s="63"/>
      <c r="AA846" s="63"/>
      <c r="AB846" s="24"/>
      <c r="AC846" s="24"/>
    </row>
    <row r="847" spans="1:29" s="28" customFormat="1" x14ac:dyDescent="0.3">
      <c r="A847" s="27" t="s">
        <v>7663</v>
      </c>
      <c r="B847" s="27" t="s">
        <v>2273</v>
      </c>
      <c r="C847" s="29"/>
      <c r="D847" s="28" t="s">
        <v>4976</v>
      </c>
      <c r="E847" s="20" t="s">
        <v>999</v>
      </c>
      <c r="F847" s="20" t="s">
        <v>2664</v>
      </c>
      <c r="G847" s="27"/>
      <c r="H847" s="20"/>
      <c r="I847" s="29"/>
      <c r="J847" s="29"/>
      <c r="K847" s="27"/>
      <c r="L847" s="27"/>
      <c r="M847" s="27" t="s">
        <v>7664</v>
      </c>
      <c r="N847" s="27"/>
      <c r="O847" s="29" t="s">
        <v>7665</v>
      </c>
      <c r="P847" s="27"/>
      <c r="Q847" s="27"/>
      <c r="R847" s="29"/>
      <c r="S847" s="29"/>
      <c r="T847" s="29"/>
      <c r="U847" s="27"/>
      <c r="V847" s="27"/>
      <c r="W847" s="27"/>
      <c r="X847" s="64"/>
      <c r="Y847" s="64"/>
      <c r="Z847" s="64"/>
      <c r="AA847" s="64"/>
      <c r="AB847" s="27"/>
      <c r="AC847" s="27"/>
    </row>
    <row r="848" spans="1:29" s="28" customFormat="1" x14ac:dyDescent="0.3">
      <c r="A848" s="27" t="s">
        <v>7666</v>
      </c>
      <c r="B848" s="27" t="s">
        <v>2273</v>
      </c>
      <c r="C848" s="29"/>
      <c r="D848" s="28" t="s">
        <v>4976</v>
      </c>
      <c r="E848" s="20" t="s">
        <v>999</v>
      </c>
      <c r="F848" s="20" t="s">
        <v>2308</v>
      </c>
      <c r="G848" s="27"/>
      <c r="H848" s="20"/>
      <c r="I848" s="29"/>
      <c r="J848" s="29"/>
      <c r="K848" s="27"/>
      <c r="L848" s="27"/>
      <c r="M848" s="27" t="s">
        <v>7667</v>
      </c>
      <c r="N848" s="27"/>
      <c r="O848" s="29" t="s">
        <v>7668</v>
      </c>
      <c r="P848" s="27"/>
      <c r="Q848" s="27"/>
      <c r="R848" s="29"/>
      <c r="S848" s="29"/>
      <c r="T848" s="29"/>
      <c r="U848" s="27"/>
      <c r="V848" s="27"/>
      <c r="W848" s="27"/>
      <c r="X848" s="64"/>
      <c r="Y848" s="64"/>
      <c r="Z848" s="64"/>
      <c r="AA848" s="64"/>
      <c r="AB848" s="27"/>
      <c r="AC848" s="27"/>
    </row>
    <row r="849" spans="1:29" s="28" customFormat="1" x14ac:dyDescent="0.3">
      <c r="A849" s="27" t="s">
        <v>7669</v>
      </c>
      <c r="B849" s="27" t="s">
        <v>2273</v>
      </c>
      <c r="C849" s="29"/>
      <c r="D849" s="28" t="s">
        <v>4976</v>
      </c>
      <c r="E849" s="20" t="s">
        <v>999</v>
      </c>
      <c r="F849" s="20" t="s">
        <v>2572</v>
      </c>
      <c r="G849" s="27"/>
      <c r="H849" s="20"/>
      <c r="I849" s="29"/>
      <c r="J849" s="29"/>
      <c r="K849" s="27"/>
      <c r="L849" s="27"/>
      <c r="M849" s="27" t="s">
        <v>6907</v>
      </c>
      <c r="N849" s="27"/>
      <c r="O849" s="29" t="s">
        <v>7670</v>
      </c>
      <c r="P849" s="27"/>
      <c r="Q849" s="27"/>
      <c r="R849" s="29"/>
      <c r="S849" s="29"/>
      <c r="T849" s="29"/>
      <c r="U849" s="27"/>
      <c r="V849" s="27"/>
      <c r="W849" s="27"/>
      <c r="X849" s="64"/>
      <c r="Y849" s="64"/>
      <c r="Z849" s="64"/>
      <c r="AA849" s="64"/>
      <c r="AB849" s="27"/>
      <c r="AC849" s="27"/>
    </row>
    <row r="850" spans="1:29" s="25" customFormat="1" x14ac:dyDescent="0.3">
      <c r="A850" s="24">
        <v>446</v>
      </c>
      <c r="B850" s="24" t="s">
        <v>2272</v>
      </c>
      <c r="C850" s="26">
        <v>239</v>
      </c>
      <c r="D850" s="25" t="s">
        <v>1001</v>
      </c>
      <c r="E850" s="19" t="s">
        <v>1002</v>
      </c>
      <c r="F850" s="19"/>
      <c r="G850" s="24"/>
      <c r="H850" s="19"/>
      <c r="I850" s="26" t="s">
        <v>57</v>
      </c>
      <c r="J850" s="26" t="s">
        <v>57</v>
      </c>
      <c r="K850" s="24"/>
      <c r="L850" s="24" t="s">
        <v>3806</v>
      </c>
      <c r="M850" s="24" t="s">
        <v>5531</v>
      </c>
      <c r="N850" s="24"/>
      <c r="O850" s="26"/>
      <c r="P850" s="24" t="s">
        <v>9</v>
      </c>
      <c r="Q850" s="24"/>
      <c r="R850" s="26"/>
      <c r="S850" s="26"/>
      <c r="T850" s="26"/>
      <c r="U850" s="24"/>
      <c r="V850" s="24"/>
      <c r="W850" s="24"/>
      <c r="X850" s="63"/>
      <c r="Y850" s="63"/>
      <c r="Z850" s="63"/>
      <c r="AA850" s="63"/>
      <c r="AB850" s="24"/>
      <c r="AC850" s="24"/>
    </row>
    <row r="851" spans="1:29" s="28" customFormat="1" x14ac:dyDescent="0.3">
      <c r="A851" s="27" t="s">
        <v>6318</v>
      </c>
      <c r="B851" s="27" t="s">
        <v>2273</v>
      </c>
      <c r="C851" s="29"/>
      <c r="D851" s="28" t="s">
        <v>4977</v>
      </c>
      <c r="E851" s="20" t="s">
        <v>1002</v>
      </c>
      <c r="F851" s="20" t="s">
        <v>2665</v>
      </c>
      <c r="G851" s="27"/>
      <c r="H851" s="20"/>
      <c r="I851" s="29"/>
      <c r="J851" s="29"/>
      <c r="K851" s="27"/>
      <c r="L851" s="27"/>
      <c r="M851" s="27" t="s">
        <v>7671</v>
      </c>
      <c r="N851" s="27"/>
      <c r="O851" s="29" t="s">
        <v>7671</v>
      </c>
      <c r="P851" s="27"/>
      <c r="Q851" s="27"/>
      <c r="R851" s="29"/>
      <c r="S851" s="29"/>
      <c r="T851" s="29"/>
      <c r="U851" s="27"/>
      <c r="V851" s="27"/>
      <c r="W851" s="27"/>
      <c r="X851" s="64"/>
      <c r="Y851" s="64"/>
      <c r="Z851" s="64"/>
      <c r="AA851" s="64"/>
      <c r="AB851" s="27"/>
      <c r="AC851" s="27"/>
    </row>
    <row r="852" spans="1:29" s="28" customFormat="1" x14ac:dyDescent="0.3">
      <c r="A852" s="27" t="s">
        <v>6319</v>
      </c>
      <c r="B852" s="27" t="s">
        <v>2273</v>
      </c>
      <c r="C852" s="29"/>
      <c r="D852" s="28" t="s">
        <v>4977</v>
      </c>
      <c r="E852" s="20" t="s">
        <v>1002</v>
      </c>
      <c r="F852" s="20" t="s">
        <v>2666</v>
      </c>
      <c r="G852" s="27"/>
      <c r="H852" s="20"/>
      <c r="I852" s="29"/>
      <c r="J852" s="29"/>
      <c r="K852" s="27"/>
      <c r="L852" s="27"/>
      <c r="M852" s="27" t="s">
        <v>7672</v>
      </c>
      <c r="N852" s="27"/>
      <c r="O852" s="29" t="s">
        <v>7672</v>
      </c>
      <c r="P852" s="27"/>
      <c r="Q852" s="27"/>
      <c r="R852" s="29"/>
      <c r="S852" s="29"/>
      <c r="T852" s="29"/>
      <c r="U852" s="27"/>
      <c r="V852" s="27"/>
      <c r="W852" s="27"/>
      <c r="X852" s="64"/>
      <c r="Y852" s="64"/>
      <c r="Z852" s="64"/>
      <c r="AA852" s="64"/>
      <c r="AB852" s="27"/>
      <c r="AC852" s="27"/>
    </row>
    <row r="853" spans="1:29" s="28" customFormat="1" x14ac:dyDescent="0.3">
      <c r="A853" s="27" t="s">
        <v>6320</v>
      </c>
      <c r="B853" s="27" t="s">
        <v>2273</v>
      </c>
      <c r="C853" s="29"/>
      <c r="D853" s="28" t="s">
        <v>4977</v>
      </c>
      <c r="E853" s="20" t="s">
        <v>1002</v>
      </c>
      <c r="F853" s="20" t="s">
        <v>2341</v>
      </c>
      <c r="G853" s="27"/>
      <c r="H853" s="20"/>
      <c r="I853" s="29"/>
      <c r="J853" s="29"/>
      <c r="K853" s="27"/>
      <c r="L853" s="27"/>
      <c r="M853" s="27" t="s">
        <v>7557</v>
      </c>
      <c r="N853" s="27"/>
      <c r="O853" s="29" t="s">
        <v>7331</v>
      </c>
      <c r="P853" s="27"/>
      <c r="Q853" s="27"/>
      <c r="R853" s="29"/>
      <c r="S853" s="29"/>
      <c r="T853" s="29"/>
      <c r="U853" s="27"/>
      <c r="V853" s="27"/>
      <c r="W853" s="27"/>
      <c r="X853" s="64"/>
      <c r="Y853" s="64"/>
      <c r="Z853" s="64"/>
      <c r="AA853" s="64"/>
      <c r="AB853" s="27"/>
      <c r="AC853" s="27"/>
    </row>
    <row r="854" spans="1:29" s="28" customFormat="1" x14ac:dyDescent="0.3">
      <c r="A854" s="27" t="s">
        <v>7673</v>
      </c>
      <c r="B854" s="27" t="s">
        <v>2273</v>
      </c>
      <c r="C854" s="29"/>
      <c r="D854" s="28" t="s">
        <v>4977</v>
      </c>
      <c r="E854" s="20" t="s">
        <v>1002</v>
      </c>
      <c r="F854" s="20" t="s">
        <v>2623</v>
      </c>
      <c r="G854" s="27"/>
      <c r="H854" s="20"/>
      <c r="I854" s="29"/>
      <c r="J854" s="29"/>
      <c r="K854" s="27"/>
      <c r="L854" s="27"/>
      <c r="M854" s="27" t="s">
        <v>7674</v>
      </c>
      <c r="N854" s="27"/>
      <c r="O854" s="29" t="s">
        <v>7675</v>
      </c>
      <c r="P854" s="27"/>
      <c r="Q854" s="27"/>
      <c r="R854" s="29"/>
      <c r="S854" s="29"/>
      <c r="T854" s="29"/>
      <c r="U854" s="27"/>
      <c r="V854" s="27"/>
      <c r="W854" s="27"/>
      <c r="X854" s="64"/>
      <c r="Y854" s="64"/>
      <c r="Z854" s="64"/>
      <c r="AA854" s="64"/>
      <c r="AB854" s="27"/>
      <c r="AC854" s="27"/>
    </row>
    <row r="855" spans="1:29" s="28" customFormat="1" x14ac:dyDescent="0.3">
      <c r="A855" s="27" t="s">
        <v>7676</v>
      </c>
      <c r="B855" s="27" t="s">
        <v>2273</v>
      </c>
      <c r="C855" s="29"/>
      <c r="D855" s="28" t="s">
        <v>4977</v>
      </c>
      <c r="E855" s="20" t="s">
        <v>1002</v>
      </c>
      <c r="F855" s="20" t="s">
        <v>2667</v>
      </c>
      <c r="G855" s="27"/>
      <c r="H855" s="20"/>
      <c r="I855" s="29"/>
      <c r="J855" s="29"/>
      <c r="K855" s="27"/>
      <c r="L855" s="27"/>
      <c r="M855" s="27" t="s">
        <v>7677</v>
      </c>
      <c r="N855" s="27"/>
      <c r="O855" s="29" t="s">
        <v>7678</v>
      </c>
      <c r="P855" s="27"/>
      <c r="Q855" s="27"/>
      <c r="R855" s="29"/>
      <c r="S855" s="29"/>
      <c r="T855" s="29"/>
      <c r="U855" s="27"/>
      <c r="V855" s="27"/>
      <c r="W855" s="27"/>
      <c r="X855" s="64"/>
      <c r="Y855" s="64"/>
      <c r="Z855" s="64"/>
      <c r="AA855" s="64"/>
      <c r="AB855" s="27"/>
      <c r="AC855" s="27"/>
    </row>
    <row r="856" spans="1:29" s="28" customFormat="1" x14ac:dyDescent="0.3">
      <c r="A856" s="27" t="s">
        <v>7679</v>
      </c>
      <c r="B856" s="27" t="s">
        <v>2273</v>
      </c>
      <c r="C856" s="29"/>
      <c r="D856" s="28" t="s">
        <v>4977</v>
      </c>
      <c r="E856" s="20" t="s">
        <v>1002</v>
      </c>
      <c r="F856" s="20" t="s">
        <v>2668</v>
      </c>
      <c r="G856" s="27"/>
      <c r="H856" s="20"/>
      <c r="I856" s="29"/>
      <c r="J856" s="29"/>
      <c r="K856" s="27"/>
      <c r="L856" s="27"/>
      <c r="M856" s="27" t="s">
        <v>7407</v>
      </c>
      <c r="N856" s="27"/>
      <c r="O856" s="29" t="s">
        <v>7577</v>
      </c>
      <c r="P856" s="27"/>
      <c r="Q856" s="27"/>
      <c r="R856" s="29"/>
      <c r="S856" s="29"/>
      <c r="T856" s="29"/>
      <c r="U856" s="27"/>
      <c r="V856" s="27"/>
      <c r="W856" s="27"/>
      <c r="X856" s="64"/>
      <c r="Y856" s="64"/>
      <c r="Z856" s="64"/>
      <c r="AA856" s="64"/>
      <c r="AB856" s="27"/>
      <c r="AC856" s="27"/>
    </row>
    <row r="857" spans="1:29" s="28" customFormat="1" x14ac:dyDescent="0.3">
      <c r="A857" s="27" t="s">
        <v>7680</v>
      </c>
      <c r="B857" s="27" t="s">
        <v>2273</v>
      </c>
      <c r="C857" s="29"/>
      <c r="D857" s="28" t="s">
        <v>4977</v>
      </c>
      <c r="E857" s="20" t="s">
        <v>1002</v>
      </c>
      <c r="F857" s="20" t="s">
        <v>2647</v>
      </c>
      <c r="G857" s="27"/>
      <c r="H857" s="20"/>
      <c r="I857" s="29"/>
      <c r="J857" s="29"/>
      <c r="K857" s="27"/>
      <c r="L857" s="27"/>
      <c r="M857" s="27" t="s">
        <v>7681</v>
      </c>
      <c r="N857" s="27"/>
      <c r="O857" s="29" t="s">
        <v>7682</v>
      </c>
      <c r="P857" s="27"/>
      <c r="Q857" s="27"/>
      <c r="R857" s="29"/>
      <c r="S857" s="29"/>
      <c r="T857" s="29"/>
      <c r="U857" s="27"/>
      <c r="V857" s="27"/>
      <c r="W857" s="27"/>
      <c r="X857" s="64"/>
      <c r="Y857" s="64"/>
      <c r="Z857" s="64"/>
      <c r="AA857" s="64"/>
      <c r="AB857" s="27"/>
      <c r="AC857" s="27"/>
    </row>
    <row r="858" spans="1:29" s="25" customFormat="1" x14ac:dyDescent="0.3">
      <c r="A858" s="24">
        <v>447</v>
      </c>
      <c r="B858" s="24" t="s">
        <v>2272</v>
      </c>
      <c r="C858" s="26">
        <v>237</v>
      </c>
      <c r="D858" s="25" t="s">
        <v>1020</v>
      </c>
      <c r="E858" s="19" t="s">
        <v>1021</v>
      </c>
      <c r="F858" s="19"/>
      <c r="G858" s="24"/>
      <c r="H858" s="19"/>
      <c r="I858" s="26" t="s">
        <v>57</v>
      </c>
      <c r="J858" s="26" t="s">
        <v>57</v>
      </c>
      <c r="K858" s="24" t="s">
        <v>3032</v>
      </c>
      <c r="L858" s="24" t="s">
        <v>3814</v>
      </c>
      <c r="M858" s="24" t="s">
        <v>5537</v>
      </c>
      <c r="N858" s="24"/>
      <c r="O858" s="26" t="s">
        <v>2038</v>
      </c>
      <c r="P858" s="24" t="s">
        <v>9</v>
      </c>
      <c r="Q858" s="24"/>
      <c r="R858" s="26"/>
      <c r="S858" s="26"/>
      <c r="T858" s="26"/>
      <c r="U858" s="24"/>
      <c r="V858" s="24"/>
      <c r="W858" s="24"/>
      <c r="X858" s="63"/>
      <c r="Y858" s="63"/>
      <c r="Z858" s="63"/>
      <c r="AA858" s="63"/>
      <c r="AB858" s="24"/>
      <c r="AC858" s="24"/>
    </row>
    <row r="859" spans="1:29" s="25" customFormat="1" x14ac:dyDescent="0.3">
      <c r="A859" s="24">
        <v>448</v>
      </c>
      <c r="B859" s="24" t="s">
        <v>2272</v>
      </c>
      <c r="C859" s="26">
        <v>235</v>
      </c>
      <c r="D859" s="25" t="s">
        <v>6563</v>
      </c>
      <c r="E859" s="19" t="s">
        <v>6564</v>
      </c>
      <c r="F859" s="19"/>
      <c r="G859" s="24" t="s">
        <v>1014</v>
      </c>
      <c r="H859" s="19" t="s">
        <v>1015</v>
      </c>
      <c r="I859" s="26" t="s">
        <v>37</v>
      </c>
      <c r="J859" s="26" t="s">
        <v>37</v>
      </c>
      <c r="K859" s="24"/>
      <c r="L859" s="24" t="s">
        <v>3815</v>
      </c>
      <c r="M859" s="24" t="s">
        <v>6671</v>
      </c>
      <c r="N859" s="24"/>
      <c r="O859" s="26"/>
      <c r="P859" s="24"/>
      <c r="Q859" s="24"/>
      <c r="R859" s="26"/>
      <c r="S859" s="26"/>
      <c r="T859" s="26"/>
      <c r="U859" s="24"/>
      <c r="V859" s="24"/>
      <c r="W859" s="24"/>
      <c r="X859" s="63"/>
      <c r="Y859" s="63"/>
      <c r="Z859" s="63"/>
      <c r="AA859" s="63"/>
      <c r="AB859" s="24"/>
      <c r="AC859" s="24"/>
    </row>
    <row r="860" spans="1:29" s="28" customFormat="1" x14ac:dyDescent="0.3">
      <c r="A860" s="27" t="s">
        <v>6321</v>
      </c>
      <c r="B860" s="27" t="s">
        <v>2273</v>
      </c>
      <c r="C860" s="29"/>
      <c r="D860" s="28" t="s">
        <v>7683</v>
      </c>
      <c r="E860" s="20" t="s">
        <v>6564</v>
      </c>
      <c r="F860" s="20" t="s">
        <v>2672</v>
      </c>
      <c r="G860" s="27"/>
      <c r="H860" s="20"/>
      <c r="I860" s="29"/>
      <c r="J860" s="29"/>
      <c r="K860" s="27"/>
      <c r="L860" s="27"/>
      <c r="M860" s="27" t="s">
        <v>6768</v>
      </c>
      <c r="N860" s="27"/>
      <c r="O860" s="29" t="s">
        <v>7684</v>
      </c>
      <c r="P860" s="27"/>
      <c r="Q860" s="27"/>
      <c r="R860" s="29"/>
      <c r="S860" s="29"/>
      <c r="T860" s="29"/>
      <c r="U860" s="27"/>
      <c r="V860" s="27"/>
      <c r="W860" s="27"/>
      <c r="X860" s="64"/>
      <c r="Y860" s="64"/>
      <c r="Z860" s="64"/>
      <c r="AA860" s="64"/>
      <c r="AB860" s="27"/>
      <c r="AC860" s="27"/>
    </row>
    <row r="861" spans="1:29" s="25" customFormat="1" x14ac:dyDescent="0.3">
      <c r="A861" s="24">
        <v>449</v>
      </c>
      <c r="B861" s="24" t="s">
        <v>2272</v>
      </c>
      <c r="C861" s="26">
        <v>237</v>
      </c>
      <c r="D861" s="25" t="s">
        <v>1016</v>
      </c>
      <c r="E861" s="19" t="s">
        <v>1017</v>
      </c>
      <c r="F861" s="19"/>
      <c r="G861" s="24"/>
      <c r="H861" s="19"/>
      <c r="I861" s="26" t="s">
        <v>57</v>
      </c>
      <c r="J861" s="26" t="s">
        <v>57</v>
      </c>
      <c r="K861" s="24"/>
      <c r="L861" s="24" t="s">
        <v>3817</v>
      </c>
      <c r="M861" s="24" t="s">
        <v>5538</v>
      </c>
      <c r="N861" s="24"/>
      <c r="O861" s="26"/>
      <c r="P861" s="24"/>
      <c r="Q861" s="24"/>
      <c r="R861" s="26"/>
      <c r="S861" s="26"/>
      <c r="T861" s="26"/>
      <c r="U861" s="24"/>
      <c r="V861" s="24"/>
      <c r="W861" s="24"/>
      <c r="X861" s="63"/>
      <c r="Y861" s="63"/>
      <c r="Z861" s="63"/>
      <c r="AA861" s="63"/>
      <c r="AB861" s="24"/>
      <c r="AC861" s="24"/>
    </row>
    <row r="862" spans="1:29" s="28" customFormat="1" x14ac:dyDescent="0.3">
      <c r="A862" s="27" t="s">
        <v>7685</v>
      </c>
      <c r="B862" s="27" t="s">
        <v>2273</v>
      </c>
      <c r="C862" s="29"/>
      <c r="D862" s="28" t="s">
        <v>4981</v>
      </c>
      <c r="E862" s="20" t="s">
        <v>1017</v>
      </c>
      <c r="F862" s="20" t="s">
        <v>2578</v>
      </c>
      <c r="G862" s="27"/>
      <c r="H862" s="20"/>
      <c r="I862" s="29"/>
      <c r="J862" s="29"/>
      <c r="K862" s="27"/>
      <c r="L862" s="27"/>
      <c r="M862" s="27" t="s">
        <v>7686</v>
      </c>
      <c r="N862" s="27"/>
      <c r="O862" s="29" t="s">
        <v>7687</v>
      </c>
      <c r="P862" s="27"/>
      <c r="Q862" s="27"/>
      <c r="R862" s="29"/>
      <c r="S862" s="29"/>
      <c r="T862" s="29"/>
      <c r="U862" s="27"/>
      <c r="V862" s="27"/>
      <c r="W862" s="27"/>
      <c r="X862" s="64"/>
      <c r="Y862" s="64"/>
      <c r="Z862" s="64"/>
      <c r="AA862" s="64"/>
      <c r="AB862" s="27"/>
      <c r="AC862" s="27"/>
    </row>
    <row r="863" spans="1:29" s="28" customFormat="1" x14ac:dyDescent="0.3">
      <c r="A863" s="27" t="s">
        <v>7688</v>
      </c>
      <c r="B863" s="27" t="s">
        <v>2273</v>
      </c>
      <c r="C863" s="29"/>
      <c r="D863" s="28" t="s">
        <v>4981</v>
      </c>
      <c r="E863" s="20" t="s">
        <v>1017</v>
      </c>
      <c r="F863" s="20" t="s">
        <v>2424</v>
      </c>
      <c r="G863" s="27"/>
      <c r="H863" s="20"/>
      <c r="I863" s="29"/>
      <c r="J863" s="29"/>
      <c r="K863" s="27"/>
      <c r="L863" s="27"/>
      <c r="M863" s="27" t="s">
        <v>6918</v>
      </c>
      <c r="N863" s="27"/>
      <c r="O863" s="29" t="s">
        <v>7689</v>
      </c>
      <c r="P863" s="27"/>
      <c r="Q863" s="27"/>
      <c r="R863" s="29"/>
      <c r="S863" s="29"/>
      <c r="T863" s="29"/>
      <c r="U863" s="27"/>
      <c r="V863" s="27"/>
      <c r="W863" s="27"/>
      <c r="X863" s="64"/>
      <c r="Y863" s="64"/>
      <c r="Z863" s="64"/>
      <c r="AA863" s="64"/>
      <c r="AB863" s="27"/>
      <c r="AC863" s="27"/>
    </row>
    <row r="864" spans="1:29" s="28" customFormat="1" x14ac:dyDescent="0.3">
      <c r="A864" s="27" t="s">
        <v>7690</v>
      </c>
      <c r="B864" s="27" t="s">
        <v>2273</v>
      </c>
      <c r="C864" s="29"/>
      <c r="D864" s="28" t="s">
        <v>4981</v>
      </c>
      <c r="E864" s="20" t="s">
        <v>1017</v>
      </c>
      <c r="F864" s="20" t="s">
        <v>2633</v>
      </c>
      <c r="G864" s="27"/>
      <c r="H864" s="20"/>
      <c r="I864" s="29"/>
      <c r="J864" s="29"/>
      <c r="K864" s="27"/>
      <c r="L864" s="27"/>
      <c r="M864" s="27" t="s">
        <v>7691</v>
      </c>
      <c r="N864" s="27"/>
      <c r="O864" s="29" t="s">
        <v>7692</v>
      </c>
      <c r="P864" s="27"/>
      <c r="Q864" s="27"/>
      <c r="R864" s="29"/>
      <c r="S864" s="29"/>
      <c r="T864" s="29"/>
      <c r="U864" s="27"/>
      <c r="V864" s="27"/>
      <c r="W864" s="27"/>
      <c r="X864" s="64"/>
      <c r="Y864" s="64"/>
      <c r="Z864" s="64"/>
      <c r="AA864" s="64"/>
      <c r="AB864" s="27"/>
      <c r="AC864" s="27"/>
    </row>
    <row r="865" spans="1:29" s="28" customFormat="1" x14ac:dyDescent="0.3">
      <c r="A865" s="27" t="s">
        <v>7693</v>
      </c>
      <c r="B865" s="27" t="s">
        <v>2273</v>
      </c>
      <c r="C865" s="29"/>
      <c r="D865" s="28" t="s">
        <v>4981</v>
      </c>
      <c r="E865" s="20" t="s">
        <v>1017</v>
      </c>
      <c r="F865" s="20" t="s">
        <v>2560</v>
      </c>
      <c r="G865" s="27"/>
      <c r="H865" s="20"/>
      <c r="I865" s="29"/>
      <c r="J865" s="29"/>
      <c r="K865" s="27"/>
      <c r="L865" s="27"/>
      <c r="M865" s="27" t="s">
        <v>7694</v>
      </c>
      <c r="N865" s="27"/>
      <c r="O865" s="29" t="s">
        <v>7695</v>
      </c>
      <c r="P865" s="27"/>
      <c r="Q865" s="27"/>
      <c r="R865" s="29"/>
      <c r="S865" s="29"/>
      <c r="T865" s="29"/>
      <c r="U865" s="27"/>
      <c r="V865" s="27"/>
      <c r="W865" s="27"/>
      <c r="X865" s="64"/>
      <c r="Y865" s="64"/>
      <c r="Z865" s="64"/>
      <c r="AA865" s="64"/>
      <c r="AB865" s="27"/>
      <c r="AC865" s="27"/>
    </row>
    <row r="866" spans="1:29" s="28" customFormat="1" x14ac:dyDescent="0.3">
      <c r="A866" s="27" t="s">
        <v>7696</v>
      </c>
      <c r="B866" s="27" t="s">
        <v>2273</v>
      </c>
      <c r="C866" s="29"/>
      <c r="D866" s="28" t="s">
        <v>4981</v>
      </c>
      <c r="E866" s="20" t="s">
        <v>1017</v>
      </c>
      <c r="F866" s="20" t="s">
        <v>2673</v>
      </c>
      <c r="G866" s="27"/>
      <c r="H866" s="20"/>
      <c r="I866" s="29"/>
      <c r="J866" s="29"/>
      <c r="K866" s="27"/>
      <c r="L866" s="27"/>
      <c r="M866" s="27" t="s">
        <v>6867</v>
      </c>
      <c r="N866" s="27"/>
      <c r="O866" s="29" t="s">
        <v>2003</v>
      </c>
      <c r="P866" s="27"/>
      <c r="Q866" s="27"/>
      <c r="R866" s="29"/>
      <c r="S866" s="29"/>
      <c r="T866" s="29"/>
      <c r="U866" s="27"/>
      <c r="V866" s="27"/>
      <c r="W866" s="27"/>
      <c r="X866" s="64"/>
      <c r="Y866" s="64"/>
      <c r="Z866" s="64"/>
      <c r="AA866" s="64"/>
      <c r="AB866" s="27"/>
      <c r="AC866" s="27"/>
    </row>
    <row r="867" spans="1:29" s="25" customFormat="1" x14ac:dyDescent="0.3">
      <c r="A867" s="24">
        <v>450</v>
      </c>
      <c r="B867" s="24" t="s">
        <v>2272</v>
      </c>
      <c r="C867" s="26">
        <v>237</v>
      </c>
      <c r="D867" s="25" t="s">
        <v>1018</v>
      </c>
      <c r="E867" s="19" t="s">
        <v>1019</v>
      </c>
      <c r="F867" s="19"/>
      <c r="G867" s="24"/>
      <c r="H867" s="19"/>
      <c r="I867" s="26" t="s">
        <v>57</v>
      </c>
      <c r="J867" s="26" t="s">
        <v>57</v>
      </c>
      <c r="K867" s="24"/>
      <c r="L867" s="24" t="s">
        <v>3819</v>
      </c>
      <c r="M867" s="24" t="s">
        <v>5539</v>
      </c>
      <c r="N867" s="24"/>
      <c r="O867" s="26" t="s">
        <v>2037</v>
      </c>
      <c r="P867" s="24"/>
      <c r="Q867" s="24"/>
      <c r="R867" s="26"/>
      <c r="S867" s="26"/>
      <c r="T867" s="26"/>
      <c r="U867" s="24"/>
      <c r="V867" s="24"/>
      <c r="W867" s="24"/>
      <c r="X867" s="63"/>
      <c r="Y867" s="63"/>
      <c r="Z867" s="63"/>
      <c r="AA867" s="63"/>
      <c r="AB867" s="24"/>
      <c r="AC867" s="24"/>
    </row>
    <row r="868" spans="1:29" s="25" customFormat="1" x14ac:dyDescent="0.3">
      <c r="A868" s="24">
        <v>451</v>
      </c>
      <c r="B868" s="24" t="s">
        <v>2272</v>
      </c>
      <c r="C868" s="26">
        <v>237</v>
      </c>
      <c r="D868" s="25" t="s">
        <v>1022</v>
      </c>
      <c r="E868" s="19" t="s">
        <v>1023</v>
      </c>
      <c r="F868" s="19"/>
      <c r="G868" s="24"/>
      <c r="H868" s="19"/>
      <c r="I868" s="26" t="s">
        <v>37</v>
      </c>
      <c r="J868" s="26" t="s">
        <v>57</v>
      </c>
      <c r="K868" s="24"/>
      <c r="L868" s="24" t="s">
        <v>3233</v>
      </c>
      <c r="M868" s="24" t="s">
        <v>52</v>
      </c>
      <c r="N868" s="24"/>
      <c r="O868" s="26"/>
      <c r="P868" s="24"/>
      <c r="Q868" s="24"/>
      <c r="R868" s="26"/>
      <c r="S868" s="26"/>
      <c r="T868" s="26"/>
      <c r="U868" s="24"/>
      <c r="V868" s="24"/>
      <c r="W868" s="24"/>
      <c r="X868" s="63"/>
      <c r="Y868" s="63"/>
      <c r="Z868" s="63"/>
      <c r="AA868" s="63"/>
      <c r="AB868" s="24"/>
      <c r="AC868" s="24"/>
    </row>
    <row r="869" spans="1:29" s="28" customFormat="1" x14ac:dyDescent="0.3">
      <c r="A869" s="27" t="s">
        <v>7697</v>
      </c>
      <c r="B869" s="27" t="s">
        <v>2273</v>
      </c>
      <c r="C869" s="29">
        <v>237</v>
      </c>
      <c r="D869" s="28" t="s">
        <v>4982</v>
      </c>
      <c r="E869" s="20" t="s">
        <v>1023</v>
      </c>
      <c r="F869" s="20" t="s">
        <v>2283</v>
      </c>
      <c r="G869" s="27" t="s">
        <v>4623</v>
      </c>
      <c r="H869" s="20" t="s">
        <v>4624</v>
      </c>
      <c r="I869" s="29"/>
      <c r="J869" s="29" t="s">
        <v>57</v>
      </c>
      <c r="K869" s="27"/>
      <c r="L869" s="27" t="s">
        <v>3233</v>
      </c>
      <c r="M869" s="27" t="s">
        <v>7698</v>
      </c>
      <c r="N869" s="27"/>
      <c r="O869" s="29" t="s">
        <v>7699</v>
      </c>
      <c r="P869" s="27"/>
      <c r="Q869" s="27"/>
      <c r="R869" s="29"/>
      <c r="S869" s="29"/>
      <c r="T869" s="29"/>
      <c r="U869" s="27"/>
      <c r="V869" s="27"/>
      <c r="W869" s="27"/>
      <c r="X869" s="64"/>
      <c r="Y869" s="64"/>
      <c r="Z869" s="64"/>
      <c r="AA869" s="64"/>
      <c r="AB869" s="27"/>
      <c r="AC869" s="27"/>
    </row>
    <row r="870" spans="1:29" s="28" customFormat="1" x14ac:dyDescent="0.3">
      <c r="A870" s="27" t="s">
        <v>7700</v>
      </c>
      <c r="B870" s="27" t="s">
        <v>2273</v>
      </c>
      <c r="C870" s="29">
        <v>237</v>
      </c>
      <c r="D870" s="28" t="s">
        <v>4982</v>
      </c>
      <c r="E870" s="20" t="s">
        <v>1023</v>
      </c>
      <c r="F870" s="20" t="s">
        <v>2674</v>
      </c>
      <c r="G870" s="27" t="s">
        <v>4623</v>
      </c>
      <c r="H870" s="20" t="s">
        <v>4624</v>
      </c>
      <c r="I870" s="29"/>
      <c r="J870" s="29" t="s">
        <v>57</v>
      </c>
      <c r="K870" s="27"/>
      <c r="L870" s="27" t="s">
        <v>3233</v>
      </c>
      <c r="M870" s="27" t="s">
        <v>6922</v>
      </c>
      <c r="N870" s="27"/>
      <c r="O870" s="29" t="s">
        <v>7701</v>
      </c>
      <c r="P870" s="27"/>
      <c r="Q870" s="27"/>
      <c r="R870" s="29"/>
      <c r="S870" s="29"/>
      <c r="T870" s="29"/>
      <c r="U870" s="27"/>
      <c r="V870" s="27"/>
      <c r="W870" s="27"/>
      <c r="X870" s="64"/>
      <c r="Y870" s="64"/>
      <c r="Z870" s="64"/>
      <c r="AA870" s="64"/>
      <c r="AB870" s="27"/>
      <c r="AC870" s="27"/>
    </row>
    <row r="871" spans="1:29" s="28" customFormat="1" x14ac:dyDescent="0.3">
      <c r="A871" s="27" t="s">
        <v>7702</v>
      </c>
      <c r="B871" s="27" t="s">
        <v>2273</v>
      </c>
      <c r="C871" s="29">
        <v>237</v>
      </c>
      <c r="D871" s="28" t="s">
        <v>4982</v>
      </c>
      <c r="E871" s="20" t="s">
        <v>1023</v>
      </c>
      <c r="F871" s="20" t="s">
        <v>2360</v>
      </c>
      <c r="G871" s="27" t="s">
        <v>4623</v>
      </c>
      <c r="H871" s="20" t="s">
        <v>4624</v>
      </c>
      <c r="I871" s="29"/>
      <c r="J871" s="29" t="s">
        <v>57</v>
      </c>
      <c r="K871" s="27"/>
      <c r="L871" s="27" t="s">
        <v>3233</v>
      </c>
      <c r="M871" s="27" t="s">
        <v>6867</v>
      </c>
      <c r="N871" s="27"/>
      <c r="O871" s="29" t="s">
        <v>2003</v>
      </c>
      <c r="P871" s="27"/>
      <c r="Q871" s="27"/>
      <c r="R871" s="29"/>
      <c r="S871" s="29"/>
      <c r="T871" s="29"/>
      <c r="U871" s="27"/>
      <c r="V871" s="27"/>
      <c r="W871" s="27"/>
      <c r="X871" s="64"/>
      <c r="Y871" s="64"/>
      <c r="Z871" s="64"/>
      <c r="AA871" s="64"/>
      <c r="AB871" s="27"/>
      <c r="AC871" s="27"/>
    </row>
    <row r="872" spans="1:29" s="25" customFormat="1" x14ac:dyDescent="0.3">
      <c r="A872" s="24">
        <v>452</v>
      </c>
      <c r="B872" s="24" t="s">
        <v>2272</v>
      </c>
      <c r="C872" s="26">
        <v>249</v>
      </c>
      <c r="D872" s="25" t="s">
        <v>1030</v>
      </c>
      <c r="E872" s="19" t="s">
        <v>1031</v>
      </c>
      <c r="F872" s="19"/>
      <c r="G872" s="24"/>
      <c r="H872" s="19"/>
      <c r="I872" s="26" t="s">
        <v>49</v>
      </c>
      <c r="J872" s="26" t="s">
        <v>5121</v>
      </c>
      <c r="K872" s="24" t="s">
        <v>49</v>
      </c>
      <c r="L872" s="24" t="s">
        <v>3270</v>
      </c>
      <c r="M872" s="24" t="s">
        <v>5540</v>
      </c>
      <c r="N872" s="24" t="s">
        <v>5541</v>
      </c>
      <c r="O872" s="26" t="s">
        <v>2039</v>
      </c>
      <c r="P872" s="24" t="s">
        <v>6443</v>
      </c>
      <c r="Q872" s="24"/>
      <c r="R872" s="26"/>
      <c r="S872" s="26"/>
      <c r="T872" s="26"/>
      <c r="U872" s="24"/>
      <c r="V872" s="24"/>
      <c r="W872" s="24"/>
      <c r="X872" s="63"/>
      <c r="Y872" s="63"/>
      <c r="Z872" s="63"/>
      <c r="AA872" s="63"/>
      <c r="AB872" s="24"/>
      <c r="AC872" s="24"/>
    </row>
    <row r="873" spans="1:29" s="25" customFormat="1" x14ac:dyDescent="0.3">
      <c r="A873" s="24">
        <v>453</v>
      </c>
      <c r="B873" s="24" t="s">
        <v>2272</v>
      </c>
      <c r="C873" s="26"/>
      <c r="D873" s="25" t="s">
        <v>1034</v>
      </c>
      <c r="E873" s="19" t="s">
        <v>1035</v>
      </c>
      <c r="F873" s="19"/>
      <c r="G873" s="24"/>
      <c r="H873" s="19"/>
      <c r="I873" s="26" t="s">
        <v>37</v>
      </c>
      <c r="J873" s="26"/>
      <c r="K873" s="24"/>
      <c r="L873" s="24" t="s">
        <v>3824</v>
      </c>
      <c r="M873" s="24" t="s">
        <v>5542</v>
      </c>
      <c r="N873" s="24"/>
      <c r="O873" s="26"/>
      <c r="P873" s="24" t="s">
        <v>9</v>
      </c>
      <c r="Q873" s="24"/>
      <c r="R873" s="26"/>
      <c r="S873" s="26"/>
      <c r="T873" s="26"/>
      <c r="U873" s="24"/>
      <c r="V873" s="24"/>
      <c r="W873" s="24"/>
      <c r="X873" s="63"/>
      <c r="Y873" s="63"/>
      <c r="Z873" s="63"/>
      <c r="AA873" s="63"/>
      <c r="AB873" s="24"/>
      <c r="AC873" s="24"/>
    </row>
    <row r="874" spans="1:29" s="28" customFormat="1" x14ac:dyDescent="0.3">
      <c r="A874" s="27" t="s">
        <v>7703</v>
      </c>
      <c r="B874" s="27" t="s">
        <v>2273</v>
      </c>
      <c r="C874" s="29">
        <v>251</v>
      </c>
      <c r="D874" s="28" t="s">
        <v>4983</v>
      </c>
      <c r="E874" s="20" t="s">
        <v>1035</v>
      </c>
      <c r="F874" s="20" t="s">
        <v>2360</v>
      </c>
      <c r="G874" s="27" t="s">
        <v>3823</v>
      </c>
      <c r="H874" s="20" t="s">
        <v>4625</v>
      </c>
      <c r="I874" s="29"/>
      <c r="J874" s="29" t="s">
        <v>253</v>
      </c>
      <c r="K874" s="27"/>
      <c r="L874" s="27" t="s">
        <v>3824</v>
      </c>
      <c r="M874" s="27" t="s">
        <v>6867</v>
      </c>
      <c r="N874" s="27"/>
      <c r="O874" s="29" t="s">
        <v>2003</v>
      </c>
      <c r="P874" s="27"/>
      <c r="Q874" s="27"/>
      <c r="R874" s="29"/>
      <c r="S874" s="29"/>
      <c r="T874" s="29"/>
      <c r="U874" s="27"/>
      <c r="V874" s="27"/>
      <c r="W874" s="27"/>
      <c r="X874" s="64"/>
      <c r="Y874" s="64"/>
      <c r="Z874" s="64"/>
      <c r="AA874" s="64"/>
      <c r="AB874" s="27"/>
      <c r="AC874" s="27"/>
    </row>
    <row r="875" spans="1:29" s="25" customFormat="1" x14ac:dyDescent="0.3">
      <c r="A875" s="24">
        <v>454</v>
      </c>
      <c r="B875" s="24" t="s">
        <v>2272</v>
      </c>
      <c r="C875" s="26">
        <v>253</v>
      </c>
      <c r="D875" s="25" t="s">
        <v>1036</v>
      </c>
      <c r="E875" s="19" t="s">
        <v>1037</v>
      </c>
      <c r="F875" s="19"/>
      <c r="G875" s="24"/>
      <c r="H875" s="19"/>
      <c r="I875" s="26" t="s">
        <v>57</v>
      </c>
      <c r="J875" s="26" t="s">
        <v>57</v>
      </c>
      <c r="K875" s="24"/>
      <c r="L875" s="24" t="s">
        <v>3826</v>
      </c>
      <c r="M875" s="24" t="s">
        <v>1038</v>
      </c>
      <c r="N875" s="24"/>
      <c r="O875" s="26" t="s">
        <v>2041</v>
      </c>
      <c r="P875" s="24"/>
      <c r="Q875" s="24"/>
      <c r="R875" s="26"/>
      <c r="S875" s="26"/>
      <c r="T875" s="26"/>
      <c r="U875" s="24"/>
      <c r="V875" s="24"/>
      <c r="W875" s="24"/>
      <c r="X875" s="63"/>
      <c r="Y875" s="63"/>
      <c r="Z875" s="63"/>
      <c r="AA875" s="63"/>
      <c r="AB875" s="24"/>
      <c r="AC875" s="24"/>
    </row>
    <row r="876" spans="1:29" s="25" customFormat="1" ht="30.6" x14ac:dyDescent="0.3">
      <c r="A876" s="24">
        <v>455</v>
      </c>
      <c r="B876" s="24" t="s">
        <v>2272</v>
      </c>
      <c r="C876" s="26"/>
      <c r="D876" s="25" t="s">
        <v>3828</v>
      </c>
      <c r="E876" s="19" t="s">
        <v>3829</v>
      </c>
      <c r="F876" s="19"/>
      <c r="G876" s="24"/>
      <c r="H876" s="19"/>
      <c r="I876" s="26" t="s">
        <v>57</v>
      </c>
      <c r="J876" s="26"/>
      <c r="K876" s="24"/>
      <c r="L876" s="103" t="s">
        <v>3830</v>
      </c>
      <c r="M876" s="24" t="s">
        <v>5543</v>
      </c>
      <c r="N876" s="24"/>
      <c r="O876" s="26"/>
      <c r="P876" s="24" t="s">
        <v>9</v>
      </c>
      <c r="Q876" s="24"/>
      <c r="R876" s="26"/>
      <c r="S876" s="26"/>
      <c r="T876" s="26"/>
      <c r="U876" s="24"/>
      <c r="V876" s="24"/>
      <c r="W876" s="24"/>
      <c r="X876" s="63"/>
      <c r="Y876" s="63"/>
      <c r="Z876" s="63"/>
      <c r="AA876" s="63"/>
      <c r="AB876" s="24"/>
      <c r="AC876" s="24"/>
    </row>
    <row r="877" spans="1:29" s="28" customFormat="1" x14ac:dyDescent="0.3">
      <c r="A877" s="27" t="s">
        <v>7704</v>
      </c>
      <c r="B877" s="27" t="s">
        <v>2273</v>
      </c>
      <c r="C877" s="29">
        <v>251</v>
      </c>
      <c r="D877" s="28" t="s">
        <v>4984</v>
      </c>
      <c r="E877" s="20" t="s">
        <v>3829</v>
      </c>
      <c r="F877" s="20" t="s">
        <v>2319</v>
      </c>
      <c r="G877" s="27"/>
      <c r="H877" s="20" t="s">
        <v>4627</v>
      </c>
      <c r="I877" s="29"/>
      <c r="J877" s="29" t="s">
        <v>57</v>
      </c>
      <c r="K877" s="27"/>
      <c r="L877" s="27" t="s">
        <v>4626</v>
      </c>
      <c r="M877" s="27" t="s">
        <v>6768</v>
      </c>
      <c r="N877" s="27"/>
      <c r="O877" s="29" t="s">
        <v>6066</v>
      </c>
      <c r="P877" s="27"/>
      <c r="Q877" s="27"/>
      <c r="R877" s="29"/>
      <c r="S877" s="29"/>
      <c r="T877" s="29"/>
      <c r="U877" s="27"/>
      <c r="V877" s="27"/>
      <c r="W877" s="27"/>
      <c r="X877" s="64"/>
      <c r="Y877" s="64"/>
      <c r="Z877" s="64"/>
      <c r="AA877" s="64"/>
      <c r="AB877" s="27"/>
      <c r="AC877" s="27"/>
    </row>
    <row r="878" spans="1:29" s="28" customFormat="1" x14ac:dyDescent="0.3">
      <c r="A878" s="27" t="s">
        <v>7705</v>
      </c>
      <c r="B878" s="27" t="s">
        <v>2273</v>
      </c>
      <c r="C878" s="29">
        <v>251</v>
      </c>
      <c r="D878" s="28" t="s">
        <v>4984</v>
      </c>
      <c r="E878" s="20" t="s">
        <v>3829</v>
      </c>
      <c r="F878" s="20" t="s">
        <v>2536</v>
      </c>
      <c r="G878" s="27" t="s">
        <v>4629</v>
      </c>
      <c r="H878" s="20" t="s">
        <v>4630</v>
      </c>
      <c r="I878" s="29"/>
      <c r="J878" s="29" t="s">
        <v>57</v>
      </c>
      <c r="K878" s="27"/>
      <c r="L878" s="27" t="s">
        <v>4628</v>
      </c>
      <c r="M878" s="27" t="s">
        <v>7706</v>
      </c>
      <c r="N878" s="27"/>
      <c r="O878" s="29" t="s">
        <v>7707</v>
      </c>
      <c r="P878" s="27"/>
      <c r="Q878" s="27"/>
      <c r="R878" s="29"/>
      <c r="S878" s="29"/>
      <c r="T878" s="29"/>
      <c r="U878" s="27"/>
      <c r="V878" s="27"/>
      <c r="W878" s="27"/>
      <c r="X878" s="64"/>
      <c r="Y878" s="64"/>
      <c r="Z878" s="64"/>
      <c r="AA878" s="64"/>
      <c r="AB878" s="27"/>
      <c r="AC878" s="27"/>
    </row>
    <row r="879" spans="1:29" s="25" customFormat="1" ht="30.6" x14ac:dyDescent="0.3">
      <c r="A879" s="24">
        <v>456</v>
      </c>
      <c r="B879" s="24" t="s">
        <v>2272</v>
      </c>
      <c r="C879" s="26">
        <v>251</v>
      </c>
      <c r="D879" s="25" t="s">
        <v>1032</v>
      </c>
      <c r="E879" s="19" t="s">
        <v>1033</v>
      </c>
      <c r="F879" s="19"/>
      <c r="G879" s="24"/>
      <c r="H879" s="19"/>
      <c r="I879" s="26" t="s">
        <v>57</v>
      </c>
      <c r="J879" s="26" t="s">
        <v>57</v>
      </c>
      <c r="K879" s="24"/>
      <c r="L879" s="103" t="s">
        <v>6565</v>
      </c>
      <c r="M879" s="24" t="s">
        <v>6673</v>
      </c>
      <c r="N879" s="24"/>
      <c r="O879" s="26"/>
      <c r="P879" s="24"/>
      <c r="Q879" s="24"/>
      <c r="R879" s="26"/>
      <c r="S879" s="26"/>
      <c r="T879" s="26"/>
      <c r="U879" s="24"/>
      <c r="V879" s="24"/>
      <c r="W879" s="24"/>
      <c r="X879" s="63"/>
      <c r="Y879" s="63"/>
      <c r="Z879" s="63"/>
      <c r="AA879" s="63"/>
      <c r="AB879" s="24"/>
      <c r="AC879" s="24"/>
    </row>
    <row r="880" spans="1:29" s="28" customFormat="1" x14ac:dyDescent="0.3">
      <c r="A880" s="27" t="s">
        <v>7708</v>
      </c>
      <c r="B880" s="27" t="s">
        <v>2273</v>
      </c>
      <c r="C880" s="29">
        <v>251</v>
      </c>
      <c r="D880" s="28" t="s">
        <v>4985</v>
      </c>
      <c r="E880" s="20" t="s">
        <v>1033</v>
      </c>
      <c r="F880" s="20" t="s">
        <v>2680</v>
      </c>
      <c r="G880" s="27"/>
      <c r="H880" s="20" t="s">
        <v>4632</v>
      </c>
      <c r="I880" s="29"/>
      <c r="J880" s="29" t="s">
        <v>57</v>
      </c>
      <c r="K880" s="27"/>
      <c r="L880" s="27" t="s">
        <v>4631</v>
      </c>
      <c r="M880" s="27" t="s">
        <v>7709</v>
      </c>
      <c r="N880" s="27"/>
      <c r="O880" s="29" t="s">
        <v>2136</v>
      </c>
      <c r="P880" s="27"/>
      <c r="Q880" s="27"/>
      <c r="R880" s="29"/>
      <c r="S880" s="29"/>
      <c r="T880" s="29"/>
      <c r="U880" s="27"/>
      <c r="V880" s="27"/>
      <c r="W880" s="27"/>
      <c r="X880" s="64"/>
      <c r="Y880" s="64"/>
      <c r="Z880" s="64"/>
      <c r="AA880" s="64"/>
      <c r="AB880" s="27"/>
      <c r="AC880" s="27"/>
    </row>
    <row r="881" spans="1:29" s="28" customFormat="1" x14ac:dyDescent="0.3">
      <c r="A881" s="27" t="s">
        <v>7710</v>
      </c>
      <c r="B881" s="27" t="s">
        <v>2273</v>
      </c>
      <c r="C881" s="29">
        <v>251</v>
      </c>
      <c r="D881" s="28" t="s">
        <v>4985</v>
      </c>
      <c r="E881" s="20" t="s">
        <v>1033</v>
      </c>
      <c r="F881" s="20" t="s">
        <v>2681</v>
      </c>
      <c r="G881" s="27"/>
      <c r="H881" s="20" t="s">
        <v>4632</v>
      </c>
      <c r="I881" s="29"/>
      <c r="J881" s="29" t="s">
        <v>57</v>
      </c>
      <c r="K881" s="27"/>
      <c r="L881" s="27" t="s">
        <v>4631</v>
      </c>
      <c r="M881" s="27" t="s">
        <v>7711</v>
      </c>
      <c r="N881" s="27"/>
      <c r="O881" s="29" t="s">
        <v>7712</v>
      </c>
      <c r="P881" s="27"/>
      <c r="Q881" s="27"/>
      <c r="R881" s="29"/>
      <c r="S881" s="29"/>
      <c r="T881" s="29"/>
      <c r="U881" s="27"/>
      <c r="V881" s="27"/>
      <c r="W881" s="27"/>
      <c r="X881" s="64"/>
      <c r="Y881" s="64"/>
      <c r="Z881" s="64"/>
      <c r="AA881" s="64"/>
      <c r="AB881" s="27"/>
      <c r="AC881" s="27"/>
    </row>
    <row r="882" spans="1:29" s="28" customFormat="1" x14ac:dyDescent="0.3">
      <c r="A882" s="27" t="s">
        <v>7713</v>
      </c>
      <c r="B882" s="27" t="s">
        <v>2273</v>
      </c>
      <c r="C882" s="29">
        <v>251</v>
      </c>
      <c r="D882" s="28" t="s">
        <v>4985</v>
      </c>
      <c r="E882" s="20" t="s">
        <v>1033</v>
      </c>
      <c r="F882" s="20" t="s">
        <v>2682</v>
      </c>
      <c r="G882" s="27" t="s">
        <v>4634</v>
      </c>
      <c r="H882" s="20" t="s">
        <v>4635</v>
      </c>
      <c r="I882" s="29"/>
      <c r="J882" s="29" t="s">
        <v>57</v>
      </c>
      <c r="K882" s="27"/>
      <c r="L882" s="27" t="s">
        <v>4633</v>
      </c>
      <c r="M882" s="27" t="s">
        <v>6907</v>
      </c>
      <c r="N882" s="27"/>
      <c r="O882" s="29" t="s">
        <v>7714</v>
      </c>
      <c r="P882" s="27"/>
      <c r="Q882" s="27"/>
      <c r="R882" s="29"/>
      <c r="S882" s="29"/>
      <c r="T882" s="29"/>
      <c r="U882" s="27"/>
      <c r="V882" s="27"/>
      <c r="W882" s="27"/>
      <c r="X882" s="64"/>
      <c r="Y882" s="64"/>
      <c r="Z882" s="64"/>
      <c r="AA882" s="64"/>
      <c r="AB882" s="27"/>
      <c r="AC882" s="27"/>
    </row>
    <row r="883" spans="1:29" s="25" customFormat="1" ht="20.399999999999999" x14ac:dyDescent="0.3">
      <c r="A883" s="24">
        <v>457</v>
      </c>
      <c r="B883" s="24" t="s">
        <v>2272</v>
      </c>
      <c r="C883" s="26">
        <v>253</v>
      </c>
      <c r="D883" s="25" t="s">
        <v>2683</v>
      </c>
      <c r="E883" s="19" t="s">
        <v>2684</v>
      </c>
      <c r="F883" s="19"/>
      <c r="G883" s="24"/>
      <c r="H883" s="19"/>
      <c r="I883" s="26" t="s">
        <v>57</v>
      </c>
      <c r="J883" s="26" t="s">
        <v>57</v>
      </c>
      <c r="K883" s="24"/>
      <c r="L883" s="103" t="s">
        <v>6567</v>
      </c>
      <c r="M883" s="24" t="s">
        <v>6674</v>
      </c>
      <c r="N883" s="24"/>
      <c r="O883" s="26"/>
      <c r="P883" s="24"/>
      <c r="Q883" s="24"/>
      <c r="R883" s="26"/>
      <c r="S883" s="26"/>
      <c r="T883" s="26"/>
      <c r="U883" s="24"/>
      <c r="V883" s="24"/>
      <c r="W883" s="24"/>
      <c r="X883" s="63"/>
      <c r="Y883" s="63"/>
      <c r="Z883" s="63"/>
      <c r="AA883" s="63"/>
      <c r="AB883" s="24"/>
      <c r="AC883" s="24"/>
    </row>
    <row r="884" spans="1:29" s="28" customFormat="1" x14ac:dyDescent="0.3">
      <c r="A884" s="27" t="s">
        <v>5759</v>
      </c>
      <c r="B884" s="27" t="s">
        <v>2273</v>
      </c>
      <c r="C884" s="29">
        <v>253</v>
      </c>
      <c r="D884" s="28" t="s">
        <v>7715</v>
      </c>
      <c r="E884" s="20" t="s">
        <v>2684</v>
      </c>
      <c r="F884" s="20" t="s">
        <v>2578</v>
      </c>
      <c r="G884" s="27"/>
      <c r="H884" s="20" t="s">
        <v>7716</v>
      </c>
      <c r="I884" s="29"/>
      <c r="J884" s="29" t="s">
        <v>57</v>
      </c>
      <c r="K884" s="27"/>
      <c r="L884" s="27" t="s">
        <v>7717</v>
      </c>
      <c r="M884" s="27" t="s">
        <v>7629</v>
      </c>
      <c r="N884" s="27"/>
      <c r="O884" s="29" t="s">
        <v>7718</v>
      </c>
      <c r="P884" s="27"/>
      <c r="Q884" s="27"/>
      <c r="R884" s="29"/>
      <c r="S884" s="29"/>
      <c r="T884" s="29"/>
      <c r="U884" s="27"/>
      <c r="V884" s="27"/>
      <c r="W884" s="27"/>
      <c r="X884" s="64"/>
      <c r="Y884" s="64"/>
      <c r="Z884" s="64"/>
      <c r="AA884" s="64"/>
      <c r="AB884" s="27"/>
      <c r="AC884" s="27"/>
    </row>
    <row r="885" spans="1:29" s="28" customFormat="1" x14ac:dyDescent="0.3">
      <c r="A885" s="27" t="s">
        <v>5760</v>
      </c>
      <c r="B885" s="27" t="s">
        <v>2273</v>
      </c>
      <c r="C885" s="29">
        <v>253</v>
      </c>
      <c r="D885" s="28" t="s">
        <v>7715</v>
      </c>
      <c r="E885" s="20" t="s">
        <v>2684</v>
      </c>
      <c r="F885" s="20" t="s">
        <v>2428</v>
      </c>
      <c r="G885" s="27"/>
      <c r="H885" s="20" t="s">
        <v>7719</v>
      </c>
      <c r="I885" s="29"/>
      <c r="J885" s="29" t="s">
        <v>57</v>
      </c>
      <c r="K885" s="27"/>
      <c r="L885" s="27" t="s">
        <v>7720</v>
      </c>
      <c r="M885" s="27" t="s">
        <v>7358</v>
      </c>
      <c r="N885" s="27"/>
      <c r="O885" s="29" t="s">
        <v>7721</v>
      </c>
      <c r="P885" s="27"/>
      <c r="Q885" s="27"/>
      <c r="R885" s="29"/>
      <c r="S885" s="29"/>
      <c r="T885" s="29"/>
      <c r="U885" s="27"/>
      <c r="V885" s="27"/>
      <c r="W885" s="27"/>
      <c r="X885" s="64"/>
      <c r="Y885" s="64"/>
      <c r="Z885" s="64"/>
      <c r="AA885" s="64"/>
      <c r="AB885" s="27"/>
      <c r="AC885" s="27"/>
    </row>
    <row r="886" spans="1:29" s="25" customFormat="1" ht="20.399999999999999" x14ac:dyDescent="0.3">
      <c r="A886" s="24">
        <v>458</v>
      </c>
      <c r="B886" s="24" t="s">
        <v>2272</v>
      </c>
      <c r="C886" s="26">
        <v>249</v>
      </c>
      <c r="D886" s="25" t="s">
        <v>1028</v>
      </c>
      <c r="E886" s="19" t="s">
        <v>1029</v>
      </c>
      <c r="F886" s="19"/>
      <c r="G886" s="24"/>
      <c r="H886" s="19"/>
      <c r="I886" s="26" t="s">
        <v>346</v>
      </c>
      <c r="J886" s="26" t="s">
        <v>5121</v>
      </c>
      <c r="K886" s="24"/>
      <c r="L886" s="103" t="s">
        <v>6568</v>
      </c>
      <c r="M886" s="24" t="s">
        <v>84</v>
      </c>
      <c r="N886" s="24"/>
      <c r="O886" s="26"/>
      <c r="P886" s="24"/>
      <c r="Q886" s="24"/>
      <c r="R886" s="26"/>
      <c r="S886" s="26"/>
      <c r="T886" s="26"/>
      <c r="U886" s="24"/>
      <c r="V886" s="24"/>
      <c r="W886" s="24"/>
      <c r="X886" s="63"/>
      <c r="Y886" s="63"/>
      <c r="Z886" s="63"/>
      <c r="AA886" s="63"/>
      <c r="AB886" s="24"/>
      <c r="AC886" s="24"/>
    </row>
    <row r="887" spans="1:29" s="28" customFormat="1" x14ac:dyDescent="0.3">
      <c r="A887" s="27" t="s">
        <v>7722</v>
      </c>
      <c r="B887" s="27" t="s">
        <v>2273</v>
      </c>
      <c r="C887" s="29">
        <v>249</v>
      </c>
      <c r="D887" s="28" t="s">
        <v>4986</v>
      </c>
      <c r="E887" s="20" t="s">
        <v>1029</v>
      </c>
      <c r="F887" s="20" t="s">
        <v>2679</v>
      </c>
      <c r="G887" s="27" t="s">
        <v>4639</v>
      </c>
      <c r="H887" s="20" t="s">
        <v>4640</v>
      </c>
      <c r="I887" s="29"/>
      <c r="J887" s="29" t="s">
        <v>37</v>
      </c>
      <c r="K887" s="27"/>
      <c r="L887" s="27" t="s">
        <v>3140</v>
      </c>
      <c r="M887" s="27" t="s">
        <v>7723</v>
      </c>
      <c r="N887" s="27"/>
      <c r="O887" s="29" t="s">
        <v>7724</v>
      </c>
      <c r="P887" s="27"/>
      <c r="Q887" s="27"/>
      <c r="R887" s="29"/>
      <c r="S887" s="29"/>
      <c r="T887" s="29"/>
      <c r="U887" s="27"/>
      <c r="V887" s="27"/>
      <c r="W887" s="27"/>
      <c r="X887" s="64"/>
      <c r="Y887" s="64"/>
      <c r="Z887" s="64"/>
      <c r="AA887" s="64"/>
      <c r="AB887" s="27"/>
      <c r="AC887" s="27"/>
    </row>
    <row r="888" spans="1:29" s="28" customFormat="1" x14ac:dyDescent="0.3">
      <c r="A888" s="27" t="s">
        <v>7725</v>
      </c>
      <c r="B888" s="27" t="s">
        <v>2273</v>
      </c>
      <c r="C888" s="29">
        <v>249</v>
      </c>
      <c r="D888" s="28" t="s">
        <v>4986</v>
      </c>
      <c r="E888" s="20" t="s">
        <v>1029</v>
      </c>
      <c r="F888" s="20" t="s">
        <v>2676</v>
      </c>
      <c r="G888" s="27" t="s">
        <v>4637</v>
      </c>
      <c r="H888" s="20" t="s">
        <v>4638</v>
      </c>
      <c r="I888" s="29"/>
      <c r="J888" s="29" t="s">
        <v>5121</v>
      </c>
      <c r="K888" s="27"/>
      <c r="L888" s="27" t="s">
        <v>3728</v>
      </c>
      <c r="M888" s="27" t="s">
        <v>7726</v>
      </c>
      <c r="N888" s="27" t="s">
        <v>7727</v>
      </c>
      <c r="O888" s="29" t="s">
        <v>7728</v>
      </c>
      <c r="P888" s="27"/>
      <c r="Q888" s="27"/>
      <c r="R888" s="29"/>
      <c r="S888" s="29"/>
      <c r="T888" s="29"/>
      <c r="U888" s="27"/>
      <c r="V888" s="27"/>
      <c r="W888" s="27"/>
      <c r="X888" s="64"/>
      <c r="Y888" s="64"/>
      <c r="Z888" s="64"/>
      <c r="AA888" s="64"/>
      <c r="AB888" s="27"/>
      <c r="AC888" s="27"/>
    </row>
    <row r="889" spans="1:29" s="28" customFormat="1" x14ac:dyDescent="0.3">
      <c r="A889" s="27" t="s">
        <v>7729</v>
      </c>
      <c r="B889" s="27" t="s">
        <v>2273</v>
      </c>
      <c r="C889" s="29">
        <v>249</v>
      </c>
      <c r="D889" s="28" t="s">
        <v>4986</v>
      </c>
      <c r="E889" s="20" t="s">
        <v>1029</v>
      </c>
      <c r="F889" s="20" t="s">
        <v>2677</v>
      </c>
      <c r="G889" s="27" t="s">
        <v>4637</v>
      </c>
      <c r="H889" s="20" t="s">
        <v>4638</v>
      </c>
      <c r="I889" s="29"/>
      <c r="J889" s="29" t="s">
        <v>5121</v>
      </c>
      <c r="K889" s="27"/>
      <c r="L889" s="27" t="s">
        <v>3728</v>
      </c>
      <c r="M889" s="27" t="s">
        <v>1620</v>
      </c>
      <c r="N889" s="27" t="s">
        <v>7730</v>
      </c>
      <c r="O889" s="29" t="s">
        <v>7731</v>
      </c>
      <c r="P889" s="27"/>
      <c r="Q889" s="27"/>
      <c r="R889" s="29"/>
      <c r="S889" s="29"/>
      <c r="T889" s="29"/>
      <c r="U889" s="27"/>
      <c r="V889" s="27"/>
      <c r="W889" s="27"/>
      <c r="X889" s="64"/>
      <c r="Y889" s="64"/>
      <c r="Z889" s="64"/>
      <c r="AA889" s="64"/>
      <c r="AB889" s="27"/>
      <c r="AC889" s="27"/>
    </row>
    <row r="890" spans="1:29" s="28" customFormat="1" x14ac:dyDescent="0.3">
      <c r="A890" s="27" t="s">
        <v>7732</v>
      </c>
      <c r="B890" s="27" t="s">
        <v>2273</v>
      </c>
      <c r="C890" s="29">
        <v>249</v>
      </c>
      <c r="D890" s="28" t="s">
        <v>4986</v>
      </c>
      <c r="E890" s="20" t="s">
        <v>1029</v>
      </c>
      <c r="F890" s="20" t="s">
        <v>2678</v>
      </c>
      <c r="G890" s="27" t="s">
        <v>4637</v>
      </c>
      <c r="H890" s="20" t="s">
        <v>4638</v>
      </c>
      <c r="I890" s="29"/>
      <c r="J890" s="29" t="s">
        <v>5121</v>
      </c>
      <c r="K890" s="27"/>
      <c r="L890" s="27" t="s">
        <v>3728</v>
      </c>
      <c r="M890" s="27" t="s">
        <v>7733</v>
      </c>
      <c r="N890" s="27"/>
      <c r="O890" s="29" t="s">
        <v>7734</v>
      </c>
      <c r="P890" s="27"/>
      <c r="Q890" s="27"/>
      <c r="R890" s="29"/>
      <c r="S890" s="29"/>
      <c r="T890" s="29"/>
      <c r="U890" s="27"/>
      <c r="V890" s="27"/>
      <c r="W890" s="27"/>
      <c r="X890" s="64"/>
      <c r="Y890" s="64"/>
      <c r="Z890" s="64"/>
      <c r="AA890" s="64"/>
      <c r="AB890" s="27"/>
      <c r="AC890" s="27"/>
    </row>
    <row r="891" spans="1:29" s="25" customFormat="1" x14ac:dyDescent="0.3">
      <c r="A891" s="24">
        <v>459</v>
      </c>
      <c r="B891" s="24" t="s">
        <v>2272</v>
      </c>
      <c r="C891" s="26">
        <v>249</v>
      </c>
      <c r="D891" s="25" t="s">
        <v>1026</v>
      </c>
      <c r="E891" s="19" t="s">
        <v>1027</v>
      </c>
      <c r="F891" s="19"/>
      <c r="G891" s="24"/>
      <c r="H891" s="19"/>
      <c r="I891" s="26" t="s">
        <v>49</v>
      </c>
      <c r="J891" s="26" t="s">
        <v>5121</v>
      </c>
      <c r="K891" s="24" t="s">
        <v>49</v>
      </c>
      <c r="L891" s="24" t="s">
        <v>3834</v>
      </c>
      <c r="M891" s="24" t="s">
        <v>5545</v>
      </c>
      <c r="N891" s="24"/>
      <c r="O891" s="26"/>
      <c r="P891" s="24" t="s">
        <v>6569</v>
      </c>
      <c r="Q891" s="24"/>
      <c r="R891" s="26"/>
      <c r="S891" s="26"/>
      <c r="T891" s="26"/>
      <c r="U891" s="24"/>
      <c r="V891" s="24"/>
      <c r="W891" s="24"/>
      <c r="X891" s="63"/>
      <c r="Y891" s="63"/>
      <c r="Z891" s="63"/>
      <c r="AA891" s="63"/>
      <c r="AB891" s="24"/>
      <c r="AC891" s="24"/>
    </row>
    <row r="892" spans="1:29" s="28" customFormat="1" x14ac:dyDescent="0.3">
      <c r="A892" s="27" t="s">
        <v>7735</v>
      </c>
      <c r="B892" s="27" t="s">
        <v>2273</v>
      </c>
      <c r="C892" s="29"/>
      <c r="D892" s="28" t="s">
        <v>4987</v>
      </c>
      <c r="E892" s="20" t="s">
        <v>1027</v>
      </c>
      <c r="F892" s="20" t="s">
        <v>2675</v>
      </c>
      <c r="G892" s="27"/>
      <c r="H892" s="20"/>
      <c r="I892" s="29"/>
      <c r="J892" s="29"/>
      <c r="K892" s="27"/>
      <c r="L892" s="27"/>
      <c r="M892" s="27" t="s">
        <v>7736</v>
      </c>
      <c r="N892" s="27"/>
      <c r="O892" s="29" t="s">
        <v>7737</v>
      </c>
      <c r="P892" s="27"/>
      <c r="Q892" s="27"/>
      <c r="R892" s="29"/>
      <c r="S892" s="29"/>
      <c r="T892" s="29"/>
      <c r="U892" s="27"/>
      <c r="V892" s="27"/>
      <c r="W892" s="27"/>
      <c r="X892" s="64"/>
      <c r="Y892" s="64"/>
      <c r="Z892" s="64"/>
      <c r="AA892" s="64"/>
      <c r="AB892" s="27"/>
      <c r="AC892" s="27"/>
    </row>
    <row r="893" spans="1:29" s="25" customFormat="1" x14ac:dyDescent="0.3">
      <c r="A893" s="24">
        <v>460</v>
      </c>
      <c r="B893" s="24" t="s">
        <v>2272</v>
      </c>
      <c r="C893" s="26">
        <v>247</v>
      </c>
      <c r="D893" s="25" t="s">
        <v>1041</v>
      </c>
      <c r="E893" s="19" t="s">
        <v>1042</v>
      </c>
      <c r="F893" s="19"/>
      <c r="G893" s="24"/>
      <c r="H893" s="19"/>
      <c r="I893" s="26" t="s">
        <v>57</v>
      </c>
      <c r="J893" s="26" t="s">
        <v>57</v>
      </c>
      <c r="K893" s="24"/>
      <c r="L893" s="24" t="s">
        <v>3836</v>
      </c>
      <c r="M893" s="24" t="s">
        <v>5277</v>
      </c>
      <c r="N893" s="24"/>
      <c r="O893" s="26"/>
      <c r="P893" s="24"/>
      <c r="Q893" s="24"/>
      <c r="R893" s="26"/>
      <c r="S893" s="26"/>
      <c r="T893" s="26"/>
      <c r="U893" s="24"/>
      <c r="V893" s="24"/>
      <c r="W893" s="24"/>
      <c r="X893" s="63"/>
      <c r="Y893" s="63"/>
      <c r="Z893" s="63"/>
      <c r="AA893" s="63"/>
      <c r="AB893" s="24"/>
      <c r="AC893" s="24"/>
    </row>
    <row r="894" spans="1:29" s="28" customFormat="1" x14ac:dyDescent="0.3">
      <c r="A894" s="27" t="s">
        <v>7738</v>
      </c>
      <c r="B894" s="27" t="s">
        <v>2273</v>
      </c>
      <c r="C894" s="29"/>
      <c r="D894" s="28" t="s">
        <v>4988</v>
      </c>
      <c r="E894" s="20" t="s">
        <v>1042</v>
      </c>
      <c r="F894" s="20" t="s">
        <v>2685</v>
      </c>
      <c r="G894" s="27"/>
      <c r="H894" s="20"/>
      <c r="I894" s="29"/>
      <c r="J894" s="29"/>
      <c r="K894" s="27"/>
      <c r="L894" s="27"/>
      <c r="M894" s="27" t="s">
        <v>7739</v>
      </c>
      <c r="N894" s="27"/>
      <c r="O894" s="29" t="s">
        <v>7740</v>
      </c>
      <c r="P894" s="27"/>
      <c r="Q894" s="27"/>
      <c r="R894" s="29"/>
      <c r="S894" s="29"/>
      <c r="T894" s="29"/>
      <c r="U894" s="27"/>
      <c r="V894" s="27"/>
      <c r="W894" s="27"/>
      <c r="X894" s="64"/>
      <c r="Y894" s="64"/>
      <c r="Z894" s="64"/>
      <c r="AA894" s="64"/>
      <c r="AB894" s="27"/>
      <c r="AC894" s="27"/>
    </row>
    <row r="895" spans="1:29" s="28" customFormat="1" x14ac:dyDescent="0.3">
      <c r="A895" s="27" t="s">
        <v>7741</v>
      </c>
      <c r="B895" s="27" t="s">
        <v>2273</v>
      </c>
      <c r="C895" s="29"/>
      <c r="D895" s="28" t="s">
        <v>4988</v>
      </c>
      <c r="E895" s="20" t="s">
        <v>1042</v>
      </c>
      <c r="F895" s="20" t="s">
        <v>2686</v>
      </c>
      <c r="G895" s="27"/>
      <c r="H895" s="20"/>
      <c r="I895" s="29"/>
      <c r="J895" s="29"/>
      <c r="K895" s="27"/>
      <c r="L895" s="27"/>
      <c r="M895" s="27" t="s">
        <v>7742</v>
      </c>
      <c r="N895" s="27"/>
      <c r="O895" s="29" t="s">
        <v>7743</v>
      </c>
      <c r="P895" s="27"/>
      <c r="Q895" s="27"/>
      <c r="R895" s="29"/>
      <c r="S895" s="29"/>
      <c r="T895" s="29"/>
      <c r="U895" s="27"/>
      <c r="V895" s="27"/>
      <c r="W895" s="27"/>
      <c r="X895" s="64"/>
      <c r="Y895" s="64"/>
      <c r="Z895" s="64"/>
      <c r="AA895" s="64"/>
      <c r="AB895" s="27"/>
      <c r="AC895" s="27"/>
    </row>
    <row r="896" spans="1:29" s="25" customFormat="1" x14ac:dyDescent="0.3">
      <c r="A896" s="24">
        <v>461</v>
      </c>
      <c r="B896" s="24" t="s">
        <v>2272</v>
      </c>
      <c r="C896" s="26">
        <v>247</v>
      </c>
      <c r="D896" s="25" t="s">
        <v>1043</v>
      </c>
      <c r="E896" s="19" t="s">
        <v>1044</v>
      </c>
      <c r="F896" s="19"/>
      <c r="G896" s="24"/>
      <c r="H896" s="19"/>
      <c r="I896" s="26" t="s">
        <v>57</v>
      </c>
      <c r="J896" s="26" t="s">
        <v>57</v>
      </c>
      <c r="K896" s="24"/>
      <c r="L896" s="24" t="s">
        <v>3764</v>
      </c>
      <c r="M896" s="24" t="s">
        <v>4396</v>
      </c>
      <c r="N896" s="24"/>
      <c r="O896" s="26" t="s">
        <v>2044</v>
      </c>
      <c r="P896" s="24"/>
      <c r="Q896" s="24"/>
      <c r="R896" s="26"/>
      <c r="S896" s="26"/>
      <c r="T896" s="26"/>
      <c r="U896" s="24"/>
      <c r="V896" s="24"/>
      <c r="W896" s="24"/>
      <c r="X896" s="63"/>
      <c r="Y896" s="63"/>
      <c r="Z896" s="63"/>
      <c r="AA896" s="63"/>
      <c r="AB896" s="24"/>
      <c r="AC896" s="24"/>
    </row>
    <row r="897" spans="1:29" s="25" customFormat="1" x14ac:dyDescent="0.3">
      <c r="A897" s="24">
        <v>462</v>
      </c>
      <c r="B897" s="24" t="s">
        <v>2272</v>
      </c>
      <c r="C897" s="26">
        <v>247</v>
      </c>
      <c r="D897" s="25" t="s">
        <v>1045</v>
      </c>
      <c r="E897" s="19" t="s">
        <v>1046</v>
      </c>
      <c r="F897" s="19"/>
      <c r="G897" s="24"/>
      <c r="H897" s="19"/>
      <c r="I897" s="26" t="s">
        <v>57</v>
      </c>
      <c r="J897" s="26" t="s">
        <v>57</v>
      </c>
      <c r="K897" s="24"/>
      <c r="L897" s="24" t="s">
        <v>3839</v>
      </c>
      <c r="M897" s="24" t="s">
        <v>5245</v>
      </c>
      <c r="N897" s="24"/>
      <c r="O897" s="26"/>
      <c r="P897" s="24"/>
      <c r="Q897" s="24"/>
      <c r="R897" s="26"/>
      <c r="S897" s="26"/>
      <c r="T897" s="26"/>
      <c r="U897" s="24"/>
      <c r="V897" s="24"/>
      <c r="W897" s="24"/>
      <c r="X897" s="63"/>
      <c r="Y897" s="63"/>
      <c r="Z897" s="63"/>
      <c r="AA897" s="63"/>
      <c r="AB897" s="24"/>
      <c r="AC897" s="24"/>
    </row>
    <row r="898" spans="1:29" s="28" customFormat="1" x14ac:dyDescent="0.3">
      <c r="A898" s="27" t="s">
        <v>7744</v>
      </c>
      <c r="B898" s="27" t="s">
        <v>2273</v>
      </c>
      <c r="C898" s="29"/>
      <c r="D898" s="28" t="s">
        <v>4989</v>
      </c>
      <c r="E898" s="20" t="s">
        <v>1046</v>
      </c>
      <c r="F898" s="20" t="s">
        <v>2687</v>
      </c>
      <c r="G898" s="27"/>
      <c r="H898" s="20"/>
      <c r="I898" s="29"/>
      <c r="J898" s="29"/>
      <c r="K898" s="27"/>
      <c r="L898" s="27"/>
      <c r="M898" s="27" t="s">
        <v>7745</v>
      </c>
      <c r="N898" s="27"/>
      <c r="O898" s="29" t="s">
        <v>7746</v>
      </c>
      <c r="P898" s="27"/>
      <c r="Q898" s="27"/>
      <c r="R898" s="29"/>
      <c r="S898" s="29"/>
      <c r="T898" s="29"/>
      <c r="U898" s="27"/>
      <c r="V898" s="27"/>
      <c r="W898" s="27"/>
      <c r="X898" s="64"/>
      <c r="Y898" s="64"/>
      <c r="Z898" s="64"/>
      <c r="AA898" s="64"/>
      <c r="AB898" s="27"/>
      <c r="AC898" s="27"/>
    </row>
    <row r="899" spans="1:29" s="28" customFormat="1" x14ac:dyDescent="0.3">
      <c r="A899" s="27" t="s">
        <v>7747</v>
      </c>
      <c r="B899" s="27" t="s">
        <v>2273</v>
      </c>
      <c r="C899" s="29"/>
      <c r="D899" s="28" t="s">
        <v>4989</v>
      </c>
      <c r="E899" s="20" t="s">
        <v>1046</v>
      </c>
      <c r="F899" s="20" t="s">
        <v>2688</v>
      </c>
      <c r="G899" s="27"/>
      <c r="H899" s="20"/>
      <c r="I899" s="29"/>
      <c r="J899" s="29"/>
      <c r="K899" s="27"/>
      <c r="L899" s="27"/>
      <c r="M899" s="27" t="s">
        <v>7748</v>
      </c>
      <c r="N899" s="27"/>
      <c r="O899" s="29" t="s">
        <v>7749</v>
      </c>
      <c r="P899" s="27"/>
      <c r="Q899" s="27"/>
      <c r="R899" s="29"/>
      <c r="S899" s="29"/>
      <c r="T899" s="29"/>
      <c r="U899" s="27"/>
      <c r="V899" s="27"/>
      <c r="W899" s="27"/>
      <c r="X899" s="64"/>
      <c r="Y899" s="64"/>
      <c r="Z899" s="64"/>
      <c r="AA899" s="64"/>
      <c r="AB899" s="27"/>
      <c r="AC899" s="27"/>
    </row>
    <row r="900" spans="1:29" s="25" customFormat="1" x14ac:dyDescent="0.3">
      <c r="A900" s="24">
        <v>463</v>
      </c>
      <c r="B900" s="24" t="s">
        <v>2272</v>
      </c>
      <c r="C900" s="26">
        <v>247</v>
      </c>
      <c r="D900" s="25" t="s">
        <v>1047</v>
      </c>
      <c r="E900" s="19" t="s">
        <v>1048</v>
      </c>
      <c r="F900" s="19"/>
      <c r="G900" s="24"/>
      <c r="H900" s="19"/>
      <c r="I900" s="26" t="s">
        <v>57</v>
      </c>
      <c r="J900" s="26" t="s">
        <v>57</v>
      </c>
      <c r="K900" s="24"/>
      <c r="L900" s="24" t="s">
        <v>3841</v>
      </c>
      <c r="M900" s="24" t="s">
        <v>5546</v>
      </c>
      <c r="N900" s="24"/>
      <c r="O900" s="26" t="s">
        <v>2041</v>
      </c>
      <c r="P900" s="24"/>
      <c r="Q900" s="24"/>
      <c r="R900" s="26"/>
      <c r="S900" s="26"/>
      <c r="T900" s="26"/>
      <c r="U900" s="24"/>
      <c r="V900" s="24"/>
      <c r="W900" s="24"/>
      <c r="X900" s="63"/>
      <c r="Y900" s="63"/>
      <c r="Z900" s="63"/>
      <c r="AA900" s="63"/>
      <c r="AB900" s="24"/>
      <c r="AC900" s="24"/>
    </row>
    <row r="901" spans="1:29" s="25" customFormat="1" x14ac:dyDescent="0.3">
      <c r="A901" s="24">
        <v>464</v>
      </c>
      <c r="B901" s="24" t="s">
        <v>2272</v>
      </c>
      <c r="C901" s="26">
        <v>247</v>
      </c>
      <c r="D901" s="25" t="s">
        <v>1049</v>
      </c>
      <c r="E901" s="19" t="s">
        <v>1050</v>
      </c>
      <c r="F901" s="19"/>
      <c r="G901" s="24"/>
      <c r="H901" s="19"/>
      <c r="I901" s="26" t="s">
        <v>57</v>
      </c>
      <c r="J901" s="26" t="s">
        <v>57</v>
      </c>
      <c r="K901" s="24"/>
      <c r="L901" s="24" t="s">
        <v>3843</v>
      </c>
      <c r="M901" s="24" t="s">
        <v>5547</v>
      </c>
      <c r="N901" s="24"/>
      <c r="O901" s="26" t="s">
        <v>2045</v>
      </c>
      <c r="P901" s="24"/>
      <c r="Q901" s="24"/>
      <c r="R901" s="26"/>
      <c r="S901" s="26"/>
      <c r="T901" s="26"/>
      <c r="U901" s="24"/>
      <c r="V901" s="24"/>
      <c r="W901" s="24"/>
      <c r="X901" s="63"/>
      <c r="Y901" s="63"/>
      <c r="Z901" s="63"/>
      <c r="AA901" s="63"/>
      <c r="AB901" s="24"/>
      <c r="AC901" s="24"/>
    </row>
    <row r="902" spans="1:29" s="25" customFormat="1" x14ac:dyDescent="0.3">
      <c r="A902" s="24">
        <v>465</v>
      </c>
      <c r="B902" s="24" t="s">
        <v>2272</v>
      </c>
      <c r="C902" s="26">
        <v>249</v>
      </c>
      <c r="D902" s="25" t="s">
        <v>1051</v>
      </c>
      <c r="E902" s="19" t="s">
        <v>1052</v>
      </c>
      <c r="F902" s="19"/>
      <c r="G902" s="24"/>
      <c r="H902" s="19"/>
      <c r="I902" s="26" t="s">
        <v>57</v>
      </c>
      <c r="J902" s="26" t="s">
        <v>57</v>
      </c>
      <c r="K902" s="24"/>
      <c r="L902" s="24" t="s">
        <v>3233</v>
      </c>
      <c r="M902" s="24" t="s">
        <v>59</v>
      </c>
      <c r="N902" s="24"/>
      <c r="O902" s="26" t="s">
        <v>2046</v>
      </c>
      <c r="P902" s="24"/>
      <c r="Q902" s="24"/>
      <c r="R902" s="26"/>
      <c r="S902" s="26"/>
      <c r="T902" s="26"/>
      <c r="U902" s="24"/>
      <c r="V902" s="24"/>
      <c r="W902" s="24"/>
      <c r="X902" s="63"/>
      <c r="Y902" s="63"/>
      <c r="Z902" s="63"/>
      <c r="AA902" s="63"/>
      <c r="AB902" s="24"/>
      <c r="AC902" s="24"/>
    </row>
    <row r="903" spans="1:29" s="25" customFormat="1" x14ac:dyDescent="0.3">
      <c r="A903" s="24">
        <v>466</v>
      </c>
      <c r="B903" s="24" t="s">
        <v>2272</v>
      </c>
      <c r="C903" s="26">
        <v>247</v>
      </c>
      <c r="D903" s="25" t="s">
        <v>1053</v>
      </c>
      <c r="E903" s="19" t="s">
        <v>1054</v>
      </c>
      <c r="F903" s="19"/>
      <c r="G903" s="24"/>
      <c r="H903" s="19"/>
      <c r="I903" s="26" t="s">
        <v>57</v>
      </c>
      <c r="J903" s="26" t="s">
        <v>57</v>
      </c>
      <c r="K903" s="24"/>
      <c r="L903" s="24" t="s">
        <v>3846</v>
      </c>
      <c r="M903" s="24" t="s">
        <v>5470</v>
      </c>
      <c r="N903" s="24"/>
      <c r="O903" s="26"/>
      <c r="P903" s="24"/>
      <c r="Q903" s="24"/>
      <c r="R903" s="26"/>
      <c r="S903" s="26"/>
      <c r="T903" s="26"/>
      <c r="U903" s="24"/>
      <c r="V903" s="24"/>
      <c r="W903" s="24"/>
      <c r="X903" s="63"/>
      <c r="Y903" s="63"/>
      <c r="Z903" s="63"/>
      <c r="AA903" s="63"/>
      <c r="AB903" s="24"/>
      <c r="AC903" s="24"/>
    </row>
    <row r="904" spans="1:29" s="28" customFormat="1" x14ac:dyDescent="0.3">
      <c r="A904" s="27" t="s">
        <v>7750</v>
      </c>
      <c r="B904" s="27" t="s">
        <v>2273</v>
      </c>
      <c r="C904" s="29"/>
      <c r="D904" s="28" t="s">
        <v>4990</v>
      </c>
      <c r="E904" s="20" t="s">
        <v>1054</v>
      </c>
      <c r="F904" s="20" t="s">
        <v>2689</v>
      </c>
      <c r="G904" s="27"/>
      <c r="H904" s="20"/>
      <c r="I904" s="29"/>
      <c r="J904" s="29"/>
      <c r="K904" s="27"/>
      <c r="L904" s="27"/>
      <c r="M904" s="27" t="s">
        <v>7751</v>
      </c>
      <c r="N904" s="27"/>
      <c r="O904" s="29" t="s">
        <v>7752</v>
      </c>
      <c r="P904" s="27"/>
      <c r="Q904" s="27"/>
      <c r="R904" s="29"/>
      <c r="S904" s="29"/>
      <c r="T904" s="29"/>
      <c r="U904" s="27"/>
      <c r="V904" s="27"/>
      <c r="W904" s="27"/>
      <c r="X904" s="64"/>
      <c r="Y904" s="64"/>
      <c r="Z904" s="64"/>
      <c r="AA904" s="64"/>
      <c r="AB904" s="27"/>
      <c r="AC904" s="27"/>
    </row>
    <row r="905" spans="1:29" s="28" customFormat="1" x14ac:dyDescent="0.3">
      <c r="A905" s="27" t="s">
        <v>7753</v>
      </c>
      <c r="B905" s="27" t="s">
        <v>2273</v>
      </c>
      <c r="C905" s="29"/>
      <c r="D905" s="28" t="s">
        <v>4990</v>
      </c>
      <c r="E905" s="20" t="s">
        <v>1054</v>
      </c>
      <c r="F905" s="20" t="s">
        <v>2690</v>
      </c>
      <c r="G905" s="27"/>
      <c r="H905" s="20"/>
      <c r="I905" s="29"/>
      <c r="J905" s="29"/>
      <c r="K905" s="27"/>
      <c r="L905" s="27"/>
      <c r="M905" s="27" t="s">
        <v>7754</v>
      </c>
      <c r="N905" s="27"/>
      <c r="O905" s="29" t="s">
        <v>7755</v>
      </c>
      <c r="P905" s="27"/>
      <c r="Q905" s="27"/>
      <c r="R905" s="29"/>
      <c r="S905" s="29"/>
      <c r="T905" s="29"/>
      <c r="U905" s="27"/>
      <c r="V905" s="27"/>
      <c r="W905" s="27"/>
      <c r="X905" s="64"/>
      <c r="Y905" s="64"/>
      <c r="Z905" s="64"/>
      <c r="AA905" s="64"/>
      <c r="AB905" s="27"/>
      <c r="AC905" s="27"/>
    </row>
    <row r="906" spans="1:29" s="25" customFormat="1" x14ac:dyDescent="0.3">
      <c r="A906" s="24">
        <v>467</v>
      </c>
      <c r="B906" s="24" t="s">
        <v>2272</v>
      </c>
      <c r="C906" s="26">
        <v>253</v>
      </c>
      <c r="D906" s="25" t="s">
        <v>1057</v>
      </c>
      <c r="E906" s="19" t="s">
        <v>1058</v>
      </c>
      <c r="F906" s="19"/>
      <c r="G906" s="24"/>
      <c r="H906" s="19"/>
      <c r="I906" s="26" t="s">
        <v>37</v>
      </c>
      <c r="J906" s="26" t="s">
        <v>37</v>
      </c>
      <c r="K906" s="24"/>
      <c r="L906" s="24" t="s">
        <v>3233</v>
      </c>
      <c r="M906" s="24" t="s">
        <v>210</v>
      </c>
      <c r="N906" s="24"/>
      <c r="O906" s="26"/>
      <c r="P906" s="24"/>
      <c r="Q906" s="24"/>
      <c r="R906" s="26"/>
      <c r="S906" s="26"/>
      <c r="T906" s="26"/>
      <c r="U906" s="24"/>
      <c r="V906" s="24"/>
      <c r="W906" s="24"/>
      <c r="X906" s="63"/>
      <c r="Y906" s="63"/>
      <c r="Z906" s="63"/>
      <c r="AA906" s="63"/>
      <c r="AB906" s="24"/>
      <c r="AC906" s="24"/>
    </row>
    <row r="907" spans="1:29" s="28" customFormat="1" x14ac:dyDescent="0.3">
      <c r="A907" s="27" t="s">
        <v>7756</v>
      </c>
      <c r="B907" s="27" t="s">
        <v>2273</v>
      </c>
      <c r="C907" s="29"/>
      <c r="D907" s="28" t="s">
        <v>4991</v>
      </c>
      <c r="E907" s="20" t="s">
        <v>1058</v>
      </c>
      <c r="F907" s="20" t="s">
        <v>2691</v>
      </c>
      <c r="G907" s="27"/>
      <c r="H907" s="20"/>
      <c r="I907" s="29"/>
      <c r="J907" s="29"/>
      <c r="K907" s="27"/>
      <c r="L907" s="27"/>
      <c r="M907" s="27" t="s">
        <v>7757</v>
      </c>
      <c r="N907" s="27"/>
      <c r="O907" s="29" t="s">
        <v>1631</v>
      </c>
      <c r="P907" s="27"/>
      <c r="Q907" s="27"/>
      <c r="R907" s="29"/>
      <c r="S907" s="29"/>
      <c r="T907" s="29"/>
      <c r="U907" s="27"/>
      <c r="V907" s="27"/>
      <c r="W907" s="27"/>
      <c r="X907" s="64"/>
      <c r="Y907" s="64"/>
      <c r="Z907" s="64"/>
      <c r="AA907" s="64"/>
      <c r="AB907" s="27"/>
      <c r="AC907" s="27"/>
    </row>
    <row r="908" spans="1:29" s="28" customFormat="1" x14ac:dyDescent="0.3">
      <c r="A908" s="27" t="s">
        <v>7758</v>
      </c>
      <c r="B908" s="27" t="s">
        <v>2273</v>
      </c>
      <c r="C908" s="29"/>
      <c r="D908" s="28" t="s">
        <v>4991</v>
      </c>
      <c r="E908" s="20" t="s">
        <v>1058</v>
      </c>
      <c r="F908" s="20" t="s">
        <v>2692</v>
      </c>
      <c r="G908" s="27"/>
      <c r="H908" s="20"/>
      <c r="I908" s="29"/>
      <c r="J908" s="29"/>
      <c r="K908" s="27"/>
      <c r="L908" s="27"/>
      <c r="M908" s="27" t="s">
        <v>6073</v>
      </c>
      <c r="N908" s="27"/>
      <c r="O908" s="29" t="s">
        <v>7759</v>
      </c>
      <c r="P908" s="27"/>
      <c r="Q908" s="27"/>
      <c r="R908" s="29"/>
      <c r="S908" s="29"/>
      <c r="T908" s="29"/>
      <c r="U908" s="27"/>
      <c r="V908" s="27"/>
      <c r="W908" s="27"/>
      <c r="X908" s="64"/>
      <c r="Y908" s="64"/>
      <c r="Z908" s="64"/>
      <c r="AA908" s="64"/>
      <c r="AB908" s="27"/>
      <c r="AC908" s="27"/>
    </row>
    <row r="909" spans="1:29" s="25" customFormat="1" x14ac:dyDescent="0.3">
      <c r="A909" s="24">
        <v>468</v>
      </c>
      <c r="B909" s="24" t="s">
        <v>2272</v>
      </c>
      <c r="C909" s="26">
        <v>253</v>
      </c>
      <c r="D909" s="25" t="s">
        <v>1059</v>
      </c>
      <c r="E909" s="19" t="s">
        <v>1060</v>
      </c>
      <c r="F909" s="19"/>
      <c r="G909" s="24"/>
      <c r="H909" s="19"/>
      <c r="I909" s="26" t="s">
        <v>57</v>
      </c>
      <c r="J909" s="26" t="s">
        <v>57</v>
      </c>
      <c r="K909" s="24"/>
      <c r="L909" s="24" t="s">
        <v>3849</v>
      </c>
      <c r="M909" s="24" t="s">
        <v>5548</v>
      </c>
      <c r="N909" s="24"/>
      <c r="O909" s="26"/>
      <c r="P909" s="24"/>
      <c r="Q909" s="24"/>
      <c r="R909" s="26"/>
      <c r="S909" s="26"/>
      <c r="T909" s="26"/>
      <c r="U909" s="24"/>
      <c r="V909" s="24"/>
      <c r="W909" s="24"/>
      <c r="X909" s="63"/>
      <c r="Y909" s="63"/>
      <c r="Z909" s="63"/>
      <c r="AA909" s="63"/>
      <c r="AB909" s="24"/>
      <c r="AC909" s="24"/>
    </row>
    <row r="910" spans="1:29" s="28" customFormat="1" x14ac:dyDescent="0.3">
      <c r="A910" s="27" t="s">
        <v>7760</v>
      </c>
      <c r="B910" s="27" t="s">
        <v>2273</v>
      </c>
      <c r="C910" s="29"/>
      <c r="D910" s="28" t="s">
        <v>4992</v>
      </c>
      <c r="E910" s="20" t="s">
        <v>1060</v>
      </c>
      <c r="F910" s="20" t="s">
        <v>2693</v>
      </c>
      <c r="G910" s="27"/>
      <c r="H910" s="20"/>
      <c r="I910" s="29"/>
      <c r="J910" s="29"/>
      <c r="K910" s="27"/>
      <c r="L910" s="27"/>
      <c r="M910" s="27" t="s">
        <v>7761</v>
      </c>
      <c r="N910" s="27"/>
      <c r="O910" s="29" t="s">
        <v>1904</v>
      </c>
      <c r="P910" s="27"/>
      <c r="Q910" s="27"/>
      <c r="R910" s="29"/>
      <c r="S910" s="29"/>
      <c r="T910" s="29"/>
      <c r="U910" s="27"/>
      <c r="V910" s="27"/>
      <c r="W910" s="27"/>
      <c r="X910" s="64"/>
      <c r="Y910" s="64"/>
      <c r="Z910" s="64"/>
      <c r="AA910" s="64"/>
      <c r="AB910" s="27"/>
      <c r="AC910" s="27"/>
    </row>
    <row r="911" spans="1:29" s="28" customFormat="1" x14ac:dyDescent="0.3">
      <c r="A911" s="27" t="s">
        <v>7762</v>
      </c>
      <c r="B911" s="27" t="s">
        <v>2273</v>
      </c>
      <c r="C911" s="29"/>
      <c r="D911" s="28" t="s">
        <v>4992</v>
      </c>
      <c r="E911" s="20" t="s">
        <v>1060</v>
      </c>
      <c r="F911" s="20" t="s">
        <v>2694</v>
      </c>
      <c r="G911" s="27"/>
      <c r="H911" s="20"/>
      <c r="I911" s="29"/>
      <c r="J911" s="29"/>
      <c r="K911" s="27"/>
      <c r="L911" s="27"/>
      <c r="M911" s="27" t="s">
        <v>7763</v>
      </c>
      <c r="N911" s="27"/>
      <c r="O911" s="29" t="s">
        <v>7764</v>
      </c>
      <c r="P911" s="27"/>
      <c r="Q911" s="27"/>
      <c r="R911" s="29"/>
      <c r="S911" s="29"/>
      <c r="T911" s="29"/>
      <c r="U911" s="27"/>
      <c r="V911" s="27"/>
      <c r="W911" s="27"/>
      <c r="X911" s="64"/>
      <c r="Y911" s="64"/>
      <c r="Z911" s="64"/>
      <c r="AA911" s="64"/>
      <c r="AB911" s="27"/>
      <c r="AC911" s="27"/>
    </row>
    <row r="912" spans="1:29" s="28" customFormat="1" x14ac:dyDescent="0.3">
      <c r="A912" s="27" t="s">
        <v>7765</v>
      </c>
      <c r="B912" s="27" t="s">
        <v>2273</v>
      </c>
      <c r="C912" s="29"/>
      <c r="D912" s="28" t="s">
        <v>4992</v>
      </c>
      <c r="E912" s="20" t="s">
        <v>1060</v>
      </c>
      <c r="F912" s="20" t="s">
        <v>2497</v>
      </c>
      <c r="G912" s="27"/>
      <c r="H912" s="20"/>
      <c r="I912" s="29"/>
      <c r="J912" s="29"/>
      <c r="K912" s="27"/>
      <c r="L912" s="27"/>
      <c r="M912" s="27" t="s">
        <v>7672</v>
      </c>
      <c r="N912" s="27"/>
      <c r="O912" s="29" t="s">
        <v>7766</v>
      </c>
      <c r="P912" s="27"/>
      <c r="Q912" s="27"/>
      <c r="R912" s="29"/>
      <c r="S912" s="29"/>
      <c r="T912" s="29"/>
      <c r="U912" s="27"/>
      <c r="V912" s="27"/>
      <c r="W912" s="27"/>
      <c r="X912" s="64"/>
      <c r="Y912" s="64"/>
      <c r="Z912" s="64"/>
      <c r="AA912" s="64"/>
      <c r="AB912" s="27"/>
      <c r="AC912" s="27"/>
    </row>
    <row r="913" spans="1:29" s="25" customFormat="1" x14ac:dyDescent="0.3">
      <c r="A913" s="24">
        <v>469</v>
      </c>
      <c r="B913" s="24" t="s">
        <v>2272</v>
      </c>
      <c r="C913" s="26">
        <v>255</v>
      </c>
      <c r="D913" s="25" t="s">
        <v>1061</v>
      </c>
      <c r="E913" s="19" t="s">
        <v>1062</v>
      </c>
      <c r="F913" s="19"/>
      <c r="G913" s="24"/>
      <c r="H913" s="19"/>
      <c r="I913" s="26" t="s">
        <v>57</v>
      </c>
      <c r="J913" s="26" t="s">
        <v>57</v>
      </c>
      <c r="K913" s="24"/>
      <c r="L913" s="24" t="s">
        <v>3851</v>
      </c>
      <c r="M913" s="24" t="s">
        <v>5549</v>
      </c>
      <c r="N913" s="24"/>
      <c r="O913" s="26" t="s">
        <v>1631</v>
      </c>
      <c r="P913" s="24"/>
      <c r="Q913" s="24"/>
      <c r="R913" s="26"/>
      <c r="S913" s="26"/>
      <c r="T913" s="26"/>
      <c r="U913" s="24"/>
      <c r="V913" s="24"/>
      <c r="W913" s="24"/>
      <c r="X913" s="63"/>
      <c r="Y913" s="63"/>
      <c r="Z913" s="63"/>
      <c r="AA913" s="63"/>
      <c r="AB913" s="24"/>
      <c r="AC913" s="24"/>
    </row>
    <row r="914" spans="1:29" s="28" customFormat="1" x14ac:dyDescent="0.3">
      <c r="A914" s="27" t="s">
        <v>5761</v>
      </c>
      <c r="B914" s="27" t="s">
        <v>2273</v>
      </c>
      <c r="C914" s="29"/>
      <c r="D914" s="28" t="s">
        <v>4993</v>
      </c>
      <c r="E914" s="20" t="s">
        <v>1062</v>
      </c>
      <c r="F914" s="20" t="s">
        <v>2632</v>
      </c>
      <c r="G914" s="27"/>
      <c r="H914" s="20"/>
      <c r="I914" s="29"/>
      <c r="J914" s="29"/>
      <c r="K914" s="27"/>
      <c r="L914" s="27"/>
      <c r="M914" s="27" t="s">
        <v>7767</v>
      </c>
      <c r="N914" s="27"/>
      <c r="O914" s="29"/>
      <c r="P914" s="27"/>
      <c r="Q914" s="27"/>
      <c r="R914" s="29"/>
      <c r="S914" s="29"/>
      <c r="T914" s="29"/>
      <c r="U914" s="27"/>
      <c r="V914" s="27"/>
      <c r="W914" s="27"/>
      <c r="X914" s="64"/>
      <c r="Y914" s="64"/>
      <c r="Z914" s="64"/>
      <c r="AA914" s="64"/>
      <c r="AB914" s="27"/>
      <c r="AC914" s="27"/>
    </row>
    <row r="915" spans="1:29" s="28" customFormat="1" x14ac:dyDescent="0.3">
      <c r="A915" s="27" t="s">
        <v>5763</v>
      </c>
      <c r="B915" s="27" t="s">
        <v>2273</v>
      </c>
      <c r="C915" s="29"/>
      <c r="D915" s="28" t="s">
        <v>4993</v>
      </c>
      <c r="E915" s="20" t="s">
        <v>1062</v>
      </c>
      <c r="F915" s="20" t="s">
        <v>2695</v>
      </c>
      <c r="G915" s="27"/>
      <c r="H915" s="20"/>
      <c r="I915" s="29"/>
      <c r="J915" s="29"/>
      <c r="K915" s="27"/>
      <c r="L915" s="27"/>
      <c r="M915" s="27" t="s">
        <v>7768</v>
      </c>
      <c r="N915" s="27"/>
      <c r="O915" s="29"/>
      <c r="P915" s="27"/>
      <c r="Q915" s="27"/>
      <c r="R915" s="29"/>
      <c r="S915" s="29"/>
      <c r="T915" s="29"/>
      <c r="U915" s="27"/>
      <c r="V915" s="27"/>
      <c r="W915" s="27"/>
      <c r="X915" s="64"/>
      <c r="Y915" s="64"/>
      <c r="Z915" s="64"/>
      <c r="AA915" s="64"/>
      <c r="AB915" s="27"/>
      <c r="AC915" s="27"/>
    </row>
    <row r="916" spans="1:29" s="25" customFormat="1" x14ac:dyDescent="0.3">
      <c r="A916" s="24">
        <v>470</v>
      </c>
      <c r="B916" s="24" t="s">
        <v>2272</v>
      </c>
      <c r="C916" s="26">
        <v>257</v>
      </c>
      <c r="D916" s="25" t="s">
        <v>1063</v>
      </c>
      <c r="E916" s="19" t="s">
        <v>1064</v>
      </c>
      <c r="F916" s="19"/>
      <c r="G916" s="24" t="s">
        <v>2049</v>
      </c>
      <c r="H916" s="19"/>
      <c r="I916" s="26" t="s">
        <v>49</v>
      </c>
      <c r="J916" s="26" t="s">
        <v>5121</v>
      </c>
      <c r="K916" s="24" t="s">
        <v>49</v>
      </c>
      <c r="L916" s="24" t="s">
        <v>3078</v>
      </c>
      <c r="M916" s="24" t="s">
        <v>1065</v>
      </c>
      <c r="N916" s="24" t="s">
        <v>5550</v>
      </c>
      <c r="O916" s="26" t="s">
        <v>2048</v>
      </c>
      <c r="P916" s="24" t="s">
        <v>6444</v>
      </c>
      <c r="Q916" s="24"/>
      <c r="R916" s="26"/>
      <c r="S916" s="26"/>
      <c r="T916" s="26"/>
      <c r="U916" s="24"/>
      <c r="V916" s="24"/>
      <c r="W916" s="24"/>
      <c r="X916" s="63"/>
      <c r="Y916" s="63"/>
      <c r="Z916" s="63"/>
      <c r="AA916" s="63"/>
      <c r="AB916" s="24"/>
      <c r="AC916" s="24"/>
    </row>
    <row r="917" spans="1:29" s="25" customFormat="1" x14ac:dyDescent="0.3">
      <c r="A917" s="24">
        <v>471</v>
      </c>
      <c r="B917" s="24" t="s">
        <v>2272</v>
      </c>
      <c r="C917" s="26">
        <v>255</v>
      </c>
      <c r="D917" s="25" t="s">
        <v>6570</v>
      </c>
      <c r="E917" s="19" t="s">
        <v>1066</v>
      </c>
      <c r="F917" s="19"/>
      <c r="G917" s="24" t="s">
        <v>6571</v>
      </c>
      <c r="H917" s="19"/>
      <c r="I917" s="26" t="s">
        <v>346</v>
      </c>
      <c r="J917" s="26" t="s">
        <v>37</v>
      </c>
      <c r="K917" s="24"/>
      <c r="L917" s="24" t="s">
        <v>3854</v>
      </c>
      <c r="M917" s="24" t="s">
        <v>5551</v>
      </c>
      <c r="N917" s="24" t="s">
        <v>2050</v>
      </c>
      <c r="O917" s="26"/>
      <c r="P917" s="24"/>
      <c r="Q917" s="24"/>
      <c r="R917" s="26"/>
      <c r="S917" s="26"/>
      <c r="T917" s="26"/>
      <c r="U917" s="24"/>
      <c r="V917" s="24"/>
      <c r="W917" s="24"/>
      <c r="X917" s="63"/>
      <c r="Y917" s="63"/>
      <c r="Z917" s="63"/>
      <c r="AA917" s="63"/>
      <c r="AB917" s="24"/>
      <c r="AC917" s="24"/>
    </row>
    <row r="918" spans="1:29" s="28" customFormat="1" x14ac:dyDescent="0.3">
      <c r="A918" s="27" t="s">
        <v>7769</v>
      </c>
      <c r="B918" s="27" t="s">
        <v>2273</v>
      </c>
      <c r="C918" s="29">
        <v>255</v>
      </c>
      <c r="D918" s="28" t="s">
        <v>7770</v>
      </c>
      <c r="E918" s="20" t="s">
        <v>1066</v>
      </c>
      <c r="F918" s="20" t="s">
        <v>2696</v>
      </c>
      <c r="G918" s="27" t="s">
        <v>4641</v>
      </c>
      <c r="H918" s="20" t="s">
        <v>4642</v>
      </c>
      <c r="I918" s="29"/>
      <c r="J918" s="29" t="s">
        <v>37</v>
      </c>
      <c r="K918" s="27"/>
      <c r="L918" s="27" t="s">
        <v>3854</v>
      </c>
      <c r="M918" s="27" t="s">
        <v>7771</v>
      </c>
      <c r="N918" s="27" t="s">
        <v>7772</v>
      </c>
      <c r="O918" s="29" t="s">
        <v>7773</v>
      </c>
      <c r="P918" s="27"/>
      <c r="Q918" s="27"/>
      <c r="R918" s="29"/>
      <c r="S918" s="29"/>
      <c r="T918" s="29"/>
      <c r="U918" s="27"/>
      <c r="V918" s="27"/>
      <c r="W918" s="27"/>
      <c r="X918" s="64"/>
      <c r="Y918" s="64"/>
      <c r="Z918" s="64"/>
      <c r="AA918" s="64"/>
      <c r="AB918" s="27"/>
      <c r="AC918" s="27"/>
    </row>
    <row r="919" spans="1:29" s="25" customFormat="1" x14ac:dyDescent="0.3">
      <c r="A919" s="24">
        <v>472</v>
      </c>
      <c r="B919" s="24" t="s">
        <v>2272</v>
      </c>
      <c r="C919" s="26">
        <v>255</v>
      </c>
      <c r="D919" s="25" t="s">
        <v>1067</v>
      </c>
      <c r="E919" s="19" t="s">
        <v>1068</v>
      </c>
      <c r="F919" s="19"/>
      <c r="G919" s="24"/>
      <c r="H919" s="19"/>
      <c r="I919" s="26" t="s">
        <v>57</v>
      </c>
      <c r="J919" s="26" t="s">
        <v>57</v>
      </c>
      <c r="K919" s="24"/>
      <c r="L919" s="24" t="s">
        <v>3856</v>
      </c>
      <c r="M919" s="24" t="s">
        <v>5480</v>
      </c>
      <c r="N919" s="24"/>
      <c r="O919" s="26" t="s">
        <v>2051</v>
      </c>
      <c r="P919" s="24"/>
      <c r="Q919" s="24"/>
      <c r="R919" s="26"/>
      <c r="S919" s="26"/>
      <c r="T919" s="26"/>
      <c r="U919" s="24"/>
      <c r="V919" s="24"/>
      <c r="W919" s="24"/>
      <c r="X919" s="63"/>
      <c r="Y919" s="63"/>
      <c r="Z919" s="63"/>
      <c r="AA919" s="63"/>
      <c r="AB919" s="24"/>
      <c r="AC919" s="24"/>
    </row>
    <row r="920" spans="1:29" s="25" customFormat="1" ht="30.6" x14ac:dyDescent="0.3">
      <c r="A920" s="24">
        <v>473</v>
      </c>
      <c r="B920" s="24" t="s">
        <v>2272</v>
      </c>
      <c r="C920" s="26"/>
      <c r="D920" s="25" t="s">
        <v>1069</v>
      </c>
      <c r="E920" s="19" t="s">
        <v>1070</v>
      </c>
      <c r="F920" s="19"/>
      <c r="G920" s="24"/>
      <c r="H920" s="19"/>
      <c r="I920" s="26" t="s">
        <v>253</v>
      </c>
      <c r="J920" s="26"/>
      <c r="K920" s="24"/>
      <c r="L920" s="103" t="s">
        <v>3858</v>
      </c>
      <c r="M920" s="24" t="s">
        <v>5552</v>
      </c>
      <c r="N920" s="24"/>
      <c r="O920" s="26"/>
      <c r="P920" s="24" t="s">
        <v>8570</v>
      </c>
      <c r="Q920" s="24"/>
      <c r="R920" s="26"/>
      <c r="S920" s="26"/>
      <c r="T920" s="26"/>
      <c r="U920" s="24"/>
      <c r="V920" s="24"/>
      <c r="W920" s="24"/>
      <c r="X920" s="63"/>
      <c r="Y920" s="63"/>
      <c r="Z920" s="63"/>
      <c r="AA920" s="63"/>
      <c r="AB920" s="24"/>
      <c r="AC920" s="24"/>
    </row>
    <row r="921" spans="1:29" s="28" customFormat="1" x14ac:dyDescent="0.3">
      <c r="A921" s="27" t="s">
        <v>7774</v>
      </c>
      <c r="B921" s="27" t="s">
        <v>2273</v>
      </c>
      <c r="C921" s="29">
        <v>255</v>
      </c>
      <c r="D921" s="28" t="s">
        <v>4994</v>
      </c>
      <c r="E921" s="20" t="s">
        <v>1070</v>
      </c>
      <c r="F921" s="20" t="s">
        <v>2697</v>
      </c>
      <c r="G921" s="27" t="s">
        <v>2698</v>
      </c>
      <c r="H921" s="20" t="s">
        <v>2699</v>
      </c>
      <c r="I921" s="29"/>
      <c r="J921" s="29" t="s">
        <v>57</v>
      </c>
      <c r="K921" s="27"/>
      <c r="L921" s="27" t="s">
        <v>4643</v>
      </c>
      <c r="M921" s="27" t="s">
        <v>7775</v>
      </c>
      <c r="N921" s="27"/>
      <c r="O921" s="29" t="s">
        <v>7776</v>
      </c>
      <c r="P921" s="27"/>
      <c r="Q921" s="27"/>
      <c r="R921" s="29"/>
      <c r="S921" s="29"/>
      <c r="T921" s="29"/>
      <c r="U921" s="27"/>
      <c r="V921" s="27"/>
      <c r="W921" s="27"/>
      <c r="X921" s="64"/>
      <c r="Y921" s="64"/>
      <c r="Z921" s="64"/>
      <c r="AA921" s="64"/>
      <c r="AB921" s="27"/>
      <c r="AC921" s="27"/>
    </row>
    <row r="922" spans="1:29" s="28" customFormat="1" x14ac:dyDescent="0.3">
      <c r="A922" s="27" t="s">
        <v>7777</v>
      </c>
      <c r="B922" s="27" t="s">
        <v>2273</v>
      </c>
      <c r="C922" s="29">
        <v>255</v>
      </c>
      <c r="D922" s="28" t="s">
        <v>4994</v>
      </c>
      <c r="E922" s="20" t="s">
        <v>1070</v>
      </c>
      <c r="F922" s="20" t="s">
        <v>2700</v>
      </c>
      <c r="G922" s="27" t="s">
        <v>2052</v>
      </c>
      <c r="H922" s="20" t="s">
        <v>1070</v>
      </c>
      <c r="I922" s="29"/>
      <c r="J922" s="29" t="s">
        <v>253</v>
      </c>
      <c r="K922" s="27"/>
      <c r="L922" s="27" t="s">
        <v>4644</v>
      </c>
      <c r="M922" s="27" t="s">
        <v>7778</v>
      </c>
      <c r="N922" s="27"/>
      <c r="O922" s="29" t="s">
        <v>7779</v>
      </c>
      <c r="P922" s="27"/>
      <c r="Q922" s="27"/>
      <c r="R922" s="29"/>
      <c r="S922" s="29"/>
      <c r="T922" s="29"/>
      <c r="U922" s="27"/>
      <c r="V922" s="27"/>
      <c r="W922" s="27"/>
      <c r="X922" s="64"/>
      <c r="Y922" s="64"/>
      <c r="Z922" s="64"/>
      <c r="AA922" s="64"/>
      <c r="AB922" s="27"/>
      <c r="AC922" s="27"/>
    </row>
    <row r="923" spans="1:29" s="25" customFormat="1" x14ac:dyDescent="0.3">
      <c r="A923" s="24">
        <v>474</v>
      </c>
      <c r="B923" s="24" t="s">
        <v>2272</v>
      </c>
      <c r="C923" s="26">
        <v>257</v>
      </c>
      <c r="D923" s="25" t="s">
        <v>1005</v>
      </c>
      <c r="E923" s="19" t="s">
        <v>1006</v>
      </c>
      <c r="F923" s="19"/>
      <c r="G923" s="24"/>
      <c r="H923" s="19"/>
      <c r="I923" s="26" t="s">
        <v>49</v>
      </c>
      <c r="J923" s="26" t="s">
        <v>5121</v>
      </c>
      <c r="K923" s="24" t="s">
        <v>49</v>
      </c>
      <c r="L923" s="24" t="s">
        <v>3808</v>
      </c>
      <c r="M923" s="24" t="s">
        <v>5532</v>
      </c>
      <c r="N923" s="24" t="s">
        <v>4418</v>
      </c>
      <c r="O923" s="26" t="s">
        <v>2036</v>
      </c>
      <c r="P923" s="24" t="s">
        <v>6442</v>
      </c>
      <c r="Q923" s="24"/>
      <c r="R923" s="26"/>
      <c r="S923" s="26"/>
      <c r="T923" s="26"/>
      <c r="U923" s="24"/>
      <c r="V923" s="24"/>
      <c r="W923" s="24"/>
      <c r="X923" s="63"/>
      <c r="Y923" s="63"/>
      <c r="Z923" s="63"/>
      <c r="AA923" s="63"/>
      <c r="AB923" s="24"/>
      <c r="AC923" s="24"/>
    </row>
    <row r="924" spans="1:29" s="25" customFormat="1" x14ac:dyDescent="0.3">
      <c r="A924" s="24">
        <v>475</v>
      </c>
      <c r="B924" s="24" t="s">
        <v>2272</v>
      </c>
      <c r="C924" s="26">
        <v>257</v>
      </c>
      <c r="D924" s="25" t="s">
        <v>1011</v>
      </c>
      <c r="E924" s="19" t="s">
        <v>1012</v>
      </c>
      <c r="F924" s="19"/>
      <c r="G924" s="24"/>
      <c r="H924" s="19"/>
      <c r="I924" s="26" t="s">
        <v>57</v>
      </c>
      <c r="J924" s="26" t="s">
        <v>57</v>
      </c>
      <c r="K924" s="24"/>
      <c r="L924" s="24" t="s">
        <v>3812</v>
      </c>
      <c r="M924" s="24" t="s">
        <v>5536</v>
      </c>
      <c r="N924" s="24"/>
      <c r="O924" s="26"/>
      <c r="P924" s="24"/>
      <c r="Q924" s="24"/>
      <c r="R924" s="26"/>
      <c r="S924" s="26"/>
      <c r="T924" s="26"/>
      <c r="U924" s="24"/>
      <c r="V924" s="24"/>
      <c r="W924" s="24"/>
      <c r="X924" s="63"/>
      <c r="Y924" s="63"/>
      <c r="Z924" s="63"/>
      <c r="AA924" s="63"/>
      <c r="AB924" s="24"/>
      <c r="AC924" s="24"/>
    </row>
    <row r="925" spans="1:29" s="28" customFormat="1" x14ac:dyDescent="0.3">
      <c r="A925" s="27" t="s">
        <v>6322</v>
      </c>
      <c r="B925" s="27" t="s">
        <v>2273</v>
      </c>
      <c r="C925" s="29"/>
      <c r="D925" s="28" t="s">
        <v>4980</v>
      </c>
      <c r="E925" s="20" t="s">
        <v>1012</v>
      </c>
      <c r="F925" s="20" t="s">
        <v>2588</v>
      </c>
      <c r="G925" s="27"/>
      <c r="H925" s="20"/>
      <c r="I925" s="29"/>
      <c r="J925" s="29"/>
      <c r="K925" s="27"/>
      <c r="L925" s="27"/>
      <c r="M925" s="27" t="s">
        <v>7780</v>
      </c>
      <c r="N925" s="27"/>
      <c r="O925" s="29" t="s">
        <v>2136</v>
      </c>
      <c r="P925" s="27"/>
      <c r="Q925" s="27"/>
      <c r="R925" s="29"/>
      <c r="S925" s="29"/>
      <c r="T925" s="29"/>
      <c r="U925" s="27"/>
      <c r="V925" s="27"/>
      <c r="W925" s="27"/>
      <c r="X925" s="64"/>
      <c r="Y925" s="64"/>
      <c r="Z925" s="64"/>
      <c r="AA925" s="64"/>
      <c r="AB925" s="27"/>
      <c r="AC925" s="27"/>
    </row>
    <row r="926" spans="1:29" s="28" customFormat="1" x14ac:dyDescent="0.3">
      <c r="A926" s="27" t="s">
        <v>6323</v>
      </c>
      <c r="B926" s="27" t="s">
        <v>2273</v>
      </c>
      <c r="C926" s="29"/>
      <c r="D926" s="28" t="s">
        <v>4980</v>
      </c>
      <c r="E926" s="20" t="s">
        <v>1012</v>
      </c>
      <c r="F926" s="20" t="s">
        <v>2670</v>
      </c>
      <c r="G926" s="27"/>
      <c r="H926" s="20"/>
      <c r="I926" s="29"/>
      <c r="J926" s="29"/>
      <c r="K926" s="27"/>
      <c r="L926" s="27"/>
      <c r="M926" s="27" t="s">
        <v>7781</v>
      </c>
      <c r="N926" s="27"/>
      <c r="O926" s="29" t="s">
        <v>7782</v>
      </c>
      <c r="P926" s="27"/>
      <c r="Q926" s="27"/>
      <c r="R926" s="29"/>
      <c r="S926" s="29"/>
      <c r="T926" s="29"/>
      <c r="U926" s="27"/>
      <c r="V926" s="27"/>
      <c r="W926" s="27"/>
      <c r="X926" s="64"/>
      <c r="Y926" s="64"/>
      <c r="Z926" s="64"/>
      <c r="AA926" s="64"/>
      <c r="AB926" s="27"/>
      <c r="AC926" s="27"/>
    </row>
    <row r="927" spans="1:29" s="28" customFormat="1" x14ac:dyDescent="0.3">
      <c r="A927" s="27" t="s">
        <v>7783</v>
      </c>
      <c r="B927" s="27" t="s">
        <v>2273</v>
      </c>
      <c r="C927" s="29"/>
      <c r="D927" s="28" t="s">
        <v>4980</v>
      </c>
      <c r="E927" s="20" t="s">
        <v>1012</v>
      </c>
      <c r="F927" s="20" t="s">
        <v>2671</v>
      </c>
      <c r="G927" s="27"/>
      <c r="H927" s="20"/>
      <c r="I927" s="29"/>
      <c r="J927" s="29"/>
      <c r="K927" s="27"/>
      <c r="L927" s="27"/>
      <c r="M927" s="27" t="s">
        <v>7784</v>
      </c>
      <c r="N927" s="27"/>
      <c r="O927" s="29" t="s">
        <v>2117</v>
      </c>
      <c r="P927" s="27"/>
      <c r="Q927" s="27"/>
      <c r="R927" s="29"/>
      <c r="S927" s="29"/>
      <c r="T927" s="29"/>
      <c r="U927" s="27"/>
      <c r="V927" s="27"/>
      <c r="W927" s="27"/>
      <c r="X927" s="64"/>
      <c r="Y927" s="64"/>
      <c r="Z927" s="64"/>
      <c r="AA927" s="64"/>
      <c r="AB927" s="27"/>
      <c r="AC927" s="27"/>
    </row>
    <row r="928" spans="1:29" s="25" customFormat="1" ht="20.399999999999999" x14ac:dyDescent="0.3">
      <c r="A928" s="24">
        <v>476</v>
      </c>
      <c r="B928" s="24" t="s">
        <v>2272</v>
      </c>
      <c r="C928" s="26">
        <v>257</v>
      </c>
      <c r="D928" s="25" t="s">
        <v>1007</v>
      </c>
      <c r="E928" s="19" t="s">
        <v>1008</v>
      </c>
      <c r="F928" s="19"/>
      <c r="G928" s="24"/>
      <c r="H928" s="19"/>
      <c r="I928" s="26" t="s">
        <v>89</v>
      </c>
      <c r="J928" s="26" t="s">
        <v>37</v>
      </c>
      <c r="K928" s="24"/>
      <c r="L928" s="103" t="s">
        <v>6572</v>
      </c>
      <c r="M928" s="24" t="s">
        <v>5533</v>
      </c>
      <c r="N928" s="24" t="s">
        <v>5534</v>
      </c>
      <c r="O928" s="26"/>
      <c r="P928" s="24"/>
      <c r="Q928" s="24"/>
      <c r="R928" s="26"/>
      <c r="S928" s="26"/>
      <c r="T928" s="26"/>
      <c r="U928" s="24"/>
      <c r="V928" s="24"/>
      <c r="W928" s="24"/>
      <c r="X928" s="63"/>
      <c r="Y928" s="63"/>
      <c r="Z928" s="63"/>
      <c r="AA928" s="63"/>
      <c r="AB928" s="24"/>
      <c r="AC928" s="24"/>
    </row>
    <row r="929" spans="1:29" s="28" customFormat="1" x14ac:dyDescent="0.3">
      <c r="A929" s="27" t="s">
        <v>7785</v>
      </c>
      <c r="B929" s="27" t="s">
        <v>2273</v>
      </c>
      <c r="C929" s="29">
        <v>257</v>
      </c>
      <c r="D929" s="28" t="s">
        <v>4978</v>
      </c>
      <c r="E929" s="20" t="s">
        <v>1008</v>
      </c>
      <c r="F929" s="20" t="s">
        <v>2479</v>
      </c>
      <c r="G929" s="27" t="s">
        <v>4616</v>
      </c>
      <c r="H929" s="20" t="s">
        <v>4617</v>
      </c>
      <c r="I929" s="29"/>
      <c r="J929" s="29" t="s">
        <v>37</v>
      </c>
      <c r="K929" s="27"/>
      <c r="L929" s="27" t="s">
        <v>3390</v>
      </c>
      <c r="M929" s="27" t="s">
        <v>7786</v>
      </c>
      <c r="N929" s="27" t="s">
        <v>7787</v>
      </c>
      <c r="O929" s="29" t="s">
        <v>7788</v>
      </c>
      <c r="P929" s="27"/>
      <c r="Q929" s="27"/>
      <c r="R929" s="29"/>
      <c r="S929" s="29"/>
      <c r="T929" s="29"/>
      <c r="U929" s="27"/>
      <c r="V929" s="27"/>
      <c r="W929" s="27"/>
      <c r="X929" s="64"/>
      <c r="Y929" s="64"/>
      <c r="Z929" s="64"/>
      <c r="AA929" s="64"/>
      <c r="AB929" s="27"/>
      <c r="AC929" s="27"/>
    </row>
    <row r="930" spans="1:29" s="28" customFormat="1" x14ac:dyDescent="0.3">
      <c r="A930" s="27" t="s">
        <v>7789</v>
      </c>
      <c r="B930" s="27" t="s">
        <v>2273</v>
      </c>
      <c r="C930" s="29">
        <v>257</v>
      </c>
      <c r="D930" s="28" t="s">
        <v>4978</v>
      </c>
      <c r="E930" s="20" t="s">
        <v>1008</v>
      </c>
      <c r="F930" s="20" t="s">
        <v>2528</v>
      </c>
      <c r="G930" s="27" t="s">
        <v>4616</v>
      </c>
      <c r="H930" s="20" t="s">
        <v>4617</v>
      </c>
      <c r="I930" s="29"/>
      <c r="J930" s="29" t="s">
        <v>37</v>
      </c>
      <c r="K930" s="27"/>
      <c r="L930" s="27" t="s">
        <v>3390</v>
      </c>
      <c r="M930" s="27" t="s">
        <v>7790</v>
      </c>
      <c r="N930" s="27" t="s">
        <v>7791</v>
      </c>
      <c r="O930" s="29" t="s">
        <v>7792</v>
      </c>
      <c r="P930" s="27"/>
      <c r="Q930" s="27"/>
      <c r="R930" s="29"/>
      <c r="S930" s="29"/>
      <c r="T930" s="29"/>
      <c r="U930" s="27"/>
      <c r="V930" s="27"/>
      <c r="W930" s="27"/>
      <c r="X930" s="64"/>
      <c r="Y930" s="64"/>
      <c r="Z930" s="64"/>
      <c r="AA930" s="64"/>
      <c r="AB930" s="27"/>
      <c r="AC930" s="27"/>
    </row>
    <row r="931" spans="1:29" s="28" customFormat="1" x14ac:dyDescent="0.3">
      <c r="A931" s="27" t="s">
        <v>7793</v>
      </c>
      <c r="B931" s="27" t="s">
        <v>2273</v>
      </c>
      <c r="C931" s="29">
        <v>257</v>
      </c>
      <c r="D931" s="28" t="s">
        <v>4978</v>
      </c>
      <c r="E931" s="20" t="s">
        <v>1008</v>
      </c>
      <c r="F931" s="20" t="s">
        <v>2612</v>
      </c>
      <c r="G931" s="27" t="s">
        <v>4619</v>
      </c>
      <c r="H931" s="20" t="s">
        <v>4620</v>
      </c>
      <c r="I931" s="29"/>
      <c r="J931" s="29" t="s">
        <v>37</v>
      </c>
      <c r="K931" s="27"/>
      <c r="L931" s="27" t="s">
        <v>3467</v>
      </c>
      <c r="M931" s="27" t="s">
        <v>7794</v>
      </c>
      <c r="N931" s="27" t="s">
        <v>7795</v>
      </c>
      <c r="O931" s="29" t="s">
        <v>7796</v>
      </c>
      <c r="P931" s="27"/>
      <c r="Q931" s="27"/>
      <c r="R931" s="29"/>
      <c r="S931" s="29"/>
      <c r="T931" s="29"/>
      <c r="U931" s="27"/>
      <c r="V931" s="27"/>
      <c r="W931" s="27"/>
      <c r="X931" s="64"/>
      <c r="Y931" s="64"/>
      <c r="Z931" s="64"/>
      <c r="AA931" s="64"/>
      <c r="AB931" s="27"/>
      <c r="AC931" s="27"/>
    </row>
    <row r="932" spans="1:29" s="25" customFormat="1" x14ac:dyDescent="0.3">
      <c r="A932" s="24">
        <v>477</v>
      </c>
      <c r="B932" s="24" t="s">
        <v>2272</v>
      </c>
      <c r="C932" s="26">
        <v>259</v>
      </c>
      <c r="D932" s="25" t="s">
        <v>1009</v>
      </c>
      <c r="E932" s="19" t="s">
        <v>1010</v>
      </c>
      <c r="F932" s="19"/>
      <c r="G932" s="24"/>
      <c r="H932" s="19"/>
      <c r="I932" s="26" t="s">
        <v>37</v>
      </c>
      <c r="J932" s="26" t="s">
        <v>37</v>
      </c>
      <c r="K932" s="24"/>
      <c r="L932" s="24" t="s">
        <v>3573</v>
      </c>
      <c r="M932" s="24" t="s">
        <v>5535</v>
      </c>
      <c r="N932" s="24"/>
      <c r="O932" s="26"/>
      <c r="P932" s="24"/>
      <c r="Q932" s="24"/>
      <c r="R932" s="26"/>
      <c r="S932" s="26"/>
      <c r="T932" s="26"/>
      <c r="U932" s="24"/>
      <c r="V932" s="24"/>
      <c r="W932" s="24"/>
      <c r="X932" s="63"/>
      <c r="Y932" s="63"/>
      <c r="Z932" s="63"/>
      <c r="AA932" s="63"/>
      <c r="AB932" s="24"/>
      <c r="AC932" s="24"/>
    </row>
    <row r="933" spans="1:29" s="28" customFormat="1" x14ac:dyDescent="0.3">
      <c r="A933" s="27" t="s">
        <v>7797</v>
      </c>
      <c r="B933" s="27" t="s">
        <v>2273</v>
      </c>
      <c r="C933" s="29">
        <v>259</v>
      </c>
      <c r="D933" s="28" t="s">
        <v>4979</v>
      </c>
      <c r="E933" s="20" t="s">
        <v>1010</v>
      </c>
      <c r="F933" s="20" t="s">
        <v>2669</v>
      </c>
      <c r="G933" s="27" t="s">
        <v>4621</v>
      </c>
      <c r="H933" s="20" t="s">
        <v>4622</v>
      </c>
      <c r="I933" s="29"/>
      <c r="J933" s="29" t="s">
        <v>37</v>
      </c>
      <c r="K933" s="27"/>
      <c r="L933" s="27" t="s">
        <v>3573</v>
      </c>
      <c r="M933" s="27" t="s">
        <v>6816</v>
      </c>
      <c r="N933" s="27"/>
      <c r="O933" s="29" t="s">
        <v>1631</v>
      </c>
      <c r="P933" s="27"/>
      <c r="Q933" s="27"/>
      <c r="R933" s="29"/>
      <c r="S933" s="29"/>
      <c r="T933" s="29"/>
      <c r="U933" s="27"/>
      <c r="V933" s="27"/>
      <c r="W933" s="27"/>
      <c r="X933" s="64"/>
      <c r="Y933" s="64"/>
      <c r="Z933" s="64"/>
      <c r="AA933" s="64"/>
      <c r="AB933" s="27"/>
      <c r="AC933" s="27"/>
    </row>
    <row r="934" spans="1:29" s="28" customFormat="1" x14ac:dyDescent="0.3">
      <c r="A934" s="27" t="s">
        <v>7798</v>
      </c>
      <c r="B934" s="27" t="s">
        <v>2273</v>
      </c>
      <c r="C934" s="29">
        <v>259</v>
      </c>
      <c r="D934" s="28" t="s">
        <v>4979</v>
      </c>
      <c r="E934" s="20" t="s">
        <v>1010</v>
      </c>
      <c r="F934" s="20" t="s">
        <v>2360</v>
      </c>
      <c r="G934" s="27" t="s">
        <v>4621</v>
      </c>
      <c r="H934" s="20" t="s">
        <v>4622</v>
      </c>
      <c r="I934" s="29"/>
      <c r="J934" s="29" t="s">
        <v>37</v>
      </c>
      <c r="K934" s="27"/>
      <c r="L934" s="27" t="s">
        <v>3573</v>
      </c>
      <c r="M934" s="27" t="s">
        <v>6867</v>
      </c>
      <c r="N934" s="27"/>
      <c r="O934" s="29" t="s">
        <v>2003</v>
      </c>
      <c r="P934" s="27"/>
      <c r="Q934" s="27"/>
      <c r="R934" s="29"/>
      <c r="S934" s="29"/>
      <c r="T934" s="29"/>
      <c r="U934" s="27"/>
      <c r="V934" s="27"/>
      <c r="W934" s="27"/>
      <c r="X934" s="64"/>
      <c r="Y934" s="64"/>
      <c r="Z934" s="64"/>
      <c r="AA934" s="64"/>
      <c r="AB934" s="27"/>
      <c r="AC934" s="27"/>
    </row>
    <row r="935" spans="1:29" s="25" customFormat="1" ht="20.399999999999999" x14ac:dyDescent="0.3">
      <c r="A935" s="24">
        <v>478</v>
      </c>
      <c r="B935" s="24" t="s">
        <v>2272</v>
      </c>
      <c r="C935" s="26">
        <v>259</v>
      </c>
      <c r="D935" s="25" t="s">
        <v>5162</v>
      </c>
      <c r="E935" s="19" t="s">
        <v>5163</v>
      </c>
      <c r="F935" s="19"/>
      <c r="G935" s="24" t="s">
        <v>1072</v>
      </c>
      <c r="H935" s="19" t="s">
        <v>1073</v>
      </c>
      <c r="I935" s="26" t="s">
        <v>57</v>
      </c>
      <c r="J935" s="26" t="s">
        <v>57</v>
      </c>
      <c r="K935" s="24"/>
      <c r="L935" s="103" t="s">
        <v>5164</v>
      </c>
      <c r="M935" s="24" t="s">
        <v>5553</v>
      </c>
      <c r="N935" s="24"/>
      <c r="O935" s="26"/>
      <c r="P935" s="24"/>
      <c r="Q935" s="24"/>
      <c r="R935" s="26"/>
      <c r="S935" s="26"/>
      <c r="T935" s="26"/>
      <c r="U935" s="24"/>
      <c r="V935" s="24"/>
      <c r="W935" s="24"/>
      <c r="X935" s="63"/>
      <c r="Y935" s="63"/>
      <c r="Z935" s="63"/>
      <c r="AA935" s="63"/>
      <c r="AB935" s="24"/>
      <c r="AC935" s="24"/>
    </row>
    <row r="936" spans="1:29" s="28" customFormat="1" x14ac:dyDescent="0.3">
      <c r="A936" s="27" t="s">
        <v>7799</v>
      </c>
      <c r="B936" s="27" t="s">
        <v>2273</v>
      </c>
      <c r="C936" s="29">
        <v>259</v>
      </c>
      <c r="D936" s="28" t="s">
        <v>5762</v>
      </c>
      <c r="E936" s="20" t="s">
        <v>5163</v>
      </c>
      <c r="F936" s="20" t="s">
        <v>2701</v>
      </c>
      <c r="G936" s="27" t="s">
        <v>4648</v>
      </c>
      <c r="H936" s="20" t="s">
        <v>4649</v>
      </c>
      <c r="I936" s="29"/>
      <c r="J936" s="29" t="s">
        <v>57</v>
      </c>
      <c r="K936" s="27"/>
      <c r="L936" s="27" t="s">
        <v>4647</v>
      </c>
      <c r="M936" s="27" t="s">
        <v>6996</v>
      </c>
      <c r="N936" s="27"/>
      <c r="O936" s="29" t="s">
        <v>7800</v>
      </c>
      <c r="P936" s="27"/>
      <c r="Q936" s="27"/>
      <c r="R936" s="29"/>
      <c r="S936" s="29"/>
      <c r="T936" s="29"/>
      <c r="U936" s="27"/>
      <c r="V936" s="27"/>
      <c r="W936" s="27"/>
      <c r="X936" s="64"/>
      <c r="Y936" s="64"/>
      <c r="Z936" s="64"/>
      <c r="AA936" s="64"/>
      <c r="AB936" s="27"/>
      <c r="AC936" s="27"/>
    </row>
    <row r="937" spans="1:29" s="28" customFormat="1" x14ac:dyDescent="0.3">
      <c r="A937" s="27" t="s">
        <v>7801</v>
      </c>
      <c r="B937" s="27" t="s">
        <v>2273</v>
      </c>
      <c r="C937" s="29">
        <v>259</v>
      </c>
      <c r="D937" s="28" t="s">
        <v>5762</v>
      </c>
      <c r="E937" s="20" t="s">
        <v>5163</v>
      </c>
      <c r="F937" s="20" t="s">
        <v>2578</v>
      </c>
      <c r="G937" s="27" t="s">
        <v>4651</v>
      </c>
      <c r="H937" s="20" t="s">
        <v>4652</v>
      </c>
      <c r="I937" s="29"/>
      <c r="J937" s="29" t="s">
        <v>57</v>
      </c>
      <c r="K937" s="27"/>
      <c r="L937" s="27" t="s">
        <v>4650</v>
      </c>
      <c r="M937" s="27" t="s">
        <v>7802</v>
      </c>
      <c r="N937" s="27"/>
      <c r="O937" s="29" t="s">
        <v>7803</v>
      </c>
      <c r="P937" s="27"/>
      <c r="Q937" s="27"/>
      <c r="R937" s="29"/>
      <c r="S937" s="29"/>
      <c r="T937" s="29"/>
      <c r="U937" s="27"/>
      <c r="V937" s="27"/>
      <c r="W937" s="27"/>
      <c r="X937" s="64"/>
      <c r="Y937" s="64"/>
      <c r="Z937" s="64"/>
      <c r="AA937" s="64"/>
      <c r="AB937" s="27"/>
      <c r="AC937" s="27"/>
    </row>
    <row r="938" spans="1:29" s="25" customFormat="1" x14ac:dyDescent="0.3">
      <c r="A938" s="24">
        <v>479</v>
      </c>
      <c r="B938" s="24" t="s">
        <v>2272</v>
      </c>
      <c r="C938" s="26">
        <v>259</v>
      </c>
      <c r="D938" s="25" t="s">
        <v>4646</v>
      </c>
      <c r="E938" s="19" t="s">
        <v>5166</v>
      </c>
      <c r="F938" s="19"/>
      <c r="G938" s="24"/>
      <c r="H938" s="19" t="s">
        <v>6068</v>
      </c>
      <c r="I938" s="26" t="s">
        <v>57</v>
      </c>
      <c r="J938" s="26" t="s">
        <v>57</v>
      </c>
      <c r="K938" s="24"/>
      <c r="L938" s="24" t="s">
        <v>4645</v>
      </c>
      <c r="M938" s="24" t="s">
        <v>5556</v>
      </c>
      <c r="N938" s="24"/>
      <c r="O938" s="26" t="s">
        <v>6680</v>
      </c>
      <c r="P938" s="24"/>
      <c r="Q938" s="24"/>
      <c r="R938" s="26"/>
      <c r="S938" s="26"/>
      <c r="T938" s="26"/>
      <c r="U938" s="24"/>
      <c r="V938" s="24"/>
      <c r="W938" s="24"/>
      <c r="X938" s="63"/>
      <c r="Y938" s="63"/>
      <c r="Z938" s="63"/>
      <c r="AA938" s="63"/>
      <c r="AB938" s="24"/>
      <c r="AC938" s="24"/>
    </row>
    <row r="939" spans="1:29" s="25" customFormat="1" x14ac:dyDescent="0.3">
      <c r="A939" s="24">
        <v>480</v>
      </c>
      <c r="B939" s="24" t="s">
        <v>2272</v>
      </c>
      <c r="C939" s="26">
        <v>259</v>
      </c>
      <c r="D939" s="25" t="s">
        <v>1074</v>
      </c>
      <c r="E939" s="19" t="s">
        <v>1075</v>
      </c>
      <c r="F939" s="19"/>
      <c r="G939" s="24"/>
      <c r="H939" s="19"/>
      <c r="I939" s="26" t="s">
        <v>37</v>
      </c>
      <c r="J939" s="26" t="s">
        <v>57</v>
      </c>
      <c r="K939" s="24"/>
      <c r="L939" s="24" t="s">
        <v>3233</v>
      </c>
      <c r="M939" s="24" t="s">
        <v>5559</v>
      </c>
      <c r="N939" s="24"/>
      <c r="O939" s="26"/>
      <c r="P939" s="24"/>
      <c r="Q939" s="24"/>
      <c r="R939" s="26"/>
      <c r="S939" s="26"/>
      <c r="T939" s="26"/>
      <c r="U939" s="24"/>
      <c r="V939" s="24"/>
      <c r="W939" s="24"/>
      <c r="X939" s="63"/>
      <c r="Y939" s="63"/>
      <c r="Z939" s="63"/>
      <c r="AA939" s="63"/>
      <c r="AB939" s="24"/>
      <c r="AC939" s="24"/>
    </row>
    <row r="940" spans="1:29" s="28" customFormat="1" x14ac:dyDescent="0.3">
      <c r="A940" s="27" t="s">
        <v>6324</v>
      </c>
      <c r="B940" s="27" t="s">
        <v>2273</v>
      </c>
      <c r="C940" s="29">
        <v>259</v>
      </c>
      <c r="D940" s="28" t="s">
        <v>4995</v>
      </c>
      <c r="E940" s="20" t="s">
        <v>1075</v>
      </c>
      <c r="F940" s="20" t="s">
        <v>2702</v>
      </c>
      <c r="G940" s="27" t="s">
        <v>4653</v>
      </c>
      <c r="H940" s="20" t="s">
        <v>4654</v>
      </c>
      <c r="I940" s="29"/>
      <c r="J940" s="29" t="s">
        <v>57</v>
      </c>
      <c r="K940" s="27"/>
      <c r="L940" s="27" t="s">
        <v>3233</v>
      </c>
      <c r="M940" s="27" t="s">
        <v>1632</v>
      </c>
      <c r="N940" s="27"/>
      <c r="O940" s="29" t="s">
        <v>1631</v>
      </c>
      <c r="P940" s="27"/>
      <c r="Q940" s="27"/>
      <c r="R940" s="29"/>
      <c r="S940" s="29"/>
      <c r="T940" s="29"/>
      <c r="U940" s="27"/>
      <c r="V940" s="27"/>
      <c r="W940" s="27"/>
      <c r="X940" s="64"/>
      <c r="Y940" s="64"/>
      <c r="Z940" s="64"/>
      <c r="AA940" s="64"/>
      <c r="AB940" s="27"/>
      <c r="AC940" s="27"/>
    </row>
    <row r="941" spans="1:29" s="25" customFormat="1" x14ac:dyDescent="0.3">
      <c r="A941" s="24">
        <v>481</v>
      </c>
      <c r="B941" s="24" t="s">
        <v>2272</v>
      </c>
      <c r="C941" s="26">
        <v>339</v>
      </c>
      <c r="D941" s="25" t="s">
        <v>1078</v>
      </c>
      <c r="E941" s="19" t="s">
        <v>1079</v>
      </c>
      <c r="F941" s="19"/>
      <c r="G941" s="24"/>
      <c r="H941" s="19"/>
      <c r="I941" s="26" t="s">
        <v>49</v>
      </c>
      <c r="J941" s="26" t="s">
        <v>5121</v>
      </c>
      <c r="K941" s="24" t="s">
        <v>49</v>
      </c>
      <c r="L941" s="24" t="s">
        <v>3078</v>
      </c>
      <c r="M941" s="24" t="s">
        <v>5561</v>
      </c>
      <c r="N941" s="24"/>
      <c r="O941" s="26" t="s">
        <v>2053</v>
      </c>
      <c r="P941" s="24" t="s">
        <v>6573</v>
      </c>
      <c r="Q941" s="24"/>
      <c r="R941" s="26"/>
      <c r="S941" s="26"/>
      <c r="T941" s="26"/>
      <c r="U941" s="24"/>
      <c r="V941" s="24"/>
      <c r="W941" s="24"/>
      <c r="X941" s="63"/>
      <c r="Y941" s="63"/>
      <c r="Z941" s="63"/>
      <c r="AA941" s="63"/>
      <c r="AB941" s="24"/>
      <c r="AC941" s="24"/>
    </row>
    <row r="942" spans="1:29" s="25" customFormat="1" x14ac:dyDescent="0.3">
      <c r="A942" s="24">
        <v>482</v>
      </c>
      <c r="B942" s="24" t="s">
        <v>2272</v>
      </c>
      <c r="C942" s="26">
        <v>261</v>
      </c>
      <c r="D942" s="25" t="s">
        <v>1082</v>
      </c>
      <c r="E942" s="19" t="s">
        <v>1083</v>
      </c>
      <c r="F942" s="19"/>
      <c r="G942" s="24"/>
      <c r="H942" s="19"/>
      <c r="I942" s="26" t="s">
        <v>37</v>
      </c>
      <c r="J942" s="26" t="s">
        <v>37</v>
      </c>
      <c r="K942" s="24"/>
      <c r="L942" s="24" t="s">
        <v>3862</v>
      </c>
      <c r="M942" s="24" t="s">
        <v>5562</v>
      </c>
      <c r="N942" s="24"/>
      <c r="O942" s="26"/>
      <c r="P942" s="24"/>
      <c r="Q942" s="24"/>
      <c r="R942" s="26"/>
      <c r="S942" s="26"/>
      <c r="T942" s="26"/>
      <c r="U942" s="24"/>
      <c r="V942" s="24"/>
      <c r="W942" s="24"/>
      <c r="X942" s="63"/>
      <c r="Y942" s="63"/>
      <c r="Z942" s="63"/>
      <c r="AA942" s="63"/>
      <c r="AB942" s="24"/>
      <c r="AC942" s="24"/>
    </row>
    <row r="943" spans="1:29" s="28" customFormat="1" x14ac:dyDescent="0.3">
      <c r="A943" s="27" t="s">
        <v>5764</v>
      </c>
      <c r="B943" s="27" t="s">
        <v>2273</v>
      </c>
      <c r="C943" s="29"/>
      <c r="D943" s="28" t="s">
        <v>4996</v>
      </c>
      <c r="E943" s="20" t="s">
        <v>1083</v>
      </c>
      <c r="F943" s="20" t="s">
        <v>2309</v>
      </c>
      <c r="G943" s="27"/>
      <c r="H943" s="20"/>
      <c r="I943" s="29"/>
      <c r="J943" s="29"/>
      <c r="K943" s="27"/>
      <c r="L943" s="27"/>
      <c r="M943" s="27" t="s">
        <v>6793</v>
      </c>
      <c r="N943" s="27"/>
      <c r="O943" s="29" t="s">
        <v>7804</v>
      </c>
      <c r="P943" s="27"/>
      <c r="Q943" s="27"/>
      <c r="R943" s="29"/>
      <c r="S943" s="29"/>
      <c r="T943" s="29"/>
      <c r="U943" s="27"/>
      <c r="V943" s="27"/>
      <c r="W943" s="27"/>
      <c r="X943" s="64"/>
      <c r="Y943" s="64"/>
      <c r="Z943" s="64"/>
      <c r="AA943" s="64"/>
      <c r="AB943" s="27"/>
      <c r="AC943" s="27"/>
    </row>
    <row r="944" spans="1:29" s="28" customFormat="1" x14ac:dyDescent="0.3">
      <c r="A944" s="27" t="s">
        <v>5765</v>
      </c>
      <c r="B944" s="27" t="s">
        <v>2273</v>
      </c>
      <c r="C944" s="29"/>
      <c r="D944" s="28" t="s">
        <v>4996</v>
      </c>
      <c r="E944" s="20" t="s">
        <v>1083</v>
      </c>
      <c r="F944" s="20" t="s">
        <v>2703</v>
      </c>
      <c r="G944" s="27"/>
      <c r="H944" s="20"/>
      <c r="I944" s="29"/>
      <c r="J944" s="29"/>
      <c r="K944" s="27"/>
      <c r="L944" s="27"/>
      <c r="M944" s="27" t="s">
        <v>7805</v>
      </c>
      <c r="N944" s="27"/>
      <c r="O944" s="29" t="s">
        <v>7749</v>
      </c>
      <c r="P944" s="27"/>
      <c r="Q944" s="27"/>
      <c r="R944" s="29"/>
      <c r="S944" s="29"/>
      <c r="T944" s="29"/>
      <c r="U944" s="27"/>
      <c r="V944" s="27"/>
      <c r="W944" s="27"/>
      <c r="X944" s="64"/>
      <c r="Y944" s="64"/>
      <c r="Z944" s="64"/>
      <c r="AA944" s="64"/>
      <c r="AB944" s="27"/>
      <c r="AC944" s="27"/>
    </row>
    <row r="945" spans="1:29" s="28" customFormat="1" x14ac:dyDescent="0.3">
      <c r="A945" s="27" t="s">
        <v>5766</v>
      </c>
      <c r="B945" s="27" t="s">
        <v>2273</v>
      </c>
      <c r="C945" s="29"/>
      <c r="D945" s="28" t="s">
        <v>4996</v>
      </c>
      <c r="E945" s="20" t="s">
        <v>1083</v>
      </c>
      <c r="F945" s="20" t="s">
        <v>2644</v>
      </c>
      <c r="G945" s="27"/>
      <c r="H945" s="20"/>
      <c r="I945" s="29"/>
      <c r="J945" s="29"/>
      <c r="K945" s="27"/>
      <c r="L945" s="27"/>
      <c r="M945" s="27" t="s">
        <v>7806</v>
      </c>
      <c r="N945" s="27"/>
      <c r="O945" s="29" t="s">
        <v>7807</v>
      </c>
      <c r="P945" s="27"/>
      <c r="Q945" s="27"/>
      <c r="R945" s="29"/>
      <c r="S945" s="29"/>
      <c r="T945" s="29"/>
      <c r="U945" s="27"/>
      <c r="V945" s="27"/>
      <c r="W945" s="27"/>
      <c r="X945" s="64"/>
      <c r="Y945" s="64"/>
      <c r="Z945" s="64"/>
      <c r="AA945" s="64"/>
      <c r="AB945" s="27"/>
      <c r="AC945" s="27"/>
    </row>
    <row r="946" spans="1:29" s="28" customFormat="1" x14ac:dyDescent="0.3">
      <c r="A946" s="27" t="s">
        <v>7808</v>
      </c>
      <c r="B946" s="27" t="s">
        <v>2273</v>
      </c>
      <c r="C946" s="29"/>
      <c r="D946" s="28" t="s">
        <v>4996</v>
      </c>
      <c r="E946" s="20" t="s">
        <v>1083</v>
      </c>
      <c r="F946" s="20" t="s">
        <v>2431</v>
      </c>
      <c r="G946" s="27"/>
      <c r="H946" s="20"/>
      <c r="I946" s="29"/>
      <c r="J946" s="29"/>
      <c r="K946" s="27"/>
      <c r="L946" s="27"/>
      <c r="M946" s="27" t="s">
        <v>7809</v>
      </c>
      <c r="N946" s="27"/>
      <c r="O946" s="29" t="s">
        <v>7810</v>
      </c>
      <c r="P946" s="27"/>
      <c r="Q946" s="27"/>
      <c r="R946" s="29"/>
      <c r="S946" s="29"/>
      <c r="T946" s="29"/>
      <c r="U946" s="27"/>
      <c r="V946" s="27"/>
      <c r="W946" s="27"/>
      <c r="X946" s="64"/>
      <c r="Y946" s="64"/>
      <c r="Z946" s="64"/>
      <c r="AA946" s="64"/>
      <c r="AB946" s="27"/>
      <c r="AC946" s="27"/>
    </row>
    <row r="947" spans="1:29" s="25" customFormat="1" x14ac:dyDescent="0.3">
      <c r="A947" s="24">
        <v>483</v>
      </c>
      <c r="B947" s="24" t="s">
        <v>2272</v>
      </c>
      <c r="C947" s="26">
        <v>261</v>
      </c>
      <c r="D947" s="25" t="s">
        <v>1085</v>
      </c>
      <c r="E947" s="19" t="s">
        <v>1086</v>
      </c>
      <c r="F947" s="19"/>
      <c r="G947" s="24"/>
      <c r="H947" s="19"/>
      <c r="I947" s="26" t="s">
        <v>57</v>
      </c>
      <c r="J947" s="26" t="s">
        <v>57</v>
      </c>
      <c r="K947" s="24"/>
      <c r="L947" s="24" t="s">
        <v>3864</v>
      </c>
      <c r="M947" s="24" t="s">
        <v>5229</v>
      </c>
      <c r="N947" s="24"/>
      <c r="O947" s="26"/>
      <c r="P947" s="24"/>
      <c r="Q947" s="24"/>
      <c r="R947" s="26"/>
      <c r="S947" s="26"/>
      <c r="T947" s="26"/>
      <c r="U947" s="24"/>
      <c r="V947" s="24"/>
      <c r="W947" s="24"/>
      <c r="X947" s="63"/>
      <c r="Y947" s="63"/>
      <c r="Z947" s="63"/>
      <c r="AA947" s="63"/>
      <c r="AB947" s="24"/>
      <c r="AC947" s="24"/>
    </row>
    <row r="948" spans="1:29" s="28" customFormat="1" x14ac:dyDescent="0.3">
      <c r="A948" s="27" t="s">
        <v>7811</v>
      </c>
      <c r="B948" s="27" t="s">
        <v>2273</v>
      </c>
      <c r="C948" s="29"/>
      <c r="D948" s="28" t="s">
        <v>4997</v>
      </c>
      <c r="E948" s="20" t="s">
        <v>1086</v>
      </c>
      <c r="F948" s="20" t="s">
        <v>2704</v>
      </c>
      <c r="G948" s="27"/>
      <c r="H948" s="20"/>
      <c r="I948" s="29"/>
      <c r="J948" s="29"/>
      <c r="K948" s="27"/>
      <c r="L948" s="27"/>
      <c r="M948" s="27" t="s">
        <v>7812</v>
      </c>
      <c r="N948" s="27"/>
      <c r="O948" s="29" t="s">
        <v>7813</v>
      </c>
      <c r="P948" s="27"/>
      <c r="Q948" s="27"/>
      <c r="R948" s="29"/>
      <c r="S948" s="29"/>
      <c r="T948" s="29"/>
      <c r="U948" s="27"/>
      <c r="V948" s="27"/>
      <c r="W948" s="27"/>
      <c r="X948" s="64"/>
      <c r="Y948" s="64"/>
      <c r="Z948" s="64"/>
      <c r="AA948" s="64"/>
      <c r="AB948" s="27"/>
      <c r="AC948" s="27"/>
    </row>
    <row r="949" spans="1:29" s="28" customFormat="1" x14ac:dyDescent="0.3">
      <c r="A949" s="27" t="s">
        <v>7814</v>
      </c>
      <c r="B949" s="27" t="s">
        <v>2273</v>
      </c>
      <c r="C949" s="29"/>
      <c r="D949" s="28" t="s">
        <v>4997</v>
      </c>
      <c r="E949" s="20" t="s">
        <v>1086</v>
      </c>
      <c r="F949" s="20" t="s">
        <v>2705</v>
      </c>
      <c r="G949" s="27"/>
      <c r="H949" s="20"/>
      <c r="I949" s="29"/>
      <c r="J949" s="29"/>
      <c r="K949" s="27"/>
      <c r="L949" s="27"/>
      <c r="M949" s="27" t="s">
        <v>7745</v>
      </c>
      <c r="N949" s="27"/>
      <c r="O949" s="29" t="s">
        <v>7804</v>
      </c>
      <c r="P949" s="27"/>
      <c r="Q949" s="27"/>
      <c r="R949" s="29"/>
      <c r="S949" s="29"/>
      <c r="T949" s="29"/>
      <c r="U949" s="27"/>
      <c r="V949" s="27"/>
      <c r="W949" s="27"/>
      <c r="X949" s="64"/>
      <c r="Y949" s="64"/>
      <c r="Z949" s="64"/>
      <c r="AA949" s="64"/>
      <c r="AB949" s="27"/>
      <c r="AC949" s="27"/>
    </row>
    <row r="950" spans="1:29" s="28" customFormat="1" x14ac:dyDescent="0.3">
      <c r="A950" s="27" t="s">
        <v>7815</v>
      </c>
      <c r="B950" s="27" t="s">
        <v>2273</v>
      </c>
      <c r="C950" s="29"/>
      <c r="D950" s="28" t="s">
        <v>4997</v>
      </c>
      <c r="E950" s="20" t="s">
        <v>1086</v>
      </c>
      <c r="F950" s="20" t="s">
        <v>2706</v>
      </c>
      <c r="G950" s="27"/>
      <c r="H950" s="20"/>
      <c r="I950" s="29"/>
      <c r="J950" s="29"/>
      <c r="K950" s="27"/>
      <c r="L950" s="27"/>
      <c r="M950" s="27" t="s">
        <v>7816</v>
      </c>
      <c r="N950" s="27"/>
      <c r="O950" s="29" t="s">
        <v>7817</v>
      </c>
      <c r="P950" s="27"/>
      <c r="Q950" s="27"/>
      <c r="R950" s="29"/>
      <c r="S950" s="29"/>
      <c r="T950" s="29"/>
      <c r="U950" s="27"/>
      <c r="V950" s="27"/>
      <c r="W950" s="27"/>
      <c r="X950" s="64"/>
      <c r="Y950" s="64"/>
      <c r="Z950" s="64"/>
      <c r="AA950" s="64"/>
      <c r="AB950" s="27"/>
      <c r="AC950" s="27"/>
    </row>
    <row r="951" spans="1:29" s="28" customFormat="1" x14ac:dyDescent="0.3">
      <c r="A951" s="27" t="s">
        <v>7818</v>
      </c>
      <c r="B951" s="27" t="s">
        <v>2273</v>
      </c>
      <c r="C951" s="29"/>
      <c r="D951" s="28" t="s">
        <v>4997</v>
      </c>
      <c r="E951" s="20" t="s">
        <v>1086</v>
      </c>
      <c r="F951" s="20" t="s">
        <v>2539</v>
      </c>
      <c r="G951" s="27"/>
      <c r="H951" s="20"/>
      <c r="I951" s="29"/>
      <c r="J951" s="29"/>
      <c r="K951" s="27"/>
      <c r="L951" s="27"/>
      <c r="M951" s="27" t="s">
        <v>7819</v>
      </c>
      <c r="N951" s="27"/>
      <c r="O951" s="29" t="s">
        <v>7820</v>
      </c>
      <c r="P951" s="27"/>
      <c r="Q951" s="27"/>
      <c r="R951" s="29"/>
      <c r="S951" s="29"/>
      <c r="T951" s="29"/>
      <c r="U951" s="27"/>
      <c r="V951" s="27"/>
      <c r="W951" s="27"/>
      <c r="X951" s="64"/>
      <c r="Y951" s="64"/>
      <c r="Z951" s="64"/>
      <c r="AA951" s="64"/>
      <c r="AB951" s="27"/>
      <c r="AC951" s="27"/>
    </row>
    <row r="952" spans="1:29" s="28" customFormat="1" x14ac:dyDescent="0.3">
      <c r="A952" s="27" t="s">
        <v>7821</v>
      </c>
      <c r="B952" s="27" t="s">
        <v>2273</v>
      </c>
      <c r="C952" s="29"/>
      <c r="D952" s="28" t="s">
        <v>4997</v>
      </c>
      <c r="E952" s="20" t="s">
        <v>1086</v>
      </c>
      <c r="F952" s="20" t="s">
        <v>2707</v>
      </c>
      <c r="G952" s="27"/>
      <c r="H952" s="20"/>
      <c r="I952" s="29"/>
      <c r="J952" s="29"/>
      <c r="K952" s="27"/>
      <c r="L952" s="27"/>
      <c r="M952" s="27" t="s">
        <v>6918</v>
      </c>
      <c r="N952" s="27"/>
      <c r="O952" s="29" t="s">
        <v>1929</v>
      </c>
      <c r="P952" s="27"/>
      <c r="Q952" s="27"/>
      <c r="R952" s="29"/>
      <c r="S952" s="29"/>
      <c r="T952" s="29"/>
      <c r="U952" s="27"/>
      <c r="V952" s="27"/>
      <c r="W952" s="27"/>
      <c r="X952" s="64"/>
      <c r="Y952" s="64"/>
      <c r="Z952" s="64"/>
      <c r="AA952" s="64"/>
      <c r="AB952" s="27"/>
      <c r="AC952" s="27"/>
    </row>
    <row r="953" spans="1:29" s="28" customFormat="1" x14ac:dyDescent="0.3">
      <c r="A953" s="27" t="s">
        <v>6325</v>
      </c>
      <c r="B953" s="27" t="s">
        <v>2273</v>
      </c>
      <c r="C953" s="29"/>
      <c r="D953" s="28" t="s">
        <v>4997</v>
      </c>
      <c r="E953" s="20" t="s">
        <v>1086</v>
      </c>
      <c r="F953" s="20" t="s">
        <v>2437</v>
      </c>
      <c r="G953" s="27"/>
      <c r="H953" s="20"/>
      <c r="I953" s="29"/>
      <c r="J953" s="29"/>
      <c r="K953" s="27"/>
      <c r="L953" s="27"/>
      <c r="M953" s="27" t="s">
        <v>7822</v>
      </c>
      <c r="N953" s="27"/>
      <c r="O953" s="29" t="s">
        <v>7823</v>
      </c>
      <c r="P953" s="27"/>
      <c r="Q953" s="27"/>
      <c r="R953" s="29"/>
      <c r="S953" s="29"/>
      <c r="T953" s="29"/>
      <c r="U953" s="27"/>
      <c r="V953" s="27"/>
      <c r="W953" s="27"/>
      <c r="X953" s="64"/>
      <c r="Y953" s="64"/>
      <c r="Z953" s="64"/>
      <c r="AA953" s="64"/>
      <c r="AB953" s="27"/>
      <c r="AC953" s="27"/>
    </row>
    <row r="954" spans="1:29" s="28" customFormat="1" x14ac:dyDescent="0.3">
      <c r="A954" s="27" t="s">
        <v>6326</v>
      </c>
      <c r="B954" s="27" t="s">
        <v>2273</v>
      </c>
      <c r="C954" s="29"/>
      <c r="D954" s="28" t="s">
        <v>4997</v>
      </c>
      <c r="E954" s="20" t="s">
        <v>1086</v>
      </c>
      <c r="F954" s="20" t="s">
        <v>2304</v>
      </c>
      <c r="G954" s="27"/>
      <c r="H954" s="20"/>
      <c r="I954" s="29"/>
      <c r="J954" s="29"/>
      <c r="K954" s="27"/>
      <c r="L954" s="27"/>
      <c r="M954" s="27" t="s">
        <v>7824</v>
      </c>
      <c r="N954" s="27"/>
      <c r="O954" s="29" t="s">
        <v>7825</v>
      </c>
      <c r="P954" s="27"/>
      <c r="Q954" s="27"/>
      <c r="R954" s="29"/>
      <c r="S954" s="29"/>
      <c r="T954" s="29"/>
      <c r="U954" s="27"/>
      <c r="V954" s="27"/>
      <c r="W954" s="27"/>
      <c r="X954" s="64"/>
      <c r="Y954" s="64"/>
      <c r="Z954" s="64"/>
      <c r="AA954" s="64"/>
      <c r="AB954" s="27"/>
      <c r="AC954" s="27"/>
    </row>
    <row r="955" spans="1:29" s="28" customFormat="1" x14ac:dyDescent="0.3">
      <c r="A955" s="27" t="s">
        <v>7826</v>
      </c>
      <c r="B955" s="27" t="s">
        <v>2273</v>
      </c>
      <c r="C955" s="29"/>
      <c r="D955" s="28" t="s">
        <v>4997</v>
      </c>
      <c r="E955" s="20" t="s">
        <v>1086</v>
      </c>
      <c r="F955" s="20" t="s">
        <v>2360</v>
      </c>
      <c r="G955" s="27"/>
      <c r="H955" s="20"/>
      <c r="I955" s="29"/>
      <c r="J955" s="29"/>
      <c r="K955" s="27"/>
      <c r="L955" s="27"/>
      <c r="M955" s="27" t="s">
        <v>7827</v>
      </c>
      <c r="N955" s="27"/>
      <c r="O955" s="29" t="s">
        <v>1942</v>
      </c>
      <c r="P955" s="27"/>
      <c r="Q955" s="27"/>
      <c r="R955" s="29"/>
      <c r="S955" s="29"/>
      <c r="T955" s="29"/>
      <c r="U955" s="27"/>
      <c r="V955" s="27"/>
      <c r="W955" s="27"/>
      <c r="X955" s="64"/>
      <c r="Y955" s="64"/>
      <c r="Z955" s="64"/>
      <c r="AA955" s="64"/>
      <c r="AB955" s="27"/>
      <c r="AC955" s="27"/>
    </row>
    <row r="956" spans="1:29" s="28" customFormat="1" x14ac:dyDescent="0.3">
      <c r="A956" s="27" t="s">
        <v>7828</v>
      </c>
      <c r="B956" s="27" t="s">
        <v>2273</v>
      </c>
      <c r="C956" s="29"/>
      <c r="D956" s="28" t="s">
        <v>4997</v>
      </c>
      <c r="E956" s="20" t="s">
        <v>1086</v>
      </c>
      <c r="F956" s="20" t="s">
        <v>2708</v>
      </c>
      <c r="G956" s="27"/>
      <c r="H956" s="20"/>
      <c r="I956" s="29"/>
      <c r="J956" s="29"/>
      <c r="K956" s="27"/>
      <c r="L956" s="27"/>
      <c r="M956" s="27" t="s">
        <v>7829</v>
      </c>
      <c r="N956" s="27"/>
      <c r="O956" s="29" t="s">
        <v>7830</v>
      </c>
      <c r="P956" s="27"/>
      <c r="Q956" s="27"/>
      <c r="R956" s="29"/>
      <c r="S956" s="29"/>
      <c r="T956" s="29"/>
      <c r="U956" s="27"/>
      <c r="V956" s="27"/>
      <c r="W956" s="27"/>
      <c r="X956" s="64"/>
      <c r="Y956" s="64"/>
      <c r="Z956" s="64"/>
      <c r="AA956" s="64"/>
      <c r="AB956" s="27"/>
      <c r="AC956" s="27"/>
    </row>
    <row r="957" spans="1:29" s="25" customFormat="1" x14ac:dyDescent="0.3">
      <c r="A957" s="24">
        <v>484</v>
      </c>
      <c r="B957" s="24" t="s">
        <v>2272</v>
      </c>
      <c r="C957" s="26">
        <v>261</v>
      </c>
      <c r="D957" s="25" t="s">
        <v>1087</v>
      </c>
      <c r="E957" s="19" t="s">
        <v>1088</v>
      </c>
      <c r="F957" s="19"/>
      <c r="G957" s="24"/>
      <c r="H957" s="19"/>
      <c r="I957" s="26" t="s">
        <v>57</v>
      </c>
      <c r="J957" s="26" t="s">
        <v>57</v>
      </c>
      <c r="K957" s="24"/>
      <c r="L957" s="24" t="s">
        <v>3134</v>
      </c>
      <c r="M957" s="24" t="s">
        <v>5480</v>
      </c>
      <c r="N957" s="24"/>
      <c r="O957" s="26" t="s">
        <v>2055</v>
      </c>
      <c r="P957" s="24"/>
      <c r="Q957" s="24"/>
      <c r="R957" s="26"/>
      <c r="S957" s="26"/>
      <c r="T957" s="26"/>
      <c r="U957" s="24"/>
      <c r="V957" s="24"/>
      <c r="W957" s="24"/>
      <c r="X957" s="63"/>
      <c r="Y957" s="63"/>
      <c r="Z957" s="63"/>
      <c r="AA957" s="63"/>
      <c r="AB957" s="24"/>
      <c r="AC957" s="24"/>
    </row>
    <row r="958" spans="1:29" s="25" customFormat="1" x14ac:dyDescent="0.3">
      <c r="A958" s="24">
        <v>485</v>
      </c>
      <c r="B958" s="24" t="s">
        <v>2272</v>
      </c>
      <c r="C958" s="26">
        <v>263</v>
      </c>
      <c r="D958" s="25" t="s">
        <v>1089</v>
      </c>
      <c r="E958" s="19" t="s">
        <v>1090</v>
      </c>
      <c r="F958" s="19"/>
      <c r="G958" s="24"/>
      <c r="H958" s="19"/>
      <c r="I958" s="26" t="s">
        <v>57</v>
      </c>
      <c r="J958" s="26" t="s">
        <v>57</v>
      </c>
      <c r="K958" s="24"/>
      <c r="L958" s="24" t="s">
        <v>3867</v>
      </c>
      <c r="M958" s="24" t="s">
        <v>5563</v>
      </c>
      <c r="N958" s="24"/>
      <c r="O958" s="26"/>
      <c r="P958" s="24"/>
      <c r="Q958" s="24"/>
      <c r="R958" s="26"/>
      <c r="S958" s="26"/>
      <c r="T958" s="26"/>
      <c r="U958" s="24"/>
      <c r="V958" s="24"/>
      <c r="W958" s="24"/>
      <c r="X958" s="63"/>
      <c r="Y958" s="63"/>
      <c r="Z958" s="63"/>
      <c r="AA958" s="63"/>
      <c r="AB958" s="24"/>
      <c r="AC958" s="24"/>
    </row>
    <row r="959" spans="1:29" s="28" customFormat="1" x14ac:dyDescent="0.3">
      <c r="A959" s="27" t="s">
        <v>7831</v>
      </c>
      <c r="B959" s="27" t="s">
        <v>2273</v>
      </c>
      <c r="C959" s="29"/>
      <c r="D959" s="28" t="s">
        <v>4998</v>
      </c>
      <c r="E959" s="20" t="s">
        <v>1090</v>
      </c>
      <c r="F959" s="20" t="s">
        <v>2709</v>
      </c>
      <c r="G959" s="27"/>
      <c r="H959" s="20"/>
      <c r="I959" s="29"/>
      <c r="J959" s="29"/>
      <c r="K959" s="27"/>
      <c r="L959" s="27"/>
      <c r="M959" s="27" t="s">
        <v>7337</v>
      </c>
      <c r="N959" s="27"/>
      <c r="O959" s="29" t="s">
        <v>2136</v>
      </c>
      <c r="P959" s="27"/>
      <c r="Q959" s="27"/>
      <c r="R959" s="29"/>
      <c r="S959" s="29"/>
      <c r="T959" s="29"/>
      <c r="U959" s="27"/>
      <c r="V959" s="27"/>
      <c r="W959" s="27"/>
      <c r="X959" s="64"/>
      <c r="Y959" s="64"/>
      <c r="Z959" s="64"/>
      <c r="AA959" s="64"/>
      <c r="AB959" s="27"/>
      <c r="AC959" s="27"/>
    </row>
    <row r="960" spans="1:29" s="28" customFormat="1" x14ac:dyDescent="0.3">
      <c r="A960" s="27" t="s">
        <v>7832</v>
      </c>
      <c r="B960" s="27" t="s">
        <v>2273</v>
      </c>
      <c r="C960" s="29"/>
      <c r="D960" s="28" t="s">
        <v>4998</v>
      </c>
      <c r="E960" s="20" t="s">
        <v>1090</v>
      </c>
      <c r="F960" s="20" t="s">
        <v>2710</v>
      </c>
      <c r="G960" s="27"/>
      <c r="H960" s="20"/>
      <c r="I960" s="29"/>
      <c r="J960" s="29"/>
      <c r="K960" s="27"/>
      <c r="L960" s="27"/>
      <c r="M960" s="27" t="s">
        <v>6895</v>
      </c>
      <c r="N960" s="27"/>
      <c r="O960" s="29" t="s">
        <v>7833</v>
      </c>
      <c r="P960" s="27"/>
      <c r="Q960" s="27"/>
      <c r="R960" s="29"/>
      <c r="S960" s="29"/>
      <c r="T960" s="29"/>
      <c r="U960" s="27"/>
      <c r="V960" s="27"/>
      <c r="W960" s="27"/>
      <c r="X960" s="64"/>
      <c r="Y960" s="64"/>
      <c r="Z960" s="64"/>
      <c r="AA960" s="64"/>
      <c r="AB960" s="27"/>
      <c r="AC960" s="27"/>
    </row>
    <row r="961" spans="1:29" s="28" customFormat="1" x14ac:dyDescent="0.3">
      <c r="A961" s="27" t="s">
        <v>7834</v>
      </c>
      <c r="B961" s="27" t="s">
        <v>2273</v>
      </c>
      <c r="C961" s="29"/>
      <c r="D961" s="28" t="s">
        <v>4998</v>
      </c>
      <c r="E961" s="20" t="s">
        <v>1090</v>
      </c>
      <c r="F961" s="20" t="s">
        <v>2711</v>
      </c>
      <c r="G961" s="27"/>
      <c r="H961" s="20"/>
      <c r="I961" s="29"/>
      <c r="J961" s="29"/>
      <c r="K961" s="27"/>
      <c r="L961" s="27"/>
      <c r="M961" s="27" t="s">
        <v>6777</v>
      </c>
      <c r="N961" s="27"/>
      <c r="O961" s="29" t="s">
        <v>2117</v>
      </c>
      <c r="P961" s="27"/>
      <c r="Q961" s="27"/>
      <c r="R961" s="29"/>
      <c r="S961" s="29"/>
      <c r="T961" s="29"/>
      <c r="U961" s="27"/>
      <c r="V961" s="27"/>
      <c r="W961" s="27"/>
      <c r="X961" s="64"/>
      <c r="Y961" s="64"/>
      <c r="Z961" s="64"/>
      <c r="AA961" s="64"/>
      <c r="AB961" s="27"/>
      <c r="AC961" s="27"/>
    </row>
    <row r="962" spans="1:29" s="25" customFormat="1" x14ac:dyDescent="0.3">
      <c r="A962" s="24">
        <v>486</v>
      </c>
      <c r="B962" s="24" t="s">
        <v>2272</v>
      </c>
      <c r="C962" s="26">
        <v>263</v>
      </c>
      <c r="D962" s="25" t="s">
        <v>6574</v>
      </c>
      <c r="E962" s="19" t="s">
        <v>1093</v>
      </c>
      <c r="F962" s="19"/>
      <c r="G962" s="24" t="s">
        <v>2057</v>
      </c>
      <c r="H962" s="19" t="s">
        <v>4655</v>
      </c>
      <c r="I962" s="26" t="s">
        <v>37</v>
      </c>
      <c r="J962" s="26" t="s">
        <v>37</v>
      </c>
      <c r="K962" s="24"/>
      <c r="L962" s="24" t="s">
        <v>3325</v>
      </c>
      <c r="M962" s="24" t="s">
        <v>6071</v>
      </c>
      <c r="N962" s="24"/>
      <c r="O962" s="26"/>
      <c r="P962" s="24" t="s">
        <v>9</v>
      </c>
      <c r="Q962" s="24"/>
      <c r="R962" s="26"/>
      <c r="S962" s="26"/>
      <c r="T962" s="26"/>
      <c r="U962" s="24"/>
      <c r="V962" s="24"/>
      <c r="W962" s="24"/>
      <c r="X962" s="63"/>
      <c r="Y962" s="63"/>
      <c r="Z962" s="63"/>
      <c r="AA962" s="63"/>
      <c r="AB962" s="24"/>
      <c r="AC962" s="24"/>
    </row>
    <row r="963" spans="1:29" s="28" customFormat="1" x14ac:dyDescent="0.3">
      <c r="A963" s="27" t="s">
        <v>7835</v>
      </c>
      <c r="B963" s="27" t="s">
        <v>2273</v>
      </c>
      <c r="C963" s="29"/>
      <c r="D963" s="28" t="s">
        <v>7836</v>
      </c>
      <c r="E963" s="20" t="s">
        <v>1093</v>
      </c>
      <c r="F963" s="20" t="s">
        <v>2341</v>
      </c>
      <c r="G963" s="27"/>
      <c r="H963" s="20"/>
      <c r="I963" s="29"/>
      <c r="J963" s="29"/>
      <c r="K963" s="27"/>
      <c r="L963" s="27"/>
      <c r="M963" s="27" t="s">
        <v>7458</v>
      </c>
      <c r="N963" s="27"/>
      <c r="O963" s="29" t="s">
        <v>2035</v>
      </c>
      <c r="P963" s="27"/>
      <c r="Q963" s="27"/>
      <c r="R963" s="29"/>
      <c r="S963" s="29"/>
      <c r="T963" s="29"/>
      <c r="U963" s="27"/>
      <c r="V963" s="27"/>
      <c r="W963" s="27"/>
      <c r="X963" s="64"/>
      <c r="Y963" s="64"/>
      <c r="Z963" s="64"/>
      <c r="AA963" s="64"/>
      <c r="AB963" s="27"/>
      <c r="AC963" s="27"/>
    </row>
    <row r="964" spans="1:29" s="28" customFormat="1" x14ac:dyDescent="0.3">
      <c r="A964" s="27" t="s">
        <v>7837</v>
      </c>
      <c r="B964" s="27" t="s">
        <v>2273</v>
      </c>
      <c r="C964" s="29"/>
      <c r="D964" s="28" t="s">
        <v>7836</v>
      </c>
      <c r="E964" s="20" t="s">
        <v>1093</v>
      </c>
      <c r="F964" s="20" t="s">
        <v>2304</v>
      </c>
      <c r="G964" s="27"/>
      <c r="H964" s="20"/>
      <c r="I964" s="29"/>
      <c r="J964" s="29"/>
      <c r="K964" s="27"/>
      <c r="L964" s="27"/>
      <c r="M964" s="27" t="s">
        <v>7838</v>
      </c>
      <c r="N964" s="27"/>
      <c r="O964" s="29" t="s">
        <v>2117</v>
      </c>
      <c r="P964" s="27"/>
      <c r="Q964" s="27"/>
      <c r="R964" s="29"/>
      <c r="S964" s="29"/>
      <c r="T964" s="29"/>
      <c r="U964" s="27"/>
      <c r="V964" s="27"/>
      <c r="W964" s="27"/>
      <c r="X964" s="64"/>
      <c r="Y964" s="64"/>
      <c r="Z964" s="64"/>
      <c r="AA964" s="64"/>
      <c r="AB964" s="27"/>
      <c r="AC964" s="27"/>
    </row>
    <row r="965" spans="1:29" s="25" customFormat="1" x14ac:dyDescent="0.3">
      <c r="A965" s="24">
        <v>487</v>
      </c>
      <c r="B965" s="24" t="s">
        <v>2272</v>
      </c>
      <c r="C965" s="26">
        <v>263</v>
      </c>
      <c r="D965" s="25" t="s">
        <v>1094</v>
      </c>
      <c r="E965" s="19" t="s">
        <v>1095</v>
      </c>
      <c r="F965" s="19"/>
      <c r="G965" s="24"/>
      <c r="H965" s="19"/>
      <c r="I965" s="26" t="s">
        <v>37</v>
      </c>
      <c r="J965" s="26" t="s">
        <v>37</v>
      </c>
      <c r="K965" s="24"/>
      <c r="L965" s="24" t="s">
        <v>3870</v>
      </c>
      <c r="M965" s="24" t="s">
        <v>1096</v>
      </c>
      <c r="N965" s="24"/>
      <c r="O965" s="26"/>
      <c r="P965" s="24"/>
      <c r="Q965" s="24"/>
      <c r="R965" s="26"/>
      <c r="S965" s="26"/>
      <c r="T965" s="26"/>
      <c r="U965" s="24"/>
      <c r="V965" s="24"/>
      <c r="W965" s="24"/>
      <c r="X965" s="63"/>
      <c r="Y965" s="63"/>
      <c r="Z965" s="63"/>
      <c r="AA965" s="63"/>
      <c r="AB965" s="24"/>
      <c r="AC965" s="24"/>
    </row>
    <row r="966" spans="1:29" s="28" customFormat="1" x14ac:dyDescent="0.3">
      <c r="A966" s="27" t="s">
        <v>7839</v>
      </c>
      <c r="B966" s="27" t="s">
        <v>2273</v>
      </c>
      <c r="C966" s="29"/>
      <c r="D966" s="28" t="s">
        <v>4999</v>
      </c>
      <c r="E966" s="20" t="s">
        <v>1095</v>
      </c>
      <c r="F966" s="20" t="s">
        <v>2712</v>
      </c>
      <c r="G966" s="27"/>
      <c r="H966" s="20"/>
      <c r="I966" s="29"/>
      <c r="J966" s="29"/>
      <c r="K966" s="27"/>
      <c r="L966" s="27"/>
      <c r="M966" s="27" t="s">
        <v>7840</v>
      </c>
      <c r="N966" s="27"/>
      <c r="O966" s="29" t="s">
        <v>7841</v>
      </c>
      <c r="P966" s="27"/>
      <c r="Q966" s="27"/>
      <c r="R966" s="29"/>
      <c r="S966" s="29"/>
      <c r="T966" s="29"/>
      <c r="U966" s="27"/>
      <c r="V966" s="27"/>
      <c r="W966" s="27"/>
      <c r="X966" s="64"/>
      <c r="Y966" s="64"/>
      <c r="Z966" s="64"/>
      <c r="AA966" s="64"/>
      <c r="AB966" s="27"/>
      <c r="AC966" s="27"/>
    </row>
    <row r="967" spans="1:29" s="25" customFormat="1" x14ac:dyDescent="0.3">
      <c r="A967" s="24">
        <v>488</v>
      </c>
      <c r="B967" s="24" t="s">
        <v>2272</v>
      </c>
      <c r="C967" s="26"/>
      <c r="D967" s="25" t="s">
        <v>3872</v>
      </c>
      <c r="E967" s="19" t="s">
        <v>3873</v>
      </c>
      <c r="F967" s="19"/>
      <c r="G967" s="24"/>
      <c r="H967" s="19"/>
      <c r="I967" s="26" t="s">
        <v>49</v>
      </c>
      <c r="J967" s="26"/>
      <c r="K967" s="24" t="s">
        <v>49</v>
      </c>
      <c r="L967" s="24"/>
      <c r="M967" s="24" t="s">
        <v>5218</v>
      </c>
      <c r="N967" s="24" t="s">
        <v>1742</v>
      </c>
      <c r="O967" s="26"/>
      <c r="P967" s="24" t="s">
        <v>6575</v>
      </c>
      <c r="Q967" s="24"/>
      <c r="R967" s="26"/>
      <c r="S967" s="26"/>
      <c r="T967" s="26"/>
      <c r="U967" s="24"/>
      <c r="V967" s="24"/>
      <c r="W967" s="24"/>
      <c r="X967" s="63"/>
      <c r="Y967" s="63"/>
      <c r="Z967" s="63"/>
      <c r="AA967" s="63"/>
      <c r="AB967" s="24"/>
      <c r="AC967" s="24"/>
    </row>
    <row r="968" spans="1:29" s="25" customFormat="1" x14ac:dyDescent="0.3">
      <c r="A968" s="24">
        <v>489</v>
      </c>
      <c r="B968" s="24" t="s">
        <v>2272</v>
      </c>
      <c r="C968" s="26">
        <v>279</v>
      </c>
      <c r="D968" s="25" t="s">
        <v>1107</v>
      </c>
      <c r="E968" s="19" t="s">
        <v>1108</v>
      </c>
      <c r="F968" s="19"/>
      <c r="G968" s="24"/>
      <c r="H968" s="19"/>
      <c r="I968" s="26" t="s">
        <v>57</v>
      </c>
      <c r="J968" s="26" t="s">
        <v>57</v>
      </c>
      <c r="K968" s="24"/>
      <c r="L968" s="24" t="s">
        <v>3875</v>
      </c>
      <c r="M968" s="24" t="s">
        <v>5223</v>
      </c>
      <c r="N968" s="24"/>
      <c r="O968" s="26" t="s">
        <v>2061</v>
      </c>
      <c r="P968" s="24"/>
      <c r="Q968" s="24"/>
      <c r="R968" s="26"/>
      <c r="S968" s="26"/>
      <c r="T968" s="26"/>
      <c r="U968" s="24"/>
      <c r="V968" s="24"/>
      <c r="W968" s="24"/>
      <c r="X968" s="63"/>
      <c r="Y968" s="63"/>
      <c r="Z968" s="63"/>
      <c r="AA968" s="63"/>
      <c r="AB968" s="24"/>
      <c r="AC968" s="24"/>
    </row>
    <row r="969" spans="1:29" s="25" customFormat="1" x14ac:dyDescent="0.3">
      <c r="A969" s="24">
        <v>490</v>
      </c>
      <c r="B969" s="24" t="s">
        <v>2272</v>
      </c>
      <c r="C969" s="26">
        <v>279</v>
      </c>
      <c r="D969" s="25" t="s">
        <v>1109</v>
      </c>
      <c r="E969" s="19" t="s">
        <v>1110</v>
      </c>
      <c r="F969" s="19"/>
      <c r="G969" s="24"/>
      <c r="H969" s="19"/>
      <c r="I969" s="26" t="s">
        <v>57</v>
      </c>
      <c r="J969" s="26" t="s">
        <v>57</v>
      </c>
      <c r="K969" s="24"/>
      <c r="L969" s="24" t="s">
        <v>3134</v>
      </c>
      <c r="M969" s="24" t="s">
        <v>5223</v>
      </c>
      <c r="N969" s="24"/>
      <c r="O969" s="26" t="s">
        <v>2064</v>
      </c>
      <c r="P969" s="24"/>
      <c r="Q969" s="24"/>
      <c r="R969" s="26"/>
      <c r="S969" s="26"/>
      <c r="T969" s="26"/>
      <c r="U969" s="24"/>
      <c r="V969" s="24"/>
      <c r="W969" s="24"/>
      <c r="X969" s="63"/>
      <c r="Y969" s="63"/>
      <c r="Z969" s="63"/>
      <c r="AA969" s="63"/>
      <c r="AB969" s="24"/>
      <c r="AC969" s="24"/>
    </row>
    <row r="970" spans="1:29" s="25" customFormat="1" x14ac:dyDescent="0.3">
      <c r="A970" s="24">
        <v>491</v>
      </c>
      <c r="B970" s="24" t="s">
        <v>2272</v>
      </c>
      <c r="C970" s="26">
        <v>283</v>
      </c>
      <c r="D970" s="25" t="s">
        <v>1113</v>
      </c>
      <c r="E970" s="19" t="s">
        <v>1114</v>
      </c>
      <c r="F970" s="19"/>
      <c r="G970" s="24"/>
      <c r="H970" s="19" t="s">
        <v>4434</v>
      </c>
      <c r="I970" s="26" t="s">
        <v>57</v>
      </c>
      <c r="J970" s="26" t="s">
        <v>57</v>
      </c>
      <c r="K970" s="24"/>
      <c r="L970" s="24" t="s">
        <v>3878</v>
      </c>
      <c r="M970" s="24" t="s">
        <v>5564</v>
      </c>
      <c r="N970" s="24"/>
      <c r="O970" s="26"/>
      <c r="P970" s="24"/>
      <c r="Q970" s="24"/>
      <c r="R970" s="26"/>
      <c r="S970" s="26"/>
      <c r="T970" s="26"/>
      <c r="U970" s="24"/>
      <c r="V970" s="24"/>
      <c r="W970" s="24"/>
      <c r="X970" s="63"/>
      <c r="Y970" s="63"/>
      <c r="Z970" s="63"/>
      <c r="AA970" s="63"/>
      <c r="AB970" s="24"/>
      <c r="AC970" s="24"/>
    </row>
    <row r="971" spans="1:29" s="28" customFormat="1" x14ac:dyDescent="0.3">
      <c r="A971" s="27" t="s">
        <v>7842</v>
      </c>
      <c r="B971" s="27" t="s">
        <v>2273</v>
      </c>
      <c r="C971" s="29"/>
      <c r="D971" s="28" t="s">
        <v>5000</v>
      </c>
      <c r="E971" s="20" t="s">
        <v>1114</v>
      </c>
      <c r="F971" s="20" t="s">
        <v>2719</v>
      </c>
      <c r="G971" s="27"/>
      <c r="H971" s="20"/>
      <c r="I971" s="29"/>
      <c r="J971" s="29"/>
      <c r="K971" s="27"/>
      <c r="L971" s="27"/>
      <c r="M971" s="27" t="s">
        <v>7843</v>
      </c>
      <c r="N971" s="27"/>
      <c r="O971" s="29" t="s">
        <v>7844</v>
      </c>
      <c r="P971" s="27"/>
      <c r="Q971" s="27"/>
      <c r="R971" s="29"/>
      <c r="S971" s="29"/>
      <c r="T971" s="29"/>
      <c r="U971" s="27"/>
      <c r="V971" s="27"/>
      <c r="W971" s="27"/>
      <c r="X971" s="64"/>
      <c r="Y971" s="64"/>
      <c r="Z971" s="64"/>
      <c r="AA971" s="64"/>
      <c r="AB971" s="27"/>
      <c r="AC971" s="27"/>
    </row>
    <row r="972" spans="1:29" s="28" customFormat="1" x14ac:dyDescent="0.3">
      <c r="A972" s="27" t="s">
        <v>7845</v>
      </c>
      <c r="B972" s="27" t="s">
        <v>2273</v>
      </c>
      <c r="C972" s="29"/>
      <c r="D972" s="28" t="s">
        <v>5000</v>
      </c>
      <c r="E972" s="20" t="s">
        <v>1114</v>
      </c>
      <c r="F972" s="20" t="s">
        <v>2702</v>
      </c>
      <c r="G972" s="27"/>
      <c r="H972" s="20"/>
      <c r="I972" s="29"/>
      <c r="J972" s="29"/>
      <c r="K972" s="27"/>
      <c r="L972" s="27"/>
      <c r="M972" s="27" t="s">
        <v>7557</v>
      </c>
      <c r="N972" s="27"/>
      <c r="O972" s="29" t="s">
        <v>7846</v>
      </c>
      <c r="P972" s="27"/>
      <c r="Q972" s="27"/>
      <c r="R972" s="29"/>
      <c r="S972" s="29"/>
      <c r="T972" s="29"/>
      <c r="U972" s="27"/>
      <c r="V972" s="27"/>
      <c r="W972" s="27"/>
      <c r="X972" s="64"/>
      <c r="Y972" s="64"/>
      <c r="Z972" s="64"/>
      <c r="AA972" s="64"/>
      <c r="AB972" s="27"/>
      <c r="AC972" s="27"/>
    </row>
    <row r="973" spans="1:29" s="28" customFormat="1" x14ac:dyDescent="0.3">
      <c r="A973" s="27" t="s">
        <v>7847</v>
      </c>
      <c r="B973" s="27" t="s">
        <v>2273</v>
      </c>
      <c r="C973" s="29"/>
      <c r="D973" s="28" t="s">
        <v>5000</v>
      </c>
      <c r="E973" s="20" t="s">
        <v>1114</v>
      </c>
      <c r="F973" s="20" t="s">
        <v>2570</v>
      </c>
      <c r="G973" s="27"/>
      <c r="H973" s="20"/>
      <c r="I973" s="29"/>
      <c r="J973" s="29"/>
      <c r="K973" s="27"/>
      <c r="L973" s="27"/>
      <c r="M973" s="27" t="s">
        <v>7848</v>
      </c>
      <c r="N973" s="27"/>
      <c r="O973" s="29" t="s">
        <v>7849</v>
      </c>
      <c r="P973" s="27"/>
      <c r="Q973" s="27"/>
      <c r="R973" s="29"/>
      <c r="S973" s="29"/>
      <c r="T973" s="29"/>
      <c r="U973" s="27"/>
      <c r="V973" s="27"/>
      <c r="W973" s="27"/>
      <c r="X973" s="64"/>
      <c r="Y973" s="64"/>
      <c r="Z973" s="64"/>
      <c r="AA973" s="64"/>
      <c r="AB973" s="27"/>
      <c r="AC973" s="27"/>
    </row>
    <row r="974" spans="1:29" s="25" customFormat="1" x14ac:dyDescent="0.3">
      <c r="A974" s="24">
        <v>492</v>
      </c>
      <c r="B974" s="24" t="s">
        <v>2272</v>
      </c>
      <c r="C974" s="26">
        <v>283</v>
      </c>
      <c r="D974" s="25" t="s">
        <v>1115</v>
      </c>
      <c r="E974" s="19" t="s">
        <v>1116</v>
      </c>
      <c r="F974" s="19"/>
      <c r="G974" s="24"/>
      <c r="H974" s="19" t="s">
        <v>4436</v>
      </c>
      <c r="I974" s="26" t="s">
        <v>57</v>
      </c>
      <c r="J974" s="26" t="s">
        <v>57</v>
      </c>
      <c r="K974" s="24"/>
      <c r="L974" s="24" t="s">
        <v>3880</v>
      </c>
      <c r="M974" s="24" t="s">
        <v>5272</v>
      </c>
      <c r="N974" s="24"/>
      <c r="O974" s="26" t="s">
        <v>2065</v>
      </c>
      <c r="P974" s="24"/>
      <c r="Q974" s="24"/>
      <c r="R974" s="26"/>
      <c r="S974" s="26"/>
      <c r="T974" s="26"/>
      <c r="U974" s="24"/>
      <c r="V974" s="24"/>
      <c r="W974" s="24"/>
      <c r="X974" s="63"/>
      <c r="Y974" s="63"/>
      <c r="Z974" s="63"/>
      <c r="AA974" s="63"/>
      <c r="AB974" s="24"/>
      <c r="AC974" s="24"/>
    </row>
    <row r="975" spans="1:29" s="25" customFormat="1" ht="30.6" x14ac:dyDescent="0.3">
      <c r="A975" s="24">
        <v>493</v>
      </c>
      <c r="B975" s="24" t="s">
        <v>2272</v>
      </c>
      <c r="C975" s="26">
        <v>281</v>
      </c>
      <c r="D975" s="25" t="s">
        <v>1121</v>
      </c>
      <c r="E975" s="19" t="s">
        <v>1122</v>
      </c>
      <c r="F975" s="19"/>
      <c r="G975" s="24"/>
      <c r="H975" s="19"/>
      <c r="I975" s="26" t="s">
        <v>57</v>
      </c>
      <c r="J975" s="26" t="s">
        <v>57</v>
      </c>
      <c r="K975" s="24"/>
      <c r="L975" s="103" t="s">
        <v>3882</v>
      </c>
      <c r="M975" s="24" t="s">
        <v>5565</v>
      </c>
      <c r="N975" s="24"/>
      <c r="O975" s="26"/>
      <c r="P975" s="24" t="s">
        <v>9</v>
      </c>
      <c r="Q975" s="24"/>
      <c r="R975" s="26"/>
      <c r="S975" s="26"/>
      <c r="T975" s="26"/>
      <c r="U975" s="24"/>
      <c r="V975" s="24"/>
      <c r="W975" s="24"/>
      <c r="X975" s="63"/>
      <c r="Y975" s="63"/>
      <c r="Z975" s="63"/>
      <c r="AA975" s="63"/>
      <c r="AB975" s="24"/>
      <c r="AC975" s="24"/>
    </row>
    <row r="976" spans="1:29" s="28" customFormat="1" x14ac:dyDescent="0.3">
      <c r="A976" s="27" t="s">
        <v>7850</v>
      </c>
      <c r="B976" s="27" t="s">
        <v>2273</v>
      </c>
      <c r="C976" s="29">
        <v>281</v>
      </c>
      <c r="D976" s="28" t="s">
        <v>5001</v>
      </c>
      <c r="E976" s="20" t="s">
        <v>1122</v>
      </c>
      <c r="F976" s="20" t="s">
        <v>2720</v>
      </c>
      <c r="G976" s="27" t="s">
        <v>4657</v>
      </c>
      <c r="H976" s="20" t="s">
        <v>4658</v>
      </c>
      <c r="I976" s="29"/>
      <c r="J976" s="29" t="s">
        <v>57</v>
      </c>
      <c r="K976" s="27"/>
      <c r="L976" s="27" t="s">
        <v>4656</v>
      </c>
      <c r="M976" s="27" t="s">
        <v>7851</v>
      </c>
      <c r="N976" s="27"/>
      <c r="O976" s="29" t="s">
        <v>7852</v>
      </c>
      <c r="P976" s="27"/>
      <c r="Q976" s="27"/>
      <c r="R976" s="29"/>
      <c r="S976" s="29"/>
      <c r="T976" s="29"/>
      <c r="U976" s="27"/>
      <c r="V976" s="27"/>
      <c r="W976" s="27"/>
      <c r="X976" s="64"/>
      <c r="Y976" s="64"/>
      <c r="Z976" s="64"/>
      <c r="AA976" s="64"/>
      <c r="AB976" s="27"/>
      <c r="AC976" s="27"/>
    </row>
    <row r="977" spans="1:29" s="28" customFormat="1" x14ac:dyDescent="0.3">
      <c r="A977" s="27" t="s">
        <v>7853</v>
      </c>
      <c r="B977" s="27" t="s">
        <v>2273</v>
      </c>
      <c r="C977" s="29">
        <v>281</v>
      </c>
      <c r="D977" s="28" t="s">
        <v>5001</v>
      </c>
      <c r="E977" s="20" t="s">
        <v>1122</v>
      </c>
      <c r="F977" s="20" t="s">
        <v>2721</v>
      </c>
      <c r="G977" s="27" t="s">
        <v>4660</v>
      </c>
      <c r="H977" s="20" t="s">
        <v>4661</v>
      </c>
      <c r="I977" s="29"/>
      <c r="J977" s="29" t="s">
        <v>57</v>
      </c>
      <c r="K977" s="27"/>
      <c r="L977" s="27" t="s">
        <v>4659</v>
      </c>
      <c r="M977" s="27" t="s">
        <v>6918</v>
      </c>
      <c r="N977" s="27"/>
      <c r="O977" s="29" t="s">
        <v>7854</v>
      </c>
      <c r="P977" s="27"/>
      <c r="Q977" s="27"/>
      <c r="R977" s="29"/>
      <c r="S977" s="29"/>
      <c r="T977" s="29"/>
      <c r="U977" s="27"/>
      <c r="V977" s="27"/>
      <c r="W977" s="27"/>
      <c r="X977" s="64"/>
      <c r="Y977" s="64"/>
      <c r="Z977" s="64"/>
      <c r="AA977" s="64"/>
      <c r="AB977" s="27"/>
      <c r="AC977" s="27"/>
    </row>
    <row r="978" spans="1:29" s="28" customFormat="1" x14ac:dyDescent="0.3">
      <c r="A978" s="27" t="s">
        <v>7855</v>
      </c>
      <c r="B978" s="27" t="s">
        <v>2273</v>
      </c>
      <c r="C978" s="29">
        <v>281</v>
      </c>
      <c r="D978" s="28" t="s">
        <v>5001</v>
      </c>
      <c r="E978" s="20" t="s">
        <v>1122</v>
      </c>
      <c r="F978" s="20" t="s">
        <v>2623</v>
      </c>
      <c r="G978" s="27" t="s">
        <v>4663</v>
      </c>
      <c r="H978" s="20" t="s">
        <v>4664</v>
      </c>
      <c r="I978" s="29"/>
      <c r="J978" s="29" t="s">
        <v>57</v>
      </c>
      <c r="K978" s="27"/>
      <c r="L978" s="27" t="s">
        <v>4662</v>
      </c>
      <c r="M978" s="27" t="s">
        <v>7856</v>
      </c>
      <c r="N978" s="27"/>
      <c r="O978" s="29" t="s">
        <v>7675</v>
      </c>
      <c r="P978" s="27"/>
      <c r="Q978" s="27"/>
      <c r="R978" s="29"/>
      <c r="S978" s="29"/>
      <c r="T978" s="29"/>
      <c r="U978" s="27"/>
      <c r="V978" s="27"/>
      <c r="W978" s="27"/>
      <c r="X978" s="64"/>
      <c r="Y978" s="64"/>
      <c r="Z978" s="64"/>
      <c r="AA978" s="64"/>
      <c r="AB978" s="27"/>
      <c r="AC978" s="27"/>
    </row>
    <row r="979" spans="1:29" s="25" customFormat="1" x14ac:dyDescent="0.3">
      <c r="A979" s="24">
        <v>494</v>
      </c>
      <c r="B979" s="24" t="s">
        <v>2272</v>
      </c>
      <c r="C979" s="26">
        <v>283</v>
      </c>
      <c r="D979" s="25" t="s">
        <v>1117</v>
      </c>
      <c r="E979" s="19" t="s">
        <v>1118</v>
      </c>
      <c r="F979" s="19"/>
      <c r="G979" s="24"/>
      <c r="H979" s="19" t="s">
        <v>4439</v>
      </c>
      <c r="I979" s="26" t="s">
        <v>57</v>
      </c>
      <c r="J979" s="26" t="s">
        <v>57</v>
      </c>
      <c r="K979" s="24"/>
      <c r="L979" s="24" t="s">
        <v>3884</v>
      </c>
      <c r="M979" s="24" t="s">
        <v>5566</v>
      </c>
      <c r="N979" s="24"/>
      <c r="O979" s="26" t="s">
        <v>2067</v>
      </c>
      <c r="P979" s="24"/>
      <c r="Q979" s="24"/>
      <c r="R979" s="26"/>
      <c r="S979" s="26"/>
      <c r="T979" s="26"/>
      <c r="U979" s="24"/>
      <c r="V979" s="24"/>
      <c r="W979" s="24"/>
      <c r="X979" s="63"/>
      <c r="Y979" s="63"/>
      <c r="Z979" s="63"/>
      <c r="AA979" s="63"/>
      <c r="AB979" s="24"/>
      <c r="AC979" s="24"/>
    </row>
    <row r="980" spans="1:29" s="25" customFormat="1" ht="20.399999999999999" x14ac:dyDescent="0.3">
      <c r="A980" s="24">
        <v>495</v>
      </c>
      <c r="B980" s="24" t="s">
        <v>2272</v>
      </c>
      <c r="C980" s="26"/>
      <c r="D980" s="25" t="s">
        <v>1123</v>
      </c>
      <c r="E980" s="19" t="s">
        <v>1124</v>
      </c>
      <c r="F980" s="19"/>
      <c r="G980" s="24"/>
      <c r="H980" s="19"/>
      <c r="I980" s="26" t="s">
        <v>57</v>
      </c>
      <c r="J980" s="26"/>
      <c r="K980" s="24"/>
      <c r="L980" s="103" t="s">
        <v>5168</v>
      </c>
      <c r="M980" s="24" t="s">
        <v>5567</v>
      </c>
      <c r="N980" s="24"/>
      <c r="O980" s="26"/>
      <c r="P980" s="24" t="s">
        <v>9</v>
      </c>
      <c r="Q980" s="24"/>
      <c r="R980" s="26"/>
      <c r="S980" s="26"/>
      <c r="T980" s="26"/>
      <c r="U980" s="24"/>
      <c r="V980" s="24"/>
      <c r="W980" s="24"/>
      <c r="X980" s="63"/>
      <c r="Y980" s="63"/>
      <c r="Z980" s="63"/>
      <c r="AA980" s="63"/>
      <c r="AB980" s="24"/>
      <c r="AC980" s="24"/>
    </row>
    <row r="981" spans="1:29" s="28" customFormat="1" x14ac:dyDescent="0.3">
      <c r="A981" s="27" t="s">
        <v>5767</v>
      </c>
      <c r="B981" s="27" t="s">
        <v>2273</v>
      </c>
      <c r="C981" s="29">
        <v>281</v>
      </c>
      <c r="D981" s="28" t="s">
        <v>5002</v>
      </c>
      <c r="E981" s="20" t="s">
        <v>1124</v>
      </c>
      <c r="F981" s="20" t="s">
        <v>2357</v>
      </c>
      <c r="G981" s="27"/>
      <c r="H981" s="20" t="s">
        <v>1124</v>
      </c>
      <c r="I981" s="29"/>
      <c r="J981" s="29" t="s">
        <v>57</v>
      </c>
      <c r="K981" s="27"/>
      <c r="L981" s="27" t="s">
        <v>4665</v>
      </c>
      <c r="M981" s="27" t="s">
        <v>7857</v>
      </c>
      <c r="N981" s="27"/>
      <c r="O981" s="29" t="s">
        <v>7858</v>
      </c>
      <c r="P981" s="27"/>
      <c r="Q981" s="27"/>
      <c r="R981" s="29"/>
      <c r="S981" s="29"/>
      <c r="T981" s="29"/>
      <c r="U981" s="27"/>
      <c r="V981" s="27"/>
      <c r="W981" s="27"/>
      <c r="X981" s="64"/>
      <c r="Y981" s="64"/>
      <c r="Z981" s="64"/>
      <c r="AA981" s="64"/>
      <c r="AB981" s="27"/>
      <c r="AC981" s="27"/>
    </row>
    <row r="982" spans="1:29" s="28" customFormat="1" x14ac:dyDescent="0.3">
      <c r="A982" s="27" t="s">
        <v>7859</v>
      </c>
      <c r="B982" s="27" t="s">
        <v>2273</v>
      </c>
      <c r="C982" s="29">
        <v>281</v>
      </c>
      <c r="D982" s="28" t="s">
        <v>5002</v>
      </c>
      <c r="E982" s="20" t="s">
        <v>1124</v>
      </c>
      <c r="F982" s="20" t="s">
        <v>2446</v>
      </c>
      <c r="G982" s="27" t="s">
        <v>2724</v>
      </c>
      <c r="H982" s="20" t="s">
        <v>2725</v>
      </c>
      <c r="I982" s="29"/>
      <c r="J982" s="29" t="s">
        <v>57</v>
      </c>
      <c r="K982" s="27"/>
      <c r="L982" s="27" t="s">
        <v>4609</v>
      </c>
      <c r="M982" s="27" t="s">
        <v>6867</v>
      </c>
      <c r="N982" s="27"/>
      <c r="O982" s="29" t="s">
        <v>7860</v>
      </c>
      <c r="P982" s="27"/>
      <c r="Q982" s="27"/>
      <c r="R982" s="29"/>
      <c r="S982" s="29"/>
      <c r="T982" s="29"/>
      <c r="U982" s="27"/>
      <c r="V982" s="27"/>
      <c r="W982" s="27"/>
      <c r="X982" s="64"/>
      <c r="Y982" s="64"/>
      <c r="Z982" s="64"/>
      <c r="AA982" s="64"/>
      <c r="AB982" s="27"/>
      <c r="AC982" s="27"/>
    </row>
    <row r="983" spans="1:29" s="25" customFormat="1" x14ac:dyDescent="0.3">
      <c r="A983" s="24">
        <v>496</v>
      </c>
      <c r="B983" s="24" t="s">
        <v>2272</v>
      </c>
      <c r="C983" s="26">
        <v>281</v>
      </c>
      <c r="D983" s="25" t="s">
        <v>2722</v>
      </c>
      <c r="E983" s="19" t="s">
        <v>2723</v>
      </c>
      <c r="F983" s="19"/>
      <c r="G983" s="24"/>
      <c r="H983" s="19"/>
      <c r="I983" s="26" t="s">
        <v>57</v>
      </c>
      <c r="J983" s="26" t="s">
        <v>57</v>
      </c>
      <c r="K983" s="24"/>
      <c r="L983" s="24" t="s">
        <v>4666</v>
      </c>
      <c r="M983" s="24" t="s">
        <v>5466</v>
      </c>
      <c r="N983" s="24"/>
      <c r="O983" s="26" t="s">
        <v>6073</v>
      </c>
      <c r="P983" s="24"/>
      <c r="Q983" s="24"/>
      <c r="R983" s="26"/>
      <c r="S983" s="26"/>
      <c r="T983" s="26"/>
      <c r="U983" s="24"/>
      <c r="V983" s="24"/>
      <c r="W983" s="24"/>
      <c r="X983" s="63"/>
      <c r="Y983" s="63"/>
      <c r="Z983" s="63"/>
      <c r="AA983" s="63"/>
      <c r="AB983" s="24"/>
      <c r="AC983" s="24"/>
    </row>
    <row r="984" spans="1:29" s="25" customFormat="1" x14ac:dyDescent="0.3">
      <c r="A984" s="24">
        <v>497</v>
      </c>
      <c r="B984" s="24" t="s">
        <v>2272</v>
      </c>
      <c r="C984" s="26">
        <v>281</v>
      </c>
      <c r="D984" s="25" t="s">
        <v>1119</v>
      </c>
      <c r="E984" s="19" t="s">
        <v>1120</v>
      </c>
      <c r="F984" s="19"/>
      <c r="G984" s="24"/>
      <c r="H984" s="19"/>
      <c r="I984" s="26" t="s">
        <v>57</v>
      </c>
      <c r="J984" s="26" t="s">
        <v>57</v>
      </c>
      <c r="K984" s="24"/>
      <c r="L984" s="24" t="s">
        <v>3887</v>
      </c>
      <c r="M984" s="24" t="s">
        <v>6075</v>
      </c>
      <c r="N984" s="24"/>
      <c r="O984" s="26" t="s">
        <v>2068</v>
      </c>
      <c r="P984" s="24" t="s">
        <v>9</v>
      </c>
      <c r="Q984" s="24"/>
      <c r="R984" s="26"/>
      <c r="S984" s="26"/>
      <c r="T984" s="26"/>
      <c r="U984" s="24"/>
      <c r="V984" s="24"/>
      <c r="W984" s="24"/>
      <c r="X984" s="63"/>
      <c r="Y984" s="63"/>
      <c r="Z984" s="63"/>
      <c r="AA984" s="63"/>
      <c r="AB984" s="24"/>
      <c r="AC984" s="24"/>
    </row>
    <row r="985" spans="1:29" s="25" customFormat="1" x14ac:dyDescent="0.3">
      <c r="A985" s="24">
        <v>498</v>
      </c>
      <c r="B985" s="24" t="s">
        <v>2272</v>
      </c>
      <c r="C985" s="26">
        <v>283</v>
      </c>
      <c r="D985" s="25" t="s">
        <v>1125</v>
      </c>
      <c r="E985" s="19" t="s">
        <v>1126</v>
      </c>
      <c r="F985" s="19"/>
      <c r="G985" s="24"/>
      <c r="H985" s="19"/>
      <c r="I985" s="26" t="s">
        <v>37</v>
      </c>
      <c r="J985" s="26" t="s">
        <v>37</v>
      </c>
      <c r="K985" s="24"/>
      <c r="L985" s="24" t="s">
        <v>3889</v>
      </c>
      <c r="M985" s="24" t="s">
        <v>5570</v>
      </c>
      <c r="N985" s="24"/>
      <c r="O985" s="26"/>
      <c r="P985" s="24" t="s">
        <v>9</v>
      </c>
      <c r="Q985" s="24"/>
      <c r="R985" s="26"/>
      <c r="S985" s="26"/>
      <c r="T985" s="26"/>
      <c r="U985" s="24"/>
      <c r="V985" s="24"/>
      <c r="W985" s="24"/>
      <c r="X985" s="63"/>
      <c r="Y985" s="63"/>
      <c r="Z985" s="63"/>
      <c r="AA985" s="63"/>
      <c r="AB985" s="24"/>
      <c r="AC985" s="24"/>
    </row>
    <row r="986" spans="1:29" s="28" customFormat="1" x14ac:dyDescent="0.3">
      <c r="A986" s="27" t="s">
        <v>6327</v>
      </c>
      <c r="B986" s="27" t="s">
        <v>2273</v>
      </c>
      <c r="C986" s="29"/>
      <c r="D986" s="28" t="s">
        <v>5003</v>
      </c>
      <c r="E986" s="20" t="s">
        <v>1126</v>
      </c>
      <c r="F986" s="20" t="s">
        <v>2726</v>
      </c>
      <c r="G986" s="27"/>
      <c r="H986" s="20"/>
      <c r="I986" s="29"/>
      <c r="J986" s="29"/>
      <c r="K986" s="27"/>
      <c r="L986" s="27"/>
      <c r="M986" s="27" t="s">
        <v>7861</v>
      </c>
      <c r="N986" s="27" t="s">
        <v>7005</v>
      </c>
      <c r="O986" s="29" t="s">
        <v>7862</v>
      </c>
      <c r="P986" s="27"/>
      <c r="Q986" s="27"/>
      <c r="R986" s="29"/>
      <c r="S986" s="29"/>
      <c r="T986" s="29"/>
      <c r="U986" s="27"/>
      <c r="V986" s="27"/>
      <c r="W986" s="27"/>
      <c r="X986" s="64"/>
      <c r="Y986" s="64"/>
      <c r="Z986" s="64"/>
      <c r="AA986" s="64"/>
      <c r="AB986" s="27"/>
      <c r="AC986" s="27"/>
    </row>
    <row r="987" spans="1:29" s="28" customFormat="1" x14ac:dyDescent="0.3">
      <c r="A987" s="27" t="s">
        <v>7863</v>
      </c>
      <c r="B987" s="27" t="s">
        <v>2273</v>
      </c>
      <c r="C987" s="29"/>
      <c r="D987" s="28" t="s">
        <v>5003</v>
      </c>
      <c r="E987" s="20" t="s">
        <v>1126</v>
      </c>
      <c r="F987" s="20" t="s">
        <v>2727</v>
      </c>
      <c r="G987" s="27"/>
      <c r="H987" s="20"/>
      <c r="I987" s="29"/>
      <c r="J987" s="29"/>
      <c r="K987" s="27"/>
      <c r="L987" s="27"/>
      <c r="M987" s="27" t="s">
        <v>7864</v>
      </c>
      <c r="N987" s="27"/>
      <c r="O987" s="29" t="s">
        <v>7865</v>
      </c>
      <c r="P987" s="27"/>
      <c r="Q987" s="27"/>
      <c r="R987" s="29"/>
      <c r="S987" s="29"/>
      <c r="T987" s="29"/>
      <c r="U987" s="27"/>
      <c r="V987" s="27"/>
      <c r="W987" s="27"/>
      <c r="X987" s="64"/>
      <c r="Y987" s="64"/>
      <c r="Z987" s="64"/>
      <c r="AA987" s="64"/>
      <c r="AB987" s="27"/>
      <c r="AC987" s="27"/>
    </row>
    <row r="988" spans="1:29" s="28" customFormat="1" x14ac:dyDescent="0.3">
      <c r="A988" s="27" t="s">
        <v>7866</v>
      </c>
      <c r="B988" s="27" t="s">
        <v>2273</v>
      </c>
      <c r="C988" s="29"/>
      <c r="D988" s="28" t="s">
        <v>5003</v>
      </c>
      <c r="E988" s="20" t="s">
        <v>1126</v>
      </c>
      <c r="F988" s="20" t="s">
        <v>2728</v>
      </c>
      <c r="G988" s="27"/>
      <c r="H988" s="20"/>
      <c r="I988" s="29"/>
      <c r="J988" s="29"/>
      <c r="K988" s="27"/>
      <c r="L988" s="27"/>
      <c r="M988" s="27" t="s">
        <v>7867</v>
      </c>
      <c r="N988" s="27"/>
      <c r="O988" s="29" t="s">
        <v>7868</v>
      </c>
      <c r="P988" s="27"/>
      <c r="Q988" s="27"/>
      <c r="R988" s="29"/>
      <c r="S988" s="29"/>
      <c r="T988" s="29"/>
      <c r="U988" s="27"/>
      <c r="V988" s="27"/>
      <c r="W988" s="27"/>
      <c r="X988" s="64"/>
      <c r="Y988" s="64"/>
      <c r="Z988" s="64"/>
      <c r="AA988" s="64"/>
      <c r="AB988" s="27"/>
      <c r="AC988" s="27"/>
    </row>
    <row r="989" spans="1:29" s="28" customFormat="1" x14ac:dyDescent="0.3">
      <c r="A989" s="27" t="s">
        <v>7869</v>
      </c>
      <c r="B989" s="27" t="s">
        <v>2273</v>
      </c>
      <c r="C989" s="29"/>
      <c r="D989" s="28" t="s">
        <v>5003</v>
      </c>
      <c r="E989" s="20" t="s">
        <v>1126</v>
      </c>
      <c r="F989" s="20" t="s">
        <v>2729</v>
      </c>
      <c r="G989" s="27"/>
      <c r="H989" s="20"/>
      <c r="I989" s="29"/>
      <c r="J989" s="29"/>
      <c r="K989" s="27"/>
      <c r="L989" s="27"/>
      <c r="M989" s="27" t="s">
        <v>7870</v>
      </c>
      <c r="N989" s="27"/>
      <c r="O989" s="29" t="s">
        <v>7672</v>
      </c>
      <c r="P989" s="27"/>
      <c r="Q989" s="27"/>
      <c r="R989" s="29"/>
      <c r="S989" s="29"/>
      <c r="T989" s="29"/>
      <c r="U989" s="27"/>
      <c r="V989" s="27"/>
      <c r="W989" s="27"/>
      <c r="X989" s="64"/>
      <c r="Y989" s="64"/>
      <c r="Z989" s="64"/>
      <c r="AA989" s="64"/>
      <c r="AB989" s="27"/>
      <c r="AC989" s="27"/>
    </row>
    <row r="990" spans="1:29" s="25" customFormat="1" x14ac:dyDescent="0.3">
      <c r="A990" s="24">
        <v>499</v>
      </c>
      <c r="B990" s="24" t="s">
        <v>2272</v>
      </c>
      <c r="C990" s="26">
        <v>283</v>
      </c>
      <c r="D990" s="25" t="s">
        <v>1111</v>
      </c>
      <c r="E990" s="19" t="s">
        <v>1112</v>
      </c>
      <c r="F990" s="19"/>
      <c r="G990" s="24"/>
      <c r="H990" s="19"/>
      <c r="I990" s="26" t="s">
        <v>49</v>
      </c>
      <c r="J990" s="26" t="s">
        <v>5121</v>
      </c>
      <c r="K990" s="24" t="s">
        <v>49</v>
      </c>
      <c r="L990" s="24" t="s">
        <v>3891</v>
      </c>
      <c r="M990" s="24" t="s">
        <v>84</v>
      </c>
      <c r="N990" s="24"/>
      <c r="O990" s="26"/>
      <c r="P990" s="24" t="s">
        <v>6445</v>
      </c>
      <c r="Q990" s="24"/>
      <c r="R990" s="26"/>
      <c r="S990" s="26"/>
      <c r="T990" s="26"/>
      <c r="U990" s="24"/>
      <c r="V990" s="24"/>
      <c r="W990" s="24"/>
      <c r="X990" s="63"/>
      <c r="Y990" s="63"/>
      <c r="Z990" s="63"/>
      <c r="AA990" s="63"/>
      <c r="AB990" s="24"/>
      <c r="AC990" s="24"/>
    </row>
    <row r="991" spans="1:29" s="28" customFormat="1" x14ac:dyDescent="0.3">
      <c r="A991" s="27" t="s">
        <v>7871</v>
      </c>
      <c r="B991" s="27" t="s">
        <v>2273</v>
      </c>
      <c r="C991" s="29"/>
      <c r="D991" s="28" t="s">
        <v>5004</v>
      </c>
      <c r="E991" s="20" t="s">
        <v>1112</v>
      </c>
      <c r="F991" s="20" t="s">
        <v>2718</v>
      </c>
      <c r="G991" s="27"/>
      <c r="H991" s="20"/>
      <c r="I991" s="29"/>
      <c r="J991" s="29"/>
      <c r="K991" s="27"/>
      <c r="L991" s="27"/>
      <c r="M991" s="27" t="s">
        <v>7872</v>
      </c>
      <c r="N991" s="27"/>
      <c r="O991" s="29" t="s">
        <v>7872</v>
      </c>
      <c r="P991" s="27"/>
      <c r="Q991" s="27"/>
      <c r="R991" s="29"/>
      <c r="S991" s="29"/>
      <c r="T991" s="29"/>
      <c r="U991" s="27"/>
      <c r="V991" s="27"/>
      <c r="W991" s="27"/>
      <c r="X991" s="64"/>
      <c r="Y991" s="64"/>
      <c r="Z991" s="64"/>
      <c r="AA991" s="64"/>
      <c r="AB991" s="27"/>
      <c r="AC991" s="27"/>
    </row>
    <row r="992" spans="1:29" s="25" customFormat="1" x14ac:dyDescent="0.3">
      <c r="A992" s="24">
        <v>500</v>
      </c>
      <c r="B992" s="24" t="s">
        <v>2272</v>
      </c>
      <c r="C992" s="26">
        <v>287</v>
      </c>
      <c r="D992" s="25" t="s">
        <v>1100</v>
      </c>
      <c r="E992" s="19" t="s">
        <v>2059</v>
      </c>
      <c r="F992" s="19"/>
      <c r="G992" s="24"/>
      <c r="H992" s="19"/>
      <c r="I992" s="26" t="s">
        <v>57</v>
      </c>
      <c r="J992" s="26" t="s">
        <v>57</v>
      </c>
      <c r="K992" s="24"/>
      <c r="L992" s="24" t="s">
        <v>3893</v>
      </c>
      <c r="M992" s="24" t="s">
        <v>5571</v>
      </c>
      <c r="N992" s="24"/>
      <c r="O992" s="26"/>
      <c r="P992" s="24"/>
      <c r="Q992" s="24"/>
      <c r="R992" s="26"/>
      <c r="S992" s="26"/>
      <c r="T992" s="26"/>
      <c r="U992" s="24"/>
      <c r="V992" s="24"/>
      <c r="W992" s="24"/>
      <c r="X992" s="63"/>
      <c r="Y992" s="63"/>
      <c r="Z992" s="63"/>
      <c r="AA992" s="63"/>
      <c r="AB992" s="24"/>
      <c r="AC992" s="24"/>
    </row>
    <row r="993" spans="1:29" s="28" customFormat="1" x14ac:dyDescent="0.3">
      <c r="A993" s="27" t="s">
        <v>7873</v>
      </c>
      <c r="B993" s="27" t="s">
        <v>2273</v>
      </c>
      <c r="C993" s="29"/>
      <c r="D993" s="28" t="s">
        <v>5005</v>
      </c>
      <c r="E993" s="20" t="s">
        <v>2059</v>
      </c>
      <c r="F993" s="20" t="s">
        <v>2713</v>
      </c>
      <c r="G993" s="27"/>
      <c r="H993" s="20"/>
      <c r="I993" s="29"/>
      <c r="J993" s="29"/>
      <c r="K993" s="27"/>
      <c r="L993" s="27"/>
      <c r="M993" s="27" t="s">
        <v>6793</v>
      </c>
      <c r="N993" s="27"/>
      <c r="O993" s="29" t="s">
        <v>6894</v>
      </c>
      <c r="P993" s="27"/>
      <c r="Q993" s="27"/>
      <c r="R993" s="29"/>
      <c r="S993" s="29"/>
      <c r="T993" s="29"/>
      <c r="U993" s="27"/>
      <c r="V993" s="27"/>
      <c r="W993" s="27"/>
      <c r="X993" s="64"/>
      <c r="Y993" s="64"/>
      <c r="Z993" s="64"/>
      <c r="AA993" s="64"/>
      <c r="AB993" s="27"/>
      <c r="AC993" s="27"/>
    </row>
    <row r="994" spans="1:29" s="28" customFormat="1" x14ac:dyDescent="0.3">
      <c r="A994" s="27" t="s">
        <v>7874</v>
      </c>
      <c r="B994" s="27" t="s">
        <v>2273</v>
      </c>
      <c r="C994" s="29"/>
      <c r="D994" s="28" t="s">
        <v>5005</v>
      </c>
      <c r="E994" s="20" t="s">
        <v>2059</v>
      </c>
      <c r="F994" s="20" t="s">
        <v>2714</v>
      </c>
      <c r="G994" s="27"/>
      <c r="H994" s="20"/>
      <c r="I994" s="29"/>
      <c r="J994" s="29"/>
      <c r="K994" s="27"/>
      <c r="L994" s="27"/>
      <c r="M994" s="27" t="s">
        <v>7875</v>
      </c>
      <c r="N994" s="27"/>
      <c r="O994" s="29" t="s">
        <v>7876</v>
      </c>
      <c r="P994" s="27"/>
      <c r="Q994" s="27"/>
      <c r="R994" s="29"/>
      <c r="S994" s="29"/>
      <c r="T994" s="29"/>
      <c r="U994" s="27"/>
      <c r="V994" s="27"/>
      <c r="W994" s="27"/>
      <c r="X994" s="64"/>
      <c r="Y994" s="64"/>
      <c r="Z994" s="64"/>
      <c r="AA994" s="64"/>
      <c r="AB994" s="27"/>
      <c r="AC994" s="27"/>
    </row>
    <row r="995" spans="1:29" s="28" customFormat="1" x14ac:dyDescent="0.3">
      <c r="A995" s="27" t="s">
        <v>7877</v>
      </c>
      <c r="B995" s="27" t="s">
        <v>2273</v>
      </c>
      <c r="C995" s="29"/>
      <c r="D995" s="28" t="s">
        <v>5005</v>
      </c>
      <c r="E995" s="20" t="s">
        <v>2059</v>
      </c>
      <c r="F995" s="20" t="s">
        <v>2715</v>
      </c>
      <c r="G995" s="27"/>
      <c r="H995" s="20"/>
      <c r="I995" s="29"/>
      <c r="J995" s="29"/>
      <c r="K995" s="27"/>
      <c r="L995" s="27"/>
      <c r="M995" s="27" t="s">
        <v>7878</v>
      </c>
      <c r="N995" s="27"/>
      <c r="O995" s="29" t="s">
        <v>7879</v>
      </c>
      <c r="P995" s="27"/>
      <c r="Q995" s="27"/>
      <c r="R995" s="29"/>
      <c r="S995" s="29"/>
      <c r="T995" s="29"/>
      <c r="U995" s="27"/>
      <c r="V995" s="27"/>
      <c r="W995" s="27"/>
      <c r="X995" s="64"/>
      <c r="Y995" s="64"/>
      <c r="Z995" s="64"/>
      <c r="AA995" s="64"/>
      <c r="AB995" s="27"/>
      <c r="AC995" s="27"/>
    </row>
    <row r="996" spans="1:29" s="28" customFormat="1" x14ac:dyDescent="0.3">
      <c r="A996" s="27" t="s">
        <v>7880</v>
      </c>
      <c r="B996" s="27" t="s">
        <v>2273</v>
      </c>
      <c r="C996" s="29"/>
      <c r="D996" s="28" t="s">
        <v>5005</v>
      </c>
      <c r="E996" s="20" t="s">
        <v>2059</v>
      </c>
      <c r="F996" s="20" t="s">
        <v>2423</v>
      </c>
      <c r="G996" s="27"/>
      <c r="H996" s="20"/>
      <c r="I996" s="29"/>
      <c r="J996" s="29"/>
      <c r="K996" s="27"/>
      <c r="L996" s="27"/>
      <c r="M996" s="27" t="s">
        <v>7881</v>
      </c>
      <c r="N996" s="27"/>
      <c r="O996" s="29" t="s">
        <v>7882</v>
      </c>
      <c r="P996" s="27"/>
      <c r="Q996" s="27"/>
      <c r="R996" s="29"/>
      <c r="S996" s="29"/>
      <c r="T996" s="29"/>
      <c r="U996" s="27"/>
      <c r="V996" s="27"/>
      <c r="W996" s="27"/>
      <c r="X996" s="64"/>
      <c r="Y996" s="64"/>
      <c r="Z996" s="64"/>
      <c r="AA996" s="64"/>
      <c r="AB996" s="27"/>
      <c r="AC996" s="27"/>
    </row>
    <row r="997" spans="1:29" s="28" customFormat="1" x14ac:dyDescent="0.3">
      <c r="A997" s="27" t="s">
        <v>7883</v>
      </c>
      <c r="B997" s="27" t="s">
        <v>2273</v>
      </c>
      <c r="C997" s="29"/>
      <c r="D997" s="28" t="s">
        <v>5005</v>
      </c>
      <c r="E997" s="20" t="s">
        <v>2059</v>
      </c>
      <c r="F997" s="20" t="s">
        <v>2560</v>
      </c>
      <c r="G997" s="27"/>
      <c r="H997" s="20"/>
      <c r="I997" s="29"/>
      <c r="J997" s="29"/>
      <c r="K997" s="27"/>
      <c r="L997" s="27"/>
      <c r="M997" s="27" t="s">
        <v>7884</v>
      </c>
      <c r="N997" s="27"/>
      <c r="O997" s="29" t="s">
        <v>7885</v>
      </c>
      <c r="P997" s="27"/>
      <c r="Q997" s="27"/>
      <c r="R997" s="29"/>
      <c r="S997" s="29"/>
      <c r="T997" s="29"/>
      <c r="U997" s="27"/>
      <c r="V997" s="27"/>
      <c r="W997" s="27"/>
      <c r="X997" s="64"/>
      <c r="Y997" s="64"/>
      <c r="Z997" s="64"/>
      <c r="AA997" s="64"/>
      <c r="AB997" s="27"/>
      <c r="AC997" s="27"/>
    </row>
    <row r="998" spans="1:29" s="25" customFormat="1" x14ac:dyDescent="0.3">
      <c r="A998" s="24">
        <v>501</v>
      </c>
      <c r="B998" s="24" t="s">
        <v>2272</v>
      </c>
      <c r="C998" s="26">
        <v>285</v>
      </c>
      <c r="D998" s="25" t="s">
        <v>1099</v>
      </c>
      <c r="E998" s="19" t="s">
        <v>3895</v>
      </c>
      <c r="F998" s="19"/>
      <c r="G998" s="24"/>
      <c r="H998" s="19" t="s">
        <v>2058</v>
      </c>
      <c r="I998" s="26" t="s">
        <v>37</v>
      </c>
      <c r="J998" s="26" t="s">
        <v>37</v>
      </c>
      <c r="K998" s="24"/>
      <c r="L998" s="24" t="s">
        <v>3896</v>
      </c>
      <c r="M998" s="24" t="s">
        <v>5572</v>
      </c>
      <c r="N998" s="24"/>
      <c r="O998" s="26"/>
      <c r="P998" s="24"/>
      <c r="Q998" s="24"/>
      <c r="R998" s="26"/>
      <c r="S998" s="26"/>
      <c r="T998" s="26"/>
      <c r="U998" s="24"/>
      <c r="V998" s="24"/>
      <c r="W998" s="24"/>
      <c r="X998" s="63"/>
      <c r="Y998" s="63"/>
      <c r="Z998" s="63"/>
      <c r="AA998" s="63"/>
      <c r="AB998" s="24"/>
      <c r="AC998" s="24"/>
    </row>
    <row r="999" spans="1:29" s="28" customFormat="1" x14ac:dyDescent="0.3">
      <c r="A999" s="27" t="s">
        <v>6328</v>
      </c>
      <c r="B999" s="27" t="s">
        <v>2273</v>
      </c>
      <c r="C999" s="29"/>
      <c r="D999" s="28" t="s">
        <v>5006</v>
      </c>
      <c r="E999" s="20" t="s">
        <v>3895</v>
      </c>
      <c r="F999" s="20" t="s">
        <v>4667</v>
      </c>
      <c r="G999" s="27"/>
      <c r="H999" s="20"/>
      <c r="I999" s="29"/>
      <c r="J999" s="29"/>
      <c r="K999" s="27"/>
      <c r="L999" s="27"/>
      <c r="M999" s="27" t="s">
        <v>7886</v>
      </c>
      <c r="N999" s="27"/>
      <c r="O999" s="29" t="s">
        <v>7887</v>
      </c>
      <c r="P999" s="27"/>
      <c r="Q999" s="27"/>
      <c r="R999" s="29"/>
      <c r="S999" s="29"/>
      <c r="T999" s="29"/>
      <c r="U999" s="27"/>
      <c r="V999" s="27"/>
      <c r="W999" s="27"/>
      <c r="X999" s="64"/>
      <c r="Y999" s="64"/>
      <c r="Z999" s="64"/>
      <c r="AA999" s="64"/>
      <c r="AB999" s="27"/>
      <c r="AC999" s="27"/>
    </row>
    <row r="1000" spans="1:29" s="25" customFormat="1" x14ac:dyDescent="0.3">
      <c r="A1000" s="24">
        <v>502</v>
      </c>
      <c r="B1000" s="24" t="s">
        <v>2272</v>
      </c>
      <c r="C1000" s="26">
        <v>285</v>
      </c>
      <c r="D1000" s="25" t="s">
        <v>1103</v>
      </c>
      <c r="E1000" s="19" t="s">
        <v>1104</v>
      </c>
      <c r="F1000" s="19"/>
      <c r="G1000" s="24"/>
      <c r="H1000" s="19"/>
      <c r="I1000" s="26" t="s">
        <v>37</v>
      </c>
      <c r="J1000" s="26" t="s">
        <v>37</v>
      </c>
      <c r="K1000" s="24"/>
      <c r="L1000" s="24" t="s">
        <v>3898</v>
      </c>
      <c r="M1000" s="24" t="s">
        <v>4446</v>
      </c>
      <c r="N1000" s="24"/>
      <c r="O1000" s="26"/>
      <c r="P1000" s="24"/>
      <c r="Q1000" s="24"/>
      <c r="R1000" s="26"/>
      <c r="S1000" s="26"/>
      <c r="T1000" s="26"/>
      <c r="U1000" s="24"/>
      <c r="V1000" s="24"/>
      <c r="W1000" s="24"/>
      <c r="X1000" s="63"/>
      <c r="Y1000" s="63"/>
      <c r="Z1000" s="63"/>
      <c r="AA1000" s="63"/>
      <c r="AB1000" s="24"/>
      <c r="AC1000" s="24"/>
    </row>
    <row r="1001" spans="1:29" s="28" customFormat="1" x14ac:dyDescent="0.3">
      <c r="A1001" s="27" t="s">
        <v>7888</v>
      </c>
      <c r="B1001" s="27" t="s">
        <v>2273</v>
      </c>
      <c r="C1001" s="29"/>
      <c r="D1001" s="28" t="s">
        <v>5007</v>
      </c>
      <c r="E1001" s="20" t="s">
        <v>1104</v>
      </c>
      <c r="F1001" s="20" t="s">
        <v>2717</v>
      </c>
      <c r="G1001" s="27"/>
      <c r="H1001" s="20"/>
      <c r="I1001" s="29"/>
      <c r="J1001" s="29"/>
      <c r="K1001" s="27"/>
      <c r="L1001" s="27"/>
      <c r="M1001" s="27" t="s">
        <v>7889</v>
      </c>
      <c r="N1001" s="27"/>
      <c r="O1001" s="29" t="s">
        <v>7890</v>
      </c>
      <c r="P1001" s="27"/>
      <c r="Q1001" s="27"/>
      <c r="R1001" s="29"/>
      <c r="S1001" s="29"/>
      <c r="T1001" s="29"/>
      <c r="U1001" s="27"/>
      <c r="V1001" s="27"/>
      <c r="W1001" s="27"/>
      <c r="X1001" s="64"/>
      <c r="Y1001" s="64"/>
      <c r="Z1001" s="64"/>
      <c r="AA1001" s="64"/>
      <c r="AB1001" s="27"/>
      <c r="AC1001" s="27"/>
    </row>
    <row r="1002" spans="1:29" s="25" customFormat="1" x14ac:dyDescent="0.3">
      <c r="A1002" s="24">
        <v>503</v>
      </c>
      <c r="B1002" s="24" t="s">
        <v>2272</v>
      </c>
      <c r="C1002" s="26">
        <v>285</v>
      </c>
      <c r="D1002" s="25" t="s">
        <v>1105</v>
      </c>
      <c r="E1002" s="19" t="s">
        <v>1106</v>
      </c>
      <c r="F1002" s="19"/>
      <c r="G1002" s="24"/>
      <c r="H1002" s="19"/>
      <c r="I1002" s="26" t="s">
        <v>57</v>
      </c>
      <c r="J1002" s="26" t="s">
        <v>57</v>
      </c>
      <c r="K1002" s="24"/>
      <c r="L1002" s="24" t="s">
        <v>3900</v>
      </c>
      <c r="M1002" s="24" t="s">
        <v>5223</v>
      </c>
      <c r="N1002" s="24"/>
      <c r="O1002" s="26" t="s">
        <v>2060</v>
      </c>
      <c r="P1002" s="24"/>
      <c r="Q1002" s="24"/>
      <c r="R1002" s="26"/>
      <c r="S1002" s="26"/>
      <c r="T1002" s="26"/>
      <c r="U1002" s="24"/>
      <c r="V1002" s="24"/>
      <c r="W1002" s="24"/>
      <c r="X1002" s="63"/>
      <c r="Y1002" s="63"/>
      <c r="Z1002" s="63"/>
      <c r="AA1002" s="63"/>
      <c r="AB1002" s="24"/>
      <c r="AC1002" s="24"/>
    </row>
    <row r="1003" spans="1:29" s="25" customFormat="1" x14ac:dyDescent="0.3">
      <c r="A1003" s="24">
        <v>504</v>
      </c>
      <c r="B1003" s="24" t="s">
        <v>2272</v>
      </c>
      <c r="C1003" s="26">
        <v>285</v>
      </c>
      <c r="D1003" s="25" t="s">
        <v>2959</v>
      </c>
      <c r="E1003" s="19" t="s">
        <v>2960</v>
      </c>
      <c r="F1003" s="19"/>
      <c r="G1003" s="24"/>
      <c r="H1003" s="19"/>
      <c r="I1003" s="26" t="s">
        <v>49</v>
      </c>
      <c r="J1003" s="26" t="s">
        <v>5121</v>
      </c>
      <c r="K1003" s="24" t="s">
        <v>49</v>
      </c>
      <c r="L1003" s="24" t="s">
        <v>3078</v>
      </c>
      <c r="M1003" s="24" t="s">
        <v>2961</v>
      </c>
      <c r="N1003" s="24"/>
      <c r="O1003" s="26"/>
      <c r="P1003" s="24" t="s">
        <v>6446</v>
      </c>
      <c r="Q1003" s="24"/>
      <c r="R1003" s="26"/>
      <c r="S1003" s="26"/>
      <c r="T1003" s="26"/>
      <c r="U1003" s="24"/>
      <c r="V1003" s="24"/>
      <c r="W1003" s="24"/>
      <c r="X1003" s="63"/>
      <c r="Y1003" s="63"/>
      <c r="Z1003" s="63"/>
      <c r="AA1003" s="63"/>
      <c r="AB1003" s="24"/>
      <c r="AC1003" s="24"/>
    </row>
    <row r="1004" spans="1:29" s="28" customFormat="1" x14ac:dyDescent="0.3">
      <c r="A1004" s="27" t="s">
        <v>7891</v>
      </c>
      <c r="B1004" s="27" t="s">
        <v>2273</v>
      </c>
      <c r="C1004" s="29"/>
      <c r="D1004" s="28" t="s">
        <v>5008</v>
      </c>
      <c r="E1004" s="20" t="s">
        <v>2960</v>
      </c>
      <c r="F1004" s="20" t="s">
        <v>2332</v>
      </c>
      <c r="G1004" s="27"/>
      <c r="H1004" s="20"/>
      <c r="I1004" s="29"/>
      <c r="J1004" s="29"/>
      <c r="K1004" s="27"/>
      <c r="L1004" s="27"/>
      <c r="M1004" s="27" t="s">
        <v>7892</v>
      </c>
      <c r="N1004" s="27"/>
      <c r="O1004" s="29" t="s">
        <v>7893</v>
      </c>
      <c r="P1004" s="27"/>
      <c r="Q1004" s="27"/>
      <c r="R1004" s="29"/>
      <c r="S1004" s="29"/>
      <c r="T1004" s="29"/>
      <c r="U1004" s="27"/>
      <c r="V1004" s="27"/>
      <c r="W1004" s="27"/>
      <c r="X1004" s="64"/>
      <c r="Y1004" s="64"/>
      <c r="Z1004" s="64"/>
      <c r="AA1004" s="64"/>
      <c r="AB1004" s="27"/>
      <c r="AC1004" s="27"/>
    </row>
    <row r="1005" spans="1:29" s="25" customFormat="1" x14ac:dyDescent="0.3">
      <c r="A1005" s="24">
        <v>505</v>
      </c>
      <c r="B1005" s="24" t="s">
        <v>2272</v>
      </c>
      <c r="C1005" s="26">
        <v>285</v>
      </c>
      <c r="D1005" s="25" t="s">
        <v>1101</v>
      </c>
      <c r="E1005" s="19" t="s">
        <v>1102</v>
      </c>
      <c r="F1005" s="19"/>
      <c r="G1005" s="24"/>
      <c r="H1005" s="19"/>
      <c r="I1005" s="26" t="s">
        <v>37</v>
      </c>
      <c r="J1005" s="26" t="s">
        <v>57</v>
      </c>
      <c r="K1005" s="24"/>
      <c r="L1005" s="24" t="s">
        <v>3903</v>
      </c>
      <c r="M1005" s="24" t="s">
        <v>5573</v>
      </c>
      <c r="N1005" s="24"/>
      <c r="O1005" s="26"/>
      <c r="P1005" s="24"/>
      <c r="Q1005" s="24"/>
      <c r="R1005" s="26"/>
      <c r="S1005" s="26"/>
      <c r="T1005" s="26"/>
      <c r="U1005" s="24"/>
      <c r="V1005" s="24"/>
      <c r="W1005" s="24"/>
      <c r="X1005" s="63"/>
      <c r="Y1005" s="63"/>
      <c r="Z1005" s="63"/>
      <c r="AA1005" s="63"/>
      <c r="AB1005" s="24"/>
      <c r="AC1005" s="24"/>
    </row>
    <row r="1006" spans="1:29" s="28" customFormat="1" x14ac:dyDescent="0.3">
      <c r="A1006" s="27" t="s">
        <v>7894</v>
      </c>
      <c r="B1006" s="27" t="s">
        <v>2273</v>
      </c>
      <c r="C1006" s="29">
        <v>285</v>
      </c>
      <c r="D1006" s="28" t="s">
        <v>5009</v>
      </c>
      <c r="E1006" s="20" t="s">
        <v>1102</v>
      </c>
      <c r="F1006" s="20" t="s">
        <v>2716</v>
      </c>
      <c r="G1006" s="27" t="s">
        <v>4668</v>
      </c>
      <c r="H1006" s="20" t="s">
        <v>4669</v>
      </c>
      <c r="I1006" s="29"/>
      <c r="J1006" s="29" t="s">
        <v>57</v>
      </c>
      <c r="K1006" s="27"/>
      <c r="L1006" s="27" t="s">
        <v>3903</v>
      </c>
      <c r="M1006" s="27" t="s">
        <v>7895</v>
      </c>
      <c r="N1006" s="27"/>
      <c r="O1006" s="29" t="s">
        <v>7896</v>
      </c>
      <c r="P1006" s="27"/>
      <c r="Q1006" s="27"/>
      <c r="R1006" s="29"/>
      <c r="S1006" s="29"/>
      <c r="T1006" s="29"/>
      <c r="U1006" s="27"/>
      <c r="V1006" s="27"/>
      <c r="W1006" s="27"/>
      <c r="X1006" s="64"/>
      <c r="Y1006" s="64"/>
      <c r="Z1006" s="64"/>
      <c r="AA1006" s="64"/>
      <c r="AB1006" s="27"/>
      <c r="AC1006" s="27"/>
    </row>
    <row r="1007" spans="1:29" s="28" customFormat="1" x14ac:dyDescent="0.3">
      <c r="A1007" s="27" t="s">
        <v>7897</v>
      </c>
      <c r="B1007" s="27" t="s">
        <v>2273</v>
      </c>
      <c r="C1007" s="29">
        <v>285</v>
      </c>
      <c r="D1007" s="28" t="s">
        <v>5009</v>
      </c>
      <c r="E1007" s="20" t="s">
        <v>1102</v>
      </c>
      <c r="F1007" s="20" t="s">
        <v>2578</v>
      </c>
      <c r="G1007" s="27" t="s">
        <v>4668</v>
      </c>
      <c r="H1007" s="20" t="s">
        <v>4669</v>
      </c>
      <c r="I1007" s="29"/>
      <c r="J1007" s="29" t="s">
        <v>57</v>
      </c>
      <c r="K1007" s="27"/>
      <c r="L1007" s="27" t="s">
        <v>3903</v>
      </c>
      <c r="M1007" s="27" t="s">
        <v>7629</v>
      </c>
      <c r="N1007" s="27"/>
      <c r="O1007" s="29" t="s">
        <v>7898</v>
      </c>
      <c r="P1007" s="27"/>
      <c r="Q1007" s="27"/>
      <c r="R1007" s="29"/>
      <c r="S1007" s="29"/>
      <c r="T1007" s="29"/>
      <c r="U1007" s="27"/>
      <c r="V1007" s="27"/>
      <c r="W1007" s="27"/>
      <c r="X1007" s="64"/>
      <c r="Y1007" s="64"/>
      <c r="Z1007" s="64"/>
      <c r="AA1007" s="64"/>
      <c r="AB1007" s="27"/>
      <c r="AC1007" s="27"/>
    </row>
    <row r="1008" spans="1:29" s="28" customFormat="1" x14ac:dyDescent="0.3">
      <c r="A1008" s="27" t="s">
        <v>7899</v>
      </c>
      <c r="B1008" s="27" t="s">
        <v>2273</v>
      </c>
      <c r="C1008" s="29">
        <v>285</v>
      </c>
      <c r="D1008" s="28" t="s">
        <v>5009</v>
      </c>
      <c r="E1008" s="20" t="s">
        <v>1102</v>
      </c>
      <c r="F1008" s="20" t="s">
        <v>2360</v>
      </c>
      <c r="G1008" s="27" t="s">
        <v>4668</v>
      </c>
      <c r="H1008" s="20" t="s">
        <v>4669</v>
      </c>
      <c r="I1008" s="29"/>
      <c r="J1008" s="29" t="s">
        <v>57</v>
      </c>
      <c r="K1008" s="27"/>
      <c r="L1008" s="27" t="s">
        <v>3903</v>
      </c>
      <c r="M1008" s="27" t="s">
        <v>7598</v>
      </c>
      <c r="N1008" s="27"/>
      <c r="O1008" s="29" t="s">
        <v>7900</v>
      </c>
      <c r="P1008" s="27"/>
      <c r="Q1008" s="27"/>
      <c r="R1008" s="29"/>
      <c r="S1008" s="29"/>
      <c r="T1008" s="29"/>
      <c r="U1008" s="27"/>
      <c r="V1008" s="27"/>
      <c r="W1008" s="27"/>
      <c r="X1008" s="64"/>
      <c r="Y1008" s="64"/>
      <c r="Z1008" s="64"/>
      <c r="AA1008" s="64"/>
      <c r="AB1008" s="27"/>
      <c r="AC1008" s="27"/>
    </row>
    <row r="1009" spans="1:29" s="25" customFormat="1" x14ac:dyDescent="0.3">
      <c r="A1009" s="24">
        <v>506</v>
      </c>
      <c r="B1009" s="24" t="s">
        <v>2272</v>
      </c>
      <c r="C1009" s="26">
        <v>279</v>
      </c>
      <c r="D1009" s="25" t="s">
        <v>1128</v>
      </c>
      <c r="E1009" s="19" t="s">
        <v>1129</v>
      </c>
      <c r="F1009" s="19"/>
      <c r="G1009" s="24" t="s">
        <v>2072</v>
      </c>
      <c r="H1009" s="19"/>
      <c r="I1009" s="26" t="s">
        <v>37</v>
      </c>
      <c r="J1009" s="26" t="s">
        <v>37</v>
      </c>
      <c r="K1009" s="24"/>
      <c r="L1009" s="24" t="s">
        <v>3905</v>
      </c>
      <c r="M1009" s="24" t="s">
        <v>1130</v>
      </c>
      <c r="N1009" s="24"/>
      <c r="O1009" s="26"/>
      <c r="P1009" s="24"/>
      <c r="Q1009" s="24"/>
      <c r="R1009" s="26"/>
      <c r="S1009" s="26"/>
      <c r="T1009" s="26"/>
      <c r="U1009" s="24"/>
      <c r="V1009" s="24"/>
      <c r="W1009" s="24"/>
      <c r="X1009" s="63"/>
      <c r="Y1009" s="63"/>
      <c r="Z1009" s="63"/>
      <c r="AA1009" s="63"/>
      <c r="AB1009" s="24"/>
      <c r="AC1009" s="24"/>
    </row>
    <row r="1010" spans="1:29" s="28" customFormat="1" x14ac:dyDescent="0.3">
      <c r="A1010" s="27" t="s">
        <v>7901</v>
      </c>
      <c r="B1010" s="27" t="s">
        <v>2273</v>
      </c>
      <c r="C1010" s="29"/>
      <c r="D1010" s="28" t="s">
        <v>5010</v>
      </c>
      <c r="E1010" s="20" t="s">
        <v>1129</v>
      </c>
      <c r="F1010" s="20" t="s">
        <v>2730</v>
      </c>
      <c r="G1010" s="27"/>
      <c r="H1010" s="20"/>
      <c r="I1010" s="29"/>
      <c r="J1010" s="29"/>
      <c r="K1010" s="27"/>
      <c r="L1010" s="27"/>
      <c r="M1010" s="27" t="s">
        <v>7444</v>
      </c>
      <c r="N1010" s="27"/>
      <c r="O1010" s="29" t="s">
        <v>7902</v>
      </c>
      <c r="P1010" s="27"/>
      <c r="Q1010" s="27"/>
      <c r="R1010" s="29"/>
      <c r="S1010" s="29"/>
      <c r="T1010" s="29"/>
      <c r="U1010" s="27"/>
      <c r="V1010" s="27"/>
      <c r="W1010" s="27"/>
      <c r="X1010" s="64"/>
      <c r="Y1010" s="64"/>
      <c r="Z1010" s="64"/>
      <c r="AA1010" s="64"/>
      <c r="AB1010" s="27"/>
      <c r="AC1010" s="27"/>
    </row>
    <row r="1011" spans="1:29" s="25" customFormat="1" x14ac:dyDescent="0.3">
      <c r="A1011" s="24">
        <v>507</v>
      </c>
      <c r="B1011" s="24" t="s">
        <v>2272</v>
      </c>
      <c r="C1011" s="26">
        <v>279</v>
      </c>
      <c r="D1011" s="25" t="s">
        <v>1131</v>
      </c>
      <c r="E1011" s="19" t="s">
        <v>1132</v>
      </c>
      <c r="F1011" s="19"/>
      <c r="G1011" s="24" t="s">
        <v>2075</v>
      </c>
      <c r="H1011" s="19"/>
      <c r="I1011" s="26" t="s">
        <v>89</v>
      </c>
      <c r="J1011" s="26" t="s">
        <v>37</v>
      </c>
      <c r="K1011" s="24"/>
      <c r="L1011" s="24" t="s">
        <v>3907</v>
      </c>
      <c r="M1011" s="24" t="s">
        <v>242</v>
      </c>
      <c r="N1011" s="24"/>
      <c r="O1011" s="26"/>
      <c r="P1011" s="24"/>
      <c r="Q1011" s="24"/>
      <c r="R1011" s="26"/>
      <c r="S1011" s="26"/>
      <c r="T1011" s="26"/>
      <c r="U1011" s="24"/>
      <c r="V1011" s="24"/>
      <c r="W1011" s="24"/>
      <c r="X1011" s="63"/>
      <c r="Y1011" s="63"/>
      <c r="Z1011" s="63"/>
      <c r="AA1011" s="63"/>
      <c r="AB1011" s="24"/>
      <c r="AC1011" s="24"/>
    </row>
    <row r="1012" spans="1:29" s="28" customFormat="1" x14ac:dyDescent="0.3">
      <c r="A1012" s="27" t="s">
        <v>6329</v>
      </c>
      <c r="B1012" s="27" t="s">
        <v>2273</v>
      </c>
      <c r="C1012" s="29"/>
      <c r="D1012" s="28" t="s">
        <v>5011</v>
      </c>
      <c r="E1012" s="20" t="s">
        <v>1132</v>
      </c>
      <c r="F1012" s="20" t="s">
        <v>2731</v>
      </c>
      <c r="G1012" s="27"/>
      <c r="H1012" s="20"/>
      <c r="I1012" s="29"/>
      <c r="J1012" s="29"/>
      <c r="K1012" s="27"/>
      <c r="L1012" s="27"/>
      <c r="M1012" s="27" t="s">
        <v>7903</v>
      </c>
      <c r="N1012" s="27" t="s">
        <v>7904</v>
      </c>
      <c r="O1012" s="29" t="s">
        <v>7905</v>
      </c>
      <c r="P1012" s="27"/>
      <c r="Q1012" s="27"/>
      <c r="R1012" s="29"/>
      <c r="S1012" s="29"/>
      <c r="T1012" s="29"/>
      <c r="U1012" s="27"/>
      <c r="V1012" s="27"/>
      <c r="W1012" s="27"/>
      <c r="X1012" s="64"/>
      <c r="Y1012" s="64"/>
      <c r="Z1012" s="64"/>
      <c r="AA1012" s="64"/>
      <c r="AB1012" s="27"/>
      <c r="AC1012" s="27"/>
    </row>
    <row r="1013" spans="1:29" s="25" customFormat="1" x14ac:dyDescent="0.3">
      <c r="A1013" s="24">
        <v>508</v>
      </c>
      <c r="B1013" s="24" t="s">
        <v>2272</v>
      </c>
      <c r="C1013" s="26">
        <v>277</v>
      </c>
      <c r="D1013" s="25" t="s">
        <v>1135</v>
      </c>
      <c r="E1013" s="19" t="s">
        <v>1136</v>
      </c>
      <c r="F1013" s="19"/>
      <c r="G1013" s="24" t="s">
        <v>2076</v>
      </c>
      <c r="H1013" s="19" t="s">
        <v>2077</v>
      </c>
      <c r="I1013" s="26" t="s">
        <v>37</v>
      </c>
      <c r="J1013" s="26" t="s">
        <v>37</v>
      </c>
      <c r="K1013" s="24"/>
      <c r="L1013" s="24" t="s">
        <v>3233</v>
      </c>
      <c r="M1013" s="24" t="s">
        <v>5574</v>
      </c>
      <c r="N1013" s="24"/>
      <c r="O1013" s="26"/>
      <c r="P1013" s="24"/>
      <c r="Q1013" s="24"/>
      <c r="R1013" s="26"/>
      <c r="S1013" s="26"/>
      <c r="T1013" s="26"/>
      <c r="U1013" s="24"/>
      <c r="V1013" s="24"/>
      <c r="W1013" s="24"/>
      <c r="X1013" s="63"/>
      <c r="Y1013" s="63"/>
      <c r="Z1013" s="63"/>
      <c r="AA1013" s="63"/>
      <c r="AB1013" s="24"/>
      <c r="AC1013" s="24"/>
    </row>
    <row r="1014" spans="1:29" s="28" customFormat="1" x14ac:dyDescent="0.3">
      <c r="A1014" s="27" t="s">
        <v>6330</v>
      </c>
      <c r="B1014" s="27" t="s">
        <v>2273</v>
      </c>
      <c r="C1014" s="29">
        <v>277</v>
      </c>
      <c r="D1014" s="28" t="s">
        <v>5013</v>
      </c>
      <c r="E1014" s="20" t="s">
        <v>1136</v>
      </c>
      <c r="F1014" s="20" t="s">
        <v>2509</v>
      </c>
      <c r="G1014" s="27" t="s">
        <v>2076</v>
      </c>
      <c r="H1014" s="20" t="s">
        <v>4673</v>
      </c>
      <c r="I1014" s="29"/>
      <c r="J1014" s="29" t="s">
        <v>37</v>
      </c>
      <c r="K1014" s="27"/>
      <c r="L1014" s="27" t="s">
        <v>3233</v>
      </c>
      <c r="M1014" s="27" t="s">
        <v>7906</v>
      </c>
      <c r="N1014" s="27"/>
      <c r="O1014" s="29" t="s">
        <v>7907</v>
      </c>
      <c r="P1014" s="27"/>
      <c r="Q1014" s="27"/>
      <c r="R1014" s="29"/>
      <c r="S1014" s="29"/>
      <c r="T1014" s="29"/>
      <c r="U1014" s="27"/>
      <c r="V1014" s="27"/>
      <c r="W1014" s="27"/>
      <c r="X1014" s="64"/>
      <c r="Y1014" s="64"/>
      <c r="Z1014" s="64"/>
      <c r="AA1014" s="64"/>
      <c r="AB1014" s="27"/>
      <c r="AC1014" s="27"/>
    </row>
    <row r="1015" spans="1:29" s="25" customFormat="1" x14ac:dyDescent="0.3">
      <c r="A1015" s="24">
        <v>509</v>
      </c>
      <c r="B1015" s="24" t="s">
        <v>2272</v>
      </c>
      <c r="C1015" s="26">
        <v>279</v>
      </c>
      <c r="D1015" s="25" t="s">
        <v>1133</v>
      </c>
      <c r="E1015" s="19" t="s">
        <v>1134</v>
      </c>
      <c r="F1015" s="19"/>
      <c r="G1015" s="24"/>
      <c r="H1015" s="19"/>
      <c r="I1015" s="26" t="s">
        <v>89</v>
      </c>
      <c r="J1015" s="26" t="s">
        <v>37</v>
      </c>
      <c r="K1015" s="24"/>
      <c r="L1015" s="24" t="s">
        <v>4670</v>
      </c>
      <c r="M1015" s="24" t="s">
        <v>5575</v>
      </c>
      <c r="N1015" s="24"/>
      <c r="O1015" s="26"/>
      <c r="P1015" s="24"/>
      <c r="Q1015" s="24"/>
      <c r="R1015" s="26"/>
      <c r="S1015" s="26"/>
      <c r="T1015" s="26"/>
      <c r="U1015" s="24"/>
      <c r="V1015" s="24"/>
      <c r="W1015" s="24"/>
      <c r="X1015" s="63"/>
      <c r="Y1015" s="63"/>
      <c r="Z1015" s="63"/>
      <c r="AA1015" s="63"/>
      <c r="AB1015" s="24"/>
      <c r="AC1015" s="24"/>
    </row>
    <row r="1016" spans="1:29" s="28" customFormat="1" x14ac:dyDescent="0.3">
      <c r="A1016" s="27" t="s">
        <v>7908</v>
      </c>
      <c r="B1016" s="27" t="s">
        <v>2273</v>
      </c>
      <c r="C1016" s="29">
        <v>279</v>
      </c>
      <c r="D1016" s="28" t="s">
        <v>5012</v>
      </c>
      <c r="E1016" s="20" t="s">
        <v>1134</v>
      </c>
      <c r="F1016" s="20" t="s">
        <v>2732</v>
      </c>
      <c r="G1016" s="27" t="s">
        <v>4671</v>
      </c>
      <c r="H1016" s="20" t="s">
        <v>4672</v>
      </c>
      <c r="I1016" s="29"/>
      <c r="J1016" s="29" t="s">
        <v>37</v>
      </c>
      <c r="K1016" s="27"/>
      <c r="L1016" s="27" t="s">
        <v>4670</v>
      </c>
      <c r="M1016" s="27" t="s">
        <v>7909</v>
      </c>
      <c r="N1016" s="27" t="s">
        <v>7910</v>
      </c>
      <c r="O1016" s="29" t="s">
        <v>7911</v>
      </c>
      <c r="P1016" s="27"/>
      <c r="Q1016" s="27"/>
      <c r="R1016" s="29"/>
      <c r="S1016" s="29"/>
      <c r="T1016" s="29"/>
      <c r="U1016" s="27"/>
      <c r="V1016" s="27"/>
      <c r="W1016" s="27"/>
      <c r="X1016" s="64"/>
      <c r="Y1016" s="64"/>
      <c r="Z1016" s="64"/>
      <c r="AA1016" s="64"/>
      <c r="AB1016" s="27"/>
      <c r="AC1016" s="27"/>
    </row>
    <row r="1017" spans="1:29" s="28" customFormat="1" x14ac:dyDescent="0.3">
      <c r="A1017" s="27" t="s">
        <v>6331</v>
      </c>
      <c r="B1017" s="27" t="s">
        <v>2273</v>
      </c>
      <c r="C1017" s="29">
        <v>279</v>
      </c>
      <c r="D1017" s="28" t="s">
        <v>5012</v>
      </c>
      <c r="E1017" s="20" t="s">
        <v>1134</v>
      </c>
      <c r="F1017" s="20" t="s">
        <v>2661</v>
      </c>
      <c r="G1017" s="27" t="s">
        <v>4671</v>
      </c>
      <c r="H1017" s="20" t="s">
        <v>4672</v>
      </c>
      <c r="I1017" s="29"/>
      <c r="J1017" s="29" t="s">
        <v>37</v>
      </c>
      <c r="K1017" s="27"/>
      <c r="L1017" s="27" t="s">
        <v>4670</v>
      </c>
      <c r="M1017" s="27" t="s">
        <v>6722</v>
      </c>
      <c r="N1017" s="27" t="s">
        <v>7904</v>
      </c>
      <c r="O1017" s="29"/>
      <c r="P1017" s="27"/>
      <c r="Q1017" s="27"/>
      <c r="R1017" s="29"/>
      <c r="S1017" s="29"/>
      <c r="T1017" s="29"/>
      <c r="U1017" s="27"/>
      <c r="V1017" s="27"/>
      <c r="W1017" s="27"/>
      <c r="X1017" s="64"/>
      <c r="Y1017" s="64"/>
      <c r="Z1017" s="64"/>
      <c r="AA1017" s="64"/>
      <c r="AB1017" s="27"/>
      <c r="AC1017" s="27"/>
    </row>
    <row r="1018" spans="1:29" s="25" customFormat="1" x14ac:dyDescent="0.3">
      <c r="A1018" s="24">
        <v>510</v>
      </c>
      <c r="B1018" s="24" t="s">
        <v>2272</v>
      </c>
      <c r="C1018" s="26"/>
      <c r="D1018" s="25" t="s">
        <v>6577</v>
      </c>
      <c r="E1018" s="19" t="s">
        <v>6578</v>
      </c>
      <c r="F1018" s="19"/>
      <c r="G1018" s="24"/>
      <c r="H1018" s="19"/>
      <c r="I1018" s="26" t="s">
        <v>49</v>
      </c>
      <c r="J1018" s="26"/>
      <c r="K1018" s="24" t="s">
        <v>49</v>
      </c>
      <c r="L1018" s="24"/>
      <c r="M1018" s="24" t="s">
        <v>5561</v>
      </c>
      <c r="N1018" s="24" t="s">
        <v>6684</v>
      </c>
      <c r="O1018" s="26" t="s">
        <v>6685</v>
      </c>
      <c r="P1018" s="24" t="s">
        <v>6579</v>
      </c>
      <c r="Q1018" s="24"/>
      <c r="R1018" s="26"/>
      <c r="S1018" s="26"/>
      <c r="T1018" s="26"/>
      <c r="U1018" s="24"/>
      <c r="V1018" s="24"/>
      <c r="W1018" s="24"/>
      <c r="X1018" s="63"/>
      <c r="Y1018" s="63"/>
      <c r="Z1018" s="63"/>
      <c r="AA1018" s="63"/>
      <c r="AB1018" s="24"/>
      <c r="AC1018" s="24"/>
    </row>
    <row r="1019" spans="1:29" s="25" customFormat="1" x14ac:dyDescent="0.3">
      <c r="A1019" s="24">
        <v>511</v>
      </c>
      <c r="B1019" s="24" t="s">
        <v>2272</v>
      </c>
      <c r="C1019" s="26">
        <v>277</v>
      </c>
      <c r="D1019" s="25" t="s">
        <v>1137</v>
      </c>
      <c r="E1019" s="19" t="s">
        <v>1138</v>
      </c>
      <c r="F1019" s="19"/>
      <c r="G1019" s="24"/>
      <c r="H1019" s="19"/>
      <c r="I1019" s="26" t="s">
        <v>49</v>
      </c>
      <c r="J1019" s="26" t="s">
        <v>5121</v>
      </c>
      <c r="K1019" s="24" t="s">
        <v>49</v>
      </c>
      <c r="L1019" s="24" t="s">
        <v>3911</v>
      </c>
      <c r="M1019" s="24" t="s">
        <v>5576</v>
      </c>
      <c r="N1019" s="24" t="s">
        <v>1759</v>
      </c>
      <c r="O1019" s="26"/>
      <c r="P1019" s="24" t="s">
        <v>6580</v>
      </c>
      <c r="Q1019" s="24"/>
      <c r="R1019" s="26"/>
      <c r="S1019" s="26"/>
      <c r="T1019" s="26"/>
      <c r="U1019" s="24"/>
      <c r="V1019" s="24"/>
      <c r="W1019" s="24"/>
      <c r="X1019" s="63"/>
      <c r="Y1019" s="63"/>
      <c r="Z1019" s="63"/>
      <c r="AA1019" s="63"/>
      <c r="AB1019" s="24"/>
      <c r="AC1019" s="24"/>
    </row>
    <row r="1020" spans="1:29" s="28" customFormat="1" x14ac:dyDescent="0.3">
      <c r="A1020" s="27" t="s">
        <v>7912</v>
      </c>
      <c r="B1020" s="27" t="s">
        <v>2273</v>
      </c>
      <c r="C1020" s="29"/>
      <c r="D1020" s="28" t="s">
        <v>5014</v>
      </c>
      <c r="E1020" s="20" t="s">
        <v>1138</v>
      </c>
      <c r="F1020" s="20" t="s">
        <v>2733</v>
      </c>
      <c r="G1020" s="27"/>
      <c r="H1020" s="20"/>
      <c r="I1020" s="29"/>
      <c r="J1020" s="29"/>
      <c r="K1020" s="27"/>
      <c r="L1020" s="27"/>
      <c r="M1020" s="27" t="s">
        <v>7913</v>
      </c>
      <c r="N1020" s="27" t="s">
        <v>7914</v>
      </c>
      <c r="O1020" s="29" t="s">
        <v>7915</v>
      </c>
      <c r="P1020" s="27"/>
      <c r="Q1020" s="27"/>
      <c r="R1020" s="29"/>
      <c r="S1020" s="29"/>
      <c r="T1020" s="29"/>
      <c r="U1020" s="27"/>
      <c r="V1020" s="27"/>
      <c r="W1020" s="27"/>
      <c r="X1020" s="64"/>
      <c r="Y1020" s="64"/>
      <c r="Z1020" s="64"/>
      <c r="AA1020" s="64"/>
      <c r="AB1020" s="27"/>
      <c r="AC1020" s="27"/>
    </row>
    <row r="1021" spans="1:29" s="25" customFormat="1" x14ac:dyDescent="0.3">
      <c r="A1021" s="24">
        <v>512</v>
      </c>
      <c r="B1021" s="24" t="s">
        <v>2272</v>
      </c>
      <c r="C1021" s="26">
        <v>277</v>
      </c>
      <c r="D1021" s="25" t="s">
        <v>1139</v>
      </c>
      <c r="E1021" s="19" t="s">
        <v>1140</v>
      </c>
      <c r="F1021" s="19"/>
      <c r="G1021" s="24"/>
      <c r="H1021" s="19" t="s">
        <v>4448</v>
      </c>
      <c r="I1021" s="26" t="s">
        <v>37</v>
      </c>
      <c r="J1021" s="26" t="s">
        <v>37</v>
      </c>
      <c r="K1021" s="24"/>
      <c r="L1021" s="24" t="s">
        <v>3913</v>
      </c>
      <c r="M1021" s="24" t="s">
        <v>84</v>
      </c>
      <c r="N1021" s="24"/>
      <c r="O1021" s="26"/>
      <c r="P1021" s="24"/>
      <c r="Q1021" s="24"/>
      <c r="R1021" s="26"/>
      <c r="S1021" s="26"/>
      <c r="T1021" s="26"/>
      <c r="U1021" s="24"/>
      <c r="V1021" s="24"/>
      <c r="W1021" s="24"/>
      <c r="X1021" s="63"/>
      <c r="Y1021" s="63"/>
      <c r="Z1021" s="63"/>
      <c r="AA1021" s="63"/>
      <c r="AB1021" s="24"/>
      <c r="AC1021" s="24"/>
    </row>
    <row r="1022" spans="1:29" s="28" customFormat="1" x14ac:dyDescent="0.3">
      <c r="A1022" s="27" t="s">
        <v>7916</v>
      </c>
      <c r="B1022" s="27" t="s">
        <v>2273</v>
      </c>
      <c r="C1022" s="29"/>
      <c r="D1022" s="28" t="s">
        <v>5015</v>
      </c>
      <c r="E1022" s="20" t="s">
        <v>1140</v>
      </c>
      <c r="F1022" s="20" t="s">
        <v>2734</v>
      </c>
      <c r="G1022" s="27"/>
      <c r="H1022" s="20"/>
      <c r="I1022" s="29"/>
      <c r="J1022" s="29"/>
      <c r="K1022" s="27"/>
      <c r="L1022" s="27"/>
      <c r="M1022" s="27" t="s">
        <v>7917</v>
      </c>
      <c r="N1022" s="27"/>
      <c r="O1022" s="29" t="s">
        <v>7918</v>
      </c>
      <c r="P1022" s="27"/>
      <c r="Q1022" s="27"/>
      <c r="R1022" s="29"/>
      <c r="S1022" s="29"/>
      <c r="T1022" s="29"/>
      <c r="U1022" s="27"/>
      <c r="V1022" s="27"/>
      <c r="W1022" s="27"/>
      <c r="X1022" s="64"/>
      <c r="Y1022" s="64"/>
      <c r="Z1022" s="64"/>
      <c r="AA1022" s="64"/>
      <c r="AB1022" s="27"/>
      <c r="AC1022" s="27"/>
    </row>
    <row r="1023" spans="1:29" s="25" customFormat="1" x14ac:dyDescent="0.3">
      <c r="A1023" s="24">
        <v>513</v>
      </c>
      <c r="B1023" s="24" t="s">
        <v>2272</v>
      </c>
      <c r="C1023" s="26">
        <v>293</v>
      </c>
      <c r="D1023" s="25" t="s">
        <v>1142</v>
      </c>
      <c r="E1023" s="19" t="s">
        <v>1143</v>
      </c>
      <c r="F1023" s="19"/>
      <c r="G1023" s="24"/>
      <c r="H1023" s="19"/>
      <c r="I1023" s="26" t="s">
        <v>37</v>
      </c>
      <c r="J1023" s="26" t="s">
        <v>37</v>
      </c>
      <c r="K1023" s="24"/>
      <c r="L1023" s="24" t="s">
        <v>3915</v>
      </c>
      <c r="M1023" s="24" t="s">
        <v>5577</v>
      </c>
      <c r="N1023" s="24"/>
      <c r="O1023" s="26"/>
      <c r="P1023" s="24"/>
      <c r="Q1023" s="24"/>
      <c r="R1023" s="26"/>
      <c r="S1023" s="26"/>
      <c r="T1023" s="26"/>
      <c r="U1023" s="24"/>
      <c r="V1023" s="24"/>
      <c r="W1023" s="24"/>
      <c r="X1023" s="63"/>
      <c r="Y1023" s="63"/>
      <c r="Z1023" s="63"/>
      <c r="AA1023" s="63"/>
      <c r="AB1023" s="24"/>
      <c r="AC1023" s="24"/>
    </row>
    <row r="1024" spans="1:29" s="28" customFormat="1" x14ac:dyDescent="0.3">
      <c r="A1024" s="27" t="s">
        <v>7919</v>
      </c>
      <c r="B1024" s="27" t="s">
        <v>2273</v>
      </c>
      <c r="C1024" s="29"/>
      <c r="D1024" s="28" t="s">
        <v>5016</v>
      </c>
      <c r="E1024" s="20" t="s">
        <v>1143</v>
      </c>
      <c r="F1024" s="20" t="s">
        <v>2735</v>
      </c>
      <c r="G1024" s="27"/>
      <c r="H1024" s="20"/>
      <c r="I1024" s="29"/>
      <c r="J1024" s="29"/>
      <c r="K1024" s="27"/>
      <c r="L1024" s="27"/>
      <c r="M1024" s="27" t="s">
        <v>7920</v>
      </c>
      <c r="N1024" s="27"/>
      <c r="O1024" s="29" t="s">
        <v>7921</v>
      </c>
      <c r="P1024" s="27"/>
      <c r="Q1024" s="27"/>
      <c r="R1024" s="29"/>
      <c r="S1024" s="29"/>
      <c r="T1024" s="29"/>
      <c r="U1024" s="27"/>
      <c r="V1024" s="27"/>
      <c r="W1024" s="27"/>
      <c r="X1024" s="64"/>
      <c r="Y1024" s="64"/>
      <c r="Z1024" s="64"/>
      <c r="AA1024" s="64"/>
      <c r="AB1024" s="27"/>
      <c r="AC1024" s="27"/>
    </row>
    <row r="1025" spans="1:29" s="28" customFormat="1" x14ac:dyDescent="0.3">
      <c r="A1025" s="27" t="s">
        <v>7922</v>
      </c>
      <c r="B1025" s="27" t="s">
        <v>2273</v>
      </c>
      <c r="C1025" s="29"/>
      <c r="D1025" s="28" t="s">
        <v>5016</v>
      </c>
      <c r="E1025" s="20" t="s">
        <v>1143</v>
      </c>
      <c r="F1025" s="20" t="s">
        <v>2702</v>
      </c>
      <c r="G1025" s="27"/>
      <c r="H1025" s="20"/>
      <c r="I1025" s="29"/>
      <c r="J1025" s="29"/>
      <c r="K1025" s="27"/>
      <c r="L1025" s="27"/>
      <c r="M1025" s="27" t="s">
        <v>7923</v>
      </c>
      <c r="N1025" s="27"/>
      <c r="O1025" s="29" t="s">
        <v>6894</v>
      </c>
      <c r="P1025" s="27"/>
      <c r="Q1025" s="27"/>
      <c r="R1025" s="29"/>
      <c r="S1025" s="29"/>
      <c r="T1025" s="29"/>
      <c r="U1025" s="27"/>
      <c r="V1025" s="27"/>
      <c r="W1025" s="27"/>
      <c r="X1025" s="64"/>
      <c r="Y1025" s="64"/>
      <c r="Z1025" s="64"/>
      <c r="AA1025" s="64"/>
      <c r="AB1025" s="27"/>
      <c r="AC1025" s="27"/>
    </row>
    <row r="1026" spans="1:29" s="25" customFormat="1" x14ac:dyDescent="0.3">
      <c r="A1026" s="24">
        <v>514</v>
      </c>
      <c r="B1026" s="24" t="s">
        <v>2272</v>
      </c>
      <c r="C1026" s="26">
        <v>293</v>
      </c>
      <c r="D1026" s="25" t="s">
        <v>1144</v>
      </c>
      <c r="E1026" s="19" t="s">
        <v>1145</v>
      </c>
      <c r="F1026" s="19"/>
      <c r="G1026" s="24"/>
      <c r="H1026" s="19"/>
      <c r="I1026" s="26" t="s">
        <v>57</v>
      </c>
      <c r="J1026" s="26" t="s">
        <v>57</v>
      </c>
      <c r="K1026" s="24"/>
      <c r="L1026" s="24" t="s">
        <v>3788</v>
      </c>
      <c r="M1026" s="24" t="s">
        <v>5470</v>
      </c>
      <c r="N1026" s="24"/>
      <c r="O1026" s="26" t="s">
        <v>1993</v>
      </c>
      <c r="P1026" s="24"/>
      <c r="Q1026" s="24"/>
      <c r="R1026" s="26"/>
      <c r="S1026" s="26"/>
      <c r="T1026" s="26"/>
      <c r="U1026" s="24"/>
      <c r="V1026" s="24"/>
      <c r="W1026" s="24"/>
      <c r="X1026" s="63"/>
      <c r="Y1026" s="63"/>
      <c r="Z1026" s="63"/>
      <c r="AA1026" s="63"/>
      <c r="AB1026" s="24"/>
      <c r="AC1026" s="24"/>
    </row>
    <row r="1027" spans="1:29" s="25" customFormat="1" x14ac:dyDescent="0.3">
      <c r="A1027" s="24">
        <v>515</v>
      </c>
      <c r="B1027" s="24" t="s">
        <v>2272</v>
      </c>
      <c r="C1027" s="26">
        <v>293</v>
      </c>
      <c r="D1027" s="25" t="s">
        <v>1146</v>
      </c>
      <c r="E1027" s="19" t="s">
        <v>1147</v>
      </c>
      <c r="F1027" s="19"/>
      <c r="G1027" s="24"/>
      <c r="H1027" s="19"/>
      <c r="I1027" s="26" t="s">
        <v>57</v>
      </c>
      <c r="J1027" s="26" t="s">
        <v>57</v>
      </c>
      <c r="K1027" s="24"/>
      <c r="L1027" s="24" t="s">
        <v>3918</v>
      </c>
      <c r="M1027" s="24" t="s">
        <v>5282</v>
      </c>
      <c r="N1027" s="24"/>
      <c r="O1027" s="26" t="s">
        <v>2079</v>
      </c>
      <c r="P1027" s="24"/>
      <c r="Q1027" s="24"/>
      <c r="R1027" s="26"/>
      <c r="S1027" s="26"/>
      <c r="T1027" s="26"/>
      <c r="U1027" s="24"/>
      <c r="V1027" s="24"/>
      <c r="W1027" s="24"/>
      <c r="X1027" s="63"/>
      <c r="Y1027" s="63"/>
      <c r="Z1027" s="63"/>
      <c r="AA1027" s="63"/>
      <c r="AB1027" s="24"/>
      <c r="AC1027" s="24"/>
    </row>
    <row r="1028" spans="1:29" s="25" customFormat="1" ht="30.6" x14ac:dyDescent="0.3">
      <c r="A1028" s="24">
        <v>516</v>
      </c>
      <c r="B1028" s="24" t="s">
        <v>2272</v>
      </c>
      <c r="C1028" s="26">
        <v>295</v>
      </c>
      <c r="D1028" s="25" t="s">
        <v>1148</v>
      </c>
      <c r="E1028" s="19" t="s">
        <v>1149</v>
      </c>
      <c r="F1028" s="19"/>
      <c r="G1028" s="24" t="s">
        <v>2083</v>
      </c>
      <c r="H1028" s="19"/>
      <c r="I1028" s="26" t="s">
        <v>89</v>
      </c>
      <c r="J1028" s="26" t="s">
        <v>37</v>
      </c>
      <c r="K1028" s="24" t="s">
        <v>4450</v>
      </c>
      <c r="L1028" s="103" t="s">
        <v>3920</v>
      </c>
      <c r="M1028" s="24" t="s">
        <v>5578</v>
      </c>
      <c r="N1028" s="24" t="s">
        <v>5579</v>
      </c>
      <c r="O1028" s="26"/>
      <c r="P1028" s="24"/>
      <c r="Q1028" s="24"/>
      <c r="R1028" s="26"/>
      <c r="S1028" s="26"/>
      <c r="T1028" s="26"/>
      <c r="U1028" s="24"/>
      <c r="V1028" s="24"/>
      <c r="W1028" s="24"/>
      <c r="X1028" s="63"/>
      <c r="Y1028" s="63"/>
      <c r="Z1028" s="63"/>
      <c r="AA1028" s="63"/>
      <c r="AB1028" s="24"/>
      <c r="AC1028" s="24"/>
    </row>
    <row r="1029" spans="1:29" s="28" customFormat="1" x14ac:dyDescent="0.3">
      <c r="A1029" s="27" t="s">
        <v>6333</v>
      </c>
      <c r="B1029" s="27" t="s">
        <v>2273</v>
      </c>
      <c r="C1029" s="29">
        <v>295</v>
      </c>
      <c r="D1029" s="28" t="s">
        <v>5017</v>
      </c>
      <c r="E1029" s="20" t="s">
        <v>1149</v>
      </c>
      <c r="F1029" s="20" t="s">
        <v>2736</v>
      </c>
      <c r="G1029" s="27" t="s">
        <v>4675</v>
      </c>
      <c r="H1029" s="20" t="s">
        <v>4676</v>
      </c>
      <c r="I1029" s="29"/>
      <c r="J1029" s="29" t="s">
        <v>37</v>
      </c>
      <c r="K1029" s="27"/>
      <c r="L1029" s="27" t="s">
        <v>4674</v>
      </c>
      <c r="M1029" s="27" t="s">
        <v>7892</v>
      </c>
      <c r="N1029" s="27" t="s">
        <v>7924</v>
      </c>
      <c r="O1029" s="29" t="s">
        <v>7925</v>
      </c>
      <c r="P1029" s="27"/>
      <c r="Q1029" s="27"/>
      <c r="R1029" s="29"/>
      <c r="S1029" s="29"/>
      <c r="T1029" s="29"/>
      <c r="U1029" s="27"/>
      <c r="V1029" s="27"/>
      <c r="W1029" s="27"/>
      <c r="X1029" s="64"/>
      <c r="Y1029" s="64"/>
      <c r="Z1029" s="64"/>
      <c r="AA1029" s="64"/>
      <c r="AB1029" s="27"/>
      <c r="AC1029" s="27"/>
    </row>
    <row r="1030" spans="1:29" s="28" customFormat="1" x14ac:dyDescent="0.3">
      <c r="A1030" s="27" t="s">
        <v>7926</v>
      </c>
      <c r="B1030" s="27" t="s">
        <v>2273</v>
      </c>
      <c r="C1030" s="29">
        <v>295</v>
      </c>
      <c r="D1030" s="28" t="s">
        <v>5017</v>
      </c>
      <c r="E1030" s="20" t="s">
        <v>1149</v>
      </c>
      <c r="F1030" s="20" t="s">
        <v>2617</v>
      </c>
      <c r="G1030" s="27" t="s">
        <v>2083</v>
      </c>
      <c r="H1030" s="20" t="s">
        <v>4678</v>
      </c>
      <c r="I1030" s="29"/>
      <c r="J1030" s="29" t="s">
        <v>37</v>
      </c>
      <c r="K1030" s="27"/>
      <c r="L1030" s="27" t="s">
        <v>4677</v>
      </c>
      <c r="M1030" s="27" t="s">
        <v>7927</v>
      </c>
      <c r="N1030" s="27" t="s">
        <v>7928</v>
      </c>
      <c r="O1030" s="29" t="s">
        <v>7929</v>
      </c>
      <c r="P1030" s="27"/>
      <c r="Q1030" s="27"/>
      <c r="R1030" s="29"/>
      <c r="S1030" s="29"/>
      <c r="T1030" s="29"/>
      <c r="U1030" s="27"/>
      <c r="V1030" s="27"/>
      <c r="W1030" s="27"/>
      <c r="X1030" s="64"/>
      <c r="Y1030" s="64"/>
      <c r="Z1030" s="64"/>
      <c r="AA1030" s="64"/>
      <c r="AB1030" s="27"/>
      <c r="AC1030" s="27"/>
    </row>
    <row r="1031" spans="1:29" s="25" customFormat="1" x14ac:dyDescent="0.3">
      <c r="A1031" s="24">
        <v>517</v>
      </c>
      <c r="B1031" s="24" t="s">
        <v>2272</v>
      </c>
      <c r="C1031" s="26">
        <v>293</v>
      </c>
      <c r="D1031" s="25" t="s">
        <v>5839</v>
      </c>
      <c r="E1031" s="19" t="s">
        <v>5841</v>
      </c>
      <c r="F1031" s="19"/>
      <c r="G1031" s="24" t="s">
        <v>5840</v>
      </c>
      <c r="H1031" s="19"/>
      <c r="I1031" s="26" t="s">
        <v>37</v>
      </c>
      <c r="J1031" s="26" t="s">
        <v>37</v>
      </c>
      <c r="K1031" s="24"/>
      <c r="L1031" s="24" t="s">
        <v>3921</v>
      </c>
      <c r="M1031" s="24" t="s">
        <v>6081</v>
      </c>
      <c r="N1031" s="24"/>
      <c r="O1031" s="26"/>
      <c r="P1031" s="24"/>
      <c r="Q1031" s="24"/>
      <c r="R1031" s="26"/>
      <c r="S1031" s="26"/>
      <c r="T1031" s="26"/>
      <c r="U1031" s="24"/>
      <c r="V1031" s="24"/>
      <c r="W1031" s="24"/>
      <c r="X1031" s="63"/>
      <c r="Y1031" s="63"/>
      <c r="Z1031" s="63"/>
      <c r="AA1031" s="63"/>
      <c r="AB1031" s="24"/>
      <c r="AC1031" s="24"/>
    </row>
    <row r="1032" spans="1:29" s="28" customFormat="1" x14ac:dyDescent="0.3">
      <c r="A1032" s="27" t="s">
        <v>7930</v>
      </c>
      <c r="B1032" s="27" t="s">
        <v>2273</v>
      </c>
      <c r="C1032" s="29"/>
      <c r="D1032" s="28" t="s">
        <v>6332</v>
      </c>
      <c r="E1032" s="20" t="s">
        <v>5841</v>
      </c>
      <c r="F1032" s="20" t="s">
        <v>2524</v>
      </c>
      <c r="G1032" s="27"/>
      <c r="H1032" s="20"/>
      <c r="I1032" s="29"/>
      <c r="J1032" s="29"/>
      <c r="K1032" s="27"/>
      <c r="L1032" s="27"/>
      <c r="M1032" s="27" t="s">
        <v>7920</v>
      </c>
      <c r="N1032" s="27"/>
      <c r="O1032" s="29" t="s">
        <v>7921</v>
      </c>
      <c r="P1032" s="27"/>
      <c r="Q1032" s="27"/>
      <c r="R1032" s="29"/>
      <c r="S1032" s="29"/>
      <c r="T1032" s="29"/>
      <c r="U1032" s="27"/>
      <c r="V1032" s="27"/>
      <c r="W1032" s="27"/>
      <c r="X1032" s="64"/>
      <c r="Y1032" s="64"/>
      <c r="Z1032" s="64"/>
      <c r="AA1032" s="64"/>
      <c r="AB1032" s="27"/>
      <c r="AC1032" s="27"/>
    </row>
    <row r="1033" spans="1:29" s="25" customFormat="1" x14ac:dyDescent="0.3">
      <c r="A1033" s="24">
        <v>518</v>
      </c>
      <c r="B1033" s="24" t="s">
        <v>2272</v>
      </c>
      <c r="C1033" s="26">
        <v>293</v>
      </c>
      <c r="D1033" s="25" t="s">
        <v>1151</v>
      </c>
      <c r="E1033" s="19" t="s">
        <v>1152</v>
      </c>
      <c r="F1033" s="19"/>
      <c r="G1033" s="24"/>
      <c r="H1033" s="19"/>
      <c r="I1033" s="26" t="s">
        <v>49</v>
      </c>
      <c r="J1033" s="26" t="s">
        <v>5121</v>
      </c>
      <c r="K1033" s="24" t="s">
        <v>49</v>
      </c>
      <c r="L1033" s="24" t="s">
        <v>3923</v>
      </c>
      <c r="M1033" s="24" t="s">
        <v>5580</v>
      </c>
      <c r="N1033" s="24" t="s">
        <v>1633</v>
      </c>
      <c r="O1033" s="26" t="s">
        <v>2084</v>
      </c>
      <c r="P1033" s="24" t="s">
        <v>6447</v>
      </c>
      <c r="Q1033" s="24"/>
      <c r="R1033" s="26"/>
      <c r="S1033" s="26"/>
      <c r="T1033" s="26"/>
      <c r="U1033" s="24"/>
      <c r="V1033" s="24"/>
      <c r="W1033" s="24"/>
      <c r="X1033" s="63"/>
      <c r="Y1033" s="63"/>
      <c r="Z1033" s="63"/>
      <c r="AA1033" s="63"/>
      <c r="AB1033" s="24"/>
      <c r="AC1033" s="24"/>
    </row>
    <row r="1034" spans="1:29" s="25" customFormat="1" x14ac:dyDescent="0.3">
      <c r="A1034" s="24">
        <v>519</v>
      </c>
      <c r="B1034" s="24" t="s">
        <v>2272</v>
      </c>
      <c r="C1034" s="26">
        <v>287</v>
      </c>
      <c r="D1034" s="25" t="s">
        <v>1154</v>
      </c>
      <c r="E1034" s="19" t="s">
        <v>1155</v>
      </c>
      <c r="F1034" s="19"/>
      <c r="G1034" s="24"/>
      <c r="H1034" s="19"/>
      <c r="I1034" s="26" t="s">
        <v>49</v>
      </c>
      <c r="J1034" s="26" t="s">
        <v>5121</v>
      </c>
      <c r="K1034" s="24" t="s">
        <v>49</v>
      </c>
      <c r="L1034" s="24" t="s">
        <v>3728</v>
      </c>
      <c r="M1034" s="24" t="s">
        <v>5581</v>
      </c>
      <c r="N1034" s="24" t="s">
        <v>5582</v>
      </c>
      <c r="O1034" s="26" t="s">
        <v>2085</v>
      </c>
      <c r="P1034" s="24" t="s">
        <v>6581</v>
      </c>
      <c r="Q1034" s="24"/>
      <c r="R1034" s="26"/>
      <c r="S1034" s="26"/>
      <c r="T1034" s="26"/>
      <c r="U1034" s="24"/>
      <c r="V1034" s="24"/>
      <c r="W1034" s="24"/>
      <c r="X1034" s="63"/>
      <c r="Y1034" s="63"/>
      <c r="Z1034" s="63"/>
      <c r="AA1034" s="63"/>
      <c r="AB1034" s="24"/>
      <c r="AC1034" s="24"/>
    </row>
    <row r="1035" spans="1:29" s="25" customFormat="1" x14ac:dyDescent="0.3">
      <c r="A1035" s="24">
        <v>520</v>
      </c>
      <c r="B1035" s="24" t="s">
        <v>2272</v>
      </c>
      <c r="C1035" s="26">
        <v>287</v>
      </c>
      <c r="D1035" s="25" t="s">
        <v>1156</v>
      </c>
      <c r="E1035" s="19" t="s">
        <v>1157</v>
      </c>
      <c r="F1035" s="19"/>
      <c r="G1035" s="24"/>
      <c r="H1035" s="19"/>
      <c r="I1035" s="26" t="s">
        <v>49</v>
      </c>
      <c r="J1035" s="26" t="s">
        <v>5121</v>
      </c>
      <c r="K1035" s="24" t="s">
        <v>49</v>
      </c>
      <c r="L1035" s="24" t="s">
        <v>3926</v>
      </c>
      <c r="M1035" s="24" t="s">
        <v>5583</v>
      </c>
      <c r="N1035" s="24" t="s">
        <v>1759</v>
      </c>
      <c r="O1035" s="26"/>
      <c r="P1035" s="24" t="s">
        <v>6582</v>
      </c>
      <c r="Q1035" s="24"/>
      <c r="R1035" s="26"/>
      <c r="S1035" s="26"/>
      <c r="T1035" s="26"/>
      <c r="U1035" s="24"/>
      <c r="V1035" s="24"/>
      <c r="W1035" s="24"/>
      <c r="X1035" s="63"/>
      <c r="Y1035" s="63"/>
      <c r="Z1035" s="63"/>
      <c r="AA1035" s="63"/>
      <c r="AB1035" s="24"/>
      <c r="AC1035" s="24"/>
    </row>
    <row r="1036" spans="1:29" s="28" customFormat="1" x14ac:dyDescent="0.3">
      <c r="A1036" s="27" t="s">
        <v>6334</v>
      </c>
      <c r="B1036" s="27" t="s">
        <v>2273</v>
      </c>
      <c r="C1036" s="29"/>
      <c r="D1036" s="28" t="s">
        <v>5018</v>
      </c>
      <c r="E1036" s="20" t="s">
        <v>1157</v>
      </c>
      <c r="F1036" s="20" t="s">
        <v>2481</v>
      </c>
      <c r="G1036" s="27"/>
      <c r="H1036" s="20"/>
      <c r="I1036" s="29"/>
      <c r="J1036" s="29"/>
      <c r="K1036" s="27"/>
      <c r="L1036" s="27"/>
      <c r="M1036" s="27" t="s">
        <v>7931</v>
      </c>
      <c r="N1036" s="27" t="s">
        <v>7932</v>
      </c>
      <c r="O1036" s="29" t="s">
        <v>7933</v>
      </c>
      <c r="P1036" s="27"/>
      <c r="Q1036" s="27"/>
      <c r="R1036" s="29"/>
      <c r="S1036" s="29"/>
      <c r="T1036" s="29"/>
      <c r="U1036" s="27"/>
      <c r="V1036" s="27"/>
      <c r="W1036" s="27"/>
      <c r="X1036" s="64"/>
      <c r="Y1036" s="64"/>
      <c r="Z1036" s="64"/>
      <c r="AA1036" s="64"/>
      <c r="AB1036" s="27"/>
      <c r="AC1036" s="27"/>
    </row>
    <row r="1037" spans="1:29" s="25" customFormat="1" x14ac:dyDescent="0.3">
      <c r="A1037" s="24">
        <v>521</v>
      </c>
      <c r="B1037" s="24" t="s">
        <v>2272</v>
      </c>
      <c r="C1037" s="26">
        <v>287</v>
      </c>
      <c r="D1037" s="25" t="s">
        <v>1158</v>
      </c>
      <c r="E1037" s="19" t="s">
        <v>1159</v>
      </c>
      <c r="F1037" s="19"/>
      <c r="G1037" s="24"/>
      <c r="H1037" s="19"/>
      <c r="I1037" s="26" t="s">
        <v>49</v>
      </c>
      <c r="J1037" s="26" t="s">
        <v>5121</v>
      </c>
      <c r="K1037" s="24" t="s">
        <v>49</v>
      </c>
      <c r="L1037" s="24" t="s">
        <v>3083</v>
      </c>
      <c r="M1037" s="24" t="s">
        <v>5218</v>
      </c>
      <c r="N1037" s="24" t="s">
        <v>1642</v>
      </c>
      <c r="O1037" s="26"/>
      <c r="P1037" s="24" t="s">
        <v>6583</v>
      </c>
      <c r="Q1037" s="24"/>
      <c r="R1037" s="26"/>
      <c r="S1037" s="26"/>
      <c r="T1037" s="26"/>
      <c r="U1037" s="24"/>
      <c r="V1037" s="24"/>
      <c r="W1037" s="24"/>
      <c r="X1037" s="63"/>
      <c r="Y1037" s="63"/>
      <c r="Z1037" s="63"/>
      <c r="AA1037" s="63"/>
      <c r="AB1037" s="24"/>
      <c r="AC1037" s="24"/>
    </row>
    <row r="1038" spans="1:29" s="28" customFormat="1" x14ac:dyDescent="0.3">
      <c r="A1038" s="27" t="s">
        <v>7934</v>
      </c>
      <c r="B1038" s="27" t="s">
        <v>2273</v>
      </c>
      <c r="C1038" s="29"/>
      <c r="D1038" s="28" t="s">
        <v>5019</v>
      </c>
      <c r="E1038" s="20" t="s">
        <v>1159</v>
      </c>
      <c r="F1038" s="20" t="s">
        <v>2738</v>
      </c>
      <c r="G1038" s="27"/>
      <c r="H1038" s="20"/>
      <c r="I1038" s="29"/>
      <c r="J1038" s="29"/>
      <c r="K1038" s="27"/>
      <c r="L1038" s="27"/>
      <c r="M1038" s="27" t="s">
        <v>7935</v>
      </c>
      <c r="N1038" s="27" t="s">
        <v>7936</v>
      </c>
      <c r="O1038" s="29" t="s">
        <v>7937</v>
      </c>
      <c r="P1038" s="27"/>
      <c r="Q1038" s="27"/>
      <c r="R1038" s="29"/>
      <c r="S1038" s="29"/>
      <c r="T1038" s="29"/>
      <c r="U1038" s="27"/>
      <c r="V1038" s="27"/>
      <c r="W1038" s="27"/>
      <c r="X1038" s="64"/>
      <c r="Y1038" s="64"/>
      <c r="Z1038" s="64"/>
      <c r="AA1038" s="64"/>
      <c r="AB1038" s="27"/>
      <c r="AC1038" s="27"/>
    </row>
    <row r="1039" spans="1:29" s="25" customFormat="1" x14ac:dyDescent="0.3">
      <c r="A1039" s="24">
        <v>522</v>
      </c>
      <c r="B1039" s="24" t="s">
        <v>2272</v>
      </c>
      <c r="C1039" s="26">
        <v>289</v>
      </c>
      <c r="D1039" s="25" t="s">
        <v>1160</v>
      </c>
      <c r="E1039" s="19" t="s">
        <v>1161</v>
      </c>
      <c r="F1039" s="19"/>
      <c r="G1039" s="24"/>
      <c r="H1039" s="19"/>
      <c r="I1039" s="26" t="s">
        <v>49</v>
      </c>
      <c r="J1039" s="26" t="s">
        <v>37</v>
      </c>
      <c r="K1039" s="24" t="s">
        <v>49</v>
      </c>
      <c r="L1039" s="24" t="s">
        <v>3929</v>
      </c>
      <c r="M1039" s="24" t="s">
        <v>5584</v>
      </c>
      <c r="N1039" s="24" t="s">
        <v>5585</v>
      </c>
      <c r="O1039" s="26" t="s">
        <v>2086</v>
      </c>
      <c r="P1039" s="24" t="s">
        <v>6448</v>
      </c>
      <c r="Q1039" s="24"/>
      <c r="R1039" s="26"/>
      <c r="S1039" s="26"/>
      <c r="T1039" s="26"/>
      <c r="U1039" s="24"/>
      <c r="V1039" s="24"/>
      <c r="W1039" s="24"/>
      <c r="X1039" s="63"/>
      <c r="Y1039" s="63"/>
      <c r="Z1039" s="63"/>
      <c r="AA1039" s="63"/>
      <c r="AB1039" s="24"/>
      <c r="AC1039" s="24"/>
    </row>
    <row r="1040" spans="1:29" s="25" customFormat="1" x14ac:dyDescent="0.3">
      <c r="A1040" s="24">
        <v>523</v>
      </c>
      <c r="B1040" s="24" t="s">
        <v>2272</v>
      </c>
      <c r="C1040" s="26">
        <v>289</v>
      </c>
      <c r="D1040" s="25" t="s">
        <v>1162</v>
      </c>
      <c r="E1040" s="19" t="s">
        <v>1163</v>
      </c>
      <c r="F1040" s="19"/>
      <c r="G1040" s="24"/>
      <c r="H1040" s="19"/>
      <c r="I1040" s="26" t="s">
        <v>57</v>
      </c>
      <c r="J1040" s="26" t="s">
        <v>57</v>
      </c>
      <c r="K1040" s="24"/>
      <c r="L1040" s="24" t="s">
        <v>3931</v>
      </c>
      <c r="M1040" s="24" t="s">
        <v>5586</v>
      </c>
      <c r="N1040" s="24"/>
      <c r="O1040" s="26" t="s">
        <v>2087</v>
      </c>
      <c r="P1040" s="24"/>
      <c r="Q1040" s="24"/>
      <c r="R1040" s="26"/>
      <c r="S1040" s="26"/>
      <c r="T1040" s="26"/>
      <c r="U1040" s="24"/>
      <c r="V1040" s="24"/>
      <c r="W1040" s="24"/>
      <c r="X1040" s="63"/>
      <c r="Y1040" s="63"/>
      <c r="Z1040" s="63"/>
      <c r="AA1040" s="63"/>
      <c r="AB1040" s="24"/>
      <c r="AC1040" s="24"/>
    </row>
    <row r="1041" spans="1:29" s="25" customFormat="1" x14ac:dyDescent="0.3">
      <c r="A1041" s="24">
        <v>524</v>
      </c>
      <c r="B1041" s="24" t="s">
        <v>2272</v>
      </c>
      <c r="C1041" s="26">
        <v>289</v>
      </c>
      <c r="D1041" s="25" t="s">
        <v>1164</v>
      </c>
      <c r="E1041" s="19" t="s">
        <v>1165</v>
      </c>
      <c r="F1041" s="19"/>
      <c r="G1041" s="24"/>
      <c r="H1041" s="19"/>
      <c r="I1041" s="26" t="s">
        <v>57</v>
      </c>
      <c r="J1041" s="26" t="s">
        <v>57</v>
      </c>
      <c r="K1041" s="24"/>
      <c r="L1041" s="24" t="s">
        <v>3933</v>
      </c>
      <c r="M1041" s="24" t="s">
        <v>5587</v>
      </c>
      <c r="N1041" s="24"/>
      <c r="O1041" s="26"/>
      <c r="P1041" s="24"/>
      <c r="Q1041" s="24"/>
      <c r="R1041" s="26"/>
      <c r="S1041" s="26"/>
      <c r="T1041" s="26"/>
      <c r="U1041" s="24"/>
      <c r="V1041" s="24"/>
      <c r="W1041" s="24"/>
      <c r="X1041" s="63"/>
      <c r="Y1041" s="63"/>
      <c r="Z1041" s="63"/>
      <c r="AA1041" s="63"/>
      <c r="AB1041" s="24"/>
      <c r="AC1041" s="24"/>
    </row>
    <row r="1042" spans="1:29" s="28" customFormat="1" x14ac:dyDescent="0.3">
      <c r="A1042" s="27" t="s">
        <v>7938</v>
      </c>
      <c r="B1042" s="27" t="s">
        <v>2273</v>
      </c>
      <c r="C1042" s="29"/>
      <c r="D1042" s="28" t="s">
        <v>5020</v>
      </c>
      <c r="E1042" s="20" t="s">
        <v>1165</v>
      </c>
      <c r="F1042" s="20" t="s">
        <v>2739</v>
      </c>
      <c r="G1042" s="27"/>
      <c r="H1042" s="20"/>
      <c r="I1042" s="29"/>
      <c r="J1042" s="29"/>
      <c r="K1042" s="27"/>
      <c r="L1042" s="27"/>
      <c r="M1042" s="27" t="s">
        <v>7939</v>
      </c>
      <c r="N1042" s="27"/>
      <c r="O1042" s="29" t="s">
        <v>7940</v>
      </c>
      <c r="P1042" s="27"/>
      <c r="Q1042" s="27"/>
      <c r="R1042" s="29"/>
      <c r="S1042" s="29"/>
      <c r="T1042" s="29"/>
      <c r="U1042" s="27"/>
      <c r="V1042" s="27"/>
      <c r="W1042" s="27"/>
      <c r="X1042" s="64"/>
      <c r="Y1042" s="64"/>
      <c r="Z1042" s="64"/>
      <c r="AA1042" s="64"/>
      <c r="AB1042" s="27"/>
      <c r="AC1042" s="27"/>
    </row>
    <row r="1043" spans="1:29" s="28" customFormat="1" x14ac:dyDescent="0.3">
      <c r="A1043" s="27" t="s">
        <v>7941</v>
      </c>
      <c r="B1043" s="27" t="s">
        <v>2273</v>
      </c>
      <c r="C1043" s="29"/>
      <c r="D1043" s="28" t="s">
        <v>5020</v>
      </c>
      <c r="E1043" s="20" t="s">
        <v>1165</v>
      </c>
      <c r="F1043" s="20" t="s">
        <v>2740</v>
      </c>
      <c r="G1043" s="27"/>
      <c r="H1043" s="20"/>
      <c r="I1043" s="29"/>
      <c r="J1043" s="29"/>
      <c r="K1043" s="27"/>
      <c r="L1043" s="27"/>
      <c r="M1043" s="27" t="s">
        <v>7942</v>
      </c>
      <c r="N1043" s="27"/>
      <c r="O1043" s="29" t="s">
        <v>7943</v>
      </c>
      <c r="P1043" s="27"/>
      <c r="Q1043" s="27"/>
      <c r="R1043" s="29"/>
      <c r="S1043" s="29"/>
      <c r="T1043" s="29"/>
      <c r="U1043" s="27"/>
      <c r="V1043" s="27"/>
      <c r="W1043" s="27"/>
      <c r="X1043" s="64"/>
      <c r="Y1043" s="64"/>
      <c r="Z1043" s="64"/>
      <c r="AA1043" s="64"/>
      <c r="AB1043" s="27"/>
      <c r="AC1043" s="27"/>
    </row>
    <row r="1044" spans="1:29" s="28" customFormat="1" x14ac:dyDescent="0.3">
      <c r="A1044" s="27" t="s">
        <v>7944</v>
      </c>
      <c r="B1044" s="27" t="s">
        <v>2273</v>
      </c>
      <c r="C1044" s="29"/>
      <c r="D1044" s="28" t="s">
        <v>5020</v>
      </c>
      <c r="E1044" s="20" t="s">
        <v>1165</v>
      </c>
      <c r="F1044" s="20" t="s">
        <v>2586</v>
      </c>
      <c r="G1044" s="27"/>
      <c r="H1044" s="20"/>
      <c r="I1044" s="29"/>
      <c r="J1044" s="29"/>
      <c r="K1044" s="27"/>
      <c r="L1044" s="27"/>
      <c r="M1044" s="27" t="s">
        <v>7945</v>
      </c>
      <c r="N1044" s="27"/>
      <c r="O1044" s="29" t="s">
        <v>7946</v>
      </c>
      <c r="P1044" s="27"/>
      <c r="Q1044" s="27"/>
      <c r="R1044" s="29"/>
      <c r="S1044" s="29"/>
      <c r="T1044" s="29"/>
      <c r="U1044" s="27"/>
      <c r="V1044" s="27"/>
      <c r="W1044" s="27"/>
      <c r="X1044" s="64"/>
      <c r="Y1044" s="64"/>
      <c r="Z1044" s="64"/>
      <c r="AA1044" s="64"/>
      <c r="AB1044" s="27"/>
      <c r="AC1044" s="27"/>
    </row>
    <row r="1045" spans="1:29" s="25" customFormat="1" x14ac:dyDescent="0.3">
      <c r="A1045" s="24">
        <v>525</v>
      </c>
      <c r="B1045" s="24" t="s">
        <v>2272</v>
      </c>
      <c r="C1045" s="26">
        <v>291</v>
      </c>
      <c r="D1045" s="25" t="s">
        <v>1166</v>
      </c>
      <c r="E1045" s="19" t="s">
        <v>1167</v>
      </c>
      <c r="F1045" s="19"/>
      <c r="G1045" s="24"/>
      <c r="H1045" s="19"/>
      <c r="I1045" s="26" t="s">
        <v>89</v>
      </c>
      <c r="J1045" s="26" t="s">
        <v>37</v>
      </c>
      <c r="K1045" s="24"/>
      <c r="L1045" s="24" t="s">
        <v>3935</v>
      </c>
      <c r="M1045" s="24" t="s">
        <v>5588</v>
      </c>
      <c r="N1045" s="24" t="s">
        <v>5589</v>
      </c>
      <c r="O1045" s="26" t="s">
        <v>2088</v>
      </c>
      <c r="P1045" s="24"/>
      <c r="Q1045" s="24"/>
      <c r="R1045" s="26"/>
      <c r="S1045" s="26"/>
      <c r="T1045" s="26"/>
      <c r="U1045" s="24"/>
      <c r="V1045" s="24"/>
      <c r="W1045" s="24"/>
      <c r="X1045" s="63"/>
      <c r="Y1045" s="63"/>
      <c r="Z1045" s="63"/>
      <c r="AA1045" s="63"/>
      <c r="AB1045" s="24"/>
      <c r="AC1045" s="24"/>
    </row>
    <row r="1046" spans="1:29" s="25" customFormat="1" x14ac:dyDescent="0.3">
      <c r="A1046" s="24">
        <v>526</v>
      </c>
      <c r="B1046" s="24" t="s">
        <v>2272</v>
      </c>
      <c r="C1046" s="26">
        <v>291</v>
      </c>
      <c r="D1046" s="25" t="s">
        <v>1168</v>
      </c>
      <c r="E1046" s="19" t="s">
        <v>1169</v>
      </c>
      <c r="F1046" s="19"/>
      <c r="G1046" s="24"/>
      <c r="H1046" s="19"/>
      <c r="I1046" s="26" t="s">
        <v>89</v>
      </c>
      <c r="J1046" s="26" t="s">
        <v>37</v>
      </c>
      <c r="K1046" s="24"/>
      <c r="L1046" s="24" t="s">
        <v>3937</v>
      </c>
      <c r="M1046" s="24" t="s">
        <v>5590</v>
      </c>
      <c r="N1046" s="24" t="s">
        <v>5591</v>
      </c>
      <c r="O1046" s="26" t="s">
        <v>2089</v>
      </c>
      <c r="P1046" s="24"/>
      <c r="Q1046" s="24"/>
      <c r="R1046" s="26"/>
      <c r="S1046" s="26"/>
      <c r="T1046" s="26"/>
      <c r="U1046" s="24"/>
      <c r="V1046" s="24"/>
      <c r="W1046" s="24"/>
      <c r="X1046" s="63"/>
      <c r="Y1046" s="63"/>
      <c r="Z1046" s="63"/>
      <c r="AA1046" s="63"/>
      <c r="AB1046" s="24"/>
      <c r="AC1046" s="24"/>
    </row>
    <row r="1047" spans="1:29" s="25" customFormat="1" x14ac:dyDescent="0.3">
      <c r="A1047" s="24">
        <v>527</v>
      </c>
      <c r="B1047" s="24" t="s">
        <v>2272</v>
      </c>
      <c r="C1047" s="26">
        <v>291</v>
      </c>
      <c r="D1047" s="25" t="s">
        <v>1170</v>
      </c>
      <c r="E1047" s="19" t="s">
        <v>1171</v>
      </c>
      <c r="F1047" s="19"/>
      <c r="G1047" s="24"/>
      <c r="H1047" s="19"/>
      <c r="I1047" s="26" t="s">
        <v>89</v>
      </c>
      <c r="J1047" s="26" t="s">
        <v>37</v>
      </c>
      <c r="K1047" s="24"/>
      <c r="L1047" s="24" t="s">
        <v>3937</v>
      </c>
      <c r="M1047" s="24" t="s">
        <v>6083</v>
      </c>
      <c r="N1047" s="24" t="s">
        <v>5592</v>
      </c>
      <c r="O1047" s="26" t="s">
        <v>2090</v>
      </c>
      <c r="P1047" s="24"/>
      <c r="Q1047" s="24"/>
      <c r="R1047" s="26"/>
      <c r="S1047" s="26"/>
      <c r="T1047" s="26"/>
      <c r="U1047" s="24"/>
      <c r="V1047" s="24"/>
      <c r="W1047" s="24"/>
      <c r="X1047" s="63"/>
      <c r="Y1047" s="63"/>
      <c r="Z1047" s="63"/>
      <c r="AA1047" s="63"/>
      <c r="AB1047" s="24"/>
      <c r="AC1047" s="24"/>
    </row>
    <row r="1048" spans="1:29" s="25" customFormat="1" x14ac:dyDescent="0.3">
      <c r="A1048" s="24">
        <v>528</v>
      </c>
      <c r="B1048" s="24" t="s">
        <v>2272</v>
      </c>
      <c r="C1048" s="26">
        <v>289</v>
      </c>
      <c r="D1048" s="25" t="s">
        <v>1172</v>
      </c>
      <c r="E1048" s="19" t="s">
        <v>1173</v>
      </c>
      <c r="F1048" s="19"/>
      <c r="G1048" s="24"/>
      <c r="H1048" s="19"/>
      <c r="I1048" s="26" t="s">
        <v>37</v>
      </c>
      <c r="J1048" s="26" t="s">
        <v>37</v>
      </c>
      <c r="K1048" s="24"/>
      <c r="L1048" s="24" t="s">
        <v>3134</v>
      </c>
      <c r="M1048" s="24" t="s">
        <v>5593</v>
      </c>
      <c r="N1048" s="24"/>
      <c r="O1048" s="26"/>
      <c r="P1048" s="24"/>
      <c r="Q1048" s="24"/>
      <c r="R1048" s="26"/>
      <c r="S1048" s="26"/>
      <c r="T1048" s="26"/>
      <c r="U1048" s="24"/>
      <c r="V1048" s="24"/>
      <c r="W1048" s="24"/>
      <c r="X1048" s="63"/>
      <c r="Y1048" s="63"/>
      <c r="Z1048" s="63"/>
      <c r="AA1048" s="63"/>
      <c r="AB1048" s="24"/>
      <c r="AC1048" s="24"/>
    </row>
    <row r="1049" spans="1:29" s="28" customFormat="1" x14ac:dyDescent="0.3">
      <c r="A1049" s="27" t="s">
        <v>7947</v>
      </c>
      <c r="B1049" s="27" t="s">
        <v>2273</v>
      </c>
      <c r="C1049" s="29"/>
      <c r="D1049" s="28" t="s">
        <v>5021</v>
      </c>
      <c r="E1049" s="20" t="s">
        <v>1173</v>
      </c>
      <c r="F1049" s="20" t="s">
        <v>2741</v>
      </c>
      <c r="G1049" s="27"/>
      <c r="H1049" s="20"/>
      <c r="I1049" s="29"/>
      <c r="J1049" s="29"/>
      <c r="K1049" s="27"/>
      <c r="L1049" s="27"/>
      <c r="M1049" s="27" t="s">
        <v>7920</v>
      </c>
      <c r="N1049" s="27"/>
      <c r="O1049" s="29" t="s">
        <v>7921</v>
      </c>
      <c r="P1049" s="27"/>
      <c r="Q1049" s="27"/>
      <c r="R1049" s="29"/>
      <c r="S1049" s="29"/>
      <c r="T1049" s="29"/>
      <c r="U1049" s="27"/>
      <c r="V1049" s="27"/>
      <c r="W1049" s="27"/>
      <c r="X1049" s="64"/>
      <c r="Y1049" s="64"/>
      <c r="Z1049" s="64"/>
      <c r="AA1049" s="64"/>
      <c r="AB1049" s="27"/>
      <c r="AC1049" s="27"/>
    </row>
    <row r="1050" spans="1:29" s="25" customFormat="1" x14ac:dyDescent="0.3">
      <c r="A1050" s="24">
        <v>529</v>
      </c>
      <c r="B1050" s="24" t="s">
        <v>2272</v>
      </c>
      <c r="C1050" s="26">
        <v>291</v>
      </c>
      <c r="D1050" s="25" t="s">
        <v>1174</v>
      </c>
      <c r="E1050" s="19" t="s">
        <v>1175</v>
      </c>
      <c r="F1050" s="19"/>
      <c r="G1050" s="24" t="s">
        <v>3941</v>
      </c>
      <c r="H1050" s="19" t="s">
        <v>4455</v>
      </c>
      <c r="I1050" s="26" t="s">
        <v>57</v>
      </c>
      <c r="J1050" s="26" t="s">
        <v>57</v>
      </c>
      <c r="K1050" s="24"/>
      <c r="L1050" s="24" t="s">
        <v>3942</v>
      </c>
      <c r="M1050" s="24" t="s">
        <v>5596</v>
      </c>
      <c r="N1050" s="24"/>
      <c r="O1050" s="26"/>
      <c r="P1050" s="24"/>
      <c r="Q1050" s="24"/>
      <c r="R1050" s="26"/>
      <c r="S1050" s="26"/>
      <c r="T1050" s="26"/>
      <c r="U1050" s="24"/>
      <c r="V1050" s="24"/>
      <c r="W1050" s="24"/>
      <c r="X1050" s="63"/>
      <c r="Y1050" s="63"/>
      <c r="Z1050" s="63"/>
      <c r="AA1050" s="63"/>
      <c r="AB1050" s="24"/>
      <c r="AC1050" s="24"/>
    </row>
    <row r="1051" spans="1:29" s="28" customFormat="1" x14ac:dyDescent="0.3">
      <c r="A1051" s="27" t="s">
        <v>7948</v>
      </c>
      <c r="B1051" s="27" t="s">
        <v>2273</v>
      </c>
      <c r="C1051" s="29"/>
      <c r="D1051" s="28" t="s">
        <v>5022</v>
      </c>
      <c r="E1051" s="20" t="s">
        <v>1175</v>
      </c>
      <c r="F1051" s="20" t="s">
        <v>2742</v>
      </c>
      <c r="G1051" s="27"/>
      <c r="H1051" s="20"/>
      <c r="I1051" s="29"/>
      <c r="J1051" s="29"/>
      <c r="K1051" s="27"/>
      <c r="L1051" s="27"/>
      <c r="M1051" s="27" t="s">
        <v>7920</v>
      </c>
      <c r="N1051" s="27"/>
      <c r="O1051" s="29" t="s">
        <v>7921</v>
      </c>
      <c r="P1051" s="27"/>
      <c r="Q1051" s="27"/>
      <c r="R1051" s="29"/>
      <c r="S1051" s="29"/>
      <c r="T1051" s="29"/>
      <c r="U1051" s="27"/>
      <c r="V1051" s="27"/>
      <c r="W1051" s="27"/>
      <c r="X1051" s="64"/>
      <c r="Y1051" s="64"/>
      <c r="Z1051" s="64"/>
      <c r="AA1051" s="64"/>
      <c r="AB1051" s="27"/>
      <c r="AC1051" s="27"/>
    </row>
    <row r="1052" spans="1:29" s="28" customFormat="1" x14ac:dyDescent="0.3">
      <c r="A1052" s="27" t="s">
        <v>7949</v>
      </c>
      <c r="B1052" s="27" t="s">
        <v>2273</v>
      </c>
      <c r="C1052" s="29"/>
      <c r="D1052" s="28" t="s">
        <v>5022</v>
      </c>
      <c r="E1052" s="20" t="s">
        <v>1175</v>
      </c>
      <c r="F1052" s="20" t="s">
        <v>2441</v>
      </c>
      <c r="G1052" s="27"/>
      <c r="H1052" s="20"/>
      <c r="I1052" s="29"/>
      <c r="J1052" s="29"/>
      <c r="K1052" s="27"/>
      <c r="L1052" s="27"/>
      <c r="M1052" s="27" t="s">
        <v>7780</v>
      </c>
      <c r="N1052" s="27"/>
      <c r="O1052" s="29" t="s">
        <v>6894</v>
      </c>
      <c r="P1052" s="27"/>
      <c r="Q1052" s="27"/>
      <c r="R1052" s="29"/>
      <c r="S1052" s="29"/>
      <c r="T1052" s="29"/>
      <c r="U1052" s="27"/>
      <c r="V1052" s="27"/>
      <c r="W1052" s="27"/>
      <c r="X1052" s="64"/>
      <c r="Y1052" s="64"/>
      <c r="Z1052" s="64"/>
      <c r="AA1052" s="64"/>
      <c r="AB1052" s="27"/>
      <c r="AC1052" s="27"/>
    </row>
    <row r="1053" spans="1:29" s="28" customFormat="1" x14ac:dyDescent="0.3">
      <c r="A1053" s="27" t="s">
        <v>7950</v>
      </c>
      <c r="B1053" s="27" t="s">
        <v>2273</v>
      </c>
      <c r="C1053" s="29"/>
      <c r="D1053" s="28" t="s">
        <v>5022</v>
      </c>
      <c r="E1053" s="20" t="s">
        <v>1175</v>
      </c>
      <c r="F1053" s="20" t="s">
        <v>2385</v>
      </c>
      <c r="G1053" s="27"/>
      <c r="H1053" s="20"/>
      <c r="I1053" s="29"/>
      <c r="J1053" s="29"/>
      <c r="K1053" s="27"/>
      <c r="L1053" s="27"/>
      <c r="M1053" s="27" t="s">
        <v>7951</v>
      </c>
      <c r="N1053" s="27"/>
      <c r="O1053" s="29" t="s">
        <v>7952</v>
      </c>
      <c r="P1053" s="27"/>
      <c r="Q1053" s="27"/>
      <c r="R1053" s="29"/>
      <c r="S1053" s="29"/>
      <c r="T1053" s="29"/>
      <c r="U1053" s="27"/>
      <c r="V1053" s="27"/>
      <c r="W1053" s="27"/>
      <c r="X1053" s="64"/>
      <c r="Y1053" s="64"/>
      <c r="Z1053" s="64"/>
      <c r="AA1053" s="64"/>
      <c r="AB1053" s="27"/>
      <c r="AC1053" s="27"/>
    </row>
    <row r="1054" spans="1:29" s="28" customFormat="1" x14ac:dyDescent="0.3">
      <c r="A1054" s="27" t="s">
        <v>7953</v>
      </c>
      <c r="B1054" s="27" t="s">
        <v>2273</v>
      </c>
      <c r="C1054" s="29"/>
      <c r="D1054" s="28" t="s">
        <v>5022</v>
      </c>
      <c r="E1054" s="20" t="s">
        <v>1175</v>
      </c>
      <c r="F1054" s="20" t="s">
        <v>2743</v>
      </c>
      <c r="G1054" s="27"/>
      <c r="H1054" s="20"/>
      <c r="I1054" s="29"/>
      <c r="J1054" s="29"/>
      <c r="K1054" s="27"/>
      <c r="L1054" s="27"/>
      <c r="M1054" s="27" t="s">
        <v>7954</v>
      </c>
      <c r="N1054" s="27"/>
      <c r="O1054" s="29" t="s">
        <v>7955</v>
      </c>
      <c r="P1054" s="27"/>
      <c r="Q1054" s="27"/>
      <c r="R1054" s="29"/>
      <c r="S1054" s="29"/>
      <c r="T1054" s="29"/>
      <c r="U1054" s="27"/>
      <c r="V1054" s="27"/>
      <c r="W1054" s="27"/>
      <c r="X1054" s="64"/>
      <c r="Y1054" s="64"/>
      <c r="Z1054" s="64"/>
      <c r="AA1054" s="64"/>
      <c r="AB1054" s="27"/>
      <c r="AC1054" s="27"/>
    </row>
    <row r="1055" spans="1:29" s="28" customFormat="1" x14ac:dyDescent="0.3">
      <c r="A1055" s="27" t="s">
        <v>7956</v>
      </c>
      <c r="B1055" s="27" t="s">
        <v>2273</v>
      </c>
      <c r="C1055" s="29"/>
      <c r="D1055" s="28" t="s">
        <v>5022</v>
      </c>
      <c r="E1055" s="20" t="s">
        <v>1175</v>
      </c>
      <c r="F1055" s="20" t="s">
        <v>2304</v>
      </c>
      <c r="G1055" s="27"/>
      <c r="H1055" s="20"/>
      <c r="I1055" s="29"/>
      <c r="J1055" s="29"/>
      <c r="K1055" s="27"/>
      <c r="L1055" s="27"/>
      <c r="M1055" s="27" t="s">
        <v>7619</v>
      </c>
      <c r="N1055" s="27"/>
      <c r="O1055" s="29" t="s">
        <v>7957</v>
      </c>
      <c r="P1055" s="27"/>
      <c r="Q1055" s="27"/>
      <c r="R1055" s="29"/>
      <c r="S1055" s="29"/>
      <c r="T1055" s="29"/>
      <c r="U1055" s="27"/>
      <c r="V1055" s="27"/>
      <c r="W1055" s="27"/>
      <c r="X1055" s="64"/>
      <c r="Y1055" s="64"/>
      <c r="Z1055" s="64"/>
      <c r="AA1055" s="64"/>
      <c r="AB1055" s="27"/>
      <c r="AC1055" s="27"/>
    </row>
    <row r="1056" spans="1:29" s="28" customFormat="1" x14ac:dyDescent="0.3">
      <c r="A1056" s="27" t="s">
        <v>7958</v>
      </c>
      <c r="B1056" s="27" t="s">
        <v>2273</v>
      </c>
      <c r="C1056" s="29"/>
      <c r="D1056" s="28" t="s">
        <v>5022</v>
      </c>
      <c r="E1056" s="20" t="s">
        <v>1175</v>
      </c>
      <c r="F1056" s="20" t="s">
        <v>2608</v>
      </c>
      <c r="G1056" s="27"/>
      <c r="H1056" s="20"/>
      <c r="I1056" s="29"/>
      <c r="J1056" s="29"/>
      <c r="K1056" s="27"/>
      <c r="L1056" s="27"/>
      <c r="M1056" s="27" t="s">
        <v>7959</v>
      </c>
      <c r="N1056" s="27"/>
      <c r="O1056" s="29" t="s">
        <v>7960</v>
      </c>
      <c r="P1056" s="27"/>
      <c r="Q1056" s="27"/>
      <c r="R1056" s="29"/>
      <c r="S1056" s="29"/>
      <c r="T1056" s="29"/>
      <c r="U1056" s="27"/>
      <c r="V1056" s="27"/>
      <c r="W1056" s="27"/>
      <c r="X1056" s="64"/>
      <c r="Y1056" s="64"/>
      <c r="Z1056" s="64"/>
      <c r="AA1056" s="64"/>
      <c r="AB1056" s="27"/>
      <c r="AC1056" s="27"/>
    </row>
    <row r="1057" spans="1:29" s="28" customFormat="1" x14ac:dyDescent="0.3">
      <c r="A1057" s="27" t="s">
        <v>7961</v>
      </c>
      <c r="B1057" s="27" t="s">
        <v>2273</v>
      </c>
      <c r="C1057" s="29"/>
      <c r="D1057" s="28" t="s">
        <v>5022</v>
      </c>
      <c r="E1057" s="20" t="s">
        <v>1175</v>
      </c>
      <c r="F1057" s="20" t="s">
        <v>2744</v>
      </c>
      <c r="G1057" s="27"/>
      <c r="H1057" s="20"/>
      <c r="I1057" s="29"/>
      <c r="J1057" s="29"/>
      <c r="K1057" s="27"/>
      <c r="L1057" s="27"/>
      <c r="M1057" s="27" t="s">
        <v>7962</v>
      </c>
      <c r="N1057" s="27"/>
      <c r="O1057" s="29" t="s">
        <v>7963</v>
      </c>
      <c r="P1057" s="27"/>
      <c r="Q1057" s="27"/>
      <c r="R1057" s="29"/>
      <c r="S1057" s="29"/>
      <c r="T1057" s="29"/>
      <c r="U1057" s="27"/>
      <c r="V1057" s="27"/>
      <c r="W1057" s="27"/>
      <c r="X1057" s="64"/>
      <c r="Y1057" s="64"/>
      <c r="Z1057" s="64"/>
      <c r="AA1057" s="64"/>
      <c r="AB1057" s="27"/>
      <c r="AC1057" s="27"/>
    </row>
    <row r="1058" spans="1:29" s="25" customFormat="1" x14ac:dyDescent="0.3">
      <c r="A1058" s="24">
        <v>530</v>
      </c>
      <c r="B1058" s="24" t="s">
        <v>2272</v>
      </c>
      <c r="C1058" s="26">
        <v>269</v>
      </c>
      <c r="D1058" s="25" t="s">
        <v>1177</v>
      </c>
      <c r="E1058" s="19" t="s">
        <v>1178</v>
      </c>
      <c r="F1058" s="19"/>
      <c r="G1058" s="24"/>
      <c r="H1058" s="19"/>
      <c r="I1058" s="26" t="s">
        <v>89</v>
      </c>
      <c r="J1058" s="26" t="s">
        <v>37</v>
      </c>
      <c r="K1058" s="24"/>
      <c r="L1058" s="24" t="s">
        <v>3350</v>
      </c>
      <c r="M1058" s="24" t="s">
        <v>5597</v>
      </c>
      <c r="N1058" s="24" t="s">
        <v>5598</v>
      </c>
      <c r="O1058" s="26" t="s">
        <v>2092</v>
      </c>
      <c r="P1058" s="24"/>
      <c r="Q1058" s="24"/>
      <c r="R1058" s="26"/>
      <c r="S1058" s="26"/>
      <c r="T1058" s="26"/>
      <c r="U1058" s="24"/>
      <c r="V1058" s="24"/>
      <c r="W1058" s="24"/>
      <c r="X1058" s="63"/>
      <c r="Y1058" s="63"/>
      <c r="Z1058" s="63"/>
      <c r="AA1058" s="63"/>
      <c r="AB1058" s="24"/>
      <c r="AC1058" s="24"/>
    </row>
    <row r="1059" spans="1:29" s="25" customFormat="1" x14ac:dyDescent="0.3">
      <c r="A1059" s="24">
        <v>531</v>
      </c>
      <c r="B1059" s="24" t="s">
        <v>2272</v>
      </c>
      <c r="C1059" s="26">
        <v>271</v>
      </c>
      <c r="D1059" s="25" t="s">
        <v>1179</v>
      </c>
      <c r="E1059" s="19" t="s">
        <v>1180</v>
      </c>
      <c r="F1059" s="19"/>
      <c r="G1059" s="24" t="s">
        <v>3945</v>
      </c>
      <c r="H1059" s="19" t="s">
        <v>4457</v>
      </c>
      <c r="I1059" s="26" t="s">
        <v>37</v>
      </c>
      <c r="J1059" s="26" t="s">
        <v>37</v>
      </c>
      <c r="K1059" s="24"/>
      <c r="L1059" s="24" t="s">
        <v>3946</v>
      </c>
      <c r="M1059" s="24" t="s">
        <v>5479</v>
      </c>
      <c r="N1059" s="24"/>
      <c r="O1059" s="26"/>
      <c r="P1059" s="24"/>
      <c r="Q1059" s="24"/>
      <c r="R1059" s="26"/>
      <c r="S1059" s="26"/>
      <c r="T1059" s="26"/>
      <c r="U1059" s="24"/>
      <c r="V1059" s="24"/>
      <c r="W1059" s="24"/>
      <c r="X1059" s="63"/>
      <c r="Y1059" s="63"/>
      <c r="Z1059" s="63"/>
      <c r="AA1059" s="63"/>
      <c r="AB1059" s="24"/>
      <c r="AC1059" s="24"/>
    </row>
    <row r="1060" spans="1:29" s="28" customFormat="1" x14ac:dyDescent="0.3">
      <c r="A1060" s="27" t="s">
        <v>7964</v>
      </c>
      <c r="B1060" s="27" t="s">
        <v>2273</v>
      </c>
      <c r="C1060" s="29"/>
      <c r="D1060" s="28" t="s">
        <v>5023</v>
      </c>
      <c r="E1060" s="20" t="s">
        <v>1180</v>
      </c>
      <c r="F1060" s="20" t="s">
        <v>2305</v>
      </c>
      <c r="G1060" s="27"/>
      <c r="H1060" s="20"/>
      <c r="I1060" s="29"/>
      <c r="J1060" s="29"/>
      <c r="K1060" s="27"/>
      <c r="L1060" s="27"/>
      <c r="M1060" s="27" t="s">
        <v>6816</v>
      </c>
      <c r="N1060" s="27"/>
      <c r="O1060" s="29" t="s">
        <v>7965</v>
      </c>
      <c r="P1060" s="27"/>
      <c r="Q1060" s="27"/>
      <c r="R1060" s="29"/>
      <c r="S1060" s="29"/>
      <c r="T1060" s="29"/>
      <c r="U1060" s="27"/>
      <c r="V1060" s="27"/>
      <c r="W1060" s="27"/>
      <c r="X1060" s="64"/>
      <c r="Y1060" s="64"/>
      <c r="Z1060" s="64"/>
      <c r="AA1060" s="64"/>
      <c r="AB1060" s="27"/>
      <c r="AC1060" s="27"/>
    </row>
    <row r="1061" spans="1:29" s="25" customFormat="1" x14ac:dyDescent="0.3">
      <c r="A1061" s="24">
        <v>532</v>
      </c>
      <c r="B1061" s="24" t="s">
        <v>2272</v>
      </c>
      <c r="C1061" s="26">
        <v>269</v>
      </c>
      <c r="D1061" s="25" t="s">
        <v>1181</v>
      </c>
      <c r="E1061" s="19" t="s">
        <v>1182</v>
      </c>
      <c r="F1061" s="19"/>
      <c r="G1061" s="24"/>
      <c r="H1061" s="19"/>
      <c r="I1061" s="26" t="s">
        <v>49</v>
      </c>
      <c r="J1061" s="26" t="s">
        <v>5121</v>
      </c>
      <c r="K1061" s="24" t="s">
        <v>49</v>
      </c>
      <c r="L1061" s="24" t="s">
        <v>3083</v>
      </c>
      <c r="M1061" s="24" t="s">
        <v>5599</v>
      </c>
      <c r="N1061" s="24" t="s">
        <v>5600</v>
      </c>
      <c r="O1061" s="26" t="s">
        <v>2093</v>
      </c>
      <c r="P1061" s="24" t="s">
        <v>6449</v>
      </c>
      <c r="Q1061" s="24"/>
      <c r="R1061" s="26"/>
      <c r="S1061" s="26"/>
      <c r="T1061" s="26"/>
      <c r="U1061" s="24"/>
      <c r="V1061" s="24"/>
      <c r="W1061" s="24"/>
      <c r="X1061" s="63"/>
      <c r="Y1061" s="63"/>
      <c r="Z1061" s="63"/>
      <c r="AA1061" s="63"/>
      <c r="AB1061" s="24"/>
      <c r="AC1061" s="24"/>
    </row>
    <row r="1062" spans="1:29" s="25" customFormat="1" x14ac:dyDescent="0.3">
      <c r="A1062" s="24">
        <v>533</v>
      </c>
      <c r="B1062" s="24" t="s">
        <v>2272</v>
      </c>
      <c r="C1062" s="26">
        <v>269</v>
      </c>
      <c r="D1062" s="25" t="s">
        <v>1183</v>
      </c>
      <c r="E1062" s="19" t="s">
        <v>1184</v>
      </c>
      <c r="F1062" s="19"/>
      <c r="G1062" s="24" t="s">
        <v>2097</v>
      </c>
      <c r="H1062" s="19"/>
      <c r="I1062" s="26" t="s">
        <v>89</v>
      </c>
      <c r="J1062" s="26" t="s">
        <v>37</v>
      </c>
      <c r="K1062" s="24" t="s">
        <v>3017</v>
      </c>
      <c r="L1062" s="24" t="s">
        <v>3949</v>
      </c>
      <c r="M1062" s="24" t="s">
        <v>5601</v>
      </c>
      <c r="N1062" s="24" t="s">
        <v>5602</v>
      </c>
      <c r="O1062" s="26" t="s">
        <v>2094</v>
      </c>
      <c r="P1062" s="24"/>
      <c r="Q1062" s="24"/>
      <c r="R1062" s="26"/>
      <c r="S1062" s="26"/>
      <c r="T1062" s="26"/>
      <c r="U1062" s="24"/>
      <c r="V1062" s="24"/>
      <c r="W1062" s="24"/>
      <c r="X1062" s="63"/>
      <c r="Y1062" s="63"/>
      <c r="Z1062" s="63"/>
      <c r="AA1062" s="63"/>
      <c r="AB1062" s="24"/>
      <c r="AC1062" s="24"/>
    </row>
    <row r="1063" spans="1:29" s="25" customFormat="1" x14ac:dyDescent="0.3">
      <c r="A1063" s="24">
        <v>534</v>
      </c>
      <c r="B1063" s="24" t="s">
        <v>2272</v>
      </c>
      <c r="C1063" s="26">
        <v>275</v>
      </c>
      <c r="D1063" s="25" t="s">
        <v>1186</v>
      </c>
      <c r="E1063" s="19" t="s">
        <v>1187</v>
      </c>
      <c r="F1063" s="19"/>
      <c r="G1063" s="24"/>
      <c r="H1063" s="19"/>
      <c r="I1063" s="26" t="s">
        <v>57</v>
      </c>
      <c r="J1063" s="26" t="s">
        <v>57</v>
      </c>
      <c r="K1063" s="24"/>
      <c r="L1063" s="24" t="s">
        <v>3951</v>
      </c>
      <c r="M1063" s="24" t="s">
        <v>5603</v>
      </c>
      <c r="N1063" s="24"/>
      <c r="O1063" s="26" t="s">
        <v>2098</v>
      </c>
      <c r="P1063" s="24"/>
      <c r="Q1063" s="24"/>
      <c r="R1063" s="26"/>
      <c r="S1063" s="26"/>
      <c r="T1063" s="26"/>
      <c r="U1063" s="24"/>
      <c r="V1063" s="24"/>
      <c r="W1063" s="24"/>
      <c r="X1063" s="63"/>
      <c r="Y1063" s="63"/>
      <c r="Z1063" s="63"/>
      <c r="AA1063" s="63"/>
      <c r="AB1063" s="24"/>
      <c r="AC1063" s="24"/>
    </row>
    <row r="1064" spans="1:29" s="25" customFormat="1" x14ac:dyDescent="0.3">
      <c r="A1064" s="24">
        <v>535</v>
      </c>
      <c r="B1064" s="24" t="s">
        <v>2272</v>
      </c>
      <c r="C1064" s="26">
        <v>275</v>
      </c>
      <c r="D1064" s="25" t="s">
        <v>1188</v>
      </c>
      <c r="E1064" s="19" t="s">
        <v>1189</v>
      </c>
      <c r="F1064" s="19"/>
      <c r="G1064" s="24"/>
      <c r="H1064" s="19"/>
      <c r="I1064" s="26" t="s">
        <v>57</v>
      </c>
      <c r="J1064" s="26" t="s">
        <v>57</v>
      </c>
      <c r="K1064" s="24"/>
      <c r="L1064" s="24" t="s">
        <v>3953</v>
      </c>
      <c r="M1064" s="24" t="s">
        <v>5604</v>
      </c>
      <c r="N1064" s="24"/>
      <c r="O1064" s="26" t="s">
        <v>2100</v>
      </c>
      <c r="P1064" s="24" t="s">
        <v>3006</v>
      </c>
      <c r="Q1064" s="24"/>
      <c r="R1064" s="26"/>
      <c r="S1064" s="26"/>
      <c r="T1064" s="26"/>
      <c r="U1064" s="24"/>
      <c r="V1064" s="24"/>
      <c r="W1064" s="24"/>
      <c r="X1064" s="63"/>
      <c r="Y1064" s="63"/>
      <c r="Z1064" s="63"/>
      <c r="AA1064" s="63"/>
      <c r="AB1064" s="24"/>
      <c r="AC1064" s="24"/>
    </row>
    <row r="1065" spans="1:29" s="25" customFormat="1" x14ac:dyDescent="0.3">
      <c r="A1065" s="24">
        <v>536</v>
      </c>
      <c r="B1065" s="24" t="s">
        <v>2272</v>
      </c>
      <c r="C1065" s="26">
        <v>277</v>
      </c>
      <c r="D1065" s="25" t="s">
        <v>1190</v>
      </c>
      <c r="E1065" s="19" t="s">
        <v>1191</v>
      </c>
      <c r="F1065" s="19"/>
      <c r="G1065" s="24"/>
      <c r="H1065" s="19"/>
      <c r="I1065" s="26" t="s">
        <v>57</v>
      </c>
      <c r="J1065" s="26" t="s">
        <v>57</v>
      </c>
      <c r="K1065" s="24"/>
      <c r="L1065" s="24" t="s">
        <v>3955</v>
      </c>
      <c r="M1065" s="24" t="s">
        <v>4460</v>
      </c>
      <c r="N1065" s="24"/>
      <c r="O1065" s="26" t="s">
        <v>2101</v>
      </c>
      <c r="P1065" s="24"/>
      <c r="Q1065" s="24"/>
      <c r="R1065" s="26"/>
      <c r="S1065" s="26"/>
      <c r="T1065" s="26"/>
      <c r="U1065" s="24"/>
      <c r="V1065" s="24"/>
      <c r="W1065" s="24"/>
      <c r="X1065" s="63"/>
      <c r="Y1065" s="63"/>
      <c r="Z1065" s="63"/>
      <c r="AA1065" s="63"/>
      <c r="AB1065" s="24"/>
      <c r="AC1065" s="24"/>
    </row>
    <row r="1066" spans="1:29" s="25" customFormat="1" x14ac:dyDescent="0.3">
      <c r="A1066" s="24">
        <v>537</v>
      </c>
      <c r="B1066" s="24" t="s">
        <v>2272</v>
      </c>
      <c r="C1066" s="26">
        <v>271</v>
      </c>
      <c r="D1066" s="25" t="s">
        <v>1192</v>
      </c>
      <c r="E1066" s="19" t="s">
        <v>1193</v>
      </c>
      <c r="F1066" s="19"/>
      <c r="G1066" s="24"/>
      <c r="H1066" s="19" t="s">
        <v>2105</v>
      </c>
      <c r="I1066" s="26" t="s">
        <v>89</v>
      </c>
      <c r="J1066" s="26" t="s">
        <v>37</v>
      </c>
      <c r="K1066" s="24" t="s">
        <v>3019</v>
      </c>
      <c r="L1066" s="24" t="s">
        <v>3957</v>
      </c>
      <c r="M1066" s="24" t="s">
        <v>5605</v>
      </c>
      <c r="N1066" s="24" t="s">
        <v>5606</v>
      </c>
      <c r="O1066" s="26" t="s">
        <v>2104</v>
      </c>
      <c r="P1066" s="24" t="s">
        <v>9</v>
      </c>
      <c r="Q1066" s="24"/>
      <c r="R1066" s="26"/>
      <c r="S1066" s="26"/>
      <c r="T1066" s="26"/>
      <c r="U1066" s="24"/>
      <c r="V1066" s="24"/>
      <c r="W1066" s="24"/>
      <c r="X1066" s="63"/>
      <c r="Y1066" s="63"/>
      <c r="Z1066" s="63"/>
      <c r="AA1066" s="63"/>
      <c r="AB1066" s="24"/>
      <c r="AC1066" s="24"/>
    </row>
    <row r="1067" spans="1:29" s="25" customFormat="1" x14ac:dyDescent="0.3">
      <c r="A1067" s="24">
        <v>538</v>
      </c>
      <c r="B1067" s="24" t="s">
        <v>2272</v>
      </c>
      <c r="C1067" s="26">
        <v>271</v>
      </c>
      <c r="D1067" s="25" t="s">
        <v>1194</v>
      </c>
      <c r="E1067" s="19" t="s">
        <v>1195</v>
      </c>
      <c r="F1067" s="19"/>
      <c r="G1067" s="24"/>
      <c r="H1067" s="19" t="s">
        <v>2106</v>
      </c>
      <c r="I1067" s="26" t="s">
        <v>49</v>
      </c>
      <c r="J1067" s="26" t="s">
        <v>5121</v>
      </c>
      <c r="K1067" s="24" t="s">
        <v>49</v>
      </c>
      <c r="L1067" s="24" t="s">
        <v>3959</v>
      </c>
      <c r="M1067" s="24" t="s">
        <v>5607</v>
      </c>
      <c r="N1067" s="24" t="s">
        <v>1759</v>
      </c>
      <c r="O1067" s="26"/>
      <c r="P1067" s="24" t="s">
        <v>8571</v>
      </c>
      <c r="Q1067" s="24"/>
      <c r="R1067" s="26"/>
      <c r="S1067" s="26"/>
      <c r="T1067" s="26"/>
      <c r="U1067" s="24"/>
      <c r="V1067" s="24"/>
      <c r="W1067" s="24"/>
      <c r="X1067" s="63"/>
      <c r="Y1067" s="63"/>
      <c r="Z1067" s="63"/>
      <c r="AA1067" s="63"/>
      <c r="AB1067" s="24"/>
      <c r="AC1067" s="24"/>
    </row>
    <row r="1068" spans="1:29" s="28" customFormat="1" x14ac:dyDescent="0.3">
      <c r="A1068" s="27" t="s">
        <v>7966</v>
      </c>
      <c r="B1068" s="27" t="s">
        <v>2273</v>
      </c>
      <c r="C1068" s="29"/>
      <c r="D1068" s="28" t="s">
        <v>5024</v>
      </c>
      <c r="E1068" s="20" t="s">
        <v>1195</v>
      </c>
      <c r="F1068" s="20" t="s">
        <v>2745</v>
      </c>
      <c r="G1068" s="27"/>
      <c r="H1068" s="20"/>
      <c r="I1068" s="29"/>
      <c r="J1068" s="29"/>
      <c r="K1068" s="27"/>
      <c r="L1068" s="27"/>
      <c r="M1068" s="27" t="s">
        <v>7967</v>
      </c>
      <c r="N1068" s="27" t="s">
        <v>6684</v>
      </c>
      <c r="O1068" s="29" t="s">
        <v>7968</v>
      </c>
      <c r="P1068" s="27"/>
      <c r="Q1068" s="27"/>
      <c r="R1068" s="29"/>
      <c r="S1068" s="29"/>
      <c r="T1068" s="29"/>
      <c r="U1068" s="27"/>
      <c r="V1068" s="27"/>
      <c r="W1068" s="27"/>
      <c r="X1068" s="64"/>
      <c r="Y1068" s="64"/>
      <c r="Z1068" s="64"/>
      <c r="AA1068" s="64"/>
      <c r="AB1068" s="27"/>
      <c r="AC1068" s="27"/>
    </row>
    <row r="1069" spans="1:29" s="25" customFormat="1" x14ac:dyDescent="0.3">
      <c r="A1069" s="24">
        <v>539</v>
      </c>
      <c r="B1069" s="24" t="s">
        <v>2272</v>
      </c>
      <c r="C1069" s="26">
        <v>273</v>
      </c>
      <c r="D1069" s="25" t="s">
        <v>1196</v>
      </c>
      <c r="E1069" s="19" t="s">
        <v>1197</v>
      </c>
      <c r="F1069" s="19"/>
      <c r="G1069" s="24"/>
      <c r="H1069" s="19" t="s">
        <v>2107</v>
      </c>
      <c r="I1069" s="26" t="s">
        <v>89</v>
      </c>
      <c r="J1069" s="26" t="s">
        <v>37</v>
      </c>
      <c r="K1069" s="24"/>
      <c r="L1069" s="24" t="s">
        <v>3388</v>
      </c>
      <c r="M1069" s="24" t="s">
        <v>5608</v>
      </c>
      <c r="N1069" s="24" t="s">
        <v>5609</v>
      </c>
      <c r="O1069" s="26" t="s">
        <v>6687</v>
      </c>
      <c r="P1069" s="24"/>
      <c r="Q1069" s="24"/>
      <c r="R1069" s="26"/>
      <c r="S1069" s="26"/>
      <c r="T1069" s="26"/>
      <c r="U1069" s="24"/>
      <c r="V1069" s="24"/>
      <c r="W1069" s="24"/>
      <c r="X1069" s="63"/>
      <c r="Y1069" s="63"/>
      <c r="Z1069" s="63"/>
      <c r="AA1069" s="63"/>
      <c r="AB1069" s="24"/>
      <c r="AC1069" s="24"/>
    </row>
    <row r="1070" spans="1:29" s="25" customFormat="1" x14ac:dyDescent="0.3">
      <c r="A1070" s="24">
        <v>540</v>
      </c>
      <c r="B1070" s="24" t="s">
        <v>2272</v>
      </c>
      <c r="C1070" s="26">
        <v>273</v>
      </c>
      <c r="D1070" s="25" t="s">
        <v>1198</v>
      </c>
      <c r="E1070" s="19" t="s">
        <v>1199</v>
      </c>
      <c r="F1070" s="19"/>
      <c r="G1070" s="24"/>
      <c r="H1070" s="19"/>
      <c r="I1070" s="26" t="s">
        <v>89</v>
      </c>
      <c r="J1070" s="26" t="s">
        <v>37</v>
      </c>
      <c r="K1070" s="24"/>
      <c r="L1070" s="24" t="s">
        <v>3962</v>
      </c>
      <c r="M1070" s="24" t="s">
        <v>5610</v>
      </c>
      <c r="N1070" s="24" t="s">
        <v>1633</v>
      </c>
      <c r="O1070" s="26" t="s">
        <v>2108</v>
      </c>
      <c r="P1070" s="24" t="s">
        <v>9</v>
      </c>
      <c r="Q1070" s="24"/>
      <c r="R1070" s="26"/>
      <c r="S1070" s="26"/>
      <c r="T1070" s="26"/>
      <c r="U1070" s="24"/>
      <c r="V1070" s="24"/>
      <c r="W1070" s="24"/>
      <c r="X1070" s="63"/>
      <c r="Y1070" s="63"/>
      <c r="Z1070" s="63"/>
      <c r="AA1070" s="63"/>
      <c r="AB1070" s="24"/>
      <c r="AC1070" s="24"/>
    </row>
    <row r="1071" spans="1:29" s="28" customFormat="1" x14ac:dyDescent="0.3">
      <c r="A1071" s="27" t="s">
        <v>7969</v>
      </c>
      <c r="B1071" s="27" t="s">
        <v>2273</v>
      </c>
      <c r="C1071" s="29"/>
      <c r="D1071" s="28" t="s">
        <v>5025</v>
      </c>
      <c r="E1071" s="20" t="s">
        <v>1199</v>
      </c>
      <c r="F1071" s="20" t="s">
        <v>2746</v>
      </c>
      <c r="G1071" s="27"/>
      <c r="H1071" s="20"/>
      <c r="I1071" s="29"/>
      <c r="J1071" s="29"/>
      <c r="K1071" s="27"/>
      <c r="L1071" s="27"/>
      <c r="M1071" s="27" t="s">
        <v>7970</v>
      </c>
      <c r="N1071" s="27" t="s">
        <v>6872</v>
      </c>
      <c r="O1071" s="29"/>
      <c r="P1071" s="27"/>
      <c r="Q1071" s="27"/>
      <c r="R1071" s="29"/>
      <c r="S1071" s="29"/>
      <c r="T1071" s="29"/>
      <c r="U1071" s="27"/>
      <c r="V1071" s="27"/>
      <c r="W1071" s="27"/>
      <c r="X1071" s="64"/>
      <c r="Y1071" s="64"/>
      <c r="Z1071" s="64"/>
      <c r="AA1071" s="64"/>
      <c r="AB1071" s="27"/>
      <c r="AC1071" s="27"/>
    </row>
    <row r="1072" spans="1:29" s="25" customFormat="1" x14ac:dyDescent="0.3">
      <c r="A1072" s="24">
        <v>541</v>
      </c>
      <c r="B1072" s="24" t="s">
        <v>2272</v>
      </c>
      <c r="C1072" s="26">
        <v>273</v>
      </c>
      <c r="D1072" s="25" t="s">
        <v>1200</v>
      </c>
      <c r="E1072" s="19" t="s">
        <v>1201</v>
      </c>
      <c r="F1072" s="19"/>
      <c r="G1072" s="24" t="s">
        <v>2110</v>
      </c>
      <c r="H1072" s="19"/>
      <c r="I1072" s="26" t="s">
        <v>57</v>
      </c>
      <c r="J1072" s="26" t="s">
        <v>57</v>
      </c>
      <c r="K1072" s="24"/>
      <c r="L1072" s="24" t="s">
        <v>3964</v>
      </c>
      <c r="M1072" s="24" t="s">
        <v>5611</v>
      </c>
      <c r="N1072" s="24"/>
      <c r="O1072" s="26"/>
      <c r="P1072" s="24"/>
      <c r="Q1072" s="24"/>
      <c r="R1072" s="26"/>
      <c r="S1072" s="26"/>
      <c r="T1072" s="26"/>
      <c r="U1072" s="24"/>
      <c r="V1072" s="24"/>
      <c r="W1072" s="24"/>
      <c r="X1072" s="63"/>
      <c r="Y1072" s="63"/>
      <c r="Z1072" s="63"/>
      <c r="AA1072" s="63"/>
      <c r="AB1072" s="24"/>
      <c r="AC1072" s="24"/>
    </row>
    <row r="1073" spans="1:29" s="28" customFormat="1" x14ac:dyDescent="0.3">
      <c r="A1073" s="27" t="s">
        <v>7971</v>
      </c>
      <c r="B1073" s="27" t="s">
        <v>2273</v>
      </c>
      <c r="C1073" s="29"/>
      <c r="D1073" s="28" t="s">
        <v>5026</v>
      </c>
      <c r="E1073" s="20" t="s">
        <v>1201</v>
      </c>
      <c r="F1073" s="20" t="s">
        <v>2747</v>
      </c>
      <c r="G1073" s="27"/>
      <c r="H1073" s="20"/>
      <c r="I1073" s="29"/>
      <c r="J1073" s="29"/>
      <c r="K1073" s="27"/>
      <c r="L1073" s="27"/>
      <c r="M1073" s="27" t="s">
        <v>7780</v>
      </c>
      <c r="N1073" s="27"/>
      <c r="O1073" s="29" t="s">
        <v>2015</v>
      </c>
      <c r="P1073" s="27"/>
      <c r="Q1073" s="27"/>
      <c r="R1073" s="29"/>
      <c r="S1073" s="29"/>
      <c r="T1073" s="29"/>
      <c r="U1073" s="27"/>
      <c r="V1073" s="27"/>
      <c r="W1073" s="27"/>
      <c r="X1073" s="64"/>
      <c r="Y1073" s="64"/>
      <c r="Z1073" s="64"/>
      <c r="AA1073" s="64"/>
      <c r="AB1073" s="27"/>
      <c r="AC1073" s="27"/>
    </row>
    <row r="1074" spans="1:29" s="28" customFormat="1" x14ac:dyDescent="0.3">
      <c r="A1074" s="27" t="s">
        <v>7972</v>
      </c>
      <c r="B1074" s="27" t="s">
        <v>2273</v>
      </c>
      <c r="C1074" s="29"/>
      <c r="D1074" s="28" t="s">
        <v>5026</v>
      </c>
      <c r="E1074" s="20" t="s">
        <v>1201</v>
      </c>
      <c r="F1074" s="20" t="s">
        <v>2748</v>
      </c>
      <c r="G1074" s="27"/>
      <c r="H1074" s="20"/>
      <c r="I1074" s="29"/>
      <c r="J1074" s="29"/>
      <c r="K1074" s="27"/>
      <c r="L1074" s="27"/>
      <c r="M1074" s="27" t="s">
        <v>7973</v>
      </c>
      <c r="N1074" s="27"/>
      <c r="O1074" s="29" t="s">
        <v>7974</v>
      </c>
      <c r="P1074" s="27"/>
      <c r="Q1074" s="27"/>
      <c r="R1074" s="29"/>
      <c r="S1074" s="29"/>
      <c r="T1074" s="29"/>
      <c r="U1074" s="27"/>
      <c r="V1074" s="27"/>
      <c r="W1074" s="27"/>
      <c r="X1074" s="64"/>
      <c r="Y1074" s="64"/>
      <c r="Z1074" s="64"/>
      <c r="AA1074" s="64"/>
      <c r="AB1074" s="27"/>
      <c r="AC1074" s="27"/>
    </row>
    <row r="1075" spans="1:29" s="28" customFormat="1" x14ac:dyDescent="0.3">
      <c r="A1075" s="27" t="s">
        <v>7975</v>
      </c>
      <c r="B1075" s="27" t="s">
        <v>2273</v>
      </c>
      <c r="C1075" s="29"/>
      <c r="D1075" s="28" t="s">
        <v>5026</v>
      </c>
      <c r="E1075" s="20" t="s">
        <v>1201</v>
      </c>
      <c r="F1075" s="20" t="s">
        <v>2608</v>
      </c>
      <c r="G1075" s="27"/>
      <c r="H1075" s="20"/>
      <c r="I1075" s="29"/>
      <c r="J1075" s="29"/>
      <c r="K1075" s="27"/>
      <c r="L1075" s="27"/>
      <c r="M1075" s="27" t="s">
        <v>7976</v>
      </c>
      <c r="N1075" s="27"/>
      <c r="O1075" s="29" t="s">
        <v>7977</v>
      </c>
      <c r="P1075" s="27"/>
      <c r="Q1075" s="27"/>
      <c r="R1075" s="29"/>
      <c r="S1075" s="29"/>
      <c r="T1075" s="29"/>
      <c r="U1075" s="27"/>
      <c r="V1075" s="27"/>
      <c r="W1075" s="27"/>
      <c r="X1075" s="64"/>
      <c r="Y1075" s="64"/>
      <c r="Z1075" s="64"/>
      <c r="AA1075" s="64"/>
      <c r="AB1075" s="27"/>
      <c r="AC1075" s="27"/>
    </row>
    <row r="1076" spans="1:29" s="25" customFormat="1" x14ac:dyDescent="0.3">
      <c r="A1076" s="24">
        <v>542</v>
      </c>
      <c r="B1076" s="24" t="s">
        <v>2272</v>
      </c>
      <c r="C1076" s="26">
        <v>275</v>
      </c>
      <c r="D1076" s="25" t="s">
        <v>1202</v>
      </c>
      <c r="E1076" s="19" t="s">
        <v>1203</v>
      </c>
      <c r="F1076" s="19"/>
      <c r="G1076" s="24" t="s">
        <v>2111</v>
      </c>
      <c r="H1076" s="19"/>
      <c r="I1076" s="26" t="s">
        <v>57</v>
      </c>
      <c r="J1076" s="26" t="s">
        <v>57</v>
      </c>
      <c r="K1076" s="24"/>
      <c r="L1076" s="24" t="s">
        <v>3966</v>
      </c>
      <c r="M1076" s="24" t="s">
        <v>5510</v>
      </c>
      <c r="N1076" s="24"/>
      <c r="O1076" s="26" t="s">
        <v>2015</v>
      </c>
      <c r="P1076" s="24"/>
      <c r="Q1076" s="24"/>
      <c r="R1076" s="26"/>
      <c r="S1076" s="26"/>
      <c r="T1076" s="26"/>
      <c r="U1076" s="24"/>
      <c r="V1076" s="24"/>
      <c r="W1076" s="24"/>
      <c r="X1076" s="63"/>
      <c r="Y1076" s="63"/>
      <c r="Z1076" s="63"/>
      <c r="AA1076" s="63"/>
      <c r="AB1076" s="24"/>
      <c r="AC1076" s="24"/>
    </row>
    <row r="1077" spans="1:29" s="25" customFormat="1" x14ac:dyDescent="0.3">
      <c r="A1077" s="24">
        <v>543</v>
      </c>
      <c r="B1077" s="24" t="s">
        <v>2272</v>
      </c>
      <c r="C1077" s="26">
        <v>275</v>
      </c>
      <c r="D1077" s="25" t="s">
        <v>1204</v>
      </c>
      <c r="E1077" s="19" t="s">
        <v>1205</v>
      </c>
      <c r="F1077" s="19"/>
      <c r="G1077" s="24"/>
      <c r="H1077" s="19"/>
      <c r="I1077" s="26" t="s">
        <v>37</v>
      </c>
      <c r="J1077" s="26" t="s">
        <v>57</v>
      </c>
      <c r="K1077" s="24"/>
      <c r="L1077" s="24" t="s">
        <v>4608</v>
      </c>
      <c r="M1077" s="24" t="s">
        <v>6086</v>
      </c>
      <c r="N1077" s="24"/>
      <c r="O1077" s="26"/>
      <c r="P1077" s="24"/>
      <c r="Q1077" s="24"/>
      <c r="R1077" s="26"/>
      <c r="S1077" s="26"/>
      <c r="T1077" s="26"/>
      <c r="U1077" s="24"/>
      <c r="V1077" s="24"/>
      <c r="W1077" s="24"/>
      <c r="X1077" s="63"/>
      <c r="Y1077" s="63"/>
      <c r="Z1077" s="63"/>
      <c r="AA1077" s="63"/>
      <c r="AB1077" s="24"/>
      <c r="AC1077" s="24"/>
    </row>
    <row r="1078" spans="1:29" s="28" customFormat="1" x14ac:dyDescent="0.3">
      <c r="A1078" s="27" t="s">
        <v>7978</v>
      </c>
      <c r="B1078" s="27" t="s">
        <v>2273</v>
      </c>
      <c r="C1078" s="29">
        <v>275</v>
      </c>
      <c r="D1078" s="28" t="s">
        <v>5027</v>
      </c>
      <c r="E1078" s="20" t="s">
        <v>1205</v>
      </c>
      <c r="F1078" s="20" t="s">
        <v>2749</v>
      </c>
      <c r="G1078" s="27" t="s">
        <v>4679</v>
      </c>
      <c r="H1078" s="20" t="s">
        <v>4680</v>
      </c>
      <c r="I1078" s="29"/>
      <c r="J1078" s="29" t="s">
        <v>57</v>
      </c>
      <c r="K1078" s="27"/>
      <c r="L1078" s="27" t="s">
        <v>4608</v>
      </c>
      <c r="M1078" s="27" t="s">
        <v>7979</v>
      </c>
      <c r="N1078" s="27"/>
      <c r="O1078" s="29" t="s">
        <v>7980</v>
      </c>
      <c r="P1078" s="27"/>
      <c r="Q1078" s="27"/>
      <c r="R1078" s="29"/>
      <c r="S1078" s="29"/>
      <c r="T1078" s="29"/>
      <c r="U1078" s="27"/>
      <c r="V1078" s="27"/>
      <c r="W1078" s="27"/>
      <c r="X1078" s="64"/>
      <c r="Y1078" s="64"/>
      <c r="Z1078" s="64"/>
      <c r="AA1078" s="64"/>
      <c r="AB1078" s="27"/>
      <c r="AC1078" s="27"/>
    </row>
    <row r="1079" spans="1:29" s="28" customFormat="1" x14ac:dyDescent="0.3">
      <c r="A1079" s="27" t="s">
        <v>7981</v>
      </c>
      <c r="B1079" s="27" t="s">
        <v>2273</v>
      </c>
      <c r="C1079" s="29">
        <v>275</v>
      </c>
      <c r="D1079" s="28" t="s">
        <v>5027</v>
      </c>
      <c r="E1079" s="20" t="s">
        <v>1205</v>
      </c>
      <c r="F1079" s="20" t="s">
        <v>2750</v>
      </c>
      <c r="G1079" s="27" t="s">
        <v>4679</v>
      </c>
      <c r="H1079" s="20" t="s">
        <v>4680</v>
      </c>
      <c r="I1079" s="29"/>
      <c r="J1079" s="29" t="s">
        <v>57</v>
      </c>
      <c r="K1079" s="27"/>
      <c r="L1079" s="27" t="s">
        <v>4608</v>
      </c>
      <c r="M1079" s="27" t="s">
        <v>7982</v>
      </c>
      <c r="N1079" s="27"/>
      <c r="O1079" s="29" t="s">
        <v>7983</v>
      </c>
      <c r="P1079" s="27"/>
      <c r="Q1079" s="27"/>
      <c r="R1079" s="29"/>
      <c r="S1079" s="29"/>
      <c r="T1079" s="29"/>
      <c r="U1079" s="27"/>
      <c r="V1079" s="27"/>
      <c r="W1079" s="27"/>
      <c r="X1079" s="64"/>
      <c r="Y1079" s="64"/>
      <c r="Z1079" s="64"/>
      <c r="AA1079" s="64"/>
      <c r="AB1079" s="27"/>
      <c r="AC1079" s="27"/>
    </row>
    <row r="1080" spans="1:29" s="28" customFormat="1" x14ac:dyDescent="0.3">
      <c r="A1080" s="27" t="s">
        <v>7984</v>
      </c>
      <c r="B1080" s="27" t="s">
        <v>2273</v>
      </c>
      <c r="C1080" s="29">
        <v>275</v>
      </c>
      <c r="D1080" s="28" t="s">
        <v>5027</v>
      </c>
      <c r="E1080" s="20" t="s">
        <v>1205</v>
      </c>
      <c r="F1080" s="20" t="s">
        <v>2751</v>
      </c>
      <c r="G1080" s="27" t="s">
        <v>4679</v>
      </c>
      <c r="H1080" s="20" t="s">
        <v>4680</v>
      </c>
      <c r="I1080" s="29"/>
      <c r="J1080" s="29" t="s">
        <v>57</v>
      </c>
      <c r="K1080" s="27"/>
      <c r="L1080" s="27" t="s">
        <v>4608</v>
      </c>
      <c r="M1080" s="27" t="s">
        <v>7358</v>
      </c>
      <c r="N1080" s="27"/>
      <c r="O1080" s="29" t="s">
        <v>7985</v>
      </c>
      <c r="P1080" s="27"/>
      <c r="Q1080" s="27"/>
      <c r="R1080" s="29"/>
      <c r="S1080" s="29"/>
      <c r="T1080" s="29"/>
      <c r="U1080" s="27"/>
      <c r="V1080" s="27"/>
      <c r="W1080" s="27"/>
      <c r="X1080" s="64"/>
      <c r="Y1080" s="64"/>
      <c r="Z1080" s="64"/>
      <c r="AA1080" s="64"/>
      <c r="AB1080" s="27"/>
      <c r="AC1080" s="27"/>
    </row>
    <row r="1081" spans="1:29" s="28" customFormat="1" x14ac:dyDescent="0.3">
      <c r="A1081" s="27" t="s">
        <v>7986</v>
      </c>
      <c r="B1081" s="27" t="s">
        <v>2273</v>
      </c>
      <c r="C1081" s="29">
        <v>275</v>
      </c>
      <c r="D1081" s="28" t="s">
        <v>5027</v>
      </c>
      <c r="E1081" s="20" t="s">
        <v>1205</v>
      </c>
      <c r="F1081" s="20" t="s">
        <v>2337</v>
      </c>
      <c r="G1081" s="27" t="s">
        <v>4679</v>
      </c>
      <c r="H1081" s="20" t="s">
        <v>4680</v>
      </c>
      <c r="I1081" s="29"/>
      <c r="J1081" s="29" t="s">
        <v>57</v>
      </c>
      <c r="K1081" s="27"/>
      <c r="L1081" s="27" t="s">
        <v>4608</v>
      </c>
      <c r="M1081" s="27" t="s">
        <v>7662</v>
      </c>
      <c r="N1081" s="27"/>
      <c r="O1081" s="29" t="s">
        <v>7484</v>
      </c>
      <c r="P1081" s="27"/>
      <c r="Q1081" s="27"/>
      <c r="R1081" s="29"/>
      <c r="S1081" s="29"/>
      <c r="T1081" s="29"/>
      <c r="U1081" s="27"/>
      <c r="V1081" s="27"/>
      <c r="W1081" s="27"/>
      <c r="X1081" s="64"/>
      <c r="Y1081" s="64"/>
      <c r="Z1081" s="64"/>
      <c r="AA1081" s="64"/>
      <c r="AB1081" s="27"/>
      <c r="AC1081" s="27"/>
    </row>
    <row r="1082" spans="1:29" s="25" customFormat="1" x14ac:dyDescent="0.3">
      <c r="A1082" s="24">
        <v>544</v>
      </c>
      <c r="B1082" s="24" t="s">
        <v>2272</v>
      </c>
      <c r="C1082" s="26">
        <v>275</v>
      </c>
      <c r="D1082" s="25" t="s">
        <v>1206</v>
      </c>
      <c r="E1082" s="19" t="s">
        <v>1207</v>
      </c>
      <c r="F1082" s="19"/>
      <c r="G1082" s="24"/>
      <c r="H1082" s="19"/>
      <c r="I1082" s="26" t="s">
        <v>37</v>
      </c>
      <c r="J1082" s="26" t="s">
        <v>37</v>
      </c>
      <c r="K1082" s="24"/>
      <c r="L1082" s="24" t="s">
        <v>3233</v>
      </c>
      <c r="M1082" s="24" t="s">
        <v>84</v>
      </c>
      <c r="N1082" s="24"/>
      <c r="O1082" s="26"/>
      <c r="P1082" s="24"/>
      <c r="Q1082" s="24"/>
      <c r="R1082" s="26"/>
      <c r="S1082" s="26"/>
      <c r="T1082" s="26"/>
      <c r="U1082" s="24"/>
      <c r="V1082" s="24"/>
      <c r="W1082" s="24"/>
      <c r="X1082" s="63"/>
      <c r="Y1082" s="63"/>
      <c r="Z1082" s="63"/>
      <c r="AA1082" s="63"/>
      <c r="AB1082" s="24"/>
      <c r="AC1082" s="24"/>
    </row>
    <row r="1083" spans="1:29" s="28" customFormat="1" x14ac:dyDescent="0.3">
      <c r="A1083" s="27" t="s">
        <v>7987</v>
      </c>
      <c r="B1083" s="27" t="s">
        <v>2273</v>
      </c>
      <c r="C1083" s="29"/>
      <c r="D1083" s="28" t="s">
        <v>5028</v>
      </c>
      <c r="E1083" s="20" t="s">
        <v>1207</v>
      </c>
      <c r="F1083" s="20" t="s">
        <v>2752</v>
      </c>
      <c r="G1083" s="27"/>
      <c r="H1083" s="20"/>
      <c r="I1083" s="29"/>
      <c r="J1083" s="29"/>
      <c r="K1083" s="27"/>
      <c r="L1083" s="27"/>
      <c r="M1083" s="27" t="s">
        <v>7988</v>
      </c>
      <c r="N1083" s="27"/>
      <c r="O1083" s="29" t="s">
        <v>7989</v>
      </c>
      <c r="P1083" s="27"/>
      <c r="Q1083" s="27"/>
      <c r="R1083" s="29"/>
      <c r="S1083" s="29"/>
      <c r="T1083" s="29"/>
      <c r="U1083" s="27"/>
      <c r="V1083" s="27"/>
      <c r="W1083" s="27"/>
      <c r="X1083" s="64"/>
      <c r="Y1083" s="64"/>
      <c r="Z1083" s="64"/>
      <c r="AA1083" s="64"/>
      <c r="AB1083" s="27"/>
      <c r="AC1083" s="27"/>
    </row>
    <row r="1084" spans="1:29" s="25" customFormat="1" ht="30.6" x14ac:dyDescent="0.3">
      <c r="A1084" s="24">
        <v>545</v>
      </c>
      <c r="B1084" s="24" t="s">
        <v>2272</v>
      </c>
      <c r="C1084" s="26">
        <v>265</v>
      </c>
      <c r="D1084" s="25" t="s">
        <v>1209</v>
      </c>
      <c r="E1084" s="19" t="s">
        <v>1210</v>
      </c>
      <c r="F1084" s="19"/>
      <c r="G1084" s="24"/>
      <c r="H1084" s="19"/>
      <c r="I1084" s="26" t="s">
        <v>37</v>
      </c>
      <c r="J1084" s="26" t="s">
        <v>37</v>
      </c>
      <c r="K1084" s="24"/>
      <c r="L1084" s="103" t="s">
        <v>6584</v>
      </c>
      <c r="M1084" s="24" t="s">
        <v>5612</v>
      </c>
      <c r="N1084" s="24"/>
      <c r="O1084" s="26"/>
      <c r="P1084" s="24"/>
      <c r="Q1084" s="24"/>
      <c r="R1084" s="26"/>
      <c r="S1084" s="26"/>
      <c r="T1084" s="26"/>
      <c r="U1084" s="24"/>
      <c r="V1084" s="24"/>
      <c r="W1084" s="24"/>
      <c r="X1084" s="63"/>
      <c r="Y1084" s="63"/>
      <c r="Z1084" s="63"/>
      <c r="AA1084" s="63"/>
      <c r="AB1084" s="24"/>
      <c r="AC1084" s="24"/>
    </row>
    <row r="1085" spans="1:29" s="28" customFormat="1" x14ac:dyDescent="0.3">
      <c r="A1085" s="27" t="s">
        <v>7990</v>
      </c>
      <c r="B1085" s="27" t="s">
        <v>2273</v>
      </c>
      <c r="C1085" s="29">
        <v>265</v>
      </c>
      <c r="D1085" s="28" t="s">
        <v>5029</v>
      </c>
      <c r="E1085" s="20" t="s">
        <v>1210</v>
      </c>
      <c r="F1085" s="20" t="s">
        <v>2753</v>
      </c>
      <c r="G1085" s="27" t="s">
        <v>4682</v>
      </c>
      <c r="H1085" s="20" t="s">
        <v>4683</v>
      </c>
      <c r="I1085" s="29"/>
      <c r="J1085" s="29" t="s">
        <v>37</v>
      </c>
      <c r="K1085" s="27"/>
      <c r="L1085" s="27" t="s">
        <v>4681</v>
      </c>
      <c r="M1085" s="27" t="s">
        <v>7991</v>
      </c>
      <c r="N1085" s="27"/>
      <c r="O1085" s="29" t="s">
        <v>7992</v>
      </c>
      <c r="P1085" s="27"/>
      <c r="Q1085" s="27"/>
      <c r="R1085" s="29"/>
      <c r="S1085" s="29"/>
      <c r="T1085" s="29"/>
      <c r="U1085" s="27"/>
      <c r="V1085" s="27"/>
      <c r="W1085" s="27"/>
      <c r="X1085" s="64"/>
      <c r="Y1085" s="64"/>
      <c r="Z1085" s="64"/>
      <c r="AA1085" s="64"/>
      <c r="AB1085" s="27"/>
      <c r="AC1085" s="27"/>
    </row>
    <row r="1086" spans="1:29" s="28" customFormat="1" x14ac:dyDescent="0.3">
      <c r="A1086" s="27" t="s">
        <v>7993</v>
      </c>
      <c r="B1086" s="27" t="s">
        <v>2273</v>
      </c>
      <c r="C1086" s="29">
        <v>265</v>
      </c>
      <c r="D1086" s="28" t="s">
        <v>5029</v>
      </c>
      <c r="E1086" s="20" t="s">
        <v>1210</v>
      </c>
      <c r="F1086" s="20" t="s">
        <v>2754</v>
      </c>
      <c r="G1086" s="27" t="s">
        <v>4685</v>
      </c>
      <c r="H1086" s="20" t="s">
        <v>4686</v>
      </c>
      <c r="I1086" s="29"/>
      <c r="J1086" s="29" t="s">
        <v>37</v>
      </c>
      <c r="K1086" s="27"/>
      <c r="L1086" s="27" t="s">
        <v>4684</v>
      </c>
      <c r="M1086" s="27" t="s">
        <v>7994</v>
      </c>
      <c r="N1086" s="27"/>
      <c r="O1086" s="29" t="s">
        <v>7995</v>
      </c>
      <c r="P1086" s="27"/>
      <c r="Q1086" s="27"/>
      <c r="R1086" s="29"/>
      <c r="S1086" s="29"/>
      <c r="T1086" s="29"/>
      <c r="U1086" s="27"/>
      <c r="V1086" s="27"/>
      <c r="W1086" s="27"/>
      <c r="X1086" s="64"/>
      <c r="Y1086" s="64"/>
      <c r="Z1086" s="64"/>
      <c r="AA1086" s="64"/>
      <c r="AB1086" s="27"/>
      <c r="AC1086" s="27"/>
    </row>
    <row r="1087" spans="1:29" s="28" customFormat="1" x14ac:dyDescent="0.3">
      <c r="A1087" s="27" t="s">
        <v>7996</v>
      </c>
      <c r="B1087" s="27" t="s">
        <v>2273</v>
      </c>
      <c r="C1087" s="29">
        <v>265</v>
      </c>
      <c r="D1087" s="28" t="s">
        <v>5029</v>
      </c>
      <c r="E1087" s="20" t="s">
        <v>1210</v>
      </c>
      <c r="F1087" s="20" t="s">
        <v>2755</v>
      </c>
      <c r="G1087" s="27" t="s">
        <v>4685</v>
      </c>
      <c r="H1087" s="20" t="s">
        <v>4686</v>
      </c>
      <c r="I1087" s="29"/>
      <c r="J1087" s="29" t="s">
        <v>37</v>
      </c>
      <c r="K1087" s="27"/>
      <c r="L1087" s="27" t="s">
        <v>4684</v>
      </c>
      <c r="M1087" s="27" t="s">
        <v>6768</v>
      </c>
      <c r="N1087" s="27"/>
      <c r="O1087" s="29" t="s">
        <v>7997</v>
      </c>
      <c r="P1087" s="27"/>
      <c r="Q1087" s="27"/>
      <c r="R1087" s="29"/>
      <c r="S1087" s="29"/>
      <c r="T1087" s="29"/>
      <c r="U1087" s="27"/>
      <c r="V1087" s="27"/>
      <c r="W1087" s="27"/>
      <c r="X1087" s="64"/>
      <c r="Y1087" s="64"/>
      <c r="Z1087" s="64"/>
      <c r="AA1087" s="64"/>
      <c r="AB1087" s="27"/>
      <c r="AC1087" s="27"/>
    </row>
    <row r="1088" spans="1:29" s="25" customFormat="1" x14ac:dyDescent="0.3">
      <c r="A1088" s="24">
        <v>546</v>
      </c>
      <c r="B1088" s="24" t="s">
        <v>2272</v>
      </c>
      <c r="C1088" s="26">
        <v>265</v>
      </c>
      <c r="D1088" s="25" t="s">
        <v>1211</v>
      </c>
      <c r="E1088" s="19" t="s">
        <v>1212</v>
      </c>
      <c r="F1088" s="19"/>
      <c r="G1088" s="24"/>
      <c r="H1088" s="19"/>
      <c r="I1088" s="26" t="s">
        <v>37</v>
      </c>
      <c r="J1088" s="26" t="s">
        <v>37</v>
      </c>
      <c r="K1088" s="24"/>
      <c r="L1088" s="24" t="s">
        <v>3573</v>
      </c>
      <c r="M1088" s="24" t="s">
        <v>5613</v>
      </c>
      <c r="N1088" s="24"/>
      <c r="O1088" s="26"/>
      <c r="P1088" s="24"/>
      <c r="Q1088" s="24"/>
      <c r="R1088" s="26"/>
      <c r="S1088" s="26"/>
      <c r="T1088" s="26"/>
      <c r="U1088" s="24"/>
      <c r="V1088" s="24"/>
      <c r="W1088" s="24"/>
      <c r="X1088" s="63"/>
      <c r="Y1088" s="63"/>
      <c r="Z1088" s="63"/>
      <c r="AA1088" s="63"/>
      <c r="AB1088" s="24"/>
      <c r="AC1088" s="24"/>
    </row>
    <row r="1089" spans="1:29" s="28" customFormat="1" x14ac:dyDescent="0.3">
      <c r="A1089" s="27" t="s">
        <v>7998</v>
      </c>
      <c r="B1089" s="27" t="s">
        <v>2273</v>
      </c>
      <c r="C1089" s="29"/>
      <c r="D1089" s="28" t="s">
        <v>5030</v>
      </c>
      <c r="E1089" s="20" t="s">
        <v>1212</v>
      </c>
      <c r="F1089" s="20" t="s">
        <v>2756</v>
      </c>
      <c r="G1089" s="27"/>
      <c r="H1089" s="20"/>
      <c r="I1089" s="29"/>
      <c r="J1089" s="29"/>
      <c r="K1089" s="27"/>
      <c r="L1089" s="27"/>
      <c r="M1089" s="27" t="s">
        <v>6787</v>
      </c>
      <c r="N1089" s="27"/>
      <c r="O1089" s="29" t="s">
        <v>2046</v>
      </c>
      <c r="P1089" s="27"/>
      <c r="Q1089" s="27"/>
      <c r="R1089" s="29"/>
      <c r="S1089" s="29"/>
      <c r="T1089" s="29"/>
      <c r="U1089" s="27"/>
      <c r="V1089" s="27"/>
      <c r="W1089" s="27"/>
      <c r="X1089" s="64"/>
      <c r="Y1089" s="64"/>
      <c r="Z1089" s="64"/>
      <c r="AA1089" s="64"/>
      <c r="AB1089" s="27"/>
      <c r="AC1089" s="27"/>
    </row>
    <row r="1090" spans="1:29" s="25" customFormat="1" x14ac:dyDescent="0.3">
      <c r="A1090" s="24">
        <v>547</v>
      </c>
      <c r="B1090" s="24" t="s">
        <v>2272</v>
      </c>
      <c r="C1090" s="26">
        <v>263</v>
      </c>
      <c r="D1090" s="25" t="s">
        <v>1214</v>
      </c>
      <c r="E1090" s="19" t="s">
        <v>1215</v>
      </c>
      <c r="F1090" s="19"/>
      <c r="G1090" s="24"/>
      <c r="H1090" s="19"/>
      <c r="I1090" s="26" t="s">
        <v>57</v>
      </c>
      <c r="J1090" s="26" t="s">
        <v>57</v>
      </c>
      <c r="K1090" s="24" t="s">
        <v>3033</v>
      </c>
      <c r="L1090" s="24" t="s">
        <v>3972</v>
      </c>
      <c r="M1090" s="24" t="s">
        <v>5614</v>
      </c>
      <c r="N1090" s="24"/>
      <c r="O1090" s="26" t="s">
        <v>2114</v>
      </c>
      <c r="P1090" s="24"/>
      <c r="Q1090" s="24"/>
      <c r="R1090" s="26"/>
      <c r="S1090" s="26"/>
      <c r="T1090" s="26"/>
      <c r="U1090" s="24"/>
      <c r="V1090" s="24"/>
      <c r="W1090" s="24"/>
      <c r="X1090" s="63"/>
      <c r="Y1090" s="63"/>
      <c r="Z1090" s="63"/>
      <c r="AA1090" s="63"/>
      <c r="AB1090" s="24"/>
      <c r="AC1090" s="24"/>
    </row>
    <row r="1091" spans="1:29" s="25" customFormat="1" x14ac:dyDescent="0.3">
      <c r="A1091" s="24">
        <v>548</v>
      </c>
      <c r="B1091" s="24" t="s">
        <v>2272</v>
      </c>
      <c r="C1091" s="26">
        <v>263</v>
      </c>
      <c r="D1091" s="25" t="s">
        <v>1216</v>
      </c>
      <c r="E1091" s="19" t="s">
        <v>1217</v>
      </c>
      <c r="F1091" s="19"/>
      <c r="G1091" s="24"/>
      <c r="H1091" s="19"/>
      <c r="I1091" s="26" t="s">
        <v>57</v>
      </c>
      <c r="J1091" s="26" t="s">
        <v>57</v>
      </c>
      <c r="K1091" s="24" t="s">
        <v>3034</v>
      </c>
      <c r="L1091" s="24" t="s">
        <v>3360</v>
      </c>
      <c r="M1091" s="24" t="s">
        <v>5470</v>
      </c>
      <c r="N1091" s="24"/>
      <c r="O1091" s="26" t="s">
        <v>2117</v>
      </c>
      <c r="P1091" s="24"/>
      <c r="Q1091" s="24"/>
      <c r="R1091" s="26"/>
      <c r="S1091" s="26"/>
      <c r="T1091" s="26"/>
      <c r="U1091" s="24"/>
      <c r="V1091" s="24"/>
      <c r="W1091" s="24"/>
      <c r="X1091" s="63"/>
      <c r="Y1091" s="63"/>
      <c r="Z1091" s="63"/>
      <c r="AA1091" s="63"/>
      <c r="AB1091" s="24"/>
      <c r="AC1091" s="24"/>
    </row>
    <row r="1092" spans="1:29" s="25" customFormat="1" x14ac:dyDescent="0.3">
      <c r="A1092" s="24">
        <v>549</v>
      </c>
      <c r="B1092" s="24" t="s">
        <v>2272</v>
      </c>
      <c r="C1092" s="26">
        <v>267</v>
      </c>
      <c r="D1092" s="25" t="s">
        <v>1218</v>
      </c>
      <c r="E1092" s="19" t="s">
        <v>1219</v>
      </c>
      <c r="F1092" s="19"/>
      <c r="G1092" s="24" t="s">
        <v>2120</v>
      </c>
      <c r="H1092" s="19"/>
      <c r="I1092" s="26" t="s">
        <v>57</v>
      </c>
      <c r="J1092" s="26" t="s">
        <v>57</v>
      </c>
      <c r="K1092" s="24"/>
      <c r="L1092" s="24" t="s">
        <v>3975</v>
      </c>
      <c r="M1092" s="24" t="s">
        <v>5485</v>
      </c>
      <c r="N1092" s="24"/>
      <c r="O1092" s="26"/>
      <c r="P1092" s="24"/>
      <c r="Q1092" s="24"/>
      <c r="R1092" s="26"/>
      <c r="S1092" s="26"/>
      <c r="T1092" s="26"/>
      <c r="U1092" s="24"/>
      <c r="V1092" s="24"/>
      <c r="W1092" s="24"/>
      <c r="X1092" s="63"/>
      <c r="Y1092" s="63"/>
      <c r="Z1092" s="63"/>
      <c r="AA1092" s="63"/>
      <c r="AB1092" s="24"/>
      <c r="AC1092" s="24"/>
    </row>
    <row r="1093" spans="1:29" s="28" customFormat="1" x14ac:dyDescent="0.3">
      <c r="A1093" s="27" t="s">
        <v>7999</v>
      </c>
      <c r="B1093" s="27" t="s">
        <v>2273</v>
      </c>
      <c r="C1093" s="29"/>
      <c r="D1093" s="28" t="s">
        <v>5031</v>
      </c>
      <c r="E1093" s="20" t="s">
        <v>1219</v>
      </c>
      <c r="F1093" s="20" t="s">
        <v>2368</v>
      </c>
      <c r="G1093" s="27"/>
      <c r="H1093" s="20"/>
      <c r="I1093" s="29"/>
      <c r="J1093" s="29"/>
      <c r="K1093" s="27"/>
      <c r="L1093" s="27"/>
      <c r="M1093" s="27" t="s">
        <v>8000</v>
      </c>
      <c r="N1093" s="27"/>
      <c r="O1093" s="29" t="s">
        <v>8001</v>
      </c>
      <c r="P1093" s="27"/>
      <c r="Q1093" s="27"/>
      <c r="R1093" s="29"/>
      <c r="S1093" s="29"/>
      <c r="T1093" s="29"/>
      <c r="U1093" s="27"/>
      <c r="V1093" s="27"/>
      <c r="W1093" s="27"/>
      <c r="X1093" s="64"/>
      <c r="Y1093" s="64"/>
      <c r="Z1093" s="64"/>
      <c r="AA1093" s="64"/>
      <c r="AB1093" s="27"/>
      <c r="AC1093" s="27"/>
    </row>
    <row r="1094" spans="1:29" s="28" customFormat="1" x14ac:dyDescent="0.3">
      <c r="A1094" s="27" t="s">
        <v>6335</v>
      </c>
      <c r="B1094" s="27" t="s">
        <v>2273</v>
      </c>
      <c r="C1094" s="29"/>
      <c r="D1094" s="28" t="s">
        <v>5031</v>
      </c>
      <c r="E1094" s="20" t="s">
        <v>1219</v>
      </c>
      <c r="F1094" s="20" t="s">
        <v>2695</v>
      </c>
      <c r="G1094" s="27"/>
      <c r="H1094" s="20"/>
      <c r="I1094" s="29"/>
      <c r="J1094" s="29"/>
      <c r="K1094" s="27"/>
      <c r="L1094" s="27"/>
      <c r="M1094" s="27" t="s">
        <v>8002</v>
      </c>
      <c r="N1094" s="27"/>
      <c r="O1094" s="29" t="s">
        <v>8003</v>
      </c>
      <c r="P1094" s="27"/>
      <c r="Q1094" s="27"/>
      <c r="R1094" s="29"/>
      <c r="S1094" s="29"/>
      <c r="T1094" s="29"/>
      <c r="U1094" s="27"/>
      <c r="V1094" s="27"/>
      <c r="W1094" s="27"/>
      <c r="X1094" s="64"/>
      <c r="Y1094" s="64"/>
      <c r="Z1094" s="64"/>
      <c r="AA1094" s="64"/>
      <c r="AB1094" s="27"/>
      <c r="AC1094" s="27"/>
    </row>
    <row r="1095" spans="1:29" s="25" customFormat="1" x14ac:dyDescent="0.3">
      <c r="A1095" s="24">
        <v>550</v>
      </c>
      <c r="B1095" s="24" t="s">
        <v>2272</v>
      </c>
      <c r="C1095" s="26">
        <v>267</v>
      </c>
      <c r="D1095" s="25" t="s">
        <v>1220</v>
      </c>
      <c r="E1095" s="19" t="s">
        <v>1221</v>
      </c>
      <c r="F1095" s="19"/>
      <c r="G1095" s="24" t="s">
        <v>2122</v>
      </c>
      <c r="H1095" s="19"/>
      <c r="I1095" s="26" t="s">
        <v>57</v>
      </c>
      <c r="J1095" s="26" t="s">
        <v>57</v>
      </c>
      <c r="K1095" s="24"/>
      <c r="L1095" s="24" t="s">
        <v>3977</v>
      </c>
      <c r="M1095" s="24" t="s">
        <v>5539</v>
      </c>
      <c r="N1095" s="24"/>
      <c r="O1095" s="26" t="s">
        <v>2121</v>
      </c>
      <c r="P1095" s="24"/>
      <c r="Q1095" s="24"/>
      <c r="R1095" s="26"/>
      <c r="S1095" s="26"/>
      <c r="T1095" s="26"/>
      <c r="U1095" s="24"/>
      <c r="V1095" s="24"/>
      <c r="W1095" s="24"/>
      <c r="X1095" s="63"/>
      <c r="Y1095" s="63"/>
      <c r="Z1095" s="63"/>
      <c r="AA1095" s="63"/>
      <c r="AB1095" s="24"/>
      <c r="AC1095" s="24"/>
    </row>
    <row r="1096" spans="1:29" s="25" customFormat="1" x14ac:dyDescent="0.3">
      <c r="A1096" s="24">
        <v>551</v>
      </c>
      <c r="B1096" s="24" t="s">
        <v>2272</v>
      </c>
      <c r="C1096" s="26">
        <v>265</v>
      </c>
      <c r="D1096" s="25" t="s">
        <v>1222</v>
      </c>
      <c r="E1096" s="19" t="s">
        <v>1223</v>
      </c>
      <c r="F1096" s="19"/>
      <c r="G1096" s="24"/>
      <c r="H1096" s="19"/>
      <c r="I1096" s="26" t="s">
        <v>57</v>
      </c>
      <c r="J1096" s="26" t="s">
        <v>57</v>
      </c>
      <c r="K1096" s="24"/>
      <c r="L1096" s="24" t="s">
        <v>3979</v>
      </c>
      <c r="M1096" s="24" t="s">
        <v>5615</v>
      </c>
      <c r="N1096" s="24"/>
      <c r="O1096" s="26"/>
      <c r="P1096" s="24"/>
      <c r="Q1096" s="24"/>
      <c r="R1096" s="26"/>
      <c r="S1096" s="26"/>
      <c r="T1096" s="26"/>
      <c r="U1096" s="24"/>
      <c r="V1096" s="24"/>
      <c r="W1096" s="24"/>
      <c r="X1096" s="63"/>
      <c r="Y1096" s="63"/>
      <c r="Z1096" s="63"/>
      <c r="AA1096" s="63"/>
      <c r="AB1096" s="24"/>
      <c r="AC1096" s="24"/>
    </row>
    <row r="1097" spans="1:29" s="28" customFormat="1" x14ac:dyDescent="0.3">
      <c r="A1097" s="27" t="s">
        <v>5768</v>
      </c>
      <c r="B1097" s="27" t="s">
        <v>2273</v>
      </c>
      <c r="C1097" s="29"/>
      <c r="D1097" s="28" t="s">
        <v>5032</v>
      </c>
      <c r="E1097" s="20" t="s">
        <v>1223</v>
      </c>
      <c r="F1097" s="20" t="s">
        <v>2396</v>
      </c>
      <c r="G1097" s="27"/>
      <c r="H1097" s="20"/>
      <c r="I1097" s="29"/>
      <c r="J1097" s="29"/>
      <c r="K1097" s="27"/>
      <c r="L1097" s="27"/>
      <c r="M1097" s="27" t="s">
        <v>6909</v>
      </c>
      <c r="N1097" s="27"/>
      <c r="O1097" s="29" t="s">
        <v>8004</v>
      </c>
      <c r="P1097" s="27"/>
      <c r="Q1097" s="27"/>
      <c r="R1097" s="29"/>
      <c r="S1097" s="29"/>
      <c r="T1097" s="29"/>
      <c r="U1097" s="27"/>
      <c r="V1097" s="27"/>
      <c r="W1097" s="27"/>
      <c r="X1097" s="64"/>
      <c r="Y1097" s="64"/>
      <c r="Z1097" s="64"/>
      <c r="AA1097" s="64"/>
      <c r="AB1097" s="27"/>
      <c r="AC1097" s="27"/>
    </row>
    <row r="1098" spans="1:29" s="28" customFormat="1" x14ac:dyDescent="0.3">
      <c r="A1098" s="27" t="s">
        <v>5769</v>
      </c>
      <c r="B1098" s="27" t="s">
        <v>2273</v>
      </c>
      <c r="C1098" s="29"/>
      <c r="D1098" s="28" t="s">
        <v>5032</v>
      </c>
      <c r="E1098" s="20" t="s">
        <v>1223</v>
      </c>
      <c r="F1098" s="20" t="s">
        <v>2757</v>
      </c>
      <c r="G1098" s="27"/>
      <c r="H1098" s="20"/>
      <c r="I1098" s="29"/>
      <c r="J1098" s="29"/>
      <c r="K1098" s="27"/>
      <c r="L1098" s="27"/>
      <c r="M1098" s="27" t="s">
        <v>7407</v>
      </c>
      <c r="N1098" s="27"/>
      <c r="O1098" s="29" t="s">
        <v>6903</v>
      </c>
      <c r="P1098" s="27"/>
      <c r="Q1098" s="27"/>
      <c r="R1098" s="29"/>
      <c r="S1098" s="29"/>
      <c r="T1098" s="29"/>
      <c r="U1098" s="27"/>
      <c r="V1098" s="27"/>
      <c r="W1098" s="27"/>
      <c r="X1098" s="64"/>
      <c r="Y1098" s="64"/>
      <c r="Z1098" s="64"/>
      <c r="AA1098" s="64"/>
      <c r="AB1098" s="27"/>
      <c r="AC1098" s="27"/>
    </row>
    <row r="1099" spans="1:29" s="25" customFormat="1" x14ac:dyDescent="0.3">
      <c r="A1099" s="24">
        <v>552</v>
      </c>
      <c r="B1099" s="24" t="s">
        <v>2272</v>
      </c>
      <c r="C1099" s="26">
        <v>269</v>
      </c>
      <c r="D1099" s="25" t="s">
        <v>1224</v>
      </c>
      <c r="E1099" s="19" t="s">
        <v>1225</v>
      </c>
      <c r="F1099" s="19"/>
      <c r="G1099" s="24"/>
      <c r="H1099" s="19"/>
      <c r="I1099" s="26" t="s">
        <v>57</v>
      </c>
      <c r="J1099" s="26" t="s">
        <v>57</v>
      </c>
      <c r="K1099" s="24"/>
      <c r="L1099" s="24" t="s">
        <v>3981</v>
      </c>
      <c r="M1099" s="24" t="s">
        <v>5245</v>
      </c>
      <c r="N1099" s="24"/>
      <c r="O1099" s="26"/>
      <c r="P1099" s="24"/>
      <c r="Q1099" s="24"/>
      <c r="R1099" s="26"/>
      <c r="S1099" s="26"/>
      <c r="T1099" s="26"/>
      <c r="U1099" s="24"/>
      <c r="V1099" s="24"/>
      <c r="W1099" s="24"/>
      <c r="X1099" s="63"/>
      <c r="Y1099" s="63"/>
      <c r="Z1099" s="63"/>
      <c r="AA1099" s="63"/>
      <c r="AB1099" s="24"/>
      <c r="AC1099" s="24"/>
    </row>
    <row r="1100" spans="1:29" s="28" customFormat="1" x14ac:dyDescent="0.3">
      <c r="A1100" s="27" t="s">
        <v>8005</v>
      </c>
      <c r="B1100" s="27" t="s">
        <v>2273</v>
      </c>
      <c r="C1100" s="29"/>
      <c r="D1100" s="28" t="s">
        <v>5033</v>
      </c>
      <c r="E1100" s="20" t="s">
        <v>1225</v>
      </c>
      <c r="F1100" s="20" t="s">
        <v>2758</v>
      </c>
      <c r="G1100" s="27"/>
      <c r="H1100" s="20"/>
      <c r="I1100" s="29"/>
      <c r="J1100" s="29"/>
      <c r="K1100" s="27"/>
      <c r="L1100" s="27"/>
      <c r="M1100" s="27" t="s">
        <v>6895</v>
      </c>
      <c r="N1100" s="27"/>
      <c r="O1100" s="29" t="s">
        <v>8006</v>
      </c>
      <c r="P1100" s="27"/>
      <c r="Q1100" s="27"/>
      <c r="R1100" s="29"/>
      <c r="S1100" s="29"/>
      <c r="T1100" s="29"/>
      <c r="U1100" s="27"/>
      <c r="V1100" s="27"/>
      <c r="W1100" s="27"/>
      <c r="X1100" s="64"/>
      <c r="Y1100" s="64"/>
      <c r="Z1100" s="64"/>
      <c r="AA1100" s="64"/>
      <c r="AB1100" s="27"/>
      <c r="AC1100" s="27"/>
    </row>
    <row r="1101" spans="1:29" s="28" customFormat="1" x14ac:dyDescent="0.3">
      <c r="A1101" s="27" t="s">
        <v>8007</v>
      </c>
      <c r="B1101" s="27" t="s">
        <v>2273</v>
      </c>
      <c r="C1101" s="29"/>
      <c r="D1101" s="28" t="s">
        <v>5033</v>
      </c>
      <c r="E1101" s="20" t="s">
        <v>1225</v>
      </c>
      <c r="F1101" s="20" t="s">
        <v>2759</v>
      </c>
      <c r="G1101" s="27"/>
      <c r="H1101" s="20"/>
      <c r="I1101" s="29"/>
      <c r="J1101" s="29"/>
      <c r="K1101" s="27"/>
      <c r="L1101" s="27"/>
      <c r="M1101" s="27" t="s">
        <v>8008</v>
      </c>
      <c r="N1101" s="27"/>
      <c r="O1101" s="29" t="s">
        <v>6897</v>
      </c>
      <c r="P1101" s="27"/>
      <c r="Q1101" s="27"/>
      <c r="R1101" s="29"/>
      <c r="S1101" s="29"/>
      <c r="T1101" s="29"/>
      <c r="U1101" s="27"/>
      <c r="V1101" s="27"/>
      <c r="W1101" s="27"/>
      <c r="X1101" s="64"/>
      <c r="Y1101" s="64"/>
      <c r="Z1101" s="64"/>
      <c r="AA1101" s="64"/>
      <c r="AB1101" s="27"/>
      <c r="AC1101" s="27"/>
    </row>
    <row r="1102" spans="1:29" s="25" customFormat="1" x14ac:dyDescent="0.3">
      <c r="A1102" s="24">
        <v>553</v>
      </c>
      <c r="B1102" s="24" t="s">
        <v>2272</v>
      </c>
      <c r="C1102" s="26">
        <v>265</v>
      </c>
      <c r="D1102" s="25" t="s">
        <v>1226</v>
      </c>
      <c r="E1102" s="19" t="s">
        <v>1227</v>
      </c>
      <c r="F1102" s="19"/>
      <c r="G1102" s="24"/>
      <c r="H1102" s="19"/>
      <c r="I1102" s="26" t="s">
        <v>37</v>
      </c>
      <c r="J1102" s="26" t="s">
        <v>37</v>
      </c>
      <c r="K1102" s="24"/>
      <c r="L1102" s="24" t="s">
        <v>3983</v>
      </c>
      <c r="M1102" s="24" t="s">
        <v>5616</v>
      </c>
      <c r="N1102" s="24"/>
      <c r="O1102" s="26"/>
      <c r="P1102" s="24"/>
      <c r="Q1102" s="24"/>
      <c r="R1102" s="26"/>
      <c r="S1102" s="26"/>
      <c r="T1102" s="26"/>
      <c r="U1102" s="24"/>
      <c r="V1102" s="24"/>
      <c r="W1102" s="24"/>
      <c r="X1102" s="63"/>
      <c r="Y1102" s="63"/>
      <c r="Z1102" s="63"/>
      <c r="AA1102" s="63"/>
      <c r="AB1102" s="24"/>
      <c r="AC1102" s="24"/>
    </row>
    <row r="1103" spans="1:29" s="28" customFormat="1" x14ac:dyDescent="0.3">
      <c r="A1103" s="27" t="s">
        <v>8009</v>
      </c>
      <c r="B1103" s="27" t="s">
        <v>2273</v>
      </c>
      <c r="C1103" s="29"/>
      <c r="D1103" s="28" t="s">
        <v>5034</v>
      </c>
      <c r="E1103" s="20" t="s">
        <v>1227</v>
      </c>
      <c r="F1103" s="20" t="s">
        <v>2760</v>
      </c>
      <c r="G1103" s="27"/>
      <c r="H1103" s="20"/>
      <c r="I1103" s="29"/>
      <c r="J1103" s="29"/>
      <c r="K1103" s="27"/>
      <c r="L1103" s="27"/>
      <c r="M1103" s="27" t="s">
        <v>8010</v>
      </c>
      <c r="N1103" s="27"/>
      <c r="O1103" s="29" t="s">
        <v>8011</v>
      </c>
      <c r="P1103" s="27"/>
      <c r="Q1103" s="27"/>
      <c r="R1103" s="29"/>
      <c r="S1103" s="29"/>
      <c r="T1103" s="29"/>
      <c r="U1103" s="27"/>
      <c r="V1103" s="27"/>
      <c r="W1103" s="27"/>
      <c r="X1103" s="64"/>
      <c r="Y1103" s="64"/>
      <c r="Z1103" s="64"/>
      <c r="AA1103" s="64"/>
      <c r="AB1103" s="27"/>
      <c r="AC1103" s="27"/>
    </row>
    <row r="1104" spans="1:29" s="25" customFormat="1" x14ac:dyDescent="0.3">
      <c r="A1104" s="24">
        <v>554</v>
      </c>
      <c r="B1104" s="24" t="s">
        <v>2272</v>
      </c>
      <c r="C1104" s="26">
        <v>267</v>
      </c>
      <c r="D1104" s="25" t="s">
        <v>1228</v>
      </c>
      <c r="E1104" s="19" t="s">
        <v>1229</v>
      </c>
      <c r="F1104" s="19"/>
      <c r="G1104" s="24"/>
      <c r="H1104" s="19"/>
      <c r="I1104" s="26" t="s">
        <v>37</v>
      </c>
      <c r="J1104" s="26" t="s">
        <v>37</v>
      </c>
      <c r="K1104" s="24"/>
      <c r="L1104" s="24" t="s">
        <v>3985</v>
      </c>
      <c r="M1104" s="24" t="s">
        <v>5617</v>
      </c>
      <c r="N1104" s="24"/>
      <c r="O1104" s="26"/>
      <c r="P1104" s="24"/>
      <c r="Q1104" s="24"/>
      <c r="R1104" s="26"/>
      <c r="S1104" s="26"/>
      <c r="T1104" s="26"/>
      <c r="U1104" s="24"/>
      <c r="V1104" s="24"/>
      <c r="W1104" s="24"/>
      <c r="X1104" s="63"/>
      <c r="Y1104" s="63"/>
      <c r="Z1104" s="63"/>
      <c r="AA1104" s="63"/>
      <c r="AB1104" s="24"/>
      <c r="AC1104" s="24"/>
    </row>
    <row r="1105" spans="1:29" s="28" customFormat="1" x14ac:dyDescent="0.3">
      <c r="A1105" s="27" t="s">
        <v>8012</v>
      </c>
      <c r="B1105" s="27" t="s">
        <v>2273</v>
      </c>
      <c r="C1105" s="29"/>
      <c r="D1105" s="28" t="s">
        <v>5035</v>
      </c>
      <c r="E1105" s="20" t="s">
        <v>1229</v>
      </c>
      <c r="F1105" s="20" t="s">
        <v>2345</v>
      </c>
      <c r="G1105" s="27"/>
      <c r="H1105" s="20"/>
      <c r="I1105" s="29"/>
      <c r="J1105" s="29"/>
      <c r="K1105" s="27"/>
      <c r="L1105" s="27"/>
      <c r="M1105" s="27" t="s">
        <v>8013</v>
      </c>
      <c r="N1105" s="27"/>
      <c r="O1105" s="29" t="s">
        <v>8014</v>
      </c>
      <c r="P1105" s="27"/>
      <c r="Q1105" s="27"/>
      <c r="R1105" s="29"/>
      <c r="S1105" s="29"/>
      <c r="T1105" s="29"/>
      <c r="U1105" s="27"/>
      <c r="V1105" s="27"/>
      <c r="W1105" s="27"/>
      <c r="X1105" s="64"/>
      <c r="Y1105" s="64"/>
      <c r="Z1105" s="64"/>
      <c r="AA1105" s="64"/>
      <c r="AB1105" s="27"/>
      <c r="AC1105" s="27"/>
    </row>
    <row r="1106" spans="1:29" s="25" customFormat="1" x14ac:dyDescent="0.3">
      <c r="A1106" s="24">
        <v>555</v>
      </c>
      <c r="B1106" s="24" t="s">
        <v>2272</v>
      </c>
      <c r="C1106" s="26">
        <v>269</v>
      </c>
      <c r="D1106" s="25" t="s">
        <v>1230</v>
      </c>
      <c r="E1106" s="19" t="s">
        <v>1231</v>
      </c>
      <c r="F1106" s="19"/>
      <c r="G1106" s="24"/>
      <c r="H1106" s="19"/>
      <c r="I1106" s="26" t="s">
        <v>57</v>
      </c>
      <c r="J1106" s="26" t="s">
        <v>57</v>
      </c>
      <c r="K1106" s="24"/>
      <c r="L1106" s="24" t="s">
        <v>3987</v>
      </c>
      <c r="M1106" s="24" t="s">
        <v>5483</v>
      </c>
      <c r="N1106" s="24"/>
      <c r="O1106" s="26"/>
      <c r="P1106" s="24"/>
      <c r="Q1106" s="24"/>
      <c r="R1106" s="26"/>
      <c r="S1106" s="26"/>
      <c r="T1106" s="26"/>
      <c r="U1106" s="24"/>
      <c r="V1106" s="24"/>
      <c r="W1106" s="24"/>
      <c r="X1106" s="63"/>
      <c r="Y1106" s="63"/>
      <c r="Z1106" s="63"/>
      <c r="AA1106" s="63"/>
      <c r="AB1106" s="24"/>
      <c r="AC1106" s="24"/>
    </row>
    <row r="1107" spans="1:29" s="28" customFormat="1" x14ac:dyDescent="0.3">
      <c r="A1107" s="27" t="s">
        <v>8015</v>
      </c>
      <c r="B1107" s="27" t="s">
        <v>2273</v>
      </c>
      <c r="C1107" s="29"/>
      <c r="D1107" s="28" t="s">
        <v>5036</v>
      </c>
      <c r="E1107" s="20" t="s">
        <v>1231</v>
      </c>
      <c r="F1107" s="20" t="s">
        <v>2425</v>
      </c>
      <c r="G1107" s="27"/>
      <c r="H1107" s="20"/>
      <c r="I1107" s="29"/>
      <c r="J1107" s="29"/>
      <c r="K1107" s="27"/>
      <c r="L1107" s="27"/>
      <c r="M1107" s="27" t="s">
        <v>8016</v>
      </c>
      <c r="N1107" s="27"/>
      <c r="O1107" s="29" t="s">
        <v>6777</v>
      </c>
      <c r="P1107" s="27"/>
      <c r="Q1107" s="27"/>
      <c r="R1107" s="29"/>
      <c r="S1107" s="29"/>
      <c r="T1107" s="29"/>
      <c r="U1107" s="27"/>
      <c r="V1107" s="27"/>
      <c r="W1107" s="27"/>
      <c r="X1107" s="64"/>
      <c r="Y1107" s="64"/>
      <c r="Z1107" s="64"/>
      <c r="AA1107" s="64"/>
      <c r="AB1107" s="27"/>
      <c r="AC1107" s="27"/>
    </row>
    <row r="1108" spans="1:29" s="28" customFormat="1" x14ac:dyDescent="0.3">
      <c r="A1108" s="27" t="s">
        <v>8017</v>
      </c>
      <c r="B1108" s="27" t="s">
        <v>2273</v>
      </c>
      <c r="C1108" s="29"/>
      <c r="D1108" s="28" t="s">
        <v>5036</v>
      </c>
      <c r="E1108" s="20" t="s">
        <v>1231</v>
      </c>
      <c r="F1108" s="20" t="s">
        <v>2720</v>
      </c>
      <c r="G1108" s="27"/>
      <c r="H1108" s="20"/>
      <c r="I1108" s="29"/>
      <c r="J1108" s="29"/>
      <c r="K1108" s="27"/>
      <c r="L1108" s="27"/>
      <c r="M1108" s="27" t="s">
        <v>6903</v>
      </c>
      <c r="N1108" s="27"/>
      <c r="O1108" s="29" t="s">
        <v>6903</v>
      </c>
      <c r="P1108" s="27"/>
      <c r="Q1108" s="27"/>
      <c r="R1108" s="29"/>
      <c r="S1108" s="29"/>
      <c r="T1108" s="29"/>
      <c r="U1108" s="27"/>
      <c r="V1108" s="27"/>
      <c r="W1108" s="27"/>
      <c r="X1108" s="64"/>
      <c r="Y1108" s="64"/>
      <c r="Z1108" s="64"/>
      <c r="AA1108" s="64"/>
      <c r="AB1108" s="27"/>
      <c r="AC1108" s="27"/>
    </row>
    <row r="1109" spans="1:29" s="25" customFormat="1" x14ac:dyDescent="0.3">
      <c r="A1109" s="24">
        <v>556</v>
      </c>
      <c r="B1109" s="24" t="s">
        <v>2272</v>
      </c>
      <c r="C1109" s="26">
        <v>267</v>
      </c>
      <c r="D1109" s="25" t="s">
        <v>1232</v>
      </c>
      <c r="E1109" s="19" t="s">
        <v>1233</v>
      </c>
      <c r="F1109" s="19"/>
      <c r="G1109" s="24"/>
      <c r="H1109" s="19"/>
      <c r="I1109" s="26" t="s">
        <v>57</v>
      </c>
      <c r="J1109" s="26" t="s">
        <v>57</v>
      </c>
      <c r="K1109" s="24"/>
      <c r="L1109" s="24" t="s">
        <v>3989</v>
      </c>
      <c r="M1109" s="24" t="s">
        <v>5618</v>
      </c>
      <c r="N1109" s="24"/>
      <c r="O1109" s="26"/>
      <c r="P1109" s="24"/>
      <c r="Q1109" s="24"/>
      <c r="R1109" s="26"/>
      <c r="S1109" s="26"/>
      <c r="T1109" s="26"/>
      <c r="U1109" s="24"/>
      <c r="V1109" s="24"/>
      <c r="W1109" s="24"/>
      <c r="X1109" s="63"/>
      <c r="Y1109" s="63"/>
      <c r="Z1109" s="63"/>
      <c r="AA1109" s="63"/>
      <c r="AB1109" s="24"/>
      <c r="AC1109" s="24"/>
    </row>
    <row r="1110" spans="1:29" s="28" customFormat="1" x14ac:dyDescent="0.3">
      <c r="A1110" s="27" t="s">
        <v>8018</v>
      </c>
      <c r="B1110" s="27" t="s">
        <v>2273</v>
      </c>
      <c r="C1110" s="29"/>
      <c r="D1110" s="28" t="s">
        <v>8019</v>
      </c>
      <c r="E1110" s="20" t="s">
        <v>1233</v>
      </c>
      <c r="F1110" s="20" t="s">
        <v>8020</v>
      </c>
      <c r="G1110" s="27"/>
      <c r="H1110" s="20"/>
      <c r="I1110" s="29"/>
      <c r="J1110" s="29"/>
      <c r="K1110" s="27"/>
      <c r="L1110" s="27"/>
      <c r="M1110" s="27" t="s">
        <v>6750</v>
      </c>
      <c r="N1110" s="27"/>
      <c r="O1110" s="29" t="s">
        <v>8006</v>
      </c>
      <c r="P1110" s="27"/>
      <c r="Q1110" s="27"/>
      <c r="R1110" s="29"/>
      <c r="S1110" s="29"/>
      <c r="T1110" s="29"/>
      <c r="U1110" s="27"/>
      <c r="V1110" s="27"/>
      <c r="W1110" s="27"/>
      <c r="X1110" s="64"/>
      <c r="Y1110" s="64"/>
      <c r="Z1110" s="64"/>
      <c r="AA1110" s="64"/>
      <c r="AB1110" s="27"/>
      <c r="AC1110" s="27"/>
    </row>
    <row r="1111" spans="1:29" s="28" customFormat="1" x14ac:dyDescent="0.3">
      <c r="A1111" s="27" t="s">
        <v>8021</v>
      </c>
      <c r="B1111" s="27" t="s">
        <v>2273</v>
      </c>
      <c r="C1111" s="29"/>
      <c r="D1111" s="28" t="s">
        <v>8019</v>
      </c>
      <c r="E1111" s="20" t="s">
        <v>1233</v>
      </c>
      <c r="F1111" s="20" t="s">
        <v>8022</v>
      </c>
      <c r="G1111" s="27"/>
      <c r="H1111" s="20"/>
      <c r="I1111" s="29"/>
      <c r="J1111" s="29"/>
      <c r="K1111" s="27"/>
      <c r="L1111" s="27"/>
      <c r="M1111" s="27" t="s">
        <v>8023</v>
      </c>
      <c r="N1111" s="27"/>
      <c r="O1111" s="29" t="s">
        <v>6897</v>
      </c>
      <c r="P1111" s="27"/>
      <c r="Q1111" s="27"/>
      <c r="R1111" s="29"/>
      <c r="S1111" s="29"/>
      <c r="T1111" s="29"/>
      <c r="U1111" s="27"/>
      <c r="V1111" s="27"/>
      <c r="W1111" s="27"/>
      <c r="X1111" s="64"/>
      <c r="Y1111" s="64"/>
      <c r="Z1111" s="64"/>
      <c r="AA1111" s="64"/>
      <c r="AB1111" s="27"/>
      <c r="AC1111" s="27"/>
    </row>
    <row r="1112" spans="1:29" s="25" customFormat="1" x14ac:dyDescent="0.3">
      <c r="A1112" s="24">
        <v>557</v>
      </c>
      <c r="B1112" s="24" t="s">
        <v>2272</v>
      </c>
      <c r="C1112" s="26">
        <v>267</v>
      </c>
      <c r="D1112" s="25" t="s">
        <v>1234</v>
      </c>
      <c r="E1112" s="19" t="s">
        <v>1235</v>
      </c>
      <c r="F1112" s="19"/>
      <c r="G1112" s="24"/>
      <c r="H1112" s="19"/>
      <c r="I1112" s="26" t="s">
        <v>57</v>
      </c>
      <c r="J1112" s="26" t="s">
        <v>57</v>
      </c>
      <c r="K1112" s="24"/>
      <c r="L1112" s="24" t="s">
        <v>3668</v>
      </c>
      <c r="M1112" s="24" t="s">
        <v>5484</v>
      </c>
      <c r="N1112" s="24"/>
      <c r="O1112" s="26" t="s">
        <v>2044</v>
      </c>
      <c r="P1112" s="24"/>
      <c r="Q1112" s="24"/>
      <c r="R1112" s="26"/>
      <c r="S1112" s="26"/>
      <c r="T1112" s="26"/>
      <c r="U1112" s="24"/>
      <c r="V1112" s="24"/>
      <c r="W1112" s="24"/>
      <c r="X1112" s="63"/>
      <c r="Y1112" s="63"/>
      <c r="Z1112" s="63"/>
      <c r="AA1112" s="63"/>
      <c r="AB1112" s="24"/>
      <c r="AC1112" s="24"/>
    </row>
    <row r="1113" spans="1:29" s="25" customFormat="1" x14ac:dyDescent="0.3">
      <c r="A1113" s="24">
        <v>558</v>
      </c>
      <c r="B1113" s="24" t="s">
        <v>2272</v>
      </c>
      <c r="C1113" s="26">
        <v>299</v>
      </c>
      <c r="D1113" s="25" t="s">
        <v>1261</v>
      </c>
      <c r="E1113" s="19" t="s">
        <v>1262</v>
      </c>
      <c r="F1113" s="19"/>
      <c r="G1113" s="24"/>
      <c r="H1113" s="19"/>
      <c r="I1113" s="26" t="s">
        <v>57</v>
      </c>
      <c r="J1113" s="26" t="s">
        <v>57</v>
      </c>
      <c r="K1113" s="24"/>
      <c r="L1113" s="24" t="s">
        <v>3992</v>
      </c>
      <c r="M1113" s="24" t="s">
        <v>5481</v>
      </c>
      <c r="N1113" s="24"/>
      <c r="O1113" s="26" t="s">
        <v>2141</v>
      </c>
      <c r="P1113" s="24"/>
      <c r="Q1113" s="24"/>
      <c r="R1113" s="26"/>
      <c r="S1113" s="26"/>
      <c r="T1113" s="26"/>
      <c r="U1113" s="24"/>
      <c r="V1113" s="24"/>
      <c r="W1113" s="24"/>
      <c r="X1113" s="63"/>
      <c r="Y1113" s="63"/>
      <c r="Z1113" s="63"/>
      <c r="AA1113" s="63"/>
      <c r="AB1113" s="24"/>
      <c r="AC1113" s="24"/>
    </row>
    <row r="1114" spans="1:29" s="25" customFormat="1" x14ac:dyDescent="0.3">
      <c r="A1114" s="24">
        <v>559</v>
      </c>
      <c r="B1114" s="24" t="s">
        <v>2272</v>
      </c>
      <c r="C1114" s="26">
        <v>299</v>
      </c>
      <c r="D1114" s="25" t="s">
        <v>1265</v>
      </c>
      <c r="E1114" s="19" t="s">
        <v>1266</v>
      </c>
      <c r="F1114" s="19"/>
      <c r="G1114" s="24"/>
      <c r="H1114" s="19"/>
      <c r="I1114" s="26" t="s">
        <v>57</v>
      </c>
      <c r="J1114" s="26" t="s">
        <v>57</v>
      </c>
      <c r="K1114" s="24"/>
      <c r="L1114" s="24" t="s">
        <v>3994</v>
      </c>
      <c r="M1114" s="24" t="s">
        <v>5614</v>
      </c>
      <c r="N1114" s="24"/>
      <c r="O1114" s="26" t="s">
        <v>2145</v>
      </c>
      <c r="P1114" s="24"/>
      <c r="Q1114" s="24"/>
      <c r="R1114" s="26"/>
      <c r="S1114" s="26"/>
      <c r="T1114" s="26"/>
      <c r="U1114" s="24"/>
      <c r="V1114" s="24"/>
      <c r="W1114" s="24"/>
      <c r="X1114" s="63"/>
      <c r="Y1114" s="63"/>
      <c r="Z1114" s="63"/>
      <c r="AA1114" s="63"/>
      <c r="AB1114" s="24"/>
      <c r="AC1114" s="24"/>
    </row>
    <row r="1115" spans="1:29" s="25" customFormat="1" x14ac:dyDescent="0.3">
      <c r="A1115" s="24">
        <v>560</v>
      </c>
      <c r="B1115" s="24" t="s">
        <v>2272</v>
      </c>
      <c r="C1115" s="26">
        <v>299</v>
      </c>
      <c r="D1115" s="25" t="s">
        <v>1263</v>
      </c>
      <c r="E1115" s="19" t="s">
        <v>1264</v>
      </c>
      <c r="F1115" s="19"/>
      <c r="G1115" s="24"/>
      <c r="H1115" s="19"/>
      <c r="I1115" s="26" t="s">
        <v>57</v>
      </c>
      <c r="J1115" s="26" t="s">
        <v>57</v>
      </c>
      <c r="K1115" s="24"/>
      <c r="L1115" s="24" t="s">
        <v>3676</v>
      </c>
      <c r="M1115" s="24" t="s">
        <v>4376</v>
      </c>
      <c r="N1115" s="24"/>
      <c r="O1115" s="26" t="s">
        <v>2117</v>
      </c>
      <c r="P1115" s="24"/>
      <c r="Q1115" s="24"/>
      <c r="R1115" s="26"/>
      <c r="S1115" s="26"/>
      <c r="T1115" s="26"/>
      <c r="U1115" s="24"/>
      <c r="V1115" s="24"/>
      <c r="W1115" s="24"/>
      <c r="X1115" s="63"/>
      <c r="Y1115" s="63"/>
      <c r="Z1115" s="63"/>
      <c r="AA1115" s="63"/>
      <c r="AB1115" s="24"/>
      <c r="AC1115" s="24"/>
    </row>
    <row r="1116" spans="1:29" s="25" customFormat="1" x14ac:dyDescent="0.3">
      <c r="A1116" s="24">
        <v>561</v>
      </c>
      <c r="B1116" s="24" t="s">
        <v>2272</v>
      </c>
      <c r="C1116" s="26">
        <v>297</v>
      </c>
      <c r="D1116" s="25" t="s">
        <v>1271</v>
      </c>
      <c r="E1116" s="19" t="s">
        <v>1272</v>
      </c>
      <c r="F1116" s="19"/>
      <c r="G1116" s="24"/>
      <c r="H1116" s="19"/>
      <c r="I1116" s="26" t="s">
        <v>57</v>
      </c>
      <c r="J1116" s="26" t="s">
        <v>57</v>
      </c>
      <c r="K1116" s="24"/>
      <c r="L1116" s="24" t="s">
        <v>3612</v>
      </c>
      <c r="M1116" s="24" t="s">
        <v>5615</v>
      </c>
      <c r="N1116" s="24"/>
      <c r="O1116" s="26"/>
      <c r="P1116" s="24"/>
      <c r="Q1116" s="24"/>
      <c r="R1116" s="26"/>
      <c r="S1116" s="26"/>
      <c r="T1116" s="26"/>
      <c r="U1116" s="24"/>
      <c r="V1116" s="24"/>
      <c r="W1116" s="24"/>
      <c r="X1116" s="63"/>
      <c r="Y1116" s="63"/>
      <c r="Z1116" s="63"/>
      <c r="AA1116" s="63"/>
      <c r="AB1116" s="24"/>
      <c r="AC1116" s="24"/>
    </row>
    <row r="1117" spans="1:29" s="28" customFormat="1" x14ac:dyDescent="0.3">
      <c r="A1117" s="27" t="s">
        <v>8024</v>
      </c>
      <c r="B1117" s="27" t="s">
        <v>2273</v>
      </c>
      <c r="C1117" s="29"/>
      <c r="D1117" s="28" t="s">
        <v>5037</v>
      </c>
      <c r="E1117" s="20" t="s">
        <v>1272</v>
      </c>
      <c r="F1117" s="20" t="s">
        <v>2768</v>
      </c>
      <c r="G1117" s="27"/>
      <c r="H1117" s="20"/>
      <c r="I1117" s="29"/>
      <c r="J1117" s="29"/>
      <c r="K1117" s="27"/>
      <c r="L1117" s="27"/>
      <c r="M1117" s="27" t="s">
        <v>8025</v>
      </c>
      <c r="N1117" s="27"/>
      <c r="O1117" s="29" t="s">
        <v>8026</v>
      </c>
      <c r="P1117" s="27"/>
      <c r="Q1117" s="27"/>
      <c r="R1117" s="29"/>
      <c r="S1117" s="29"/>
      <c r="T1117" s="29"/>
      <c r="U1117" s="27"/>
      <c r="V1117" s="27"/>
      <c r="W1117" s="27"/>
      <c r="X1117" s="64"/>
      <c r="Y1117" s="64"/>
      <c r="Z1117" s="64"/>
      <c r="AA1117" s="64"/>
      <c r="AB1117" s="27"/>
      <c r="AC1117" s="27"/>
    </row>
    <row r="1118" spans="1:29" s="28" customFormat="1" x14ac:dyDescent="0.3">
      <c r="A1118" s="27" t="s">
        <v>8027</v>
      </c>
      <c r="B1118" s="27" t="s">
        <v>2273</v>
      </c>
      <c r="C1118" s="29"/>
      <c r="D1118" s="28" t="s">
        <v>5037</v>
      </c>
      <c r="E1118" s="20" t="s">
        <v>1272</v>
      </c>
      <c r="F1118" s="20" t="s">
        <v>2769</v>
      </c>
      <c r="G1118" s="27"/>
      <c r="H1118" s="20"/>
      <c r="I1118" s="29"/>
      <c r="J1118" s="29"/>
      <c r="K1118" s="27"/>
      <c r="L1118" s="27"/>
      <c r="M1118" s="27" t="s">
        <v>7739</v>
      </c>
      <c r="N1118" s="27"/>
      <c r="O1118" s="29" t="s">
        <v>8028</v>
      </c>
      <c r="P1118" s="27"/>
      <c r="Q1118" s="27"/>
      <c r="R1118" s="29"/>
      <c r="S1118" s="29"/>
      <c r="T1118" s="29"/>
      <c r="U1118" s="27"/>
      <c r="V1118" s="27"/>
      <c r="W1118" s="27"/>
      <c r="X1118" s="64"/>
      <c r="Y1118" s="64"/>
      <c r="Z1118" s="64"/>
      <c r="AA1118" s="64"/>
      <c r="AB1118" s="27"/>
      <c r="AC1118" s="27"/>
    </row>
    <row r="1119" spans="1:29" s="28" customFormat="1" x14ac:dyDescent="0.3">
      <c r="A1119" s="27" t="s">
        <v>8029</v>
      </c>
      <c r="B1119" s="27" t="s">
        <v>2273</v>
      </c>
      <c r="C1119" s="29"/>
      <c r="D1119" s="28" t="s">
        <v>5037</v>
      </c>
      <c r="E1119" s="20" t="s">
        <v>1272</v>
      </c>
      <c r="F1119" s="20" t="s">
        <v>2770</v>
      </c>
      <c r="G1119" s="27"/>
      <c r="H1119" s="20"/>
      <c r="I1119" s="29"/>
      <c r="J1119" s="29"/>
      <c r="K1119" s="27"/>
      <c r="L1119" s="27"/>
      <c r="M1119" s="27" t="s">
        <v>7742</v>
      </c>
      <c r="N1119" s="27"/>
      <c r="O1119" s="29" t="s">
        <v>8030</v>
      </c>
      <c r="P1119" s="27"/>
      <c r="Q1119" s="27"/>
      <c r="R1119" s="29"/>
      <c r="S1119" s="29"/>
      <c r="T1119" s="29"/>
      <c r="U1119" s="27"/>
      <c r="V1119" s="27"/>
      <c r="W1119" s="27"/>
      <c r="X1119" s="64"/>
      <c r="Y1119" s="64"/>
      <c r="Z1119" s="64"/>
      <c r="AA1119" s="64"/>
      <c r="AB1119" s="27"/>
      <c r="AC1119" s="27"/>
    </row>
    <row r="1120" spans="1:29" s="25" customFormat="1" x14ac:dyDescent="0.3">
      <c r="A1120" s="24">
        <v>562</v>
      </c>
      <c r="B1120" s="24" t="s">
        <v>2272</v>
      </c>
      <c r="C1120" s="26">
        <v>297</v>
      </c>
      <c r="D1120" s="25" t="s">
        <v>1267</v>
      </c>
      <c r="E1120" s="19" t="s">
        <v>1268</v>
      </c>
      <c r="F1120" s="19"/>
      <c r="G1120" s="24"/>
      <c r="H1120" s="19"/>
      <c r="I1120" s="26" t="s">
        <v>57</v>
      </c>
      <c r="J1120" s="26" t="s">
        <v>57</v>
      </c>
      <c r="K1120" s="24"/>
      <c r="L1120" s="24" t="s">
        <v>3262</v>
      </c>
      <c r="M1120" s="24" t="s">
        <v>5619</v>
      </c>
      <c r="N1120" s="24"/>
      <c r="O1120" s="26" t="s">
        <v>2147</v>
      </c>
      <c r="P1120" s="24"/>
      <c r="Q1120" s="24"/>
      <c r="R1120" s="26"/>
      <c r="S1120" s="26"/>
      <c r="T1120" s="26"/>
      <c r="U1120" s="24"/>
      <c r="V1120" s="24"/>
      <c r="W1120" s="24"/>
      <c r="X1120" s="63"/>
      <c r="Y1120" s="63"/>
      <c r="Z1120" s="63"/>
      <c r="AA1120" s="63"/>
      <c r="AB1120" s="24"/>
      <c r="AC1120" s="24"/>
    </row>
    <row r="1121" spans="1:29" s="25" customFormat="1" x14ac:dyDescent="0.3">
      <c r="A1121" s="24">
        <v>563</v>
      </c>
      <c r="B1121" s="24" t="s">
        <v>2272</v>
      </c>
      <c r="C1121" s="26">
        <v>297</v>
      </c>
      <c r="D1121" s="25" t="s">
        <v>5171</v>
      </c>
      <c r="E1121" s="19" t="s">
        <v>5172</v>
      </c>
      <c r="F1121" s="19"/>
      <c r="G1121" s="24" t="s">
        <v>1269</v>
      </c>
      <c r="H1121" s="19" t="s">
        <v>1270</v>
      </c>
      <c r="I1121" s="26" t="s">
        <v>57</v>
      </c>
      <c r="J1121" s="26" t="s">
        <v>57</v>
      </c>
      <c r="K1121" s="24"/>
      <c r="L1121" s="24" t="s">
        <v>3999</v>
      </c>
      <c r="M1121" s="24" t="s">
        <v>5620</v>
      </c>
      <c r="N1121" s="24"/>
      <c r="O1121" s="26" t="s">
        <v>6091</v>
      </c>
      <c r="P1121" s="24"/>
      <c r="Q1121" s="24"/>
      <c r="R1121" s="26"/>
      <c r="S1121" s="26"/>
      <c r="T1121" s="26"/>
      <c r="U1121" s="24"/>
      <c r="V1121" s="24"/>
      <c r="W1121" s="24"/>
      <c r="X1121" s="63"/>
      <c r="Y1121" s="63"/>
      <c r="Z1121" s="63"/>
      <c r="AA1121" s="63"/>
      <c r="AB1121" s="24"/>
      <c r="AC1121" s="24"/>
    </row>
    <row r="1122" spans="1:29" s="25" customFormat="1" x14ac:dyDescent="0.3">
      <c r="A1122" s="24">
        <v>564</v>
      </c>
      <c r="B1122" s="24" t="s">
        <v>2272</v>
      </c>
      <c r="C1122" s="26">
        <v>297</v>
      </c>
      <c r="D1122" s="25" t="s">
        <v>5173</v>
      </c>
      <c r="E1122" s="19" t="s">
        <v>1270</v>
      </c>
      <c r="F1122" s="19"/>
      <c r="G1122" s="24" t="s">
        <v>1269</v>
      </c>
      <c r="H1122" s="19"/>
      <c r="I1122" s="26" t="s">
        <v>57</v>
      </c>
      <c r="J1122" s="26" t="s">
        <v>57</v>
      </c>
      <c r="K1122" s="24"/>
      <c r="L1122" s="24" t="s">
        <v>3999</v>
      </c>
      <c r="M1122" s="24" t="s">
        <v>5622</v>
      </c>
      <c r="N1122" s="24"/>
      <c r="O1122" s="26"/>
      <c r="P1122" s="24"/>
      <c r="Q1122" s="24"/>
      <c r="R1122" s="26"/>
      <c r="S1122" s="26"/>
      <c r="T1122" s="26"/>
      <c r="U1122" s="24"/>
      <c r="V1122" s="24"/>
      <c r="W1122" s="24"/>
      <c r="X1122" s="63"/>
      <c r="Y1122" s="63"/>
      <c r="Z1122" s="63"/>
      <c r="AA1122" s="63"/>
      <c r="AB1122" s="24"/>
      <c r="AC1122" s="24"/>
    </row>
    <row r="1123" spans="1:29" s="28" customFormat="1" x14ac:dyDescent="0.3">
      <c r="A1123" s="27" t="s">
        <v>8031</v>
      </c>
      <c r="B1123" s="27" t="s">
        <v>2273</v>
      </c>
      <c r="C1123" s="29"/>
      <c r="D1123" s="28" t="s">
        <v>5770</v>
      </c>
      <c r="E1123" s="20" t="s">
        <v>1270</v>
      </c>
      <c r="F1123" s="20" t="s">
        <v>2767</v>
      </c>
      <c r="G1123" s="27"/>
      <c r="H1123" s="20"/>
      <c r="I1123" s="29"/>
      <c r="J1123" s="29"/>
      <c r="K1123" s="27"/>
      <c r="L1123" s="27"/>
      <c r="M1123" s="27" t="s">
        <v>7433</v>
      </c>
      <c r="N1123" s="27"/>
      <c r="O1123" s="29" t="s">
        <v>8032</v>
      </c>
      <c r="P1123" s="27"/>
      <c r="Q1123" s="27"/>
      <c r="R1123" s="29"/>
      <c r="S1123" s="29"/>
      <c r="T1123" s="29"/>
      <c r="U1123" s="27"/>
      <c r="V1123" s="27"/>
      <c r="W1123" s="27"/>
      <c r="X1123" s="64"/>
      <c r="Y1123" s="64"/>
      <c r="Z1123" s="64"/>
      <c r="AA1123" s="64"/>
      <c r="AB1123" s="27"/>
      <c r="AC1123" s="27"/>
    </row>
    <row r="1124" spans="1:29" s="28" customFormat="1" x14ac:dyDescent="0.3">
      <c r="A1124" s="27" t="s">
        <v>8033</v>
      </c>
      <c r="B1124" s="27" t="s">
        <v>2273</v>
      </c>
      <c r="C1124" s="29"/>
      <c r="D1124" s="28" t="s">
        <v>5770</v>
      </c>
      <c r="E1124" s="20" t="s">
        <v>1270</v>
      </c>
      <c r="F1124" s="20" t="s">
        <v>2647</v>
      </c>
      <c r="G1124" s="27"/>
      <c r="H1124" s="20"/>
      <c r="I1124" s="29"/>
      <c r="J1124" s="29"/>
      <c r="K1124" s="27"/>
      <c r="L1124" s="27"/>
      <c r="M1124" s="27" t="s">
        <v>8034</v>
      </c>
      <c r="N1124" s="27"/>
      <c r="O1124" s="29" t="s">
        <v>8035</v>
      </c>
      <c r="P1124" s="27"/>
      <c r="Q1124" s="27"/>
      <c r="R1124" s="29"/>
      <c r="S1124" s="29"/>
      <c r="T1124" s="29"/>
      <c r="U1124" s="27"/>
      <c r="V1124" s="27"/>
      <c r="W1124" s="27"/>
      <c r="X1124" s="64"/>
      <c r="Y1124" s="64"/>
      <c r="Z1124" s="64"/>
      <c r="AA1124" s="64"/>
      <c r="AB1124" s="27"/>
      <c r="AC1124" s="27"/>
    </row>
    <row r="1125" spans="1:29" s="25" customFormat="1" x14ac:dyDescent="0.3">
      <c r="A1125" s="24">
        <v>565</v>
      </c>
      <c r="B1125" s="24" t="s">
        <v>2272</v>
      </c>
      <c r="C1125" s="26">
        <v>295</v>
      </c>
      <c r="D1125" s="25" t="s">
        <v>1259</v>
      </c>
      <c r="E1125" s="19" t="s">
        <v>1260</v>
      </c>
      <c r="F1125" s="19"/>
      <c r="G1125" s="24"/>
      <c r="H1125" s="19"/>
      <c r="I1125" s="26" t="s">
        <v>57</v>
      </c>
      <c r="J1125" s="26" t="s">
        <v>57</v>
      </c>
      <c r="K1125" s="24"/>
      <c r="L1125" s="24" t="s">
        <v>4001</v>
      </c>
      <c r="M1125" s="24" t="s">
        <v>5625</v>
      </c>
      <c r="N1125" s="24"/>
      <c r="O1125" s="26" t="s">
        <v>2140</v>
      </c>
      <c r="P1125" s="24"/>
      <c r="Q1125" s="24"/>
      <c r="R1125" s="26"/>
      <c r="S1125" s="26"/>
      <c r="T1125" s="26"/>
      <c r="U1125" s="24"/>
      <c r="V1125" s="24"/>
      <c r="W1125" s="24"/>
      <c r="X1125" s="63"/>
      <c r="Y1125" s="63"/>
      <c r="Z1125" s="63"/>
      <c r="AA1125" s="63"/>
      <c r="AB1125" s="24"/>
      <c r="AC1125" s="24"/>
    </row>
    <row r="1126" spans="1:29" s="25" customFormat="1" x14ac:dyDescent="0.3">
      <c r="A1126" s="24">
        <v>566</v>
      </c>
      <c r="B1126" s="24" t="s">
        <v>2272</v>
      </c>
      <c r="C1126" s="26">
        <v>295</v>
      </c>
      <c r="D1126" s="25" t="s">
        <v>1253</v>
      </c>
      <c r="E1126" s="19" t="s">
        <v>1254</v>
      </c>
      <c r="F1126" s="19"/>
      <c r="G1126" s="24"/>
      <c r="H1126" s="19"/>
      <c r="I1126" s="26" t="s">
        <v>57</v>
      </c>
      <c r="J1126" s="26" t="s">
        <v>57</v>
      </c>
      <c r="K1126" s="24"/>
      <c r="L1126" s="24" t="s">
        <v>4003</v>
      </c>
      <c r="M1126" s="24" t="s">
        <v>5626</v>
      </c>
      <c r="N1126" s="24"/>
      <c r="O1126" s="26" t="s">
        <v>2136</v>
      </c>
      <c r="P1126" s="24"/>
      <c r="Q1126" s="24"/>
      <c r="R1126" s="26"/>
      <c r="S1126" s="26"/>
      <c r="T1126" s="26"/>
      <c r="U1126" s="24"/>
      <c r="V1126" s="24"/>
      <c r="W1126" s="24"/>
      <c r="X1126" s="63"/>
      <c r="Y1126" s="63"/>
      <c r="Z1126" s="63"/>
      <c r="AA1126" s="63"/>
      <c r="AB1126" s="24"/>
      <c r="AC1126" s="24"/>
    </row>
    <row r="1127" spans="1:29" s="25" customFormat="1" x14ac:dyDescent="0.3">
      <c r="A1127" s="24">
        <v>567</v>
      </c>
      <c r="B1127" s="24" t="s">
        <v>2272</v>
      </c>
      <c r="C1127" s="26">
        <v>297</v>
      </c>
      <c r="D1127" s="25" t="s">
        <v>1251</v>
      </c>
      <c r="E1127" s="19" t="s">
        <v>1252</v>
      </c>
      <c r="F1127" s="19"/>
      <c r="G1127" s="24"/>
      <c r="H1127" s="19"/>
      <c r="I1127" s="26" t="s">
        <v>57</v>
      </c>
      <c r="J1127" s="26" t="s">
        <v>57</v>
      </c>
      <c r="K1127" s="24"/>
      <c r="L1127" s="24" t="s">
        <v>3757</v>
      </c>
      <c r="M1127" s="24" t="s">
        <v>5282</v>
      </c>
      <c r="N1127" s="24"/>
      <c r="O1127" s="26"/>
      <c r="P1127" s="24"/>
      <c r="Q1127" s="24"/>
      <c r="R1127" s="26"/>
      <c r="S1127" s="26"/>
      <c r="T1127" s="26"/>
      <c r="U1127" s="24"/>
      <c r="V1127" s="24"/>
      <c r="W1127" s="24"/>
      <c r="X1127" s="63"/>
      <c r="Y1127" s="63"/>
      <c r="Z1127" s="63"/>
      <c r="AA1127" s="63"/>
      <c r="AB1127" s="24"/>
      <c r="AC1127" s="24"/>
    </row>
    <row r="1128" spans="1:29" s="28" customFormat="1" x14ac:dyDescent="0.3">
      <c r="A1128" s="27" t="s">
        <v>5771</v>
      </c>
      <c r="B1128" s="27" t="s">
        <v>2273</v>
      </c>
      <c r="C1128" s="29"/>
      <c r="D1128" s="28" t="s">
        <v>5038</v>
      </c>
      <c r="E1128" s="20" t="s">
        <v>1252</v>
      </c>
      <c r="F1128" s="20" t="s">
        <v>2314</v>
      </c>
      <c r="G1128" s="27"/>
      <c r="H1128" s="20"/>
      <c r="I1128" s="29"/>
      <c r="J1128" s="29"/>
      <c r="K1128" s="27"/>
      <c r="L1128" s="27"/>
      <c r="M1128" s="27" t="s">
        <v>8036</v>
      </c>
      <c r="N1128" s="27"/>
      <c r="O1128" s="29" t="s">
        <v>2136</v>
      </c>
      <c r="P1128" s="27"/>
      <c r="Q1128" s="27"/>
      <c r="R1128" s="29"/>
      <c r="S1128" s="29"/>
      <c r="T1128" s="29"/>
      <c r="U1128" s="27"/>
      <c r="V1128" s="27"/>
      <c r="W1128" s="27"/>
      <c r="X1128" s="64"/>
      <c r="Y1128" s="64"/>
      <c r="Z1128" s="64"/>
      <c r="AA1128" s="64"/>
      <c r="AB1128" s="27"/>
      <c r="AC1128" s="27"/>
    </row>
    <row r="1129" spans="1:29" s="28" customFormat="1" x14ac:dyDescent="0.3">
      <c r="A1129" s="27" t="s">
        <v>5772</v>
      </c>
      <c r="B1129" s="27" t="s">
        <v>2273</v>
      </c>
      <c r="C1129" s="29"/>
      <c r="D1129" s="28" t="s">
        <v>5038</v>
      </c>
      <c r="E1129" s="20" t="s">
        <v>1252</v>
      </c>
      <c r="F1129" s="20" t="s">
        <v>2740</v>
      </c>
      <c r="G1129" s="27"/>
      <c r="H1129" s="20"/>
      <c r="I1129" s="29"/>
      <c r="J1129" s="29"/>
      <c r="K1129" s="27"/>
      <c r="L1129" s="27"/>
      <c r="M1129" s="27" t="s">
        <v>8037</v>
      </c>
      <c r="N1129" s="27"/>
      <c r="O1129" s="29" t="s">
        <v>8038</v>
      </c>
      <c r="P1129" s="27"/>
      <c r="Q1129" s="27"/>
      <c r="R1129" s="29"/>
      <c r="S1129" s="29"/>
      <c r="T1129" s="29"/>
      <c r="U1129" s="27"/>
      <c r="V1129" s="27"/>
      <c r="W1129" s="27"/>
      <c r="X1129" s="64"/>
      <c r="Y1129" s="64"/>
      <c r="Z1129" s="64"/>
      <c r="AA1129" s="64"/>
      <c r="AB1129" s="27"/>
      <c r="AC1129" s="27"/>
    </row>
    <row r="1130" spans="1:29" s="25" customFormat="1" x14ac:dyDescent="0.3">
      <c r="A1130" s="24">
        <v>568</v>
      </c>
      <c r="B1130" s="24" t="s">
        <v>2272</v>
      </c>
      <c r="C1130" s="26">
        <v>295</v>
      </c>
      <c r="D1130" s="25" t="s">
        <v>1255</v>
      </c>
      <c r="E1130" s="19" t="s">
        <v>1256</v>
      </c>
      <c r="F1130" s="19"/>
      <c r="G1130" s="24"/>
      <c r="H1130" s="19"/>
      <c r="I1130" s="26" t="s">
        <v>57</v>
      </c>
      <c r="J1130" s="26" t="s">
        <v>57</v>
      </c>
      <c r="K1130" s="24"/>
      <c r="L1130" s="24" t="s">
        <v>4006</v>
      </c>
      <c r="M1130" s="24" t="s">
        <v>5627</v>
      </c>
      <c r="N1130" s="24"/>
      <c r="O1130" s="26" t="s">
        <v>2137</v>
      </c>
      <c r="P1130" s="24"/>
      <c r="Q1130" s="24"/>
      <c r="R1130" s="26"/>
      <c r="S1130" s="26"/>
      <c r="T1130" s="26"/>
      <c r="U1130" s="24"/>
      <c r="V1130" s="24"/>
      <c r="W1130" s="24"/>
      <c r="X1130" s="63"/>
      <c r="Y1130" s="63"/>
      <c r="Z1130" s="63"/>
      <c r="AA1130" s="63"/>
      <c r="AB1130" s="24"/>
      <c r="AC1130" s="24"/>
    </row>
    <row r="1131" spans="1:29" s="25" customFormat="1" x14ac:dyDescent="0.3">
      <c r="A1131" s="24">
        <v>569</v>
      </c>
      <c r="B1131" s="24" t="s">
        <v>2272</v>
      </c>
      <c r="C1131" s="26">
        <v>295</v>
      </c>
      <c r="D1131" s="25" t="s">
        <v>1257</v>
      </c>
      <c r="E1131" s="19" t="s">
        <v>1258</v>
      </c>
      <c r="F1131" s="19"/>
      <c r="G1131" s="24"/>
      <c r="H1131" s="19"/>
      <c r="I1131" s="26" t="s">
        <v>57</v>
      </c>
      <c r="J1131" s="26" t="s">
        <v>57</v>
      </c>
      <c r="K1131" s="24" t="s">
        <v>3035</v>
      </c>
      <c r="L1131" s="24" t="s">
        <v>4008</v>
      </c>
      <c r="M1131" s="24" t="s">
        <v>5628</v>
      </c>
      <c r="N1131" s="24"/>
      <c r="O1131" s="26" t="s">
        <v>2139</v>
      </c>
      <c r="P1131" s="24"/>
      <c r="Q1131" s="24"/>
      <c r="R1131" s="26"/>
      <c r="S1131" s="26"/>
      <c r="T1131" s="26"/>
      <c r="U1131" s="24"/>
      <c r="V1131" s="24"/>
      <c r="W1131" s="24"/>
      <c r="X1131" s="63"/>
      <c r="Y1131" s="63"/>
      <c r="Z1131" s="63"/>
      <c r="AA1131" s="63"/>
      <c r="AB1131" s="24"/>
      <c r="AC1131" s="24"/>
    </row>
    <row r="1132" spans="1:29" s="25" customFormat="1" x14ac:dyDescent="0.3">
      <c r="A1132" s="24">
        <v>570</v>
      </c>
      <c r="B1132" s="24" t="s">
        <v>2272</v>
      </c>
      <c r="C1132" s="26">
        <v>297</v>
      </c>
      <c r="D1132" s="25" t="s">
        <v>1273</v>
      </c>
      <c r="E1132" s="19" t="s">
        <v>2149</v>
      </c>
      <c r="F1132" s="19"/>
      <c r="G1132" s="24"/>
      <c r="H1132" s="19"/>
      <c r="I1132" s="26" t="s">
        <v>57</v>
      </c>
      <c r="J1132" s="26" t="s">
        <v>57</v>
      </c>
      <c r="K1132" s="24"/>
      <c r="L1132" s="24" t="s">
        <v>3788</v>
      </c>
      <c r="M1132" s="24" t="s">
        <v>5470</v>
      </c>
      <c r="N1132" s="24"/>
      <c r="O1132" s="26"/>
      <c r="P1132" s="24"/>
      <c r="Q1132" s="24"/>
      <c r="R1132" s="26"/>
      <c r="S1132" s="26"/>
      <c r="T1132" s="26"/>
      <c r="U1132" s="24"/>
      <c r="V1132" s="24"/>
      <c r="W1132" s="24"/>
      <c r="X1132" s="63"/>
      <c r="Y1132" s="63"/>
      <c r="Z1132" s="63"/>
      <c r="AA1132" s="63"/>
      <c r="AB1132" s="24"/>
      <c r="AC1132" s="24"/>
    </row>
    <row r="1133" spans="1:29" s="28" customFormat="1" x14ac:dyDescent="0.3">
      <c r="A1133" s="27" t="s">
        <v>2793</v>
      </c>
      <c r="B1133" s="27" t="s">
        <v>2273</v>
      </c>
      <c r="C1133" s="29"/>
      <c r="D1133" s="28" t="s">
        <v>5039</v>
      </c>
      <c r="E1133" s="20" t="s">
        <v>2149</v>
      </c>
      <c r="F1133" s="20" t="s">
        <v>2486</v>
      </c>
      <c r="G1133" s="27"/>
      <c r="H1133" s="20"/>
      <c r="I1133" s="29"/>
      <c r="J1133" s="29"/>
      <c r="K1133" s="27"/>
      <c r="L1133" s="27"/>
      <c r="M1133" s="27" t="s">
        <v>7954</v>
      </c>
      <c r="N1133" s="27"/>
      <c r="O1133" s="29" t="s">
        <v>8039</v>
      </c>
      <c r="P1133" s="27"/>
      <c r="Q1133" s="27"/>
      <c r="R1133" s="29"/>
      <c r="S1133" s="29"/>
      <c r="T1133" s="29"/>
      <c r="U1133" s="27"/>
      <c r="V1133" s="27"/>
      <c r="W1133" s="27"/>
      <c r="X1133" s="64"/>
      <c r="Y1133" s="64"/>
      <c r="Z1133" s="64"/>
      <c r="AA1133" s="64"/>
      <c r="AB1133" s="27"/>
      <c r="AC1133" s="27"/>
    </row>
    <row r="1134" spans="1:29" s="28" customFormat="1" x14ac:dyDescent="0.3">
      <c r="A1134" s="27" t="s">
        <v>2795</v>
      </c>
      <c r="B1134" s="27" t="s">
        <v>2273</v>
      </c>
      <c r="C1134" s="29"/>
      <c r="D1134" s="28" t="s">
        <v>5039</v>
      </c>
      <c r="E1134" s="20" t="s">
        <v>2149</v>
      </c>
      <c r="F1134" s="20" t="s">
        <v>2631</v>
      </c>
      <c r="G1134" s="27"/>
      <c r="H1134" s="20"/>
      <c r="I1134" s="29"/>
      <c r="J1134" s="29"/>
      <c r="K1134" s="27"/>
      <c r="L1134" s="27"/>
      <c r="M1134" s="27" t="s">
        <v>8040</v>
      </c>
      <c r="N1134" s="27"/>
      <c r="O1134" s="29" t="s">
        <v>8041</v>
      </c>
      <c r="P1134" s="27"/>
      <c r="Q1134" s="27"/>
      <c r="R1134" s="29"/>
      <c r="S1134" s="29"/>
      <c r="T1134" s="29"/>
      <c r="U1134" s="27"/>
      <c r="V1134" s="27"/>
      <c r="W1134" s="27"/>
      <c r="X1134" s="64"/>
      <c r="Y1134" s="64"/>
      <c r="Z1134" s="64"/>
      <c r="AA1134" s="64"/>
      <c r="AB1134" s="27"/>
      <c r="AC1134" s="27"/>
    </row>
    <row r="1135" spans="1:29" s="28" customFormat="1" x14ac:dyDescent="0.3">
      <c r="A1135" s="27" t="s">
        <v>2796</v>
      </c>
      <c r="B1135" s="27" t="s">
        <v>2273</v>
      </c>
      <c r="C1135" s="29"/>
      <c r="D1135" s="28" t="s">
        <v>5039</v>
      </c>
      <c r="E1135" s="20" t="s">
        <v>2149</v>
      </c>
      <c r="F1135" s="20" t="s">
        <v>2608</v>
      </c>
      <c r="G1135" s="27"/>
      <c r="H1135" s="20"/>
      <c r="I1135" s="29"/>
      <c r="J1135" s="29"/>
      <c r="K1135" s="27"/>
      <c r="L1135" s="27"/>
      <c r="M1135" s="27" t="s">
        <v>8042</v>
      </c>
      <c r="N1135" s="27"/>
      <c r="O1135" s="29" t="s">
        <v>8043</v>
      </c>
      <c r="P1135" s="27"/>
      <c r="Q1135" s="27"/>
      <c r="R1135" s="29"/>
      <c r="S1135" s="29"/>
      <c r="T1135" s="29"/>
      <c r="U1135" s="27"/>
      <c r="V1135" s="27"/>
      <c r="W1135" s="27"/>
      <c r="X1135" s="64"/>
      <c r="Y1135" s="64"/>
      <c r="Z1135" s="64"/>
      <c r="AA1135" s="64"/>
      <c r="AB1135" s="27"/>
      <c r="AC1135" s="27"/>
    </row>
    <row r="1136" spans="1:29" s="25" customFormat="1" x14ac:dyDescent="0.3">
      <c r="A1136" s="24">
        <v>571</v>
      </c>
      <c r="B1136" s="24" t="s">
        <v>2272</v>
      </c>
      <c r="C1136" s="26">
        <v>299</v>
      </c>
      <c r="D1136" s="25" t="s">
        <v>1281</v>
      </c>
      <c r="E1136" s="19" t="s">
        <v>1282</v>
      </c>
      <c r="F1136" s="19"/>
      <c r="G1136" s="24"/>
      <c r="H1136" s="19"/>
      <c r="I1136" s="26" t="s">
        <v>57</v>
      </c>
      <c r="J1136" s="26" t="s">
        <v>57</v>
      </c>
      <c r="K1136" s="24"/>
      <c r="L1136" s="24" t="s">
        <v>4011</v>
      </c>
      <c r="M1136" s="24" t="s">
        <v>5629</v>
      </c>
      <c r="N1136" s="24"/>
      <c r="O1136" s="26"/>
      <c r="P1136" s="24"/>
      <c r="Q1136" s="24"/>
      <c r="R1136" s="26"/>
      <c r="S1136" s="26"/>
      <c r="T1136" s="26"/>
      <c r="U1136" s="24"/>
      <c r="V1136" s="24"/>
      <c r="W1136" s="24"/>
      <c r="X1136" s="63"/>
      <c r="Y1136" s="63"/>
      <c r="Z1136" s="63"/>
      <c r="AA1136" s="63"/>
      <c r="AB1136" s="24"/>
      <c r="AC1136" s="24"/>
    </row>
    <row r="1137" spans="1:29" s="28" customFormat="1" x14ac:dyDescent="0.3">
      <c r="A1137" s="27" t="s">
        <v>8044</v>
      </c>
      <c r="B1137" s="27" t="s">
        <v>2273</v>
      </c>
      <c r="C1137" s="29"/>
      <c r="D1137" s="28" t="s">
        <v>5040</v>
      </c>
      <c r="E1137" s="20" t="s">
        <v>1282</v>
      </c>
      <c r="F1137" s="20" t="s">
        <v>2521</v>
      </c>
      <c r="G1137" s="27"/>
      <c r="H1137" s="20"/>
      <c r="I1137" s="29"/>
      <c r="J1137" s="29"/>
      <c r="K1137" s="27"/>
      <c r="L1137" s="27"/>
      <c r="M1137" s="27" t="s">
        <v>8045</v>
      </c>
      <c r="N1137" s="27"/>
      <c r="O1137" s="29" t="s">
        <v>8046</v>
      </c>
      <c r="P1137" s="27"/>
      <c r="Q1137" s="27"/>
      <c r="R1137" s="29"/>
      <c r="S1137" s="29"/>
      <c r="T1137" s="29"/>
      <c r="U1137" s="27"/>
      <c r="V1137" s="27"/>
      <c r="W1137" s="27"/>
      <c r="X1137" s="64"/>
      <c r="Y1137" s="64"/>
      <c r="Z1137" s="64"/>
      <c r="AA1137" s="64"/>
      <c r="AB1137" s="27"/>
      <c r="AC1137" s="27"/>
    </row>
    <row r="1138" spans="1:29" s="28" customFormat="1" x14ac:dyDescent="0.3">
      <c r="A1138" s="27" t="s">
        <v>8047</v>
      </c>
      <c r="B1138" s="27" t="s">
        <v>2273</v>
      </c>
      <c r="C1138" s="29"/>
      <c r="D1138" s="28" t="s">
        <v>5040</v>
      </c>
      <c r="E1138" s="20" t="s">
        <v>1282</v>
      </c>
      <c r="F1138" s="20" t="s">
        <v>2775</v>
      </c>
      <c r="G1138" s="27"/>
      <c r="H1138" s="20"/>
      <c r="I1138" s="29"/>
      <c r="J1138" s="29"/>
      <c r="K1138" s="27"/>
      <c r="L1138" s="27"/>
      <c r="M1138" s="27" t="s">
        <v>8048</v>
      </c>
      <c r="N1138" s="27"/>
      <c r="O1138" s="29" t="s">
        <v>7766</v>
      </c>
      <c r="P1138" s="27"/>
      <c r="Q1138" s="27"/>
      <c r="R1138" s="29"/>
      <c r="S1138" s="29"/>
      <c r="T1138" s="29"/>
      <c r="U1138" s="27"/>
      <c r="V1138" s="27"/>
      <c r="W1138" s="27"/>
      <c r="X1138" s="64"/>
      <c r="Y1138" s="64"/>
      <c r="Z1138" s="64"/>
      <c r="AA1138" s="64"/>
      <c r="AB1138" s="27"/>
      <c r="AC1138" s="27"/>
    </row>
    <row r="1139" spans="1:29" s="28" customFormat="1" x14ac:dyDescent="0.3">
      <c r="A1139" s="27" t="s">
        <v>8049</v>
      </c>
      <c r="B1139" s="27" t="s">
        <v>2273</v>
      </c>
      <c r="C1139" s="29"/>
      <c r="D1139" s="28" t="s">
        <v>5040</v>
      </c>
      <c r="E1139" s="20" t="s">
        <v>1282</v>
      </c>
      <c r="F1139" s="20" t="s">
        <v>2776</v>
      </c>
      <c r="G1139" s="27"/>
      <c r="H1139" s="20"/>
      <c r="I1139" s="29"/>
      <c r="J1139" s="29"/>
      <c r="K1139" s="27"/>
      <c r="L1139" s="27"/>
      <c r="M1139" s="27" t="s">
        <v>7745</v>
      </c>
      <c r="N1139" s="27"/>
      <c r="O1139" s="29" t="s">
        <v>8050</v>
      </c>
      <c r="P1139" s="27"/>
      <c r="Q1139" s="27"/>
      <c r="R1139" s="29"/>
      <c r="S1139" s="29"/>
      <c r="T1139" s="29"/>
      <c r="U1139" s="27"/>
      <c r="V1139" s="27"/>
      <c r="W1139" s="27"/>
      <c r="X1139" s="64"/>
      <c r="Y1139" s="64"/>
      <c r="Z1139" s="64"/>
      <c r="AA1139" s="64"/>
      <c r="AB1139" s="27"/>
      <c r="AC1139" s="27"/>
    </row>
    <row r="1140" spans="1:29" s="28" customFormat="1" x14ac:dyDescent="0.3">
      <c r="A1140" s="27" t="s">
        <v>8051</v>
      </c>
      <c r="B1140" s="27" t="s">
        <v>2273</v>
      </c>
      <c r="C1140" s="29"/>
      <c r="D1140" s="28" t="s">
        <v>5040</v>
      </c>
      <c r="E1140" s="20" t="s">
        <v>1282</v>
      </c>
      <c r="F1140" s="20" t="s">
        <v>2777</v>
      </c>
      <c r="G1140" s="27"/>
      <c r="H1140" s="20"/>
      <c r="I1140" s="29"/>
      <c r="J1140" s="29"/>
      <c r="K1140" s="27"/>
      <c r="L1140" s="27"/>
      <c r="M1140" s="27" t="s">
        <v>8052</v>
      </c>
      <c r="N1140" s="27"/>
      <c r="O1140" s="29" t="s">
        <v>8053</v>
      </c>
      <c r="P1140" s="27"/>
      <c r="Q1140" s="27"/>
      <c r="R1140" s="29"/>
      <c r="S1140" s="29"/>
      <c r="T1140" s="29"/>
      <c r="U1140" s="27"/>
      <c r="V1140" s="27"/>
      <c r="W1140" s="27"/>
      <c r="X1140" s="64"/>
      <c r="Y1140" s="64"/>
      <c r="Z1140" s="64"/>
      <c r="AA1140" s="64"/>
      <c r="AB1140" s="27"/>
      <c r="AC1140" s="27"/>
    </row>
    <row r="1141" spans="1:29" s="28" customFormat="1" x14ac:dyDescent="0.3">
      <c r="A1141" s="27" t="s">
        <v>8054</v>
      </c>
      <c r="B1141" s="27" t="s">
        <v>2273</v>
      </c>
      <c r="C1141" s="29"/>
      <c r="D1141" s="28" t="s">
        <v>5040</v>
      </c>
      <c r="E1141" s="20" t="s">
        <v>1282</v>
      </c>
      <c r="F1141" s="20" t="s">
        <v>2778</v>
      </c>
      <c r="G1141" s="27"/>
      <c r="H1141" s="20"/>
      <c r="I1141" s="29"/>
      <c r="J1141" s="29"/>
      <c r="K1141" s="27"/>
      <c r="L1141" s="27"/>
      <c r="M1141" s="27" t="s">
        <v>8055</v>
      </c>
      <c r="N1141" s="27"/>
      <c r="O1141" s="29" t="s">
        <v>8056</v>
      </c>
      <c r="P1141" s="27"/>
      <c r="Q1141" s="27"/>
      <c r="R1141" s="29"/>
      <c r="S1141" s="29"/>
      <c r="T1141" s="29"/>
      <c r="U1141" s="27"/>
      <c r="V1141" s="27"/>
      <c r="W1141" s="27"/>
      <c r="X1141" s="64"/>
      <c r="Y1141" s="64"/>
      <c r="Z1141" s="64"/>
      <c r="AA1141" s="64"/>
      <c r="AB1141" s="27"/>
      <c r="AC1141" s="27"/>
    </row>
    <row r="1142" spans="1:29" s="28" customFormat="1" x14ac:dyDescent="0.3">
      <c r="A1142" s="27" t="s">
        <v>8057</v>
      </c>
      <c r="B1142" s="27" t="s">
        <v>2273</v>
      </c>
      <c r="C1142" s="29"/>
      <c r="D1142" s="28" t="s">
        <v>5040</v>
      </c>
      <c r="E1142" s="20" t="s">
        <v>1282</v>
      </c>
      <c r="F1142" s="20" t="s">
        <v>2692</v>
      </c>
      <c r="G1142" s="27"/>
      <c r="H1142" s="20"/>
      <c r="I1142" s="29"/>
      <c r="J1142" s="29"/>
      <c r="K1142" s="27"/>
      <c r="L1142" s="27"/>
      <c r="M1142" s="27" t="s">
        <v>8058</v>
      </c>
      <c r="N1142" s="27"/>
      <c r="O1142" s="29" t="s">
        <v>7759</v>
      </c>
      <c r="P1142" s="27"/>
      <c r="Q1142" s="27"/>
      <c r="R1142" s="29"/>
      <c r="S1142" s="29"/>
      <c r="T1142" s="29"/>
      <c r="U1142" s="27"/>
      <c r="V1142" s="27"/>
      <c r="W1142" s="27"/>
      <c r="X1142" s="64"/>
      <c r="Y1142" s="64"/>
      <c r="Z1142" s="64"/>
      <c r="AA1142" s="64"/>
      <c r="AB1142" s="27"/>
      <c r="AC1142" s="27"/>
    </row>
    <row r="1143" spans="1:29" s="28" customFormat="1" x14ac:dyDescent="0.3">
      <c r="A1143" s="27" t="s">
        <v>8059</v>
      </c>
      <c r="B1143" s="27" t="s">
        <v>2273</v>
      </c>
      <c r="C1143" s="29"/>
      <c r="D1143" s="28" t="s">
        <v>5040</v>
      </c>
      <c r="E1143" s="20" t="s">
        <v>1282</v>
      </c>
      <c r="F1143" s="20" t="s">
        <v>2385</v>
      </c>
      <c r="G1143" s="27"/>
      <c r="H1143" s="20"/>
      <c r="I1143" s="29"/>
      <c r="J1143" s="29"/>
      <c r="K1143" s="27"/>
      <c r="L1143" s="27"/>
      <c r="M1143" s="27" t="s">
        <v>6907</v>
      </c>
      <c r="N1143" s="27"/>
      <c r="O1143" s="29" t="s">
        <v>8060</v>
      </c>
      <c r="P1143" s="27"/>
      <c r="Q1143" s="27"/>
      <c r="R1143" s="29"/>
      <c r="S1143" s="29"/>
      <c r="T1143" s="29"/>
      <c r="U1143" s="27"/>
      <c r="V1143" s="27"/>
      <c r="W1143" s="27"/>
      <c r="X1143" s="64"/>
      <c r="Y1143" s="64"/>
      <c r="Z1143" s="64"/>
      <c r="AA1143" s="64"/>
      <c r="AB1143" s="27"/>
      <c r="AC1143" s="27"/>
    </row>
    <row r="1144" spans="1:29" s="28" customFormat="1" x14ac:dyDescent="0.3">
      <c r="A1144" s="27" t="s">
        <v>8061</v>
      </c>
      <c r="B1144" s="27" t="s">
        <v>2273</v>
      </c>
      <c r="C1144" s="29"/>
      <c r="D1144" s="28" t="s">
        <v>5040</v>
      </c>
      <c r="E1144" s="20" t="s">
        <v>1282</v>
      </c>
      <c r="F1144" s="20" t="s">
        <v>2337</v>
      </c>
      <c r="G1144" s="27"/>
      <c r="H1144" s="20"/>
      <c r="I1144" s="29"/>
      <c r="J1144" s="29"/>
      <c r="K1144" s="27"/>
      <c r="L1144" s="27"/>
      <c r="M1144" s="27" t="s">
        <v>7662</v>
      </c>
      <c r="N1144" s="27"/>
      <c r="O1144" s="29" t="s">
        <v>1925</v>
      </c>
      <c r="P1144" s="27"/>
      <c r="Q1144" s="27"/>
      <c r="R1144" s="29"/>
      <c r="S1144" s="29"/>
      <c r="T1144" s="29"/>
      <c r="U1144" s="27"/>
      <c r="V1144" s="27"/>
      <c r="W1144" s="27"/>
      <c r="X1144" s="64"/>
      <c r="Y1144" s="64"/>
      <c r="Z1144" s="64"/>
      <c r="AA1144" s="64"/>
      <c r="AB1144" s="27"/>
      <c r="AC1144" s="27"/>
    </row>
    <row r="1145" spans="1:29" s="25" customFormat="1" x14ac:dyDescent="0.3">
      <c r="A1145" s="24">
        <v>572</v>
      </c>
      <c r="B1145" s="24" t="s">
        <v>2272</v>
      </c>
      <c r="C1145" s="26">
        <v>301</v>
      </c>
      <c r="D1145" s="25" t="s">
        <v>1274</v>
      </c>
      <c r="E1145" s="19" t="s">
        <v>1275</v>
      </c>
      <c r="F1145" s="19"/>
      <c r="G1145" s="24" t="s">
        <v>2151</v>
      </c>
      <c r="H1145" s="19"/>
      <c r="I1145" s="26" t="s">
        <v>37</v>
      </c>
      <c r="J1145" s="26" t="s">
        <v>37</v>
      </c>
      <c r="K1145" s="24"/>
      <c r="L1145" s="24" t="s">
        <v>4013</v>
      </c>
      <c r="M1145" s="24" t="s">
        <v>5630</v>
      </c>
      <c r="N1145" s="24"/>
      <c r="O1145" s="26"/>
      <c r="P1145" s="24"/>
      <c r="Q1145" s="24"/>
      <c r="R1145" s="26"/>
      <c r="S1145" s="26"/>
      <c r="T1145" s="26"/>
      <c r="U1145" s="24"/>
      <c r="V1145" s="24"/>
      <c r="W1145" s="24"/>
      <c r="X1145" s="63"/>
      <c r="Y1145" s="63"/>
      <c r="Z1145" s="63"/>
      <c r="AA1145" s="63"/>
      <c r="AB1145" s="24"/>
      <c r="AC1145" s="24"/>
    </row>
    <row r="1146" spans="1:29" s="28" customFormat="1" x14ac:dyDescent="0.3">
      <c r="A1146" s="27" t="s">
        <v>8062</v>
      </c>
      <c r="B1146" s="27" t="s">
        <v>2273</v>
      </c>
      <c r="C1146" s="29"/>
      <c r="D1146" s="28" t="s">
        <v>5041</v>
      </c>
      <c r="E1146" s="20" t="s">
        <v>1275</v>
      </c>
      <c r="F1146" s="20" t="s">
        <v>8063</v>
      </c>
      <c r="G1146" s="27"/>
      <c r="H1146" s="20"/>
      <c r="I1146" s="29"/>
      <c r="J1146" s="29"/>
      <c r="K1146" s="27"/>
      <c r="L1146" s="27"/>
      <c r="M1146" s="27" t="s">
        <v>8064</v>
      </c>
      <c r="N1146" s="27"/>
      <c r="O1146" s="29" t="s">
        <v>8065</v>
      </c>
      <c r="P1146" s="27"/>
      <c r="Q1146" s="27"/>
      <c r="R1146" s="29"/>
      <c r="S1146" s="29"/>
      <c r="T1146" s="29"/>
      <c r="U1146" s="27"/>
      <c r="V1146" s="27"/>
      <c r="W1146" s="27"/>
      <c r="X1146" s="64"/>
      <c r="Y1146" s="64"/>
      <c r="Z1146" s="64"/>
      <c r="AA1146" s="64"/>
      <c r="AB1146" s="27"/>
      <c r="AC1146" s="27"/>
    </row>
    <row r="1147" spans="1:29" s="28" customFormat="1" x14ac:dyDescent="0.3">
      <c r="A1147" s="27" t="s">
        <v>8066</v>
      </c>
      <c r="B1147" s="27" t="s">
        <v>2273</v>
      </c>
      <c r="C1147" s="29"/>
      <c r="D1147" s="28" t="s">
        <v>5041</v>
      </c>
      <c r="E1147" s="20" t="s">
        <v>1275</v>
      </c>
      <c r="F1147" s="20" t="s">
        <v>2719</v>
      </c>
      <c r="G1147" s="27"/>
      <c r="H1147" s="20"/>
      <c r="I1147" s="29"/>
      <c r="J1147" s="29"/>
      <c r="K1147" s="27"/>
      <c r="L1147" s="27"/>
      <c r="M1147" s="27" t="s">
        <v>7920</v>
      </c>
      <c r="N1147" s="27"/>
      <c r="O1147" s="29" t="s">
        <v>2248</v>
      </c>
      <c r="P1147" s="27"/>
      <c r="Q1147" s="27"/>
      <c r="R1147" s="29"/>
      <c r="S1147" s="29"/>
      <c r="T1147" s="29"/>
      <c r="U1147" s="27"/>
      <c r="V1147" s="27"/>
      <c r="W1147" s="27"/>
      <c r="X1147" s="64"/>
      <c r="Y1147" s="64"/>
      <c r="Z1147" s="64"/>
      <c r="AA1147" s="64"/>
      <c r="AB1147" s="27"/>
      <c r="AC1147" s="27"/>
    </row>
    <row r="1148" spans="1:29" s="28" customFormat="1" x14ac:dyDescent="0.3">
      <c r="A1148" s="27" t="s">
        <v>8067</v>
      </c>
      <c r="B1148" s="27" t="s">
        <v>2273</v>
      </c>
      <c r="C1148" s="29"/>
      <c r="D1148" s="28" t="s">
        <v>5041</v>
      </c>
      <c r="E1148" s="20" t="s">
        <v>1275</v>
      </c>
      <c r="F1148" s="20" t="s">
        <v>2314</v>
      </c>
      <c r="G1148" s="27"/>
      <c r="H1148" s="20"/>
      <c r="I1148" s="29"/>
      <c r="J1148" s="29"/>
      <c r="K1148" s="27"/>
      <c r="L1148" s="27"/>
      <c r="M1148" s="27" t="s">
        <v>7780</v>
      </c>
      <c r="N1148" s="27"/>
      <c r="O1148" s="29" t="s">
        <v>2136</v>
      </c>
      <c r="P1148" s="27"/>
      <c r="Q1148" s="27"/>
      <c r="R1148" s="29"/>
      <c r="S1148" s="29"/>
      <c r="T1148" s="29"/>
      <c r="U1148" s="27"/>
      <c r="V1148" s="27"/>
      <c r="W1148" s="27"/>
      <c r="X1148" s="64"/>
      <c r="Y1148" s="64"/>
      <c r="Z1148" s="64"/>
      <c r="AA1148" s="64"/>
      <c r="AB1148" s="27"/>
      <c r="AC1148" s="27"/>
    </row>
    <row r="1149" spans="1:29" s="28" customFormat="1" x14ac:dyDescent="0.3">
      <c r="A1149" s="27" t="s">
        <v>8068</v>
      </c>
      <c r="B1149" s="27" t="s">
        <v>2273</v>
      </c>
      <c r="C1149" s="29"/>
      <c r="D1149" s="28" t="s">
        <v>5041</v>
      </c>
      <c r="E1149" s="20" t="s">
        <v>1275</v>
      </c>
      <c r="F1149" s="20" t="s">
        <v>2743</v>
      </c>
      <c r="G1149" s="27"/>
      <c r="H1149" s="20"/>
      <c r="I1149" s="29"/>
      <c r="J1149" s="29"/>
      <c r="K1149" s="27"/>
      <c r="L1149" s="27"/>
      <c r="M1149" s="27" t="s">
        <v>8069</v>
      </c>
      <c r="N1149" s="27"/>
      <c r="O1149" s="29" t="s">
        <v>8070</v>
      </c>
      <c r="P1149" s="27"/>
      <c r="Q1149" s="27"/>
      <c r="R1149" s="29"/>
      <c r="S1149" s="29"/>
      <c r="T1149" s="29"/>
      <c r="U1149" s="27"/>
      <c r="V1149" s="27"/>
      <c r="W1149" s="27"/>
      <c r="X1149" s="64"/>
      <c r="Y1149" s="64"/>
      <c r="Z1149" s="64"/>
      <c r="AA1149" s="64"/>
      <c r="AB1149" s="27"/>
      <c r="AC1149" s="27"/>
    </row>
    <row r="1150" spans="1:29" s="28" customFormat="1" x14ac:dyDescent="0.3">
      <c r="A1150" s="27" t="s">
        <v>8071</v>
      </c>
      <c r="B1150" s="27" t="s">
        <v>2273</v>
      </c>
      <c r="C1150" s="29"/>
      <c r="D1150" s="28" t="s">
        <v>5041</v>
      </c>
      <c r="E1150" s="20" t="s">
        <v>1275</v>
      </c>
      <c r="F1150" s="20" t="s">
        <v>2771</v>
      </c>
      <c r="G1150" s="27"/>
      <c r="H1150" s="20"/>
      <c r="I1150" s="29"/>
      <c r="J1150" s="29"/>
      <c r="K1150" s="27"/>
      <c r="L1150" s="27"/>
      <c r="M1150" s="27" t="s">
        <v>8072</v>
      </c>
      <c r="N1150" s="27"/>
      <c r="O1150" s="29" t="s">
        <v>8073</v>
      </c>
      <c r="P1150" s="27"/>
      <c r="Q1150" s="27"/>
      <c r="R1150" s="29"/>
      <c r="S1150" s="29"/>
      <c r="T1150" s="29"/>
      <c r="U1150" s="27"/>
      <c r="V1150" s="27"/>
      <c r="W1150" s="27"/>
      <c r="X1150" s="64"/>
      <c r="Y1150" s="64"/>
      <c r="Z1150" s="64"/>
      <c r="AA1150" s="64"/>
      <c r="AB1150" s="27"/>
      <c r="AC1150" s="27"/>
    </row>
    <row r="1151" spans="1:29" s="28" customFormat="1" x14ac:dyDescent="0.3">
      <c r="A1151" s="27" t="s">
        <v>8074</v>
      </c>
      <c r="B1151" s="27" t="s">
        <v>2273</v>
      </c>
      <c r="C1151" s="29"/>
      <c r="D1151" s="28" t="s">
        <v>5041</v>
      </c>
      <c r="E1151" s="20" t="s">
        <v>1275</v>
      </c>
      <c r="F1151" s="20" t="s">
        <v>2593</v>
      </c>
      <c r="G1151" s="27"/>
      <c r="H1151" s="20"/>
      <c r="I1151" s="29"/>
      <c r="J1151" s="29"/>
      <c r="K1151" s="27"/>
      <c r="L1151" s="27"/>
      <c r="M1151" s="27" t="s">
        <v>8075</v>
      </c>
      <c r="N1151" s="27"/>
      <c r="O1151" s="29" t="s">
        <v>8076</v>
      </c>
      <c r="P1151" s="27"/>
      <c r="Q1151" s="27"/>
      <c r="R1151" s="29"/>
      <c r="S1151" s="29"/>
      <c r="T1151" s="29"/>
      <c r="U1151" s="27"/>
      <c r="V1151" s="27"/>
      <c r="W1151" s="27"/>
      <c r="X1151" s="64"/>
      <c r="Y1151" s="64"/>
      <c r="Z1151" s="64"/>
      <c r="AA1151" s="64"/>
      <c r="AB1151" s="27"/>
      <c r="AC1151" s="27"/>
    </row>
    <row r="1152" spans="1:29" s="28" customFormat="1" x14ac:dyDescent="0.3">
      <c r="A1152" s="27" t="s">
        <v>8077</v>
      </c>
      <c r="B1152" s="27" t="s">
        <v>2273</v>
      </c>
      <c r="C1152" s="29"/>
      <c r="D1152" s="28" t="s">
        <v>5041</v>
      </c>
      <c r="E1152" s="20" t="s">
        <v>1275</v>
      </c>
      <c r="F1152" s="20" t="s">
        <v>2772</v>
      </c>
      <c r="G1152" s="27"/>
      <c r="H1152" s="20"/>
      <c r="I1152" s="29"/>
      <c r="J1152" s="29"/>
      <c r="K1152" s="27"/>
      <c r="L1152" s="27"/>
      <c r="M1152" s="27" t="s">
        <v>8078</v>
      </c>
      <c r="N1152" s="27"/>
      <c r="O1152" s="29" t="s">
        <v>1925</v>
      </c>
      <c r="P1152" s="27"/>
      <c r="Q1152" s="27"/>
      <c r="R1152" s="29"/>
      <c r="S1152" s="29"/>
      <c r="T1152" s="29"/>
      <c r="U1152" s="27"/>
      <c r="V1152" s="27"/>
      <c r="W1152" s="27"/>
      <c r="X1152" s="64"/>
      <c r="Y1152" s="64"/>
      <c r="Z1152" s="64"/>
      <c r="AA1152" s="64"/>
      <c r="AB1152" s="27"/>
      <c r="AC1152" s="27"/>
    </row>
    <row r="1153" spans="1:29" s="25" customFormat="1" x14ac:dyDescent="0.3">
      <c r="A1153" s="24">
        <v>573</v>
      </c>
      <c r="B1153" s="24" t="s">
        <v>2272</v>
      </c>
      <c r="C1153" s="26">
        <v>301</v>
      </c>
      <c r="D1153" s="25" t="s">
        <v>1276</v>
      </c>
      <c r="E1153" s="19" t="s">
        <v>1277</v>
      </c>
      <c r="F1153" s="19"/>
      <c r="G1153" s="24"/>
      <c r="H1153" s="19"/>
      <c r="I1153" s="26" t="s">
        <v>253</v>
      </c>
      <c r="J1153" s="26" t="s">
        <v>253</v>
      </c>
      <c r="K1153" s="24"/>
      <c r="L1153" s="24" t="s">
        <v>4015</v>
      </c>
      <c r="M1153" s="24" t="s">
        <v>5632</v>
      </c>
      <c r="N1153" s="24"/>
      <c r="O1153" s="26"/>
      <c r="P1153" s="24" t="s">
        <v>254</v>
      </c>
      <c r="Q1153" s="24"/>
      <c r="R1153" s="26"/>
      <c r="S1153" s="26"/>
      <c r="T1153" s="26"/>
      <c r="U1153" s="24"/>
      <c r="V1153" s="24"/>
      <c r="W1153" s="24"/>
      <c r="X1153" s="63"/>
      <c r="Y1153" s="63"/>
      <c r="Z1153" s="63"/>
      <c r="AA1153" s="63"/>
      <c r="AB1153" s="24"/>
      <c r="AC1153" s="24"/>
    </row>
    <row r="1154" spans="1:29" s="28" customFormat="1" x14ac:dyDescent="0.3">
      <c r="A1154" s="27" t="s">
        <v>5773</v>
      </c>
      <c r="B1154" s="27" t="s">
        <v>2273</v>
      </c>
      <c r="C1154" s="29"/>
      <c r="D1154" s="28" t="s">
        <v>5042</v>
      </c>
      <c r="E1154" s="20" t="s">
        <v>1277</v>
      </c>
      <c r="F1154" s="20" t="s">
        <v>2773</v>
      </c>
      <c r="G1154" s="27"/>
      <c r="H1154" s="20"/>
      <c r="I1154" s="29"/>
      <c r="J1154" s="29"/>
      <c r="K1154" s="27"/>
      <c r="L1154" s="27"/>
      <c r="M1154" s="27" t="s">
        <v>8079</v>
      </c>
      <c r="N1154" s="27"/>
      <c r="O1154" s="29" t="s">
        <v>8080</v>
      </c>
      <c r="P1154" s="27"/>
      <c r="Q1154" s="27"/>
      <c r="R1154" s="29"/>
      <c r="S1154" s="29"/>
      <c r="T1154" s="29"/>
      <c r="U1154" s="27"/>
      <c r="V1154" s="27"/>
      <c r="W1154" s="27"/>
      <c r="X1154" s="64"/>
      <c r="Y1154" s="64"/>
      <c r="Z1154" s="64"/>
      <c r="AA1154" s="64"/>
      <c r="AB1154" s="27"/>
      <c r="AC1154" s="27"/>
    </row>
    <row r="1155" spans="1:29" s="28" customFormat="1" x14ac:dyDescent="0.3">
      <c r="A1155" s="27" t="s">
        <v>5774</v>
      </c>
      <c r="B1155" s="27" t="s">
        <v>2273</v>
      </c>
      <c r="C1155" s="29"/>
      <c r="D1155" s="28" t="s">
        <v>5042</v>
      </c>
      <c r="E1155" s="20" t="s">
        <v>1277</v>
      </c>
      <c r="F1155" s="20" t="s">
        <v>2774</v>
      </c>
      <c r="G1155" s="27"/>
      <c r="H1155" s="20"/>
      <c r="I1155" s="29"/>
      <c r="J1155" s="29"/>
      <c r="K1155" s="27"/>
      <c r="L1155" s="27"/>
      <c r="M1155" s="27" t="s">
        <v>8081</v>
      </c>
      <c r="N1155" s="27"/>
      <c r="O1155" s="29" t="s">
        <v>8082</v>
      </c>
      <c r="P1155" s="27"/>
      <c r="Q1155" s="27"/>
      <c r="R1155" s="29"/>
      <c r="S1155" s="29"/>
      <c r="T1155" s="29"/>
      <c r="U1155" s="27"/>
      <c r="V1155" s="27"/>
      <c r="W1155" s="27"/>
      <c r="X1155" s="64"/>
      <c r="Y1155" s="64"/>
      <c r="Z1155" s="64"/>
      <c r="AA1155" s="64"/>
      <c r="AB1155" s="27"/>
      <c r="AC1155" s="27"/>
    </row>
    <row r="1156" spans="1:29" s="25" customFormat="1" x14ac:dyDescent="0.3">
      <c r="A1156" s="24">
        <v>574</v>
      </c>
      <c r="B1156" s="24" t="s">
        <v>2272</v>
      </c>
      <c r="C1156" s="26">
        <v>301</v>
      </c>
      <c r="D1156" s="25" t="s">
        <v>1278</v>
      </c>
      <c r="E1156" s="19" t="s">
        <v>1279</v>
      </c>
      <c r="F1156" s="19"/>
      <c r="G1156" s="24"/>
      <c r="H1156" s="19"/>
      <c r="I1156" s="26" t="s">
        <v>253</v>
      </c>
      <c r="J1156" s="26" t="s">
        <v>253</v>
      </c>
      <c r="K1156" s="24"/>
      <c r="L1156" s="24" t="s">
        <v>4017</v>
      </c>
      <c r="M1156" s="24" t="s">
        <v>5633</v>
      </c>
      <c r="N1156" s="24"/>
      <c r="O1156" s="26"/>
      <c r="P1156" s="24" t="s">
        <v>1280</v>
      </c>
      <c r="Q1156" s="24"/>
      <c r="R1156" s="26"/>
      <c r="S1156" s="26"/>
      <c r="T1156" s="26"/>
      <c r="U1156" s="24"/>
      <c r="V1156" s="24"/>
      <c r="W1156" s="24"/>
      <c r="X1156" s="63"/>
      <c r="Y1156" s="63"/>
      <c r="Z1156" s="63"/>
      <c r="AA1156" s="63"/>
      <c r="AB1156" s="24"/>
      <c r="AC1156" s="24"/>
    </row>
    <row r="1157" spans="1:29" s="28" customFormat="1" x14ac:dyDescent="0.3">
      <c r="A1157" s="27" t="s">
        <v>8083</v>
      </c>
      <c r="B1157" s="27" t="s">
        <v>2273</v>
      </c>
      <c r="C1157" s="29"/>
      <c r="D1157" s="28" t="s">
        <v>5043</v>
      </c>
      <c r="E1157" s="20" t="s">
        <v>1279</v>
      </c>
      <c r="F1157" s="20" t="s">
        <v>2647</v>
      </c>
      <c r="G1157" s="27"/>
      <c r="H1157" s="20"/>
      <c r="I1157" s="29"/>
      <c r="J1157" s="29"/>
      <c r="K1157" s="27"/>
      <c r="L1157" s="27"/>
      <c r="M1157" s="27" t="s">
        <v>7629</v>
      </c>
      <c r="N1157" s="27"/>
      <c r="O1157" s="29" t="s">
        <v>8084</v>
      </c>
      <c r="P1157" s="27"/>
      <c r="Q1157" s="27"/>
      <c r="R1157" s="29"/>
      <c r="S1157" s="29"/>
      <c r="T1157" s="29"/>
      <c r="U1157" s="27"/>
      <c r="V1157" s="27"/>
      <c r="W1157" s="27"/>
      <c r="X1157" s="64"/>
      <c r="Y1157" s="64"/>
      <c r="Z1157" s="64"/>
      <c r="AA1157" s="64"/>
      <c r="AB1157" s="27"/>
      <c r="AC1157" s="27"/>
    </row>
    <row r="1158" spans="1:29" s="28" customFormat="1" x14ac:dyDescent="0.3">
      <c r="A1158" s="27" t="s">
        <v>8085</v>
      </c>
      <c r="B1158" s="27" t="s">
        <v>2273</v>
      </c>
      <c r="C1158" s="29"/>
      <c r="D1158" s="28" t="s">
        <v>5043</v>
      </c>
      <c r="E1158" s="20" t="s">
        <v>1279</v>
      </c>
      <c r="F1158" s="20" t="s">
        <v>2357</v>
      </c>
      <c r="G1158" s="27"/>
      <c r="H1158" s="20"/>
      <c r="I1158" s="29"/>
      <c r="J1158" s="29"/>
      <c r="K1158" s="27"/>
      <c r="L1158" s="27"/>
      <c r="M1158" s="27" t="s">
        <v>6918</v>
      </c>
      <c r="N1158" s="27"/>
      <c r="O1158" s="29" t="s">
        <v>1929</v>
      </c>
      <c r="P1158" s="27"/>
      <c r="Q1158" s="27"/>
      <c r="R1158" s="29"/>
      <c r="S1158" s="29"/>
      <c r="T1158" s="29"/>
      <c r="U1158" s="27"/>
      <c r="V1158" s="27"/>
      <c r="W1158" s="27"/>
      <c r="X1158" s="64"/>
      <c r="Y1158" s="64"/>
      <c r="Z1158" s="64"/>
      <c r="AA1158" s="64"/>
      <c r="AB1158" s="27"/>
      <c r="AC1158" s="27"/>
    </row>
    <row r="1159" spans="1:29" s="28" customFormat="1" x14ac:dyDescent="0.3">
      <c r="A1159" s="27" t="s">
        <v>8086</v>
      </c>
      <c r="B1159" s="27" t="s">
        <v>2273</v>
      </c>
      <c r="C1159" s="29"/>
      <c r="D1159" s="28" t="s">
        <v>5043</v>
      </c>
      <c r="E1159" s="20" t="s">
        <v>1279</v>
      </c>
      <c r="F1159" s="20" t="s">
        <v>2560</v>
      </c>
      <c r="G1159" s="27"/>
      <c r="H1159" s="20"/>
      <c r="I1159" s="29"/>
      <c r="J1159" s="29"/>
      <c r="K1159" s="27"/>
      <c r="L1159" s="27"/>
      <c r="M1159" s="27" t="s">
        <v>7358</v>
      </c>
      <c r="N1159" s="27"/>
      <c r="O1159" s="29" t="s">
        <v>8087</v>
      </c>
      <c r="P1159" s="27"/>
      <c r="Q1159" s="27"/>
      <c r="R1159" s="29"/>
      <c r="S1159" s="29"/>
      <c r="T1159" s="29"/>
      <c r="U1159" s="27"/>
      <c r="V1159" s="27"/>
      <c r="W1159" s="27"/>
      <c r="X1159" s="64"/>
      <c r="Y1159" s="64"/>
      <c r="Z1159" s="64"/>
      <c r="AA1159" s="64"/>
      <c r="AB1159" s="27"/>
      <c r="AC1159" s="27"/>
    </row>
    <row r="1160" spans="1:29" s="28" customFormat="1" x14ac:dyDescent="0.3">
      <c r="A1160" s="27" t="s">
        <v>8088</v>
      </c>
      <c r="B1160" s="27" t="s">
        <v>2273</v>
      </c>
      <c r="C1160" s="29"/>
      <c r="D1160" s="28" t="s">
        <v>5043</v>
      </c>
      <c r="E1160" s="20" t="s">
        <v>1279</v>
      </c>
      <c r="F1160" s="20" t="s">
        <v>2623</v>
      </c>
      <c r="G1160" s="27"/>
      <c r="H1160" s="20"/>
      <c r="I1160" s="29"/>
      <c r="J1160" s="29"/>
      <c r="K1160" s="27"/>
      <c r="L1160" s="27"/>
      <c r="M1160" s="27" t="s">
        <v>7674</v>
      </c>
      <c r="N1160" s="27"/>
      <c r="O1160" s="29" t="s">
        <v>7306</v>
      </c>
      <c r="P1160" s="27"/>
      <c r="Q1160" s="27"/>
      <c r="R1160" s="29"/>
      <c r="S1160" s="29"/>
      <c r="T1160" s="29"/>
      <c r="U1160" s="27"/>
      <c r="V1160" s="27"/>
      <c r="W1160" s="27"/>
      <c r="X1160" s="64"/>
      <c r="Y1160" s="64"/>
      <c r="Z1160" s="64"/>
      <c r="AA1160" s="64"/>
      <c r="AB1160" s="27"/>
      <c r="AC1160" s="27"/>
    </row>
    <row r="1161" spans="1:29" s="28" customFormat="1" x14ac:dyDescent="0.3">
      <c r="A1161" s="27" t="s">
        <v>8089</v>
      </c>
      <c r="B1161" s="27" t="s">
        <v>2273</v>
      </c>
      <c r="C1161" s="29"/>
      <c r="D1161" s="28" t="s">
        <v>5043</v>
      </c>
      <c r="E1161" s="20" t="s">
        <v>1279</v>
      </c>
      <c r="F1161" s="20" t="s">
        <v>2505</v>
      </c>
      <c r="G1161" s="27"/>
      <c r="H1161" s="20"/>
      <c r="I1161" s="29"/>
      <c r="J1161" s="29"/>
      <c r="K1161" s="27"/>
      <c r="L1161" s="27"/>
      <c r="M1161" s="27" t="s">
        <v>6867</v>
      </c>
      <c r="N1161" s="27"/>
      <c r="O1161" s="29" t="s">
        <v>8090</v>
      </c>
      <c r="P1161" s="27"/>
      <c r="Q1161" s="27"/>
      <c r="R1161" s="29"/>
      <c r="S1161" s="29"/>
      <c r="T1161" s="29"/>
      <c r="U1161" s="27"/>
      <c r="V1161" s="27"/>
      <c r="W1161" s="27"/>
      <c r="X1161" s="64"/>
      <c r="Y1161" s="64"/>
      <c r="Z1161" s="64"/>
      <c r="AA1161" s="64"/>
      <c r="AB1161" s="27"/>
      <c r="AC1161" s="27"/>
    </row>
    <row r="1162" spans="1:29" s="25" customFormat="1" x14ac:dyDescent="0.3">
      <c r="A1162" s="24">
        <v>575</v>
      </c>
      <c r="B1162" s="24" t="s">
        <v>2272</v>
      </c>
      <c r="C1162" s="26">
        <v>303</v>
      </c>
      <c r="D1162" s="25" t="s">
        <v>1236</v>
      </c>
      <c r="E1162" s="19" t="s">
        <v>2126</v>
      </c>
      <c r="F1162" s="19"/>
      <c r="G1162" s="24"/>
      <c r="H1162" s="19"/>
      <c r="I1162" s="26" t="s">
        <v>37</v>
      </c>
      <c r="J1162" s="26" t="s">
        <v>57</v>
      </c>
      <c r="K1162" s="24"/>
      <c r="L1162" s="24" t="s">
        <v>4019</v>
      </c>
      <c r="M1162" s="24" t="s">
        <v>5634</v>
      </c>
      <c r="N1162" s="24"/>
      <c r="O1162" s="26"/>
      <c r="P1162" s="24"/>
      <c r="Q1162" s="24"/>
      <c r="R1162" s="26"/>
      <c r="S1162" s="26"/>
      <c r="T1162" s="26"/>
      <c r="U1162" s="24"/>
      <c r="V1162" s="24"/>
      <c r="W1162" s="24"/>
      <c r="X1162" s="63"/>
      <c r="Y1162" s="63"/>
      <c r="Z1162" s="63"/>
      <c r="AA1162" s="63"/>
      <c r="AB1162" s="24"/>
      <c r="AC1162" s="24"/>
    </row>
    <row r="1163" spans="1:29" s="28" customFormat="1" x14ac:dyDescent="0.3">
      <c r="A1163" s="27" t="s">
        <v>8091</v>
      </c>
      <c r="B1163" s="27" t="s">
        <v>2273</v>
      </c>
      <c r="C1163" s="29">
        <v>303</v>
      </c>
      <c r="D1163" s="28" t="s">
        <v>5044</v>
      </c>
      <c r="E1163" s="20" t="s">
        <v>2126</v>
      </c>
      <c r="F1163" s="20" t="s">
        <v>2761</v>
      </c>
      <c r="G1163" s="27" t="s">
        <v>4687</v>
      </c>
      <c r="H1163" s="20" t="s">
        <v>4688</v>
      </c>
      <c r="I1163" s="29"/>
      <c r="J1163" s="29" t="s">
        <v>57</v>
      </c>
      <c r="K1163" s="27"/>
      <c r="L1163" s="27" t="s">
        <v>4019</v>
      </c>
      <c r="M1163" s="27" t="s">
        <v>6768</v>
      </c>
      <c r="N1163" s="27"/>
      <c r="O1163" s="29" t="s">
        <v>2130</v>
      </c>
      <c r="P1163" s="27"/>
      <c r="Q1163" s="27"/>
      <c r="R1163" s="29"/>
      <c r="S1163" s="29"/>
      <c r="T1163" s="29"/>
      <c r="U1163" s="27"/>
      <c r="V1163" s="27"/>
      <c r="W1163" s="27"/>
      <c r="X1163" s="64"/>
      <c r="Y1163" s="64"/>
      <c r="Z1163" s="64"/>
      <c r="AA1163" s="64"/>
      <c r="AB1163" s="27"/>
      <c r="AC1163" s="27"/>
    </row>
    <row r="1164" spans="1:29" s="25" customFormat="1" x14ac:dyDescent="0.3">
      <c r="A1164" s="24">
        <v>576</v>
      </c>
      <c r="B1164" s="24" t="s">
        <v>2272</v>
      </c>
      <c r="C1164" s="26">
        <v>303</v>
      </c>
      <c r="D1164" s="25" t="s">
        <v>1237</v>
      </c>
      <c r="E1164" s="19" t="s">
        <v>2128</v>
      </c>
      <c r="F1164" s="19"/>
      <c r="G1164" s="24"/>
      <c r="H1164" s="19"/>
      <c r="I1164" s="26" t="s">
        <v>37</v>
      </c>
      <c r="J1164" s="26" t="s">
        <v>37</v>
      </c>
      <c r="K1164" s="24"/>
      <c r="L1164" s="24" t="s">
        <v>4021</v>
      </c>
      <c r="M1164" s="24" t="s">
        <v>6101</v>
      </c>
      <c r="N1164" s="24"/>
      <c r="O1164" s="26"/>
      <c r="P1164" s="24"/>
      <c r="Q1164" s="24"/>
      <c r="R1164" s="26"/>
      <c r="S1164" s="26"/>
      <c r="T1164" s="26"/>
      <c r="U1164" s="24"/>
      <c r="V1164" s="24"/>
      <c r="W1164" s="24"/>
      <c r="X1164" s="63"/>
      <c r="Y1164" s="63"/>
      <c r="Z1164" s="63"/>
      <c r="AA1164" s="63"/>
      <c r="AB1164" s="24"/>
      <c r="AC1164" s="24"/>
    </row>
    <row r="1165" spans="1:29" s="28" customFormat="1" x14ac:dyDescent="0.3">
      <c r="A1165" s="27" t="s">
        <v>8092</v>
      </c>
      <c r="B1165" s="27" t="s">
        <v>2273</v>
      </c>
      <c r="C1165" s="29"/>
      <c r="D1165" s="28" t="s">
        <v>5045</v>
      </c>
      <c r="E1165" s="20" t="s">
        <v>2128</v>
      </c>
      <c r="F1165" s="20" t="s">
        <v>2345</v>
      </c>
      <c r="G1165" s="27"/>
      <c r="H1165" s="20"/>
      <c r="I1165" s="29"/>
      <c r="J1165" s="29"/>
      <c r="K1165" s="27"/>
      <c r="L1165" s="27"/>
      <c r="M1165" s="27" t="s">
        <v>8093</v>
      </c>
      <c r="N1165" s="27"/>
      <c r="O1165" s="29" t="s">
        <v>8014</v>
      </c>
      <c r="P1165" s="27"/>
      <c r="Q1165" s="27"/>
      <c r="R1165" s="29"/>
      <c r="S1165" s="29"/>
      <c r="T1165" s="29"/>
      <c r="U1165" s="27"/>
      <c r="V1165" s="27"/>
      <c r="W1165" s="27"/>
      <c r="X1165" s="64"/>
      <c r="Y1165" s="64"/>
      <c r="Z1165" s="64"/>
      <c r="AA1165" s="64"/>
      <c r="AB1165" s="27"/>
      <c r="AC1165" s="27"/>
    </row>
    <row r="1166" spans="1:29" s="25" customFormat="1" ht="30.6" x14ac:dyDescent="0.3">
      <c r="A1166" s="24">
        <v>577</v>
      </c>
      <c r="B1166" s="24" t="s">
        <v>2272</v>
      </c>
      <c r="C1166" s="26">
        <v>303</v>
      </c>
      <c r="D1166" s="25" t="s">
        <v>1238</v>
      </c>
      <c r="E1166" s="19" t="s">
        <v>1239</v>
      </c>
      <c r="F1166" s="19"/>
      <c r="G1166" s="24"/>
      <c r="H1166" s="19"/>
      <c r="I1166" s="26" t="s">
        <v>57</v>
      </c>
      <c r="J1166" s="26" t="s">
        <v>57</v>
      </c>
      <c r="K1166" s="24"/>
      <c r="L1166" s="103" t="s">
        <v>6585</v>
      </c>
      <c r="M1166" s="24" t="s">
        <v>5567</v>
      </c>
      <c r="N1166" s="24"/>
      <c r="O1166" s="26"/>
      <c r="P1166" s="24"/>
      <c r="Q1166" s="24"/>
      <c r="R1166" s="26"/>
      <c r="S1166" s="26"/>
      <c r="T1166" s="26"/>
      <c r="U1166" s="24"/>
      <c r="V1166" s="24"/>
      <c r="W1166" s="24"/>
      <c r="X1166" s="63"/>
      <c r="Y1166" s="63"/>
      <c r="Z1166" s="63"/>
      <c r="AA1166" s="63"/>
      <c r="AB1166" s="24"/>
      <c r="AC1166" s="24"/>
    </row>
    <row r="1167" spans="1:29" s="28" customFormat="1" x14ac:dyDescent="0.3">
      <c r="A1167" s="27" t="s">
        <v>8094</v>
      </c>
      <c r="B1167" s="27" t="s">
        <v>2273</v>
      </c>
      <c r="C1167" s="29">
        <v>303</v>
      </c>
      <c r="D1167" s="28" t="s">
        <v>5046</v>
      </c>
      <c r="E1167" s="20" t="s">
        <v>1239</v>
      </c>
      <c r="F1167" s="20" t="s">
        <v>2304</v>
      </c>
      <c r="G1167" s="27" t="s">
        <v>4689</v>
      </c>
      <c r="H1167" s="20" t="s">
        <v>4690</v>
      </c>
      <c r="I1167" s="29"/>
      <c r="J1167" s="29" t="s">
        <v>57</v>
      </c>
      <c r="K1167" s="27"/>
      <c r="L1167" s="27" t="s">
        <v>4636</v>
      </c>
      <c r="M1167" s="27" t="s">
        <v>8095</v>
      </c>
      <c r="N1167" s="27"/>
      <c r="O1167" s="29" t="s">
        <v>8096</v>
      </c>
      <c r="P1167" s="27"/>
      <c r="Q1167" s="27"/>
      <c r="R1167" s="29"/>
      <c r="S1167" s="29"/>
      <c r="T1167" s="29"/>
      <c r="U1167" s="27"/>
      <c r="V1167" s="27"/>
      <c r="W1167" s="27"/>
      <c r="X1167" s="64"/>
      <c r="Y1167" s="64"/>
      <c r="Z1167" s="64"/>
      <c r="AA1167" s="64"/>
      <c r="AB1167" s="27"/>
      <c r="AC1167" s="27"/>
    </row>
    <row r="1168" spans="1:29" s="28" customFormat="1" x14ac:dyDescent="0.3">
      <c r="A1168" s="27" t="s">
        <v>8097</v>
      </c>
      <c r="B1168" s="27" t="s">
        <v>2273</v>
      </c>
      <c r="C1168" s="29">
        <v>303</v>
      </c>
      <c r="D1168" s="28" t="s">
        <v>5046</v>
      </c>
      <c r="E1168" s="20" t="s">
        <v>1239</v>
      </c>
      <c r="F1168" s="20" t="s">
        <v>2762</v>
      </c>
      <c r="G1168" s="27" t="s">
        <v>4689</v>
      </c>
      <c r="H1168" s="20" t="s">
        <v>4690</v>
      </c>
      <c r="I1168" s="29"/>
      <c r="J1168" s="29" t="s">
        <v>57</v>
      </c>
      <c r="K1168" s="27"/>
      <c r="L1168" s="27" t="s">
        <v>4636</v>
      </c>
      <c r="M1168" s="27" t="s">
        <v>8023</v>
      </c>
      <c r="N1168" s="27"/>
      <c r="O1168" s="29" t="s">
        <v>8098</v>
      </c>
      <c r="P1168" s="27"/>
      <c r="Q1168" s="27"/>
      <c r="R1168" s="29"/>
      <c r="S1168" s="29"/>
      <c r="T1168" s="29"/>
      <c r="U1168" s="27"/>
      <c r="V1168" s="27"/>
      <c r="W1168" s="27"/>
      <c r="X1168" s="64"/>
      <c r="Y1168" s="64"/>
      <c r="Z1168" s="64"/>
      <c r="AA1168" s="64"/>
      <c r="AB1168" s="27"/>
      <c r="AC1168" s="27"/>
    </row>
    <row r="1169" spans="1:29" s="28" customFormat="1" x14ac:dyDescent="0.3">
      <c r="A1169" s="27" t="s">
        <v>8099</v>
      </c>
      <c r="B1169" s="27" t="s">
        <v>2273</v>
      </c>
      <c r="C1169" s="29">
        <v>303</v>
      </c>
      <c r="D1169" s="28" t="s">
        <v>5046</v>
      </c>
      <c r="E1169" s="20" t="s">
        <v>1239</v>
      </c>
      <c r="F1169" s="20" t="s">
        <v>2763</v>
      </c>
      <c r="G1169" s="27" t="s">
        <v>4689</v>
      </c>
      <c r="H1169" s="20" t="s">
        <v>4690</v>
      </c>
      <c r="I1169" s="29"/>
      <c r="J1169" s="29" t="s">
        <v>57</v>
      </c>
      <c r="K1169" s="27"/>
      <c r="L1169" s="27" t="s">
        <v>4636</v>
      </c>
      <c r="M1169" s="27" t="s">
        <v>7407</v>
      </c>
      <c r="N1169" s="27"/>
      <c r="O1169" s="29" t="s">
        <v>8100</v>
      </c>
      <c r="P1169" s="27"/>
      <c r="Q1169" s="27"/>
      <c r="R1169" s="29"/>
      <c r="S1169" s="29"/>
      <c r="T1169" s="29"/>
      <c r="U1169" s="27"/>
      <c r="V1169" s="27"/>
      <c r="W1169" s="27"/>
      <c r="X1169" s="64"/>
      <c r="Y1169" s="64"/>
      <c r="Z1169" s="64"/>
      <c r="AA1169" s="64"/>
      <c r="AB1169" s="27"/>
      <c r="AC1169" s="27"/>
    </row>
    <row r="1170" spans="1:29" s="28" customFormat="1" x14ac:dyDescent="0.3">
      <c r="A1170" s="27" t="s">
        <v>8101</v>
      </c>
      <c r="B1170" s="27" t="s">
        <v>2273</v>
      </c>
      <c r="C1170" s="29">
        <v>303</v>
      </c>
      <c r="D1170" s="28" t="s">
        <v>5046</v>
      </c>
      <c r="E1170" s="20" t="s">
        <v>1239</v>
      </c>
      <c r="F1170" s="20" t="s">
        <v>2764</v>
      </c>
      <c r="G1170" s="27" t="s">
        <v>4692</v>
      </c>
      <c r="H1170" s="20" t="s">
        <v>4693</v>
      </c>
      <c r="I1170" s="29"/>
      <c r="J1170" s="29" t="s">
        <v>57</v>
      </c>
      <c r="K1170" s="27"/>
      <c r="L1170" s="27" t="s">
        <v>4691</v>
      </c>
      <c r="M1170" s="27" t="s">
        <v>6867</v>
      </c>
      <c r="N1170" s="27"/>
      <c r="O1170" s="29" t="s">
        <v>8102</v>
      </c>
      <c r="P1170" s="27"/>
      <c r="Q1170" s="27"/>
      <c r="R1170" s="29"/>
      <c r="S1170" s="29"/>
      <c r="T1170" s="29"/>
      <c r="U1170" s="27"/>
      <c r="V1170" s="27"/>
      <c r="W1170" s="27"/>
      <c r="X1170" s="64"/>
      <c r="Y1170" s="64"/>
      <c r="Z1170" s="64"/>
      <c r="AA1170" s="64"/>
      <c r="AB1170" s="27"/>
      <c r="AC1170" s="27"/>
    </row>
    <row r="1171" spans="1:29" s="25" customFormat="1" x14ac:dyDescent="0.3">
      <c r="A1171" s="24">
        <v>578</v>
      </c>
      <c r="B1171" s="24" t="s">
        <v>2272</v>
      </c>
      <c r="C1171" s="26">
        <v>303</v>
      </c>
      <c r="D1171" s="25" t="s">
        <v>1247</v>
      </c>
      <c r="E1171" s="19" t="s">
        <v>1248</v>
      </c>
      <c r="F1171" s="19"/>
      <c r="G1171" s="24"/>
      <c r="H1171" s="19"/>
      <c r="I1171" s="26" t="s">
        <v>57</v>
      </c>
      <c r="J1171" s="26" t="s">
        <v>57</v>
      </c>
      <c r="K1171" s="24"/>
      <c r="L1171" s="24" t="s">
        <v>4024</v>
      </c>
      <c r="M1171" s="24" t="s">
        <v>5480</v>
      </c>
      <c r="N1171" s="24"/>
      <c r="O1171" s="26" t="s">
        <v>2130</v>
      </c>
      <c r="P1171" s="24"/>
      <c r="Q1171" s="24"/>
      <c r="R1171" s="26"/>
      <c r="S1171" s="26"/>
      <c r="T1171" s="26"/>
      <c r="U1171" s="24"/>
      <c r="V1171" s="24"/>
      <c r="W1171" s="24"/>
      <c r="X1171" s="63"/>
      <c r="Y1171" s="63"/>
      <c r="Z1171" s="63"/>
      <c r="AA1171" s="63"/>
      <c r="AB1171" s="24"/>
      <c r="AC1171" s="24"/>
    </row>
    <row r="1172" spans="1:29" s="25" customFormat="1" x14ac:dyDescent="0.3">
      <c r="A1172" s="24">
        <v>579</v>
      </c>
      <c r="B1172" s="24" t="s">
        <v>2272</v>
      </c>
      <c r="C1172" s="26">
        <v>305</v>
      </c>
      <c r="D1172" s="25" t="s">
        <v>1246</v>
      </c>
      <c r="E1172" s="19" t="s">
        <v>2133</v>
      </c>
      <c r="F1172" s="19"/>
      <c r="G1172" s="24"/>
      <c r="H1172" s="19" t="s">
        <v>2134</v>
      </c>
      <c r="I1172" s="26" t="s">
        <v>57</v>
      </c>
      <c r="J1172" s="26" t="s">
        <v>57</v>
      </c>
      <c r="K1172" s="24"/>
      <c r="L1172" s="24" t="s">
        <v>4026</v>
      </c>
      <c r="M1172" s="24" t="s">
        <v>5480</v>
      </c>
      <c r="N1172" s="24"/>
      <c r="O1172" s="26" t="s">
        <v>2132</v>
      </c>
      <c r="P1172" s="24"/>
      <c r="Q1172" s="24"/>
      <c r="R1172" s="26"/>
      <c r="S1172" s="26"/>
      <c r="T1172" s="26"/>
      <c r="U1172" s="24"/>
      <c r="V1172" s="24"/>
      <c r="W1172" s="24"/>
      <c r="X1172" s="63"/>
      <c r="Y1172" s="63"/>
      <c r="Z1172" s="63"/>
      <c r="AA1172" s="63"/>
      <c r="AB1172" s="24"/>
      <c r="AC1172" s="24"/>
    </row>
    <row r="1173" spans="1:29" s="25" customFormat="1" x14ac:dyDescent="0.3">
      <c r="A1173" s="24">
        <v>580</v>
      </c>
      <c r="B1173" s="24" t="s">
        <v>2272</v>
      </c>
      <c r="C1173" s="26">
        <v>305</v>
      </c>
      <c r="D1173" s="25" t="s">
        <v>1242</v>
      </c>
      <c r="E1173" s="19" t="s">
        <v>1243</v>
      </c>
      <c r="F1173" s="19"/>
      <c r="G1173" s="24"/>
      <c r="H1173" s="19"/>
      <c r="I1173" s="26" t="s">
        <v>57</v>
      </c>
      <c r="J1173" s="26" t="s">
        <v>57</v>
      </c>
      <c r="K1173" s="24"/>
      <c r="L1173" s="24" t="s">
        <v>4028</v>
      </c>
      <c r="M1173" s="24" t="s">
        <v>5615</v>
      </c>
      <c r="N1173" s="24"/>
      <c r="O1173" s="26"/>
      <c r="P1173" s="24"/>
      <c r="Q1173" s="24"/>
      <c r="R1173" s="26"/>
      <c r="S1173" s="26"/>
      <c r="T1173" s="26"/>
      <c r="U1173" s="24"/>
      <c r="V1173" s="24"/>
      <c r="W1173" s="24"/>
      <c r="X1173" s="63"/>
      <c r="Y1173" s="63"/>
      <c r="Z1173" s="63"/>
      <c r="AA1173" s="63"/>
      <c r="AB1173" s="24"/>
      <c r="AC1173" s="24"/>
    </row>
    <row r="1174" spans="1:29" s="28" customFormat="1" x14ac:dyDescent="0.3">
      <c r="A1174" s="27" t="s">
        <v>8103</v>
      </c>
      <c r="B1174" s="27" t="s">
        <v>2273</v>
      </c>
      <c r="C1174" s="29"/>
      <c r="D1174" s="28" t="s">
        <v>5047</v>
      </c>
      <c r="E1174" s="20" t="s">
        <v>1243</v>
      </c>
      <c r="F1174" s="20" t="s">
        <v>2765</v>
      </c>
      <c r="G1174" s="27"/>
      <c r="H1174" s="20"/>
      <c r="I1174" s="29"/>
      <c r="J1174" s="29"/>
      <c r="K1174" s="27"/>
      <c r="L1174" s="27"/>
      <c r="M1174" s="27" t="s">
        <v>8104</v>
      </c>
      <c r="N1174" s="27"/>
      <c r="O1174" s="29" t="s">
        <v>8032</v>
      </c>
      <c r="P1174" s="27"/>
      <c r="Q1174" s="27"/>
      <c r="R1174" s="29"/>
      <c r="S1174" s="29"/>
      <c r="T1174" s="29"/>
      <c r="U1174" s="27"/>
      <c r="V1174" s="27"/>
      <c r="W1174" s="27"/>
      <c r="X1174" s="64"/>
      <c r="Y1174" s="64"/>
      <c r="Z1174" s="64"/>
      <c r="AA1174" s="64"/>
      <c r="AB1174" s="27"/>
      <c r="AC1174" s="27"/>
    </row>
    <row r="1175" spans="1:29" s="28" customFormat="1" x14ac:dyDescent="0.3">
      <c r="A1175" s="27" t="s">
        <v>8105</v>
      </c>
      <c r="B1175" s="27" t="s">
        <v>2273</v>
      </c>
      <c r="C1175" s="29"/>
      <c r="D1175" s="28" t="s">
        <v>5047</v>
      </c>
      <c r="E1175" s="20" t="s">
        <v>1243</v>
      </c>
      <c r="F1175" s="20" t="s">
        <v>2766</v>
      </c>
      <c r="G1175" s="27"/>
      <c r="H1175" s="20"/>
      <c r="I1175" s="29"/>
      <c r="J1175" s="29"/>
      <c r="K1175" s="27"/>
      <c r="L1175" s="27"/>
      <c r="M1175" s="27" t="s">
        <v>8034</v>
      </c>
      <c r="N1175" s="27"/>
      <c r="O1175" s="29" t="s">
        <v>8035</v>
      </c>
      <c r="P1175" s="27"/>
      <c r="Q1175" s="27"/>
      <c r="R1175" s="29"/>
      <c r="S1175" s="29"/>
      <c r="T1175" s="29"/>
      <c r="U1175" s="27"/>
      <c r="V1175" s="27"/>
      <c r="W1175" s="27"/>
      <c r="X1175" s="64"/>
      <c r="Y1175" s="64"/>
      <c r="Z1175" s="64"/>
      <c r="AA1175" s="64"/>
      <c r="AB1175" s="27"/>
      <c r="AC1175" s="27"/>
    </row>
    <row r="1176" spans="1:29" s="28" customFormat="1" x14ac:dyDescent="0.3">
      <c r="A1176" s="27" t="s">
        <v>8106</v>
      </c>
      <c r="B1176" s="27" t="s">
        <v>2273</v>
      </c>
      <c r="C1176" s="29"/>
      <c r="D1176" s="28" t="s">
        <v>5047</v>
      </c>
      <c r="E1176" s="20" t="s">
        <v>1243</v>
      </c>
      <c r="F1176" s="20" t="s">
        <v>2304</v>
      </c>
      <c r="G1176" s="27"/>
      <c r="H1176" s="20"/>
      <c r="I1176" s="29"/>
      <c r="J1176" s="29"/>
      <c r="K1176" s="27"/>
      <c r="L1176" s="27"/>
      <c r="M1176" s="27" t="s">
        <v>6777</v>
      </c>
      <c r="N1176" s="27"/>
      <c r="O1176" s="29" t="s">
        <v>2117</v>
      </c>
      <c r="P1176" s="27"/>
      <c r="Q1176" s="27"/>
      <c r="R1176" s="29"/>
      <c r="S1176" s="29"/>
      <c r="T1176" s="29"/>
      <c r="U1176" s="27"/>
      <c r="V1176" s="27"/>
      <c r="W1176" s="27"/>
      <c r="X1176" s="64"/>
      <c r="Y1176" s="64"/>
      <c r="Z1176" s="64"/>
      <c r="AA1176" s="64"/>
      <c r="AB1176" s="27"/>
      <c r="AC1176" s="27"/>
    </row>
    <row r="1177" spans="1:29" s="28" customFormat="1" x14ac:dyDescent="0.3">
      <c r="A1177" s="27" t="s">
        <v>8107</v>
      </c>
      <c r="B1177" s="27" t="s">
        <v>2273</v>
      </c>
      <c r="C1177" s="29"/>
      <c r="D1177" s="28" t="s">
        <v>5047</v>
      </c>
      <c r="E1177" s="20" t="s">
        <v>1243</v>
      </c>
      <c r="F1177" s="20" t="s">
        <v>2668</v>
      </c>
      <c r="G1177" s="27"/>
      <c r="H1177" s="20"/>
      <c r="I1177" s="29"/>
      <c r="J1177" s="29"/>
      <c r="K1177" s="27"/>
      <c r="L1177" s="27"/>
      <c r="M1177" s="27" t="s">
        <v>7407</v>
      </c>
      <c r="N1177" s="27"/>
      <c r="O1177" s="29" t="s">
        <v>8108</v>
      </c>
      <c r="P1177" s="27"/>
      <c r="Q1177" s="27"/>
      <c r="R1177" s="29"/>
      <c r="S1177" s="29"/>
      <c r="T1177" s="29"/>
      <c r="U1177" s="27"/>
      <c r="V1177" s="27"/>
      <c r="W1177" s="27"/>
      <c r="X1177" s="64"/>
      <c r="Y1177" s="64"/>
      <c r="Z1177" s="64"/>
      <c r="AA1177" s="64"/>
      <c r="AB1177" s="27"/>
      <c r="AC1177" s="27"/>
    </row>
    <row r="1178" spans="1:29" s="25" customFormat="1" x14ac:dyDescent="0.3">
      <c r="A1178" s="24">
        <v>581</v>
      </c>
      <c r="B1178" s="24" t="s">
        <v>2272</v>
      </c>
      <c r="C1178" s="26">
        <v>305</v>
      </c>
      <c r="D1178" s="25" t="s">
        <v>1244</v>
      </c>
      <c r="E1178" s="19" t="s">
        <v>1245</v>
      </c>
      <c r="F1178" s="19"/>
      <c r="G1178" s="24"/>
      <c r="H1178" s="19"/>
      <c r="I1178" s="26" t="s">
        <v>57</v>
      </c>
      <c r="J1178" s="26" t="s">
        <v>57</v>
      </c>
      <c r="K1178" s="24"/>
      <c r="L1178" s="24" t="s">
        <v>4030</v>
      </c>
      <c r="M1178" s="24" t="s">
        <v>5223</v>
      </c>
      <c r="N1178" s="24"/>
      <c r="O1178" s="26" t="s">
        <v>2130</v>
      </c>
      <c r="P1178" s="24"/>
      <c r="Q1178" s="24"/>
      <c r="R1178" s="26"/>
      <c r="S1178" s="26"/>
      <c r="T1178" s="26"/>
      <c r="U1178" s="24"/>
      <c r="V1178" s="24"/>
      <c r="W1178" s="24"/>
      <c r="X1178" s="63"/>
      <c r="Y1178" s="63"/>
      <c r="Z1178" s="63"/>
      <c r="AA1178" s="63"/>
      <c r="AB1178" s="24"/>
      <c r="AC1178" s="24"/>
    </row>
    <row r="1179" spans="1:29" s="25" customFormat="1" x14ac:dyDescent="0.3">
      <c r="A1179" s="24">
        <v>582</v>
      </c>
      <c r="B1179" s="24" t="s">
        <v>2272</v>
      </c>
      <c r="C1179" s="26">
        <v>339</v>
      </c>
      <c r="D1179" s="25" t="s">
        <v>2152</v>
      </c>
      <c r="E1179" s="19" t="s">
        <v>2153</v>
      </c>
      <c r="F1179" s="19"/>
      <c r="G1179" s="24"/>
      <c r="H1179" s="19"/>
      <c r="I1179" s="26" t="s">
        <v>57</v>
      </c>
      <c r="J1179" s="26" t="s">
        <v>57</v>
      </c>
      <c r="K1179" s="24"/>
      <c r="L1179" s="24" t="s">
        <v>4031</v>
      </c>
      <c r="M1179" s="24" t="s">
        <v>5480</v>
      </c>
      <c r="N1179" s="24"/>
      <c r="O1179" s="26" t="s">
        <v>6105</v>
      </c>
      <c r="P1179" s="24"/>
      <c r="Q1179" s="24"/>
      <c r="R1179" s="26"/>
      <c r="S1179" s="26"/>
      <c r="T1179" s="26"/>
      <c r="U1179" s="24"/>
      <c r="V1179" s="24"/>
      <c r="W1179" s="24"/>
      <c r="X1179" s="63"/>
      <c r="Y1179" s="63"/>
      <c r="Z1179" s="63"/>
      <c r="AA1179" s="63"/>
      <c r="AB1179" s="24"/>
      <c r="AC1179" s="24"/>
    </row>
    <row r="1180" spans="1:29" s="25" customFormat="1" x14ac:dyDescent="0.3">
      <c r="A1180" s="24">
        <v>583</v>
      </c>
      <c r="B1180" s="24" t="s">
        <v>2272</v>
      </c>
      <c r="C1180" s="26">
        <v>339</v>
      </c>
      <c r="D1180" s="25" t="s">
        <v>1285</v>
      </c>
      <c r="E1180" s="19" t="s">
        <v>1286</v>
      </c>
      <c r="F1180" s="19"/>
      <c r="G1180" s="24"/>
      <c r="H1180" s="19"/>
      <c r="I1180" s="26" t="s">
        <v>57</v>
      </c>
      <c r="J1180" s="26" t="s">
        <v>57</v>
      </c>
      <c r="K1180" s="24"/>
      <c r="L1180" s="24" t="s">
        <v>4033</v>
      </c>
      <c r="M1180" s="24" t="s">
        <v>5636</v>
      </c>
      <c r="N1180" s="24"/>
      <c r="O1180" s="26"/>
      <c r="P1180" s="24"/>
      <c r="Q1180" s="24"/>
      <c r="R1180" s="26"/>
      <c r="S1180" s="26"/>
      <c r="T1180" s="26"/>
      <c r="U1180" s="24"/>
      <c r="V1180" s="24"/>
      <c r="W1180" s="24"/>
      <c r="X1180" s="63"/>
      <c r="Y1180" s="63"/>
      <c r="Z1180" s="63"/>
      <c r="AA1180" s="63"/>
      <c r="AB1180" s="24"/>
      <c r="AC1180" s="24"/>
    </row>
    <row r="1181" spans="1:29" s="28" customFormat="1" x14ac:dyDescent="0.3">
      <c r="A1181" s="27" t="s">
        <v>8109</v>
      </c>
      <c r="B1181" s="27" t="s">
        <v>2273</v>
      </c>
      <c r="C1181" s="29"/>
      <c r="D1181" s="28" t="s">
        <v>5048</v>
      </c>
      <c r="E1181" s="20" t="s">
        <v>1286</v>
      </c>
      <c r="F1181" s="20" t="s">
        <v>2779</v>
      </c>
      <c r="G1181" s="27"/>
      <c r="H1181" s="20"/>
      <c r="I1181" s="29"/>
      <c r="J1181" s="29"/>
      <c r="K1181" s="27"/>
      <c r="L1181" s="27"/>
      <c r="M1181" s="27" t="s">
        <v>8110</v>
      </c>
      <c r="N1181" s="27"/>
      <c r="O1181" s="29" t="s">
        <v>8111</v>
      </c>
      <c r="P1181" s="27"/>
      <c r="Q1181" s="27"/>
      <c r="R1181" s="29"/>
      <c r="S1181" s="29"/>
      <c r="T1181" s="29"/>
      <c r="U1181" s="27"/>
      <c r="V1181" s="27"/>
      <c r="W1181" s="27"/>
      <c r="X1181" s="64"/>
      <c r="Y1181" s="64"/>
      <c r="Z1181" s="64"/>
      <c r="AA1181" s="64"/>
      <c r="AB1181" s="27"/>
      <c r="AC1181" s="27"/>
    </row>
    <row r="1182" spans="1:29" s="28" customFormat="1" x14ac:dyDescent="0.3">
      <c r="A1182" s="27" t="s">
        <v>6336</v>
      </c>
      <c r="B1182" s="27" t="s">
        <v>2273</v>
      </c>
      <c r="C1182" s="29"/>
      <c r="D1182" s="28" t="s">
        <v>5048</v>
      </c>
      <c r="E1182" s="20" t="s">
        <v>1286</v>
      </c>
      <c r="F1182" s="20" t="s">
        <v>2780</v>
      </c>
      <c r="G1182" s="27"/>
      <c r="H1182" s="20"/>
      <c r="I1182" s="29"/>
      <c r="J1182" s="29"/>
      <c r="K1182" s="27"/>
      <c r="L1182" s="27"/>
      <c r="M1182" s="27" t="s">
        <v>8112</v>
      </c>
      <c r="N1182" s="27"/>
      <c r="O1182" s="29" t="s">
        <v>8113</v>
      </c>
      <c r="P1182" s="27"/>
      <c r="Q1182" s="27"/>
      <c r="R1182" s="29"/>
      <c r="S1182" s="29"/>
      <c r="T1182" s="29"/>
      <c r="U1182" s="27"/>
      <c r="V1182" s="27"/>
      <c r="W1182" s="27"/>
      <c r="X1182" s="64"/>
      <c r="Y1182" s="64"/>
      <c r="Z1182" s="64"/>
      <c r="AA1182" s="64"/>
      <c r="AB1182" s="27"/>
      <c r="AC1182" s="27"/>
    </row>
    <row r="1183" spans="1:29" s="28" customFormat="1" x14ac:dyDescent="0.3">
      <c r="A1183" s="27" t="s">
        <v>8114</v>
      </c>
      <c r="B1183" s="27" t="s">
        <v>2273</v>
      </c>
      <c r="C1183" s="29"/>
      <c r="D1183" s="28" t="s">
        <v>5048</v>
      </c>
      <c r="E1183" s="20" t="s">
        <v>1286</v>
      </c>
      <c r="F1183" s="20" t="s">
        <v>2781</v>
      </c>
      <c r="G1183" s="27"/>
      <c r="H1183" s="20"/>
      <c r="I1183" s="29"/>
      <c r="J1183" s="29"/>
      <c r="K1183" s="27"/>
      <c r="L1183" s="27"/>
      <c r="M1183" s="27" t="s">
        <v>6901</v>
      </c>
      <c r="N1183" s="27"/>
      <c r="O1183" s="29" t="s">
        <v>6902</v>
      </c>
      <c r="P1183" s="27"/>
      <c r="Q1183" s="27"/>
      <c r="R1183" s="29"/>
      <c r="S1183" s="29"/>
      <c r="T1183" s="29"/>
      <c r="U1183" s="27"/>
      <c r="V1183" s="27"/>
      <c r="W1183" s="27"/>
      <c r="X1183" s="64"/>
      <c r="Y1183" s="64"/>
      <c r="Z1183" s="64"/>
      <c r="AA1183" s="64"/>
      <c r="AB1183" s="27"/>
      <c r="AC1183" s="27"/>
    </row>
    <row r="1184" spans="1:29" s="28" customFormat="1" x14ac:dyDescent="0.3">
      <c r="A1184" s="27" t="s">
        <v>8115</v>
      </c>
      <c r="B1184" s="27" t="s">
        <v>2273</v>
      </c>
      <c r="C1184" s="29"/>
      <c r="D1184" s="28" t="s">
        <v>5048</v>
      </c>
      <c r="E1184" s="20" t="s">
        <v>1286</v>
      </c>
      <c r="F1184" s="20" t="s">
        <v>2782</v>
      </c>
      <c r="G1184" s="27"/>
      <c r="H1184" s="20"/>
      <c r="I1184" s="29"/>
      <c r="J1184" s="29"/>
      <c r="K1184" s="27"/>
      <c r="L1184" s="27"/>
      <c r="M1184" s="27" t="s">
        <v>7407</v>
      </c>
      <c r="N1184" s="27"/>
      <c r="O1184" s="29" t="s">
        <v>8108</v>
      </c>
      <c r="P1184" s="27"/>
      <c r="Q1184" s="27"/>
      <c r="R1184" s="29"/>
      <c r="S1184" s="29"/>
      <c r="T1184" s="29"/>
      <c r="U1184" s="27"/>
      <c r="V1184" s="27"/>
      <c r="W1184" s="27"/>
      <c r="X1184" s="64"/>
      <c r="Y1184" s="64"/>
      <c r="Z1184" s="64"/>
      <c r="AA1184" s="64"/>
      <c r="AB1184" s="27"/>
      <c r="AC1184" s="27"/>
    </row>
    <row r="1185" spans="1:29" s="25" customFormat="1" x14ac:dyDescent="0.3">
      <c r="A1185" s="24">
        <v>584</v>
      </c>
      <c r="B1185" s="24" t="s">
        <v>2272</v>
      </c>
      <c r="C1185" s="26">
        <v>305</v>
      </c>
      <c r="D1185" s="25" t="s">
        <v>1289</v>
      </c>
      <c r="E1185" s="19" t="s">
        <v>1290</v>
      </c>
      <c r="F1185" s="19"/>
      <c r="G1185" s="24"/>
      <c r="H1185" s="19"/>
      <c r="I1185" s="26" t="s">
        <v>37</v>
      </c>
      <c r="J1185" s="26" t="s">
        <v>37</v>
      </c>
      <c r="K1185" s="24"/>
      <c r="L1185" s="24" t="s">
        <v>4035</v>
      </c>
      <c r="M1185" s="24" t="s">
        <v>5637</v>
      </c>
      <c r="N1185" s="24"/>
      <c r="O1185" s="26"/>
      <c r="P1185" s="24"/>
      <c r="Q1185" s="24"/>
      <c r="R1185" s="26"/>
      <c r="S1185" s="26"/>
      <c r="T1185" s="26"/>
      <c r="U1185" s="24"/>
      <c r="V1185" s="24"/>
      <c r="W1185" s="24"/>
      <c r="X1185" s="63"/>
      <c r="Y1185" s="63"/>
      <c r="Z1185" s="63"/>
      <c r="AA1185" s="63"/>
      <c r="AB1185" s="24"/>
      <c r="AC1185" s="24"/>
    </row>
    <row r="1186" spans="1:29" s="28" customFormat="1" x14ac:dyDescent="0.3">
      <c r="A1186" s="27" t="s">
        <v>8116</v>
      </c>
      <c r="B1186" s="27" t="s">
        <v>2273</v>
      </c>
      <c r="C1186" s="29"/>
      <c r="D1186" s="28" t="s">
        <v>5049</v>
      </c>
      <c r="E1186" s="20" t="s">
        <v>1290</v>
      </c>
      <c r="F1186" s="20" t="s">
        <v>2783</v>
      </c>
      <c r="G1186" s="27"/>
      <c r="H1186" s="20"/>
      <c r="I1186" s="29"/>
      <c r="J1186" s="29"/>
      <c r="K1186" s="27"/>
      <c r="L1186" s="27"/>
      <c r="M1186" s="27" t="s">
        <v>6768</v>
      </c>
      <c r="N1186" s="27"/>
      <c r="O1186" s="29" t="s">
        <v>8117</v>
      </c>
      <c r="P1186" s="27"/>
      <c r="Q1186" s="27"/>
      <c r="R1186" s="29"/>
      <c r="S1186" s="29"/>
      <c r="T1186" s="29"/>
      <c r="U1186" s="27"/>
      <c r="V1186" s="27"/>
      <c r="W1186" s="27"/>
      <c r="X1186" s="64"/>
      <c r="Y1186" s="64"/>
      <c r="Z1186" s="64"/>
      <c r="AA1186" s="64"/>
      <c r="AB1186" s="27"/>
      <c r="AC1186" s="27"/>
    </row>
    <row r="1187" spans="1:29" s="25" customFormat="1" x14ac:dyDescent="0.3">
      <c r="A1187" s="24">
        <v>585</v>
      </c>
      <c r="B1187" s="24" t="s">
        <v>2272</v>
      </c>
      <c r="C1187" s="26">
        <v>307</v>
      </c>
      <c r="D1187" s="25" t="s">
        <v>1291</v>
      </c>
      <c r="E1187" s="19" t="s">
        <v>1292</v>
      </c>
      <c r="F1187" s="19"/>
      <c r="G1187" s="24"/>
      <c r="H1187" s="19"/>
      <c r="I1187" s="26" t="s">
        <v>57</v>
      </c>
      <c r="J1187" s="26" t="s">
        <v>57</v>
      </c>
      <c r="K1187" s="24"/>
      <c r="L1187" s="24" t="s">
        <v>4037</v>
      </c>
      <c r="M1187" s="24" t="s">
        <v>5544</v>
      </c>
      <c r="N1187" s="24"/>
      <c r="O1187" s="26"/>
      <c r="P1187" s="24"/>
      <c r="Q1187" s="24"/>
      <c r="R1187" s="26"/>
      <c r="S1187" s="26"/>
      <c r="T1187" s="26"/>
      <c r="U1187" s="24"/>
      <c r="V1187" s="24"/>
      <c r="W1187" s="24"/>
      <c r="X1187" s="63"/>
      <c r="Y1187" s="63"/>
      <c r="Z1187" s="63"/>
      <c r="AA1187" s="63"/>
      <c r="AB1187" s="24"/>
      <c r="AC1187" s="24"/>
    </row>
    <row r="1188" spans="1:29" s="28" customFormat="1" x14ac:dyDescent="0.3">
      <c r="A1188" s="27" t="s">
        <v>6337</v>
      </c>
      <c r="B1188" s="27" t="s">
        <v>2273</v>
      </c>
      <c r="C1188" s="29"/>
      <c r="D1188" s="28" t="s">
        <v>5050</v>
      </c>
      <c r="E1188" s="20" t="s">
        <v>1292</v>
      </c>
      <c r="F1188" s="20" t="s">
        <v>2784</v>
      </c>
      <c r="G1188" s="27"/>
      <c r="H1188" s="20"/>
      <c r="I1188" s="29"/>
      <c r="J1188" s="29"/>
      <c r="K1188" s="27"/>
      <c r="L1188" s="27"/>
      <c r="M1188" s="27" t="s">
        <v>7745</v>
      </c>
      <c r="N1188" s="27"/>
      <c r="O1188" s="29" t="s">
        <v>8118</v>
      </c>
      <c r="P1188" s="27"/>
      <c r="Q1188" s="27"/>
      <c r="R1188" s="29"/>
      <c r="S1188" s="29"/>
      <c r="T1188" s="29"/>
      <c r="U1188" s="27"/>
      <c r="V1188" s="27"/>
      <c r="W1188" s="27"/>
      <c r="X1188" s="64"/>
      <c r="Y1188" s="64"/>
      <c r="Z1188" s="64"/>
      <c r="AA1188" s="64"/>
      <c r="AB1188" s="27"/>
      <c r="AC1188" s="27"/>
    </row>
    <row r="1189" spans="1:29" s="28" customFormat="1" x14ac:dyDescent="0.3">
      <c r="A1189" s="27" t="s">
        <v>6338</v>
      </c>
      <c r="B1189" s="27" t="s">
        <v>2273</v>
      </c>
      <c r="C1189" s="29"/>
      <c r="D1189" s="28" t="s">
        <v>5050</v>
      </c>
      <c r="E1189" s="20" t="s">
        <v>1292</v>
      </c>
      <c r="F1189" s="20" t="s">
        <v>2785</v>
      </c>
      <c r="G1189" s="27"/>
      <c r="H1189" s="20"/>
      <c r="I1189" s="29"/>
      <c r="J1189" s="29"/>
      <c r="K1189" s="27"/>
      <c r="L1189" s="27"/>
      <c r="M1189" s="27" t="s">
        <v>8119</v>
      </c>
      <c r="N1189" s="27"/>
      <c r="O1189" s="29" t="s">
        <v>7341</v>
      </c>
      <c r="P1189" s="27"/>
      <c r="Q1189" s="27"/>
      <c r="R1189" s="29"/>
      <c r="S1189" s="29"/>
      <c r="T1189" s="29"/>
      <c r="U1189" s="27"/>
      <c r="V1189" s="27"/>
      <c r="W1189" s="27"/>
      <c r="X1189" s="64"/>
      <c r="Y1189" s="64"/>
      <c r="Z1189" s="64"/>
      <c r="AA1189" s="64"/>
      <c r="AB1189" s="27"/>
      <c r="AC1189" s="27"/>
    </row>
    <row r="1190" spans="1:29" s="28" customFormat="1" x14ac:dyDescent="0.3">
      <c r="A1190" s="27" t="s">
        <v>6339</v>
      </c>
      <c r="B1190" s="27" t="s">
        <v>2273</v>
      </c>
      <c r="C1190" s="29"/>
      <c r="D1190" s="28" t="s">
        <v>5050</v>
      </c>
      <c r="E1190" s="20" t="s">
        <v>1292</v>
      </c>
      <c r="F1190" s="20" t="s">
        <v>2788</v>
      </c>
      <c r="G1190" s="27"/>
      <c r="H1190" s="20"/>
      <c r="I1190" s="29"/>
      <c r="J1190" s="29"/>
      <c r="K1190" s="27"/>
      <c r="L1190" s="27"/>
      <c r="M1190" s="27" t="s">
        <v>6907</v>
      </c>
      <c r="N1190" s="27"/>
      <c r="O1190" s="29" t="s">
        <v>8120</v>
      </c>
      <c r="P1190" s="27"/>
      <c r="Q1190" s="27"/>
      <c r="R1190" s="29"/>
      <c r="S1190" s="29"/>
      <c r="T1190" s="29"/>
      <c r="U1190" s="27"/>
      <c r="V1190" s="27"/>
      <c r="W1190" s="27"/>
      <c r="X1190" s="64"/>
      <c r="Y1190" s="64"/>
      <c r="Z1190" s="64"/>
      <c r="AA1190" s="64"/>
      <c r="AB1190" s="27"/>
      <c r="AC1190" s="27"/>
    </row>
    <row r="1191" spans="1:29" s="28" customFormat="1" x14ac:dyDescent="0.3">
      <c r="A1191" s="27" t="s">
        <v>8121</v>
      </c>
      <c r="B1191" s="27" t="s">
        <v>2273</v>
      </c>
      <c r="C1191" s="29"/>
      <c r="D1191" s="28" t="s">
        <v>5050</v>
      </c>
      <c r="E1191" s="20" t="s">
        <v>1292</v>
      </c>
      <c r="F1191" s="20" t="s">
        <v>2786</v>
      </c>
      <c r="G1191" s="27"/>
      <c r="H1191" s="20"/>
      <c r="I1191" s="29"/>
      <c r="J1191" s="29"/>
      <c r="K1191" s="27"/>
      <c r="L1191" s="27"/>
      <c r="M1191" s="27" t="s">
        <v>7629</v>
      </c>
      <c r="N1191" s="27"/>
      <c r="O1191" s="29" t="s">
        <v>8122</v>
      </c>
      <c r="P1191" s="27"/>
      <c r="Q1191" s="27"/>
      <c r="R1191" s="29"/>
      <c r="S1191" s="29"/>
      <c r="T1191" s="29"/>
      <c r="U1191" s="27"/>
      <c r="V1191" s="27"/>
      <c r="W1191" s="27"/>
      <c r="X1191" s="64"/>
      <c r="Y1191" s="64"/>
      <c r="Z1191" s="64"/>
      <c r="AA1191" s="64"/>
      <c r="AB1191" s="27"/>
      <c r="AC1191" s="27"/>
    </row>
    <row r="1192" spans="1:29" s="28" customFormat="1" x14ac:dyDescent="0.3">
      <c r="A1192" s="27" t="s">
        <v>8123</v>
      </c>
      <c r="B1192" s="27" t="s">
        <v>2273</v>
      </c>
      <c r="C1192" s="29"/>
      <c r="D1192" s="28" t="s">
        <v>5050</v>
      </c>
      <c r="E1192" s="20" t="s">
        <v>1292</v>
      </c>
      <c r="F1192" s="20" t="s">
        <v>2787</v>
      </c>
      <c r="G1192" s="27"/>
      <c r="H1192" s="20"/>
      <c r="I1192" s="29"/>
      <c r="J1192" s="29"/>
      <c r="K1192" s="27"/>
      <c r="L1192" s="27"/>
      <c r="M1192" s="27" t="s">
        <v>8124</v>
      </c>
      <c r="N1192" s="27"/>
      <c r="O1192" s="29" t="s">
        <v>8125</v>
      </c>
      <c r="P1192" s="27"/>
      <c r="Q1192" s="27"/>
      <c r="R1192" s="29"/>
      <c r="S1192" s="29"/>
      <c r="T1192" s="29"/>
      <c r="U1192" s="27"/>
      <c r="V1192" s="27"/>
      <c r="W1192" s="27"/>
      <c r="X1192" s="64"/>
      <c r="Y1192" s="64"/>
      <c r="Z1192" s="64"/>
      <c r="AA1192" s="64"/>
      <c r="AB1192" s="27"/>
      <c r="AC1192" s="27"/>
    </row>
    <row r="1193" spans="1:29" s="28" customFormat="1" x14ac:dyDescent="0.3">
      <c r="A1193" s="27" t="s">
        <v>8126</v>
      </c>
      <c r="B1193" s="27" t="s">
        <v>2273</v>
      </c>
      <c r="C1193" s="29"/>
      <c r="D1193" s="28" t="s">
        <v>5050</v>
      </c>
      <c r="E1193" s="20" t="s">
        <v>1292</v>
      </c>
      <c r="F1193" s="20" t="s">
        <v>2685</v>
      </c>
      <c r="G1193" s="27"/>
      <c r="H1193" s="20"/>
      <c r="I1193" s="29"/>
      <c r="J1193" s="29"/>
      <c r="K1193" s="27"/>
      <c r="L1193" s="27"/>
      <c r="M1193" s="27" t="s">
        <v>7739</v>
      </c>
      <c r="N1193" s="27"/>
      <c r="O1193" s="29" t="s">
        <v>8127</v>
      </c>
      <c r="P1193" s="27"/>
      <c r="Q1193" s="27"/>
      <c r="R1193" s="29"/>
      <c r="S1193" s="29"/>
      <c r="T1193" s="29"/>
      <c r="U1193" s="27"/>
      <c r="V1193" s="27"/>
      <c r="W1193" s="27"/>
      <c r="X1193" s="64"/>
      <c r="Y1193" s="64"/>
      <c r="Z1193" s="64"/>
      <c r="AA1193" s="64"/>
      <c r="AB1193" s="27"/>
      <c r="AC1193" s="27"/>
    </row>
    <row r="1194" spans="1:29" s="25" customFormat="1" x14ac:dyDescent="0.3">
      <c r="A1194" s="24">
        <v>586</v>
      </c>
      <c r="B1194" s="24" t="s">
        <v>2272</v>
      </c>
      <c r="C1194" s="26">
        <v>313</v>
      </c>
      <c r="D1194" s="25" t="s">
        <v>1294</v>
      </c>
      <c r="E1194" s="19" t="s">
        <v>1295</v>
      </c>
      <c r="F1194" s="19"/>
      <c r="G1194" s="24"/>
      <c r="H1194" s="19"/>
      <c r="I1194" s="26" t="s">
        <v>37</v>
      </c>
      <c r="J1194" s="26" t="s">
        <v>37</v>
      </c>
      <c r="K1194" s="24"/>
      <c r="L1194" s="24" t="s">
        <v>3314</v>
      </c>
      <c r="M1194" s="24" t="s">
        <v>52</v>
      </c>
      <c r="N1194" s="24"/>
      <c r="O1194" s="26"/>
      <c r="P1194" s="24"/>
      <c r="Q1194" s="24"/>
      <c r="R1194" s="26"/>
      <c r="S1194" s="26"/>
      <c r="T1194" s="26"/>
      <c r="U1194" s="24"/>
      <c r="V1194" s="24"/>
      <c r="W1194" s="24"/>
      <c r="X1194" s="63"/>
      <c r="Y1194" s="63"/>
      <c r="Z1194" s="63"/>
      <c r="AA1194" s="63"/>
      <c r="AB1194" s="24"/>
      <c r="AC1194" s="24"/>
    </row>
    <row r="1195" spans="1:29" s="28" customFormat="1" x14ac:dyDescent="0.3">
      <c r="A1195" s="27" t="s">
        <v>8128</v>
      </c>
      <c r="B1195" s="27" t="s">
        <v>2273</v>
      </c>
      <c r="C1195" s="29"/>
      <c r="D1195" s="28" t="s">
        <v>5051</v>
      </c>
      <c r="E1195" s="20" t="s">
        <v>1295</v>
      </c>
      <c r="F1195" s="20" t="s">
        <v>2644</v>
      </c>
      <c r="G1195" s="27"/>
      <c r="H1195" s="20"/>
      <c r="I1195" s="29"/>
      <c r="J1195" s="29"/>
      <c r="K1195" s="27"/>
      <c r="L1195" s="27"/>
      <c r="M1195" s="27" t="s">
        <v>8129</v>
      </c>
      <c r="N1195" s="27"/>
      <c r="O1195" s="29" t="s">
        <v>8130</v>
      </c>
      <c r="P1195" s="27"/>
      <c r="Q1195" s="27"/>
      <c r="R1195" s="29"/>
      <c r="S1195" s="29"/>
      <c r="T1195" s="29"/>
      <c r="U1195" s="27"/>
      <c r="V1195" s="27"/>
      <c r="W1195" s="27"/>
      <c r="X1195" s="64"/>
      <c r="Y1195" s="64"/>
      <c r="Z1195" s="64"/>
      <c r="AA1195" s="64"/>
      <c r="AB1195" s="27"/>
      <c r="AC1195" s="27"/>
    </row>
    <row r="1196" spans="1:29" s="25" customFormat="1" x14ac:dyDescent="0.3">
      <c r="A1196" s="24">
        <v>587</v>
      </c>
      <c r="B1196" s="24" t="s">
        <v>2272</v>
      </c>
      <c r="C1196" s="26">
        <v>313</v>
      </c>
      <c r="D1196" s="25" t="s">
        <v>1296</v>
      </c>
      <c r="E1196" s="19" t="s">
        <v>1297</v>
      </c>
      <c r="F1196" s="19"/>
      <c r="G1196" s="24"/>
      <c r="H1196" s="19"/>
      <c r="I1196" s="26" t="s">
        <v>37</v>
      </c>
      <c r="J1196" s="26" t="s">
        <v>37</v>
      </c>
      <c r="K1196" s="24"/>
      <c r="L1196" s="24" t="s">
        <v>3788</v>
      </c>
      <c r="M1196" s="24" t="s">
        <v>5638</v>
      </c>
      <c r="N1196" s="24"/>
      <c r="O1196" s="26" t="s">
        <v>2154</v>
      </c>
      <c r="P1196" s="24"/>
      <c r="Q1196" s="24"/>
      <c r="R1196" s="26"/>
      <c r="S1196" s="26"/>
      <c r="T1196" s="26"/>
      <c r="U1196" s="24"/>
      <c r="V1196" s="24"/>
      <c r="W1196" s="24"/>
      <c r="X1196" s="63"/>
      <c r="Y1196" s="63"/>
      <c r="Z1196" s="63"/>
      <c r="AA1196" s="63"/>
      <c r="AB1196" s="24"/>
      <c r="AC1196" s="24"/>
    </row>
    <row r="1197" spans="1:29" s="28" customFormat="1" x14ac:dyDescent="0.3">
      <c r="A1197" s="27" t="s">
        <v>8131</v>
      </c>
      <c r="B1197" s="27" t="s">
        <v>2273</v>
      </c>
      <c r="C1197" s="29"/>
      <c r="D1197" s="28" t="s">
        <v>5052</v>
      </c>
      <c r="E1197" s="20" t="s">
        <v>1297</v>
      </c>
      <c r="F1197" s="20" t="s">
        <v>2789</v>
      </c>
      <c r="G1197" s="27"/>
      <c r="H1197" s="20"/>
      <c r="I1197" s="29"/>
      <c r="J1197" s="29"/>
      <c r="K1197" s="27"/>
      <c r="L1197" s="27"/>
      <c r="M1197" s="27" t="s">
        <v>7973</v>
      </c>
      <c r="N1197" s="27"/>
      <c r="O1197" s="29"/>
      <c r="P1197" s="27"/>
      <c r="Q1197" s="27"/>
      <c r="R1197" s="29"/>
      <c r="S1197" s="29"/>
      <c r="T1197" s="29"/>
      <c r="U1197" s="27"/>
      <c r="V1197" s="27"/>
      <c r="W1197" s="27"/>
      <c r="X1197" s="64"/>
      <c r="Y1197" s="64"/>
      <c r="Z1197" s="64"/>
      <c r="AA1197" s="64"/>
      <c r="AB1197" s="27"/>
      <c r="AC1197" s="27"/>
    </row>
    <row r="1198" spans="1:29" s="25" customFormat="1" x14ac:dyDescent="0.3">
      <c r="A1198" s="24">
        <v>588</v>
      </c>
      <c r="B1198" s="24" t="s">
        <v>2272</v>
      </c>
      <c r="C1198" s="26">
        <v>311</v>
      </c>
      <c r="D1198" s="25" t="s">
        <v>1298</v>
      </c>
      <c r="E1198" s="19" t="s">
        <v>2156</v>
      </c>
      <c r="F1198" s="19"/>
      <c r="G1198" s="24"/>
      <c r="H1198" s="19"/>
      <c r="I1198" s="26" t="s">
        <v>57</v>
      </c>
      <c r="J1198" s="26" t="s">
        <v>57</v>
      </c>
      <c r="K1198" s="24"/>
      <c r="L1198" s="24" t="s">
        <v>3788</v>
      </c>
      <c r="M1198" s="24" t="s">
        <v>5639</v>
      </c>
      <c r="N1198" s="24"/>
      <c r="O1198" s="26" t="s">
        <v>2008</v>
      </c>
      <c r="P1198" s="24"/>
      <c r="Q1198" s="24"/>
      <c r="R1198" s="26"/>
      <c r="S1198" s="26"/>
      <c r="T1198" s="26"/>
      <c r="U1198" s="24"/>
      <c r="V1198" s="24"/>
      <c r="W1198" s="24"/>
      <c r="X1198" s="63"/>
      <c r="Y1198" s="63"/>
      <c r="Z1198" s="63"/>
      <c r="AA1198" s="63"/>
      <c r="AB1198" s="24"/>
      <c r="AC1198" s="24"/>
    </row>
    <row r="1199" spans="1:29" s="25" customFormat="1" x14ac:dyDescent="0.3">
      <c r="A1199" s="24">
        <v>589</v>
      </c>
      <c r="B1199" s="24" t="s">
        <v>2272</v>
      </c>
      <c r="C1199" s="26">
        <v>313</v>
      </c>
      <c r="D1199" s="25" t="s">
        <v>1299</v>
      </c>
      <c r="E1199" s="19" t="s">
        <v>1300</v>
      </c>
      <c r="F1199" s="19"/>
      <c r="G1199" s="24"/>
      <c r="H1199" s="19"/>
      <c r="I1199" s="26" t="s">
        <v>253</v>
      </c>
      <c r="J1199" s="26" t="s">
        <v>57</v>
      </c>
      <c r="K1199" s="24"/>
      <c r="L1199" s="24" t="s">
        <v>3142</v>
      </c>
      <c r="M1199" s="24" t="s">
        <v>5229</v>
      </c>
      <c r="N1199" s="24"/>
      <c r="O1199" s="26"/>
      <c r="P1199" s="24" t="s">
        <v>1301</v>
      </c>
      <c r="Q1199" s="24"/>
      <c r="R1199" s="26"/>
      <c r="S1199" s="26"/>
      <c r="T1199" s="26"/>
      <c r="U1199" s="24"/>
      <c r="V1199" s="24"/>
      <c r="W1199" s="24"/>
      <c r="X1199" s="63"/>
      <c r="Y1199" s="63"/>
      <c r="Z1199" s="63"/>
      <c r="AA1199" s="63"/>
      <c r="AB1199" s="24"/>
      <c r="AC1199" s="24"/>
    </row>
    <row r="1200" spans="1:29" s="28" customFormat="1" x14ac:dyDescent="0.3">
      <c r="A1200" s="27" t="s">
        <v>8132</v>
      </c>
      <c r="B1200" s="27" t="s">
        <v>2273</v>
      </c>
      <c r="C1200" s="29"/>
      <c r="D1200" s="28" t="s">
        <v>5053</v>
      </c>
      <c r="E1200" s="20" t="s">
        <v>1300</v>
      </c>
      <c r="F1200" s="20" t="s">
        <v>2790</v>
      </c>
      <c r="G1200" s="27"/>
      <c r="H1200" s="20"/>
      <c r="I1200" s="29"/>
      <c r="J1200" s="29"/>
      <c r="K1200" s="27"/>
      <c r="L1200" s="27"/>
      <c r="M1200" s="27" t="s">
        <v>7458</v>
      </c>
      <c r="N1200" s="27"/>
      <c r="O1200" s="29" t="s">
        <v>6979</v>
      </c>
      <c r="P1200" s="27"/>
      <c r="Q1200" s="27"/>
      <c r="R1200" s="29"/>
      <c r="S1200" s="29"/>
      <c r="T1200" s="29"/>
      <c r="U1200" s="27"/>
      <c r="V1200" s="27"/>
      <c r="W1200" s="27"/>
      <c r="X1200" s="64"/>
      <c r="Y1200" s="64"/>
      <c r="Z1200" s="64"/>
      <c r="AA1200" s="64"/>
      <c r="AB1200" s="27"/>
      <c r="AC1200" s="27"/>
    </row>
    <row r="1201" spans="1:29" s="28" customFormat="1" x14ac:dyDescent="0.3">
      <c r="A1201" s="27" t="s">
        <v>8133</v>
      </c>
      <c r="B1201" s="27" t="s">
        <v>2273</v>
      </c>
      <c r="C1201" s="29"/>
      <c r="D1201" s="28" t="s">
        <v>5053</v>
      </c>
      <c r="E1201" s="20" t="s">
        <v>1300</v>
      </c>
      <c r="F1201" s="20" t="s">
        <v>2791</v>
      </c>
      <c r="G1201" s="27"/>
      <c r="H1201" s="20"/>
      <c r="I1201" s="29"/>
      <c r="J1201" s="29"/>
      <c r="K1201" s="27"/>
      <c r="L1201" s="27"/>
      <c r="M1201" s="27" t="s">
        <v>8134</v>
      </c>
      <c r="N1201" s="27"/>
      <c r="O1201" s="29" t="s">
        <v>8135</v>
      </c>
      <c r="P1201" s="27"/>
      <c r="Q1201" s="27"/>
      <c r="R1201" s="29"/>
      <c r="S1201" s="29"/>
      <c r="T1201" s="29"/>
      <c r="U1201" s="27"/>
      <c r="V1201" s="27"/>
      <c r="W1201" s="27"/>
      <c r="X1201" s="64"/>
      <c r="Y1201" s="64"/>
      <c r="Z1201" s="64"/>
      <c r="AA1201" s="64"/>
      <c r="AB1201" s="27"/>
      <c r="AC1201" s="27"/>
    </row>
    <row r="1202" spans="1:29" s="28" customFormat="1" x14ac:dyDescent="0.3">
      <c r="A1202" s="27" t="s">
        <v>8136</v>
      </c>
      <c r="B1202" s="27" t="s">
        <v>2273</v>
      </c>
      <c r="C1202" s="29"/>
      <c r="D1202" s="28" t="s">
        <v>5053</v>
      </c>
      <c r="E1202" s="20" t="s">
        <v>1300</v>
      </c>
      <c r="F1202" s="20" t="s">
        <v>2792</v>
      </c>
      <c r="G1202" s="27"/>
      <c r="H1202" s="20"/>
      <c r="I1202" s="29"/>
      <c r="J1202" s="29"/>
      <c r="K1202" s="27"/>
      <c r="L1202" s="27"/>
      <c r="M1202" s="27" t="s">
        <v>6867</v>
      </c>
      <c r="N1202" s="27"/>
      <c r="O1202" s="29" t="s">
        <v>2003</v>
      </c>
      <c r="P1202" s="27"/>
      <c r="Q1202" s="27"/>
      <c r="R1202" s="29"/>
      <c r="S1202" s="29"/>
      <c r="T1202" s="29"/>
      <c r="U1202" s="27"/>
      <c r="V1202" s="27"/>
      <c r="W1202" s="27"/>
      <c r="X1202" s="64"/>
      <c r="Y1202" s="64"/>
      <c r="Z1202" s="64"/>
      <c r="AA1202" s="64"/>
      <c r="AB1202" s="27"/>
      <c r="AC1202" s="27"/>
    </row>
    <row r="1203" spans="1:29" s="25" customFormat="1" x14ac:dyDescent="0.3">
      <c r="A1203" s="24">
        <v>590</v>
      </c>
      <c r="B1203" s="24" t="s">
        <v>2272</v>
      </c>
      <c r="C1203" s="26">
        <v>313</v>
      </c>
      <c r="D1203" s="25" t="s">
        <v>1302</v>
      </c>
      <c r="E1203" s="19" t="s">
        <v>1303</v>
      </c>
      <c r="F1203" s="19"/>
      <c r="G1203" s="24"/>
      <c r="H1203" s="19"/>
      <c r="I1203" s="26" t="s">
        <v>37</v>
      </c>
      <c r="J1203" s="26" t="s">
        <v>37</v>
      </c>
      <c r="K1203" s="24"/>
      <c r="L1203" s="24" t="s">
        <v>4042</v>
      </c>
      <c r="M1203" s="24" t="s">
        <v>84</v>
      </c>
      <c r="N1203" s="24"/>
      <c r="O1203" s="26"/>
      <c r="P1203" s="24"/>
      <c r="Q1203" s="24"/>
      <c r="R1203" s="26"/>
      <c r="S1203" s="26"/>
      <c r="T1203" s="26"/>
      <c r="U1203" s="24"/>
      <c r="V1203" s="24"/>
      <c r="W1203" s="24"/>
      <c r="X1203" s="63"/>
      <c r="Y1203" s="63"/>
      <c r="Z1203" s="63"/>
      <c r="AA1203" s="63"/>
      <c r="AB1203" s="24"/>
      <c r="AC1203" s="24"/>
    </row>
    <row r="1204" spans="1:29" s="28" customFormat="1" x14ac:dyDescent="0.3">
      <c r="A1204" s="27" t="s">
        <v>8137</v>
      </c>
      <c r="B1204" s="27" t="s">
        <v>2273</v>
      </c>
      <c r="C1204" s="29"/>
      <c r="D1204" s="28" t="s">
        <v>5054</v>
      </c>
      <c r="E1204" s="20" t="s">
        <v>1303</v>
      </c>
      <c r="F1204" s="20" t="s">
        <v>2319</v>
      </c>
      <c r="G1204" s="27"/>
      <c r="H1204" s="20"/>
      <c r="I1204" s="29"/>
      <c r="J1204" s="29"/>
      <c r="K1204" s="27"/>
      <c r="L1204" s="27"/>
      <c r="M1204" s="27" t="s">
        <v>1906</v>
      </c>
      <c r="N1204" s="27"/>
      <c r="O1204" s="29" t="s">
        <v>1906</v>
      </c>
      <c r="P1204" s="27"/>
      <c r="Q1204" s="27"/>
      <c r="R1204" s="29"/>
      <c r="S1204" s="29"/>
      <c r="T1204" s="29"/>
      <c r="U1204" s="27"/>
      <c r="V1204" s="27"/>
      <c r="W1204" s="27"/>
      <c r="X1204" s="64"/>
      <c r="Y1204" s="64"/>
      <c r="Z1204" s="64"/>
      <c r="AA1204" s="64"/>
      <c r="AB1204" s="27"/>
      <c r="AC1204" s="27"/>
    </row>
    <row r="1205" spans="1:29" s="25" customFormat="1" x14ac:dyDescent="0.3">
      <c r="A1205" s="24">
        <v>591</v>
      </c>
      <c r="B1205" s="24" t="s">
        <v>2272</v>
      </c>
      <c r="C1205" s="26">
        <v>309</v>
      </c>
      <c r="D1205" s="25" t="s">
        <v>1304</v>
      </c>
      <c r="E1205" s="19" t="s">
        <v>1305</v>
      </c>
      <c r="F1205" s="19"/>
      <c r="G1205" s="24"/>
      <c r="H1205" s="19"/>
      <c r="I1205" s="26" t="s">
        <v>42</v>
      </c>
      <c r="J1205" s="26" t="s">
        <v>42</v>
      </c>
      <c r="K1205" s="24"/>
      <c r="L1205" s="24" t="s">
        <v>4044</v>
      </c>
      <c r="M1205" s="24" t="s">
        <v>4479</v>
      </c>
      <c r="N1205" s="24"/>
      <c r="O1205" s="26"/>
      <c r="P1205" s="24" t="s">
        <v>1306</v>
      </c>
      <c r="Q1205" s="24"/>
      <c r="R1205" s="26"/>
      <c r="S1205" s="26"/>
      <c r="T1205" s="26"/>
      <c r="U1205" s="24"/>
      <c r="V1205" s="24"/>
      <c r="W1205" s="24"/>
      <c r="X1205" s="63"/>
      <c r="Y1205" s="63"/>
      <c r="Z1205" s="63"/>
      <c r="AA1205" s="63"/>
      <c r="AB1205" s="24"/>
      <c r="AC1205" s="24"/>
    </row>
    <row r="1206" spans="1:29" s="28" customFormat="1" x14ac:dyDescent="0.3">
      <c r="A1206" s="27" t="s">
        <v>8138</v>
      </c>
      <c r="B1206" s="27" t="s">
        <v>2273</v>
      </c>
      <c r="C1206" s="29"/>
      <c r="D1206" s="28" t="s">
        <v>5055</v>
      </c>
      <c r="E1206" s="20" t="s">
        <v>1305</v>
      </c>
      <c r="F1206" s="20" t="s">
        <v>2794</v>
      </c>
      <c r="G1206" s="27"/>
      <c r="H1206" s="20"/>
      <c r="I1206" s="29"/>
      <c r="J1206" s="29"/>
      <c r="K1206" s="27"/>
      <c r="L1206" s="27"/>
      <c r="M1206" s="27" t="s">
        <v>8139</v>
      </c>
      <c r="N1206" s="27"/>
      <c r="O1206" s="29" t="s">
        <v>8140</v>
      </c>
      <c r="P1206" s="27"/>
      <c r="Q1206" s="27"/>
      <c r="R1206" s="29"/>
      <c r="S1206" s="29"/>
      <c r="T1206" s="29"/>
      <c r="U1206" s="27"/>
      <c r="V1206" s="27"/>
      <c r="W1206" s="27"/>
      <c r="X1206" s="64"/>
      <c r="Y1206" s="64"/>
      <c r="Z1206" s="64"/>
      <c r="AA1206" s="64"/>
      <c r="AB1206" s="27"/>
      <c r="AC1206" s="27"/>
    </row>
    <row r="1207" spans="1:29" s="25" customFormat="1" x14ac:dyDescent="0.3">
      <c r="A1207" s="24">
        <v>592</v>
      </c>
      <c r="B1207" s="24" t="s">
        <v>2272</v>
      </c>
      <c r="C1207" s="26">
        <v>309</v>
      </c>
      <c r="D1207" s="25" t="s">
        <v>1307</v>
      </c>
      <c r="E1207" s="19" t="s">
        <v>1308</v>
      </c>
      <c r="F1207" s="19"/>
      <c r="G1207" s="24"/>
      <c r="H1207" s="19"/>
      <c r="I1207" s="26" t="s">
        <v>49</v>
      </c>
      <c r="J1207" s="26" t="s">
        <v>5121</v>
      </c>
      <c r="K1207" s="24" t="s">
        <v>49</v>
      </c>
      <c r="L1207" s="24" t="s">
        <v>4046</v>
      </c>
      <c r="M1207" s="24" t="s">
        <v>84</v>
      </c>
      <c r="N1207" s="24"/>
      <c r="O1207" s="26"/>
      <c r="P1207" s="24" t="s">
        <v>8572</v>
      </c>
      <c r="Q1207" s="24"/>
      <c r="R1207" s="26"/>
      <c r="S1207" s="26"/>
      <c r="T1207" s="26"/>
      <c r="U1207" s="24"/>
      <c r="V1207" s="24"/>
      <c r="W1207" s="24"/>
      <c r="X1207" s="63"/>
      <c r="Y1207" s="63"/>
      <c r="Z1207" s="63"/>
      <c r="AA1207" s="63"/>
      <c r="AB1207" s="24"/>
      <c r="AC1207" s="24"/>
    </row>
    <row r="1208" spans="1:29" s="28" customFormat="1" x14ac:dyDescent="0.3">
      <c r="A1208" s="27" t="s">
        <v>8141</v>
      </c>
      <c r="B1208" s="27" t="s">
        <v>2273</v>
      </c>
      <c r="C1208" s="29"/>
      <c r="D1208" s="28" t="s">
        <v>5056</v>
      </c>
      <c r="E1208" s="20" t="s">
        <v>1308</v>
      </c>
      <c r="F1208" s="20" t="s">
        <v>2797</v>
      </c>
      <c r="G1208" s="27"/>
      <c r="H1208" s="20"/>
      <c r="I1208" s="29"/>
      <c r="J1208" s="29"/>
      <c r="K1208" s="27"/>
      <c r="L1208" s="27"/>
      <c r="M1208" s="27" t="s">
        <v>8142</v>
      </c>
      <c r="N1208" s="27"/>
      <c r="O1208" s="29" t="s">
        <v>8143</v>
      </c>
      <c r="P1208" s="27"/>
      <c r="Q1208" s="27"/>
      <c r="R1208" s="29"/>
      <c r="S1208" s="29"/>
      <c r="T1208" s="29"/>
      <c r="U1208" s="27"/>
      <c r="V1208" s="27"/>
      <c r="W1208" s="27"/>
      <c r="X1208" s="64"/>
      <c r="Y1208" s="64"/>
      <c r="Z1208" s="64"/>
      <c r="AA1208" s="64"/>
      <c r="AB1208" s="27"/>
      <c r="AC1208" s="27"/>
    </row>
    <row r="1209" spans="1:29" s="25" customFormat="1" x14ac:dyDescent="0.3">
      <c r="A1209" s="24">
        <v>593</v>
      </c>
      <c r="B1209" s="24" t="s">
        <v>2272</v>
      </c>
      <c r="C1209" s="26">
        <v>309</v>
      </c>
      <c r="D1209" s="25" t="s">
        <v>1309</v>
      </c>
      <c r="E1209" s="19" t="s">
        <v>1310</v>
      </c>
      <c r="F1209" s="19"/>
      <c r="G1209" s="24"/>
      <c r="H1209" s="19"/>
      <c r="I1209" s="26" t="s">
        <v>89</v>
      </c>
      <c r="J1209" s="26" t="s">
        <v>37</v>
      </c>
      <c r="K1209" s="24"/>
      <c r="L1209" s="24" t="s">
        <v>4048</v>
      </c>
      <c r="M1209" s="24" t="s">
        <v>4480</v>
      </c>
      <c r="N1209" s="24"/>
      <c r="O1209" s="26" t="s">
        <v>2158</v>
      </c>
      <c r="P1209" s="24" t="s">
        <v>6450</v>
      </c>
      <c r="Q1209" s="24"/>
      <c r="R1209" s="26"/>
      <c r="S1209" s="26"/>
      <c r="T1209" s="26"/>
      <c r="U1209" s="24"/>
      <c r="V1209" s="24"/>
      <c r="W1209" s="24"/>
      <c r="X1209" s="63"/>
      <c r="Y1209" s="63"/>
      <c r="Z1209" s="63"/>
      <c r="AA1209" s="63"/>
      <c r="AB1209" s="24"/>
      <c r="AC1209" s="24"/>
    </row>
    <row r="1210" spans="1:29" s="25" customFormat="1" x14ac:dyDescent="0.3">
      <c r="A1210" s="24">
        <v>594</v>
      </c>
      <c r="B1210" s="24" t="s">
        <v>2272</v>
      </c>
      <c r="C1210" s="26">
        <v>309</v>
      </c>
      <c r="D1210" s="25" t="s">
        <v>1311</v>
      </c>
      <c r="E1210" s="19" t="s">
        <v>1312</v>
      </c>
      <c r="F1210" s="19"/>
      <c r="G1210" s="24"/>
      <c r="H1210" s="19"/>
      <c r="I1210" s="26" t="s">
        <v>49</v>
      </c>
      <c r="J1210" s="26" t="s">
        <v>5121</v>
      </c>
      <c r="K1210" s="24" t="s">
        <v>49</v>
      </c>
      <c r="L1210" s="24" t="s">
        <v>3728</v>
      </c>
      <c r="M1210" s="24" t="s">
        <v>5641</v>
      </c>
      <c r="N1210" s="24" t="s">
        <v>1620</v>
      </c>
      <c r="O1210" s="26" t="s">
        <v>2160</v>
      </c>
      <c r="P1210" s="24" t="s">
        <v>6586</v>
      </c>
      <c r="Q1210" s="24"/>
      <c r="R1210" s="26"/>
      <c r="S1210" s="26"/>
      <c r="T1210" s="26"/>
      <c r="U1210" s="24"/>
      <c r="V1210" s="24"/>
      <c r="W1210" s="24"/>
      <c r="X1210" s="63"/>
      <c r="Y1210" s="63"/>
      <c r="Z1210" s="63"/>
      <c r="AA1210" s="63"/>
      <c r="AB1210" s="24"/>
      <c r="AC1210" s="24"/>
    </row>
    <row r="1211" spans="1:29" s="25" customFormat="1" x14ac:dyDescent="0.3">
      <c r="A1211" s="24">
        <v>595</v>
      </c>
      <c r="B1211" s="24" t="s">
        <v>2272</v>
      </c>
      <c r="C1211" s="26">
        <v>307</v>
      </c>
      <c r="D1211" s="25" t="s">
        <v>1313</v>
      </c>
      <c r="E1211" s="19" t="s">
        <v>1314</v>
      </c>
      <c r="F1211" s="19"/>
      <c r="G1211" s="24" t="s">
        <v>2163</v>
      </c>
      <c r="H1211" s="19"/>
      <c r="I1211" s="26" t="s">
        <v>49</v>
      </c>
      <c r="J1211" s="26" t="s">
        <v>5121</v>
      </c>
      <c r="K1211" s="24" t="s">
        <v>49</v>
      </c>
      <c r="L1211" s="24" t="s">
        <v>4051</v>
      </c>
      <c r="M1211" s="24" t="s">
        <v>5642</v>
      </c>
      <c r="N1211" s="24" t="s">
        <v>1633</v>
      </c>
      <c r="O1211" s="26" t="s">
        <v>2162</v>
      </c>
      <c r="P1211" s="24" t="s">
        <v>6451</v>
      </c>
      <c r="Q1211" s="24"/>
      <c r="R1211" s="26"/>
      <c r="S1211" s="26"/>
      <c r="T1211" s="26"/>
      <c r="U1211" s="24"/>
      <c r="V1211" s="24"/>
      <c r="W1211" s="24"/>
      <c r="X1211" s="63"/>
      <c r="Y1211" s="63"/>
      <c r="Z1211" s="63"/>
      <c r="AA1211" s="63"/>
      <c r="AB1211" s="24"/>
      <c r="AC1211" s="24"/>
    </row>
    <row r="1212" spans="1:29" s="25" customFormat="1" x14ac:dyDescent="0.3">
      <c r="A1212" s="24">
        <v>596</v>
      </c>
      <c r="B1212" s="24" t="s">
        <v>2272</v>
      </c>
      <c r="C1212" s="26">
        <v>309</v>
      </c>
      <c r="D1212" s="25" t="s">
        <v>1315</v>
      </c>
      <c r="E1212" s="19" t="s">
        <v>1316</v>
      </c>
      <c r="F1212" s="19"/>
      <c r="G1212" s="24"/>
      <c r="H1212" s="19"/>
      <c r="I1212" s="26" t="s">
        <v>89</v>
      </c>
      <c r="J1212" s="26" t="s">
        <v>37</v>
      </c>
      <c r="K1212" s="24"/>
      <c r="L1212" s="24" t="s">
        <v>4053</v>
      </c>
      <c r="M1212" s="24" t="s">
        <v>5643</v>
      </c>
      <c r="N1212" s="24" t="s">
        <v>4481</v>
      </c>
      <c r="O1212" s="26" t="s">
        <v>2164</v>
      </c>
      <c r="P1212" s="24"/>
      <c r="Q1212" s="24"/>
      <c r="R1212" s="26"/>
      <c r="S1212" s="26"/>
      <c r="T1212" s="26"/>
      <c r="U1212" s="24"/>
      <c r="V1212" s="24"/>
      <c r="W1212" s="24"/>
      <c r="X1212" s="63"/>
      <c r="Y1212" s="63"/>
      <c r="Z1212" s="63"/>
      <c r="AA1212" s="63"/>
      <c r="AB1212" s="24"/>
      <c r="AC1212" s="24"/>
    </row>
    <row r="1213" spans="1:29" s="25" customFormat="1" x14ac:dyDescent="0.3">
      <c r="A1213" s="24">
        <v>597</v>
      </c>
      <c r="B1213" s="24" t="s">
        <v>2272</v>
      </c>
      <c r="C1213" s="26">
        <v>309</v>
      </c>
      <c r="D1213" s="25" t="s">
        <v>1317</v>
      </c>
      <c r="E1213" s="19" t="s">
        <v>1318</v>
      </c>
      <c r="F1213" s="19"/>
      <c r="G1213" s="24"/>
      <c r="H1213" s="19"/>
      <c r="I1213" s="26" t="s">
        <v>89</v>
      </c>
      <c r="J1213" s="26" t="s">
        <v>37</v>
      </c>
      <c r="K1213" s="24"/>
      <c r="L1213" s="24" t="s">
        <v>4055</v>
      </c>
      <c r="M1213" s="24" t="s">
        <v>1319</v>
      </c>
      <c r="N1213" s="24"/>
      <c r="O1213" s="26" t="s">
        <v>2165</v>
      </c>
      <c r="P1213" s="24"/>
      <c r="Q1213" s="24"/>
      <c r="R1213" s="26"/>
      <c r="S1213" s="26"/>
      <c r="T1213" s="26"/>
      <c r="U1213" s="24"/>
      <c r="V1213" s="24"/>
      <c r="W1213" s="24"/>
      <c r="X1213" s="63"/>
      <c r="Y1213" s="63"/>
      <c r="Z1213" s="63"/>
      <c r="AA1213" s="63"/>
      <c r="AB1213" s="24"/>
      <c r="AC1213" s="24"/>
    </row>
    <row r="1214" spans="1:29" s="25" customFormat="1" x14ac:dyDescent="0.3">
      <c r="A1214" s="24">
        <v>598</v>
      </c>
      <c r="B1214" s="24" t="s">
        <v>2272</v>
      </c>
      <c r="C1214" s="26">
        <v>307</v>
      </c>
      <c r="D1214" s="25" t="s">
        <v>1320</v>
      </c>
      <c r="E1214" s="19" t="s">
        <v>1321</v>
      </c>
      <c r="F1214" s="19"/>
      <c r="G1214" s="24"/>
      <c r="H1214" s="19"/>
      <c r="I1214" s="26" t="s">
        <v>49</v>
      </c>
      <c r="J1214" s="26" t="s">
        <v>5121</v>
      </c>
      <c r="K1214" s="24" t="s">
        <v>49</v>
      </c>
      <c r="L1214" s="24" t="s">
        <v>4057</v>
      </c>
      <c r="M1214" s="24" t="s">
        <v>5644</v>
      </c>
      <c r="N1214" s="24" t="s">
        <v>4482</v>
      </c>
      <c r="O1214" s="26" t="s">
        <v>2166</v>
      </c>
      <c r="P1214" s="24" t="s">
        <v>6452</v>
      </c>
      <c r="Q1214" s="24"/>
      <c r="R1214" s="26"/>
      <c r="S1214" s="26"/>
      <c r="T1214" s="26"/>
      <c r="U1214" s="24"/>
      <c r="V1214" s="24"/>
      <c r="W1214" s="24"/>
      <c r="X1214" s="63"/>
      <c r="Y1214" s="63"/>
      <c r="Z1214" s="63"/>
      <c r="AA1214" s="63"/>
      <c r="AB1214" s="24"/>
      <c r="AC1214" s="24"/>
    </row>
    <row r="1215" spans="1:29" s="25" customFormat="1" x14ac:dyDescent="0.3">
      <c r="A1215" s="24">
        <v>599</v>
      </c>
      <c r="B1215" s="24" t="s">
        <v>2272</v>
      </c>
      <c r="C1215" s="26">
        <v>307</v>
      </c>
      <c r="D1215" s="25" t="s">
        <v>1322</v>
      </c>
      <c r="E1215" s="19" t="s">
        <v>1323</v>
      </c>
      <c r="F1215" s="19"/>
      <c r="G1215" s="24"/>
      <c r="H1215" s="19"/>
      <c r="I1215" s="26" t="s">
        <v>49</v>
      </c>
      <c r="J1215" s="26" t="s">
        <v>5121</v>
      </c>
      <c r="K1215" s="24" t="s">
        <v>49</v>
      </c>
      <c r="L1215" s="24" t="s">
        <v>4059</v>
      </c>
      <c r="M1215" s="24" t="s">
        <v>5645</v>
      </c>
      <c r="N1215" s="24"/>
      <c r="O1215" s="26"/>
      <c r="P1215" s="24" t="s">
        <v>6587</v>
      </c>
      <c r="Q1215" s="24"/>
      <c r="R1215" s="26"/>
      <c r="S1215" s="26"/>
      <c r="T1215" s="26"/>
      <c r="U1215" s="24"/>
      <c r="V1215" s="24"/>
      <c r="W1215" s="24"/>
      <c r="X1215" s="63"/>
      <c r="Y1215" s="63"/>
      <c r="Z1215" s="63"/>
      <c r="AA1215" s="63"/>
      <c r="AB1215" s="24"/>
      <c r="AC1215" s="24"/>
    </row>
    <row r="1216" spans="1:29" s="25" customFormat="1" x14ac:dyDescent="0.3">
      <c r="A1216" s="24">
        <v>600</v>
      </c>
      <c r="B1216" s="24" t="s">
        <v>2272</v>
      </c>
      <c r="C1216" s="26">
        <v>311</v>
      </c>
      <c r="D1216" s="25" t="s">
        <v>1324</v>
      </c>
      <c r="E1216" s="19" t="s">
        <v>1325</v>
      </c>
      <c r="F1216" s="19"/>
      <c r="G1216" s="24"/>
      <c r="H1216" s="19"/>
      <c r="I1216" s="26" t="s">
        <v>57</v>
      </c>
      <c r="J1216" s="26" t="s">
        <v>57</v>
      </c>
      <c r="K1216" s="24"/>
      <c r="L1216" s="24" t="s">
        <v>4061</v>
      </c>
      <c r="M1216" s="24" t="s">
        <v>5646</v>
      </c>
      <c r="N1216" s="24"/>
      <c r="O1216" s="26"/>
      <c r="P1216" s="24"/>
      <c r="Q1216" s="24"/>
      <c r="R1216" s="26"/>
      <c r="S1216" s="26"/>
      <c r="T1216" s="26"/>
      <c r="U1216" s="24"/>
      <c r="V1216" s="24"/>
      <c r="W1216" s="24"/>
      <c r="X1216" s="63"/>
      <c r="Y1216" s="63"/>
      <c r="Z1216" s="63"/>
      <c r="AA1216" s="63"/>
      <c r="AB1216" s="24"/>
      <c r="AC1216" s="24"/>
    </row>
    <row r="1217" spans="1:29" s="28" customFormat="1" x14ac:dyDescent="0.3">
      <c r="A1217" s="27" t="s">
        <v>8144</v>
      </c>
      <c r="B1217" s="27" t="s">
        <v>2273</v>
      </c>
      <c r="C1217" s="29"/>
      <c r="D1217" s="28" t="s">
        <v>5057</v>
      </c>
      <c r="E1217" s="20" t="s">
        <v>1325</v>
      </c>
      <c r="F1217" s="20" t="s">
        <v>2798</v>
      </c>
      <c r="G1217" s="27"/>
      <c r="H1217" s="20"/>
      <c r="I1217" s="29"/>
      <c r="J1217" s="29"/>
      <c r="K1217" s="27"/>
      <c r="L1217" s="27"/>
      <c r="M1217" s="27" t="s">
        <v>8145</v>
      </c>
      <c r="N1217" s="27"/>
      <c r="O1217" s="29" t="s">
        <v>8146</v>
      </c>
      <c r="P1217" s="27"/>
      <c r="Q1217" s="27"/>
      <c r="R1217" s="29"/>
      <c r="S1217" s="29"/>
      <c r="T1217" s="29"/>
      <c r="U1217" s="27"/>
      <c r="V1217" s="27"/>
      <c r="W1217" s="27"/>
      <c r="X1217" s="64"/>
      <c r="Y1217" s="64"/>
      <c r="Z1217" s="64"/>
      <c r="AA1217" s="64"/>
      <c r="AB1217" s="27"/>
      <c r="AC1217" s="27"/>
    </row>
    <row r="1218" spans="1:29" s="28" customFormat="1" x14ac:dyDescent="0.3">
      <c r="A1218" s="27" t="s">
        <v>8147</v>
      </c>
      <c r="B1218" s="27" t="s">
        <v>2273</v>
      </c>
      <c r="C1218" s="29"/>
      <c r="D1218" s="28" t="s">
        <v>5057</v>
      </c>
      <c r="E1218" s="20" t="s">
        <v>1325</v>
      </c>
      <c r="F1218" s="20" t="s">
        <v>2494</v>
      </c>
      <c r="G1218" s="27"/>
      <c r="H1218" s="20"/>
      <c r="I1218" s="29"/>
      <c r="J1218" s="29"/>
      <c r="K1218" s="27"/>
      <c r="L1218" s="27"/>
      <c r="M1218" s="27" t="s">
        <v>7461</v>
      </c>
      <c r="N1218" s="27"/>
      <c r="O1218" s="29" t="s">
        <v>8148</v>
      </c>
      <c r="P1218" s="27"/>
      <c r="Q1218" s="27"/>
      <c r="R1218" s="29"/>
      <c r="S1218" s="29"/>
      <c r="T1218" s="29"/>
      <c r="U1218" s="27"/>
      <c r="V1218" s="27"/>
      <c r="W1218" s="27"/>
      <c r="X1218" s="64"/>
      <c r="Y1218" s="64"/>
      <c r="Z1218" s="64"/>
      <c r="AA1218" s="64"/>
      <c r="AB1218" s="27"/>
      <c r="AC1218" s="27"/>
    </row>
    <row r="1219" spans="1:29" s="25" customFormat="1" x14ac:dyDescent="0.3">
      <c r="A1219" s="24">
        <v>601</v>
      </c>
      <c r="B1219" s="24" t="s">
        <v>2272</v>
      </c>
      <c r="C1219" s="26">
        <v>311</v>
      </c>
      <c r="D1219" s="25" t="s">
        <v>1326</v>
      </c>
      <c r="E1219" s="19" t="s">
        <v>1327</v>
      </c>
      <c r="F1219" s="19"/>
      <c r="G1219" s="24"/>
      <c r="H1219" s="19"/>
      <c r="I1219" s="26" t="s">
        <v>57</v>
      </c>
      <c r="J1219" s="26" t="s">
        <v>57</v>
      </c>
      <c r="K1219" s="24"/>
      <c r="L1219" s="24" t="s">
        <v>5176</v>
      </c>
      <c r="M1219" s="24" t="s">
        <v>5647</v>
      </c>
      <c r="N1219" s="24"/>
      <c r="O1219" s="26"/>
      <c r="P1219" s="24"/>
      <c r="Q1219" s="24"/>
      <c r="R1219" s="26"/>
      <c r="S1219" s="26"/>
      <c r="T1219" s="26"/>
      <c r="U1219" s="24"/>
      <c r="V1219" s="24"/>
      <c r="W1219" s="24"/>
      <c r="X1219" s="63"/>
      <c r="Y1219" s="63"/>
      <c r="Z1219" s="63"/>
      <c r="AA1219" s="63"/>
      <c r="AB1219" s="24"/>
      <c r="AC1219" s="24"/>
    </row>
    <row r="1220" spans="1:29" s="28" customFormat="1" x14ac:dyDescent="0.3">
      <c r="A1220" s="27" t="s">
        <v>6340</v>
      </c>
      <c r="B1220" s="27" t="s">
        <v>2273</v>
      </c>
      <c r="C1220" s="29"/>
      <c r="D1220" s="28" t="s">
        <v>5058</v>
      </c>
      <c r="E1220" s="20" t="s">
        <v>1327</v>
      </c>
      <c r="F1220" s="20" t="s">
        <v>2799</v>
      </c>
      <c r="G1220" s="27"/>
      <c r="H1220" s="20"/>
      <c r="I1220" s="29"/>
      <c r="J1220" s="29"/>
      <c r="K1220" s="27"/>
      <c r="L1220" s="27"/>
      <c r="M1220" s="27" t="s">
        <v>8149</v>
      </c>
      <c r="N1220" s="27"/>
      <c r="O1220" s="29" t="s">
        <v>8150</v>
      </c>
      <c r="P1220" s="27"/>
      <c r="Q1220" s="27"/>
      <c r="R1220" s="29"/>
      <c r="S1220" s="29"/>
      <c r="T1220" s="29"/>
      <c r="U1220" s="27"/>
      <c r="V1220" s="27"/>
      <c r="W1220" s="27"/>
      <c r="X1220" s="64"/>
      <c r="Y1220" s="64"/>
      <c r="Z1220" s="64"/>
      <c r="AA1220" s="64"/>
      <c r="AB1220" s="27"/>
      <c r="AC1220" s="27"/>
    </row>
    <row r="1221" spans="1:29" s="28" customFormat="1" x14ac:dyDescent="0.3">
      <c r="A1221" s="27" t="s">
        <v>8151</v>
      </c>
      <c r="B1221" s="27" t="s">
        <v>2273</v>
      </c>
      <c r="C1221" s="29"/>
      <c r="D1221" s="28" t="s">
        <v>5058</v>
      </c>
      <c r="E1221" s="20" t="s">
        <v>1327</v>
      </c>
      <c r="F1221" s="20" t="s">
        <v>2381</v>
      </c>
      <c r="G1221" s="27"/>
      <c r="H1221" s="20"/>
      <c r="I1221" s="29"/>
      <c r="J1221" s="29"/>
      <c r="K1221" s="27"/>
      <c r="L1221" s="27"/>
      <c r="M1221" s="27" t="s">
        <v>8152</v>
      </c>
      <c r="N1221" s="27"/>
      <c r="O1221" s="29" t="s">
        <v>8153</v>
      </c>
      <c r="P1221" s="27"/>
      <c r="Q1221" s="27"/>
      <c r="R1221" s="29"/>
      <c r="S1221" s="29"/>
      <c r="T1221" s="29"/>
      <c r="U1221" s="27"/>
      <c r="V1221" s="27"/>
      <c r="W1221" s="27"/>
      <c r="X1221" s="64"/>
      <c r="Y1221" s="64"/>
      <c r="Z1221" s="64"/>
      <c r="AA1221" s="64"/>
      <c r="AB1221" s="27"/>
      <c r="AC1221" s="27"/>
    </row>
    <row r="1222" spans="1:29" s="28" customFormat="1" x14ac:dyDescent="0.3">
      <c r="A1222" s="27" t="s">
        <v>8154</v>
      </c>
      <c r="B1222" s="27" t="s">
        <v>2273</v>
      </c>
      <c r="C1222" s="29"/>
      <c r="D1222" s="28" t="s">
        <v>5058</v>
      </c>
      <c r="E1222" s="20" t="s">
        <v>1327</v>
      </c>
      <c r="F1222" s="20" t="s">
        <v>2802</v>
      </c>
      <c r="G1222" s="27"/>
      <c r="H1222" s="20"/>
      <c r="I1222" s="29"/>
      <c r="J1222" s="29"/>
      <c r="K1222" s="27"/>
      <c r="L1222" s="27"/>
      <c r="M1222" s="27" t="s">
        <v>6777</v>
      </c>
      <c r="N1222" s="27"/>
      <c r="O1222" s="29" t="s">
        <v>2117</v>
      </c>
      <c r="P1222" s="27"/>
      <c r="Q1222" s="27"/>
      <c r="R1222" s="29"/>
      <c r="S1222" s="29"/>
      <c r="T1222" s="29"/>
      <c r="U1222" s="27"/>
      <c r="V1222" s="27"/>
      <c r="W1222" s="27"/>
      <c r="X1222" s="64"/>
      <c r="Y1222" s="64"/>
      <c r="Z1222" s="64"/>
      <c r="AA1222" s="64"/>
      <c r="AB1222" s="27"/>
      <c r="AC1222" s="27"/>
    </row>
    <row r="1223" spans="1:29" s="25" customFormat="1" x14ac:dyDescent="0.3">
      <c r="A1223" s="24">
        <v>602</v>
      </c>
      <c r="B1223" s="24" t="s">
        <v>2272</v>
      </c>
      <c r="C1223" s="26">
        <v>311</v>
      </c>
      <c r="D1223" s="25" t="s">
        <v>2800</v>
      </c>
      <c r="E1223" s="19" t="s">
        <v>2801</v>
      </c>
      <c r="F1223" s="19"/>
      <c r="G1223" s="24"/>
      <c r="H1223" s="19"/>
      <c r="I1223" s="26" t="s">
        <v>57</v>
      </c>
      <c r="J1223" s="26" t="s">
        <v>57</v>
      </c>
      <c r="K1223" s="24"/>
      <c r="L1223" s="24" t="s">
        <v>4063</v>
      </c>
      <c r="M1223" s="24" t="s">
        <v>5648</v>
      </c>
      <c r="N1223" s="24"/>
      <c r="O1223" s="26" t="s">
        <v>5649</v>
      </c>
      <c r="P1223" s="24"/>
      <c r="Q1223" s="24"/>
      <c r="R1223" s="26"/>
      <c r="S1223" s="26"/>
      <c r="T1223" s="26"/>
      <c r="U1223" s="24"/>
      <c r="V1223" s="24"/>
      <c r="W1223" s="24"/>
      <c r="X1223" s="63"/>
      <c r="Y1223" s="63"/>
      <c r="Z1223" s="63"/>
      <c r="AA1223" s="63"/>
      <c r="AB1223" s="24"/>
      <c r="AC1223" s="24"/>
    </row>
    <row r="1224" spans="1:29" s="25" customFormat="1" x14ac:dyDescent="0.3">
      <c r="A1224" s="24">
        <v>603</v>
      </c>
      <c r="B1224" s="24" t="s">
        <v>2272</v>
      </c>
      <c r="C1224" s="26">
        <v>311</v>
      </c>
      <c r="D1224" s="25" t="s">
        <v>1328</v>
      </c>
      <c r="E1224" s="19" t="s">
        <v>1329</v>
      </c>
      <c r="F1224" s="19"/>
      <c r="G1224" s="24"/>
      <c r="H1224" s="19"/>
      <c r="I1224" s="26" t="s">
        <v>57</v>
      </c>
      <c r="J1224" s="26" t="s">
        <v>57</v>
      </c>
      <c r="K1224" s="24"/>
      <c r="L1224" s="24" t="s">
        <v>4065</v>
      </c>
      <c r="M1224" s="24" t="s">
        <v>5282</v>
      </c>
      <c r="N1224" s="24"/>
      <c r="O1224" s="26" t="s">
        <v>2147</v>
      </c>
      <c r="P1224" s="24" t="s">
        <v>9</v>
      </c>
      <c r="Q1224" s="24"/>
      <c r="R1224" s="26"/>
      <c r="S1224" s="26"/>
      <c r="T1224" s="26"/>
      <c r="U1224" s="24"/>
      <c r="V1224" s="24"/>
      <c r="W1224" s="24"/>
      <c r="X1224" s="63"/>
      <c r="Y1224" s="63"/>
      <c r="Z1224" s="63"/>
      <c r="AA1224" s="63"/>
      <c r="AB1224" s="24"/>
      <c r="AC1224" s="24"/>
    </row>
    <row r="1225" spans="1:29" s="25" customFormat="1" x14ac:dyDescent="0.3">
      <c r="A1225" s="24">
        <v>604</v>
      </c>
      <c r="B1225" s="24" t="s">
        <v>2272</v>
      </c>
      <c r="C1225" s="26">
        <v>313</v>
      </c>
      <c r="D1225" s="25" t="s">
        <v>1338</v>
      </c>
      <c r="E1225" s="19" t="s">
        <v>1339</v>
      </c>
      <c r="F1225" s="19"/>
      <c r="G1225" s="24"/>
      <c r="H1225" s="19"/>
      <c r="I1225" s="26" t="s">
        <v>37</v>
      </c>
      <c r="J1225" s="26" t="s">
        <v>37</v>
      </c>
      <c r="K1225" s="24"/>
      <c r="L1225" s="24" t="s">
        <v>4071</v>
      </c>
      <c r="M1225" s="24" t="s">
        <v>5652</v>
      </c>
      <c r="N1225" s="24"/>
      <c r="O1225" s="26" t="s">
        <v>2173</v>
      </c>
      <c r="P1225" s="24"/>
      <c r="Q1225" s="24"/>
      <c r="R1225" s="26"/>
      <c r="S1225" s="26"/>
      <c r="T1225" s="26"/>
      <c r="U1225" s="24"/>
      <c r="V1225" s="24"/>
      <c r="W1225" s="24"/>
      <c r="X1225" s="63"/>
      <c r="Y1225" s="63"/>
      <c r="Z1225" s="63"/>
      <c r="AA1225" s="63"/>
      <c r="AB1225" s="24"/>
      <c r="AC1225" s="24"/>
    </row>
    <row r="1226" spans="1:29" s="25" customFormat="1" x14ac:dyDescent="0.3">
      <c r="A1226" s="24">
        <v>605</v>
      </c>
      <c r="B1226" s="24" t="s">
        <v>2272</v>
      </c>
      <c r="C1226" s="26">
        <v>313</v>
      </c>
      <c r="D1226" s="25" t="s">
        <v>1340</v>
      </c>
      <c r="E1226" s="19" t="s">
        <v>1341</v>
      </c>
      <c r="F1226" s="19"/>
      <c r="G1226" s="24"/>
      <c r="H1226" s="19" t="s">
        <v>4486</v>
      </c>
      <c r="I1226" s="26" t="s">
        <v>89</v>
      </c>
      <c r="J1226" s="26" t="s">
        <v>37</v>
      </c>
      <c r="K1226" s="24"/>
      <c r="L1226" s="24" t="s">
        <v>4073</v>
      </c>
      <c r="M1226" s="24" t="s">
        <v>5607</v>
      </c>
      <c r="N1226" s="24" t="s">
        <v>4485</v>
      </c>
      <c r="O1226" s="26"/>
      <c r="P1226" s="24"/>
      <c r="Q1226" s="24"/>
      <c r="R1226" s="26"/>
      <c r="S1226" s="26"/>
      <c r="T1226" s="26"/>
      <c r="U1226" s="24"/>
      <c r="V1226" s="24"/>
      <c r="W1226" s="24"/>
      <c r="X1226" s="63"/>
      <c r="Y1226" s="63"/>
      <c r="Z1226" s="63"/>
      <c r="AA1226" s="63"/>
      <c r="AB1226" s="24"/>
      <c r="AC1226" s="24"/>
    </row>
    <row r="1227" spans="1:29" s="28" customFormat="1" x14ac:dyDescent="0.3">
      <c r="A1227" s="27" t="s">
        <v>8155</v>
      </c>
      <c r="B1227" s="27" t="s">
        <v>2273</v>
      </c>
      <c r="C1227" s="29"/>
      <c r="D1227" s="28" t="s">
        <v>5060</v>
      </c>
      <c r="E1227" s="20" t="s">
        <v>1341</v>
      </c>
      <c r="F1227" s="20" t="s">
        <v>2803</v>
      </c>
      <c r="G1227" s="27"/>
      <c r="H1227" s="20"/>
      <c r="I1227" s="29"/>
      <c r="J1227" s="29"/>
      <c r="K1227" s="27"/>
      <c r="L1227" s="27"/>
      <c r="M1227" s="27" t="s">
        <v>8156</v>
      </c>
      <c r="N1227" s="27" t="s">
        <v>8157</v>
      </c>
      <c r="O1227" s="29" t="s">
        <v>8158</v>
      </c>
      <c r="P1227" s="27"/>
      <c r="Q1227" s="27"/>
      <c r="R1227" s="29"/>
      <c r="S1227" s="29"/>
      <c r="T1227" s="29"/>
      <c r="U1227" s="27"/>
      <c r="V1227" s="27"/>
      <c r="W1227" s="27"/>
      <c r="X1227" s="64"/>
      <c r="Y1227" s="64"/>
      <c r="Z1227" s="64"/>
      <c r="AA1227" s="64"/>
      <c r="AB1227" s="27"/>
      <c r="AC1227" s="27"/>
    </row>
    <row r="1228" spans="1:29" s="25" customFormat="1" x14ac:dyDescent="0.3">
      <c r="A1228" s="24">
        <v>606</v>
      </c>
      <c r="B1228" s="24" t="s">
        <v>2272</v>
      </c>
      <c r="C1228" s="26">
        <v>315</v>
      </c>
      <c r="D1228" s="25" t="s">
        <v>1336</v>
      </c>
      <c r="E1228" s="19" t="s">
        <v>1337</v>
      </c>
      <c r="F1228" s="19"/>
      <c r="G1228" s="24"/>
      <c r="H1228" s="19"/>
      <c r="I1228" s="26" t="s">
        <v>49</v>
      </c>
      <c r="J1228" s="26" t="s">
        <v>5121</v>
      </c>
      <c r="K1228" s="24" t="s">
        <v>49</v>
      </c>
      <c r="L1228" s="24" t="s">
        <v>3086</v>
      </c>
      <c r="M1228" s="24" t="s">
        <v>5607</v>
      </c>
      <c r="N1228" s="24" t="s">
        <v>1633</v>
      </c>
      <c r="O1228" s="26"/>
      <c r="P1228" s="24" t="s">
        <v>6453</v>
      </c>
      <c r="Q1228" s="24"/>
      <c r="R1228" s="26"/>
      <c r="S1228" s="26"/>
      <c r="T1228" s="26"/>
      <c r="U1228" s="24"/>
      <c r="V1228" s="24"/>
      <c r="W1228" s="24"/>
      <c r="X1228" s="63"/>
      <c r="Y1228" s="63"/>
      <c r="Z1228" s="63"/>
      <c r="AA1228" s="63"/>
      <c r="AB1228" s="24"/>
      <c r="AC1228" s="24"/>
    </row>
    <row r="1229" spans="1:29" s="28" customFormat="1" x14ac:dyDescent="0.3">
      <c r="A1229" s="27" t="s">
        <v>8159</v>
      </c>
      <c r="B1229" s="27" t="s">
        <v>2273</v>
      </c>
      <c r="C1229" s="29">
        <v>315</v>
      </c>
      <c r="D1229" s="28" t="s">
        <v>5059</v>
      </c>
      <c r="E1229" s="20" t="s">
        <v>1337</v>
      </c>
      <c r="F1229" s="20" t="s">
        <v>2465</v>
      </c>
      <c r="G1229" s="27"/>
      <c r="H1229" s="20" t="s">
        <v>4694</v>
      </c>
      <c r="I1229" s="29"/>
      <c r="J1229" s="29" t="s">
        <v>5121</v>
      </c>
      <c r="K1229" s="27"/>
      <c r="L1229" s="27" t="s">
        <v>3086</v>
      </c>
      <c r="M1229" s="27" t="s">
        <v>8160</v>
      </c>
      <c r="N1229" s="27" t="s">
        <v>7914</v>
      </c>
      <c r="O1229" s="29" t="s">
        <v>8161</v>
      </c>
      <c r="P1229" s="27"/>
      <c r="Q1229" s="27"/>
      <c r="R1229" s="29"/>
      <c r="S1229" s="29"/>
      <c r="T1229" s="29"/>
      <c r="U1229" s="27"/>
      <c r="V1229" s="27"/>
      <c r="W1229" s="27"/>
      <c r="X1229" s="64"/>
      <c r="Y1229" s="64"/>
      <c r="Z1229" s="64"/>
      <c r="AA1229" s="64"/>
      <c r="AB1229" s="27"/>
      <c r="AC1229" s="27"/>
    </row>
    <row r="1230" spans="1:29" s="25" customFormat="1" x14ac:dyDescent="0.3">
      <c r="A1230" s="24">
        <v>607</v>
      </c>
      <c r="B1230" s="24" t="s">
        <v>2272</v>
      </c>
      <c r="C1230" s="26">
        <v>315</v>
      </c>
      <c r="D1230" s="25" t="s">
        <v>1332</v>
      </c>
      <c r="E1230" s="19" t="s">
        <v>1333</v>
      </c>
      <c r="F1230" s="19"/>
      <c r="G1230" s="24"/>
      <c r="H1230" s="19"/>
      <c r="I1230" s="26" t="s">
        <v>37</v>
      </c>
      <c r="J1230" s="26" t="s">
        <v>37</v>
      </c>
      <c r="K1230" s="24"/>
      <c r="L1230" s="24" t="s">
        <v>3706</v>
      </c>
      <c r="M1230" s="24" t="s">
        <v>5653</v>
      </c>
      <c r="N1230" s="24"/>
      <c r="O1230" s="26" t="s">
        <v>2170</v>
      </c>
      <c r="P1230" s="24"/>
      <c r="Q1230" s="24"/>
      <c r="R1230" s="26"/>
      <c r="S1230" s="26"/>
      <c r="T1230" s="26"/>
      <c r="U1230" s="24"/>
      <c r="V1230" s="24"/>
      <c r="W1230" s="24"/>
      <c r="X1230" s="63"/>
      <c r="Y1230" s="63"/>
      <c r="Z1230" s="63"/>
      <c r="AA1230" s="63"/>
      <c r="AB1230" s="24"/>
      <c r="AC1230" s="24"/>
    </row>
    <row r="1231" spans="1:29" s="25" customFormat="1" x14ac:dyDescent="0.3">
      <c r="A1231" s="24">
        <v>608</v>
      </c>
      <c r="B1231" s="24" t="s">
        <v>2272</v>
      </c>
      <c r="C1231" s="26">
        <v>315</v>
      </c>
      <c r="D1231" s="25" t="s">
        <v>1334</v>
      </c>
      <c r="E1231" s="19" t="s">
        <v>1335</v>
      </c>
      <c r="F1231" s="19"/>
      <c r="G1231" s="24"/>
      <c r="H1231" s="19"/>
      <c r="I1231" s="26" t="s">
        <v>57</v>
      </c>
      <c r="J1231" s="26" t="s">
        <v>57</v>
      </c>
      <c r="K1231" s="24"/>
      <c r="L1231" s="24" t="s">
        <v>4068</v>
      </c>
      <c r="M1231" s="24" t="s">
        <v>5654</v>
      </c>
      <c r="N1231" s="24"/>
      <c r="O1231" s="26" t="s">
        <v>2035</v>
      </c>
      <c r="P1231" s="24"/>
      <c r="Q1231" s="24"/>
      <c r="R1231" s="26"/>
      <c r="S1231" s="26"/>
      <c r="T1231" s="26"/>
      <c r="U1231" s="24"/>
      <c r="V1231" s="24"/>
      <c r="W1231" s="24"/>
      <c r="X1231" s="63"/>
      <c r="Y1231" s="63"/>
      <c r="Z1231" s="63"/>
      <c r="AA1231" s="63"/>
      <c r="AB1231" s="24"/>
      <c r="AC1231" s="24"/>
    </row>
    <row r="1232" spans="1:29" s="25" customFormat="1" x14ac:dyDescent="0.3">
      <c r="A1232" s="24">
        <v>609</v>
      </c>
      <c r="B1232" s="24" t="s">
        <v>2272</v>
      </c>
      <c r="C1232" s="26">
        <v>315</v>
      </c>
      <c r="D1232" s="25" t="s">
        <v>1344</v>
      </c>
      <c r="E1232" s="19" t="s">
        <v>1345</v>
      </c>
      <c r="F1232" s="19"/>
      <c r="G1232" s="24"/>
      <c r="H1232" s="19"/>
      <c r="I1232" s="26" t="s">
        <v>49</v>
      </c>
      <c r="J1232" s="26" t="s">
        <v>5121</v>
      </c>
      <c r="K1232" s="24" t="s">
        <v>49</v>
      </c>
      <c r="L1232" s="24" t="s">
        <v>4076</v>
      </c>
      <c r="M1232" s="24" t="s">
        <v>4487</v>
      </c>
      <c r="N1232" s="24"/>
      <c r="O1232" s="26"/>
      <c r="P1232" s="24" t="s">
        <v>6588</v>
      </c>
      <c r="Q1232" s="24"/>
      <c r="R1232" s="26"/>
      <c r="S1232" s="26"/>
      <c r="T1232" s="26"/>
      <c r="U1232" s="24"/>
      <c r="V1232" s="24"/>
      <c r="W1232" s="24"/>
      <c r="X1232" s="63"/>
      <c r="Y1232" s="63"/>
      <c r="Z1232" s="63"/>
      <c r="AA1232" s="63"/>
      <c r="AB1232" s="24"/>
      <c r="AC1232" s="24"/>
    </row>
    <row r="1233" spans="1:29" s="28" customFormat="1" x14ac:dyDescent="0.3">
      <c r="A1233" s="27" t="s">
        <v>6341</v>
      </c>
      <c r="B1233" s="27" t="s">
        <v>2273</v>
      </c>
      <c r="C1233" s="29"/>
      <c r="D1233" s="28" t="s">
        <v>5061</v>
      </c>
      <c r="E1233" s="20" t="s">
        <v>1345</v>
      </c>
      <c r="F1233" s="20" t="s">
        <v>2804</v>
      </c>
      <c r="G1233" s="27"/>
      <c r="H1233" s="20"/>
      <c r="I1233" s="29"/>
      <c r="J1233" s="29"/>
      <c r="K1233" s="27"/>
      <c r="L1233" s="27"/>
      <c r="M1233" s="27" t="s">
        <v>8162</v>
      </c>
      <c r="N1233" s="27"/>
      <c r="O1233" s="29" t="s">
        <v>8163</v>
      </c>
      <c r="P1233" s="27"/>
      <c r="Q1233" s="27"/>
      <c r="R1233" s="29"/>
      <c r="S1233" s="29"/>
      <c r="T1233" s="29"/>
      <c r="U1233" s="27"/>
      <c r="V1233" s="27"/>
      <c r="W1233" s="27"/>
      <c r="X1233" s="64"/>
      <c r="Y1233" s="64"/>
      <c r="Z1233" s="64"/>
      <c r="AA1233" s="64"/>
      <c r="AB1233" s="27"/>
      <c r="AC1233" s="27"/>
    </row>
    <row r="1234" spans="1:29" s="25" customFormat="1" x14ac:dyDescent="0.3">
      <c r="A1234" s="24">
        <v>610</v>
      </c>
      <c r="B1234" s="24" t="s">
        <v>2272</v>
      </c>
      <c r="C1234" s="26"/>
      <c r="D1234" s="25" t="s">
        <v>6590</v>
      </c>
      <c r="E1234" s="19" t="s">
        <v>6591</v>
      </c>
      <c r="F1234" s="19"/>
      <c r="G1234" s="24"/>
      <c r="H1234" s="19"/>
      <c r="I1234" s="26" t="s">
        <v>49</v>
      </c>
      <c r="J1234" s="26"/>
      <c r="K1234" s="24" t="s">
        <v>49</v>
      </c>
      <c r="L1234" s="24"/>
      <c r="M1234" s="24" t="s">
        <v>6688</v>
      </c>
      <c r="N1234" s="24" t="s">
        <v>6689</v>
      </c>
      <c r="O1234" s="26" t="s">
        <v>6690</v>
      </c>
      <c r="P1234" s="24" t="s">
        <v>8573</v>
      </c>
      <c r="Q1234" s="24"/>
      <c r="R1234" s="26"/>
      <c r="S1234" s="26"/>
      <c r="T1234" s="26"/>
      <c r="U1234" s="24"/>
      <c r="V1234" s="24"/>
      <c r="W1234" s="24"/>
      <c r="X1234" s="63"/>
      <c r="Y1234" s="63"/>
      <c r="Z1234" s="63"/>
      <c r="AA1234" s="63"/>
      <c r="AB1234" s="24"/>
      <c r="AC1234" s="24"/>
    </row>
    <row r="1235" spans="1:29" s="25" customFormat="1" x14ac:dyDescent="0.3">
      <c r="A1235" s="24">
        <v>611</v>
      </c>
      <c r="B1235" s="24" t="s">
        <v>2272</v>
      </c>
      <c r="C1235" s="26">
        <v>315</v>
      </c>
      <c r="D1235" s="25" t="s">
        <v>1342</v>
      </c>
      <c r="E1235" s="19" t="s">
        <v>1343</v>
      </c>
      <c r="F1235" s="19"/>
      <c r="G1235" s="24"/>
      <c r="H1235" s="19"/>
      <c r="I1235" s="26" t="s">
        <v>49</v>
      </c>
      <c r="J1235" s="26" t="s">
        <v>5121</v>
      </c>
      <c r="K1235" s="24" t="s">
        <v>49</v>
      </c>
      <c r="L1235" s="24" t="s">
        <v>3078</v>
      </c>
      <c r="M1235" s="24" t="s">
        <v>5655</v>
      </c>
      <c r="N1235" s="24" t="s">
        <v>1633</v>
      </c>
      <c r="O1235" s="26" t="s">
        <v>2176</v>
      </c>
      <c r="P1235" s="24" t="s">
        <v>6454</v>
      </c>
      <c r="Q1235" s="24"/>
      <c r="R1235" s="26"/>
      <c r="S1235" s="26"/>
      <c r="T1235" s="26"/>
      <c r="U1235" s="24"/>
      <c r="V1235" s="24"/>
      <c r="W1235" s="24"/>
      <c r="X1235" s="63"/>
      <c r="Y1235" s="63"/>
      <c r="Z1235" s="63"/>
      <c r="AA1235" s="63"/>
      <c r="AB1235" s="24"/>
      <c r="AC1235" s="24"/>
    </row>
    <row r="1236" spans="1:29" s="25" customFormat="1" x14ac:dyDescent="0.3">
      <c r="A1236" s="24">
        <v>612</v>
      </c>
      <c r="B1236" s="24" t="s">
        <v>2272</v>
      </c>
      <c r="C1236" s="26">
        <v>315</v>
      </c>
      <c r="D1236" s="25" t="s">
        <v>1348</v>
      </c>
      <c r="E1236" s="19" t="s">
        <v>1349</v>
      </c>
      <c r="F1236" s="19"/>
      <c r="G1236" s="24"/>
      <c r="H1236" s="19"/>
      <c r="I1236" s="26" t="s">
        <v>89</v>
      </c>
      <c r="J1236" s="26" t="s">
        <v>37</v>
      </c>
      <c r="K1236" s="24"/>
      <c r="L1236" s="24" t="s">
        <v>4080</v>
      </c>
      <c r="M1236" s="24" t="s">
        <v>5656</v>
      </c>
      <c r="N1236" s="24" t="s">
        <v>5657</v>
      </c>
      <c r="O1236" s="26" t="s">
        <v>2178</v>
      </c>
      <c r="P1236" s="24"/>
      <c r="Q1236" s="24"/>
      <c r="R1236" s="26"/>
      <c r="S1236" s="26"/>
      <c r="T1236" s="26"/>
      <c r="U1236" s="24"/>
      <c r="V1236" s="24"/>
      <c r="W1236" s="24"/>
      <c r="X1236" s="63"/>
      <c r="Y1236" s="63"/>
      <c r="Z1236" s="63"/>
      <c r="AA1236" s="63"/>
      <c r="AB1236" s="24"/>
      <c r="AC1236" s="24"/>
    </row>
    <row r="1237" spans="1:29" s="25" customFormat="1" x14ac:dyDescent="0.3">
      <c r="A1237" s="24">
        <v>613</v>
      </c>
      <c r="B1237" s="24" t="s">
        <v>2272</v>
      </c>
      <c r="C1237" s="26">
        <v>317</v>
      </c>
      <c r="D1237" s="25" t="s">
        <v>1350</v>
      </c>
      <c r="E1237" s="19" t="s">
        <v>1351</v>
      </c>
      <c r="F1237" s="19"/>
      <c r="G1237" s="24"/>
      <c r="H1237" s="19"/>
      <c r="I1237" s="26" t="s">
        <v>89</v>
      </c>
      <c r="J1237" s="26" t="s">
        <v>37</v>
      </c>
      <c r="K1237" s="24"/>
      <c r="L1237" s="24" t="s">
        <v>4082</v>
      </c>
      <c r="M1237" s="24" t="s">
        <v>5658</v>
      </c>
      <c r="N1237" s="24" t="s">
        <v>2179</v>
      </c>
      <c r="O1237" s="26" t="s">
        <v>2180</v>
      </c>
      <c r="P1237" s="24" t="s">
        <v>6592</v>
      </c>
      <c r="Q1237" s="24"/>
      <c r="R1237" s="26"/>
      <c r="S1237" s="26"/>
      <c r="T1237" s="26"/>
      <c r="U1237" s="24"/>
      <c r="V1237" s="24"/>
      <c r="W1237" s="24"/>
      <c r="X1237" s="63"/>
      <c r="Y1237" s="63"/>
      <c r="Z1237" s="63"/>
      <c r="AA1237" s="63"/>
      <c r="AB1237" s="24"/>
      <c r="AC1237" s="24"/>
    </row>
    <row r="1238" spans="1:29" s="25" customFormat="1" x14ac:dyDescent="0.3">
      <c r="A1238" s="24">
        <v>614</v>
      </c>
      <c r="B1238" s="24" t="s">
        <v>2272</v>
      </c>
      <c r="C1238" s="26">
        <v>317</v>
      </c>
      <c r="D1238" s="25" t="s">
        <v>1352</v>
      </c>
      <c r="E1238" s="19" t="s">
        <v>1353</v>
      </c>
      <c r="F1238" s="19"/>
      <c r="G1238" s="24"/>
      <c r="H1238" s="19"/>
      <c r="I1238" s="26" t="s">
        <v>89</v>
      </c>
      <c r="J1238" s="26" t="s">
        <v>37</v>
      </c>
      <c r="K1238" s="24"/>
      <c r="L1238" s="24" t="s">
        <v>3221</v>
      </c>
      <c r="M1238" s="24" t="s">
        <v>5659</v>
      </c>
      <c r="N1238" s="24" t="s">
        <v>5660</v>
      </c>
      <c r="O1238" s="26"/>
      <c r="P1238" s="24"/>
      <c r="Q1238" s="24"/>
      <c r="R1238" s="26"/>
      <c r="S1238" s="26"/>
      <c r="T1238" s="26"/>
      <c r="U1238" s="24"/>
      <c r="V1238" s="24"/>
      <c r="W1238" s="24"/>
      <c r="X1238" s="63"/>
      <c r="Y1238" s="63"/>
      <c r="Z1238" s="63"/>
      <c r="AA1238" s="63"/>
      <c r="AB1238" s="24"/>
      <c r="AC1238" s="24"/>
    </row>
    <row r="1239" spans="1:29" s="28" customFormat="1" x14ac:dyDescent="0.3">
      <c r="A1239" s="27" t="s">
        <v>6342</v>
      </c>
      <c r="B1239" s="27" t="s">
        <v>2273</v>
      </c>
      <c r="C1239" s="29"/>
      <c r="D1239" s="28" t="s">
        <v>5063</v>
      </c>
      <c r="E1239" s="20" t="s">
        <v>1353</v>
      </c>
      <c r="F1239" s="20" t="s">
        <v>2809</v>
      </c>
      <c r="G1239" s="27"/>
      <c r="H1239" s="20"/>
      <c r="I1239" s="29"/>
      <c r="J1239" s="29"/>
      <c r="K1239" s="27"/>
      <c r="L1239" s="27"/>
      <c r="M1239" s="27" t="s">
        <v>8164</v>
      </c>
      <c r="N1239" s="27" t="s">
        <v>8165</v>
      </c>
      <c r="O1239" s="29" t="s">
        <v>8166</v>
      </c>
      <c r="P1239" s="27"/>
      <c r="Q1239" s="27"/>
      <c r="R1239" s="29"/>
      <c r="S1239" s="29"/>
      <c r="T1239" s="29"/>
      <c r="U1239" s="27"/>
      <c r="V1239" s="27"/>
      <c r="W1239" s="27"/>
      <c r="X1239" s="64"/>
      <c r="Y1239" s="64"/>
      <c r="Z1239" s="64"/>
      <c r="AA1239" s="64"/>
      <c r="AB1239" s="27"/>
      <c r="AC1239" s="27"/>
    </row>
    <row r="1240" spans="1:29" s="25" customFormat="1" x14ac:dyDescent="0.3">
      <c r="A1240" s="24">
        <v>615</v>
      </c>
      <c r="B1240" s="24" t="s">
        <v>2272</v>
      </c>
      <c r="C1240" s="26">
        <v>317</v>
      </c>
      <c r="D1240" s="25" t="s">
        <v>1346</v>
      </c>
      <c r="E1240" s="19" t="s">
        <v>1347</v>
      </c>
      <c r="F1240" s="19"/>
      <c r="G1240" s="24"/>
      <c r="H1240" s="19"/>
      <c r="I1240" s="26" t="s">
        <v>37</v>
      </c>
      <c r="J1240" s="26" t="s">
        <v>37</v>
      </c>
      <c r="K1240" s="24"/>
      <c r="L1240" s="24" t="s">
        <v>4078</v>
      </c>
      <c r="M1240" s="24" t="s">
        <v>5661</v>
      </c>
      <c r="N1240" s="24"/>
      <c r="O1240" s="26"/>
      <c r="P1240" s="24"/>
      <c r="Q1240" s="24"/>
      <c r="R1240" s="26"/>
      <c r="S1240" s="26"/>
      <c r="T1240" s="26"/>
      <c r="U1240" s="24"/>
      <c r="V1240" s="24"/>
      <c r="W1240" s="24"/>
      <c r="X1240" s="63"/>
      <c r="Y1240" s="63"/>
      <c r="Z1240" s="63"/>
      <c r="AA1240" s="63"/>
      <c r="AB1240" s="24"/>
      <c r="AC1240" s="24"/>
    </row>
    <row r="1241" spans="1:29" s="28" customFormat="1" x14ac:dyDescent="0.3">
      <c r="A1241" s="27" t="s">
        <v>8167</v>
      </c>
      <c r="B1241" s="27" t="s">
        <v>2273</v>
      </c>
      <c r="C1241" s="29"/>
      <c r="D1241" s="28" t="s">
        <v>5062</v>
      </c>
      <c r="E1241" s="20" t="s">
        <v>1347</v>
      </c>
      <c r="F1241" s="20" t="s">
        <v>2805</v>
      </c>
      <c r="G1241" s="27"/>
      <c r="H1241" s="20"/>
      <c r="I1241" s="29"/>
      <c r="J1241" s="29"/>
      <c r="K1241" s="27"/>
      <c r="L1241" s="27"/>
      <c r="M1241" s="27" t="s">
        <v>7780</v>
      </c>
      <c r="N1241" s="27"/>
      <c r="O1241" s="29" t="s">
        <v>2015</v>
      </c>
      <c r="P1241" s="27"/>
      <c r="Q1241" s="27"/>
      <c r="R1241" s="29"/>
      <c r="S1241" s="29"/>
      <c r="T1241" s="29"/>
      <c r="U1241" s="27"/>
      <c r="V1241" s="27"/>
      <c r="W1241" s="27"/>
      <c r="X1241" s="64"/>
      <c r="Y1241" s="64"/>
      <c r="Z1241" s="64"/>
      <c r="AA1241" s="64"/>
      <c r="AB1241" s="27"/>
      <c r="AC1241" s="27"/>
    </row>
    <row r="1242" spans="1:29" s="28" customFormat="1" x14ac:dyDescent="0.3">
      <c r="A1242" s="27" t="s">
        <v>8168</v>
      </c>
      <c r="B1242" s="27" t="s">
        <v>2273</v>
      </c>
      <c r="C1242" s="29"/>
      <c r="D1242" s="28" t="s">
        <v>5062</v>
      </c>
      <c r="E1242" s="20" t="s">
        <v>1347</v>
      </c>
      <c r="F1242" s="20" t="s">
        <v>2806</v>
      </c>
      <c r="G1242" s="27"/>
      <c r="H1242" s="20"/>
      <c r="I1242" s="29"/>
      <c r="J1242" s="29"/>
      <c r="K1242" s="27"/>
      <c r="L1242" s="27"/>
      <c r="M1242" s="27" t="s">
        <v>8037</v>
      </c>
      <c r="N1242" s="27"/>
      <c r="O1242" s="29" t="s">
        <v>8169</v>
      </c>
      <c r="P1242" s="27"/>
      <c r="Q1242" s="27"/>
      <c r="R1242" s="29"/>
      <c r="S1242" s="29"/>
      <c r="T1242" s="29"/>
      <c r="U1242" s="27"/>
      <c r="V1242" s="27"/>
      <c r="W1242" s="27"/>
      <c r="X1242" s="64"/>
      <c r="Y1242" s="64"/>
      <c r="Z1242" s="64"/>
      <c r="AA1242" s="64"/>
      <c r="AB1242" s="27"/>
      <c r="AC1242" s="27"/>
    </row>
    <row r="1243" spans="1:29" s="28" customFormat="1" x14ac:dyDescent="0.3">
      <c r="A1243" s="27" t="s">
        <v>8170</v>
      </c>
      <c r="B1243" s="27" t="s">
        <v>2273</v>
      </c>
      <c r="C1243" s="29"/>
      <c r="D1243" s="28" t="s">
        <v>5062</v>
      </c>
      <c r="E1243" s="20" t="s">
        <v>1347</v>
      </c>
      <c r="F1243" s="20" t="s">
        <v>2337</v>
      </c>
      <c r="G1243" s="27"/>
      <c r="H1243" s="20"/>
      <c r="I1243" s="29"/>
      <c r="J1243" s="29"/>
      <c r="K1243" s="27"/>
      <c r="L1243" s="27"/>
      <c r="M1243" s="27" t="s">
        <v>8078</v>
      </c>
      <c r="N1243" s="27"/>
      <c r="O1243" s="29" t="s">
        <v>8171</v>
      </c>
      <c r="P1243" s="27"/>
      <c r="Q1243" s="27"/>
      <c r="R1243" s="29"/>
      <c r="S1243" s="29"/>
      <c r="T1243" s="29"/>
      <c r="U1243" s="27"/>
      <c r="V1243" s="27"/>
      <c r="W1243" s="27"/>
      <c r="X1243" s="64"/>
      <c r="Y1243" s="64"/>
      <c r="Z1243" s="64"/>
      <c r="AA1243" s="64"/>
      <c r="AB1243" s="27"/>
      <c r="AC1243" s="27"/>
    </row>
    <row r="1244" spans="1:29" s="28" customFormat="1" x14ac:dyDescent="0.3">
      <c r="A1244" s="27" t="s">
        <v>8172</v>
      </c>
      <c r="B1244" s="27" t="s">
        <v>2273</v>
      </c>
      <c r="C1244" s="29"/>
      <c r="D1244" s="28" t="s">
        <v>5062</v>
      </c>
      <c r="E1244" s="20" t="s">
        <v>1347</v>
      </c>
      <c r="F1244" s="20" t="s">
        <v>2385</v>
      </c>
      <c r="G1244" s="27"/>
      <c r="H1244" s="20"/>
      <c r="I1244" s="29"/>
      <c r="J1244" s="29"/>
      <c r="K1244" s="27"/>
      <c r="L1244" s="27"/>
      <c r="M1244" s="27" t="s">
        <v>8075</v>
      </c>
      <c r="N1244" s="27"/>
      <c r="O1244" s="29" t="s">
        <v>8173</v>
      </c>
      <c r="P1244" s="27"/>
      <c r="Q1244" s="27"/>
      <c r="R1244" s="29"/>
      <c r="S1244" s="29"/>
      <c r="T1244" s="29"/>
      <c r="U1244" s="27"/>
      <c r="V1244" s="27"/>
      <c r="W1244" s="27"/>
      <c r="X1244" s="64"/>
      <c r="Y1244" s="64"/>
      <c r="Z1244" s="64"/>
      <c r="AA1244" s="64"/>
      <c r="AB1244" s="27"/>
      <c r="AC1244" s="27"/>
    </row>
    <row r="1245" spans="1:29" s="28" customFormat="1" x14ac:dyDescent="0.3">
      <c r="A1245" s="27" t="s">
        <v>8174</v>
      </c>
      <c r="B1245" s="27" t="s">
        <v>2273</v>
      </c>
      <c r="C1245" s="29"/>
      <c r="D1245" s="28" t="s">
        <v>5062</v>
      </c>
      <c r="E1245" s="20" t="s">
        <v>1347</v>
      </c>
      <c r="F1245" s="20" t="s">
        <v>2608</v>
      </c>
      <c r="G1245" s="27"/>
      <c r="H1245" s="20"/>
      <c r="I1245" s="29"/>
      <c r="J1245" s="29"/>
      <c r="K1245" s="27"/>
      <c r="L1245" s="27"/>
      <c r="M1245" s="27" t="s">
        <v>8175</v>
      </c>
      <c r="N1245" s="27"/>
      <c r="O1245" s="29" t="s">
        <v>8176</v>
      </c>
      <c r="P1245" s="27"/>
      <c r="Q1245" s="27"/>
      <c r="R1245" s="29"/>
      <c r="S1245" s="29"/>
      <c r="T1245" s="29"/>
      <c r="U1245" s="27"/>
      <c r="V1245" s="27"/>
      <c r="W1245" s="27"/>
      <c r="X1245" s="64"/>
      <c r="Y1245" s="64"/>
      <c r="Z1245" s="64"/>
      <c r="AA1245" s="64"/>
      <c r="AB1245" s="27"/>
      <c r="AC1245" s="27"/>
    </row>
    <row r="1246" spans="1:29" s="28" customFormat="1" x14ac:dyDescent="0.3">
      <c r="A1246" s="27" t="s">
        <v>8177</v>
      </c>
      <c r="B1246" s="27" t="s">
        <v>2273</v>
      </c>
      <c r="C1246" s="29"/>
      <c r="D1246" s="28" t="s">
        <v>5062</v>
      </c>
      <c r="E1246" s="20" t="s">
        <v>1347</v>
      </c>
      <c r="F1246" s="20" t="s">
        <v>2807</v>
      </c>
      <c r="G1246" s="27"/>
      <c r="H1246" s="20"/>
      <c r="I1246" s="29"/>
      <c r="J1246" s="29"/>
      <c r="K1246" s="27"/>
      <c r="L1246" s="27"/>
      <c r="M1246" s="27" t="s">
        <v>8072</v>
      </c>
      <c r="N1246" s="27"/>
      <c r="O1246" s="29" t="s">
        <v>8178</v>
      </c>
      <c r="P1246" s="27"/>
      <c r="Q1246" s="27"/>
      <c r="R1246" s="29"/>
      <c r="S1246" s="29"/>
      <c r="T1246" s="29"/>
      <c r="U1246" s="27"/>
      <c r="V1246" s="27"/>
      <c r="W1246" s="27"/>
      <c r="X1246" s="64"/>
      <c r="Y1246" s="64"/>
      <c r="Z1246" s="64"/>
      <c r="AA1246" s="64"/>
      <c r="AB1246" s="27"/>
      <c r="AC1246" s="27"/>
    </row>
    <row r="1247" spans="1:29" s="28" customFormat="1" x14ac:dyDescent="0.3">
      <c r="A1247" s="27" t="s">
        <v>8179</v>
      </c>
      <c r="B1247" s="27" t="s">
        <v>2273</v>
      </c>
      <c r="C1247" s="29"/>
      <c r="D1247" s="28" t="s">
        <v>5062</v>
      </c>
      <c r="E1247" s="20" t="s">
        <v>1347</v>
      </c>
      <c r="F1247" s="20" t="s">
        <v>2808</v>
      </c>
      <c r="G1247" s="27"/>
      <c r="H1247" s="20"/>
      <c r="I1247" s="29"/>
      <c r="J1247" s="29"/>
      <c r="K1247" s="27"/>
      <c r="L1247" s="27"/>
      <c r="M1247" s="27" t="s">
        <v>7530</v>
      </c>
      <c r="N1247" s="27"/>
      <c r="O1247" s="29" t="s">
        <v>8180</v>
      </c>
      <c r="P1247" s="27"/>
      <c r="Q1247" s="27"/>
      <c r="R1247" s="29"/>
      <c r="S1247" s="29"/>
      <c r="T1247" s="29"/>
      <c r="U1247" s="27"/>
      <c r="V1247" s="27"/>
      <c r="W1247" s="27"/>
      <c r="X1247" s="64"/>
      <c r="Y1247" s="64"/>
      <c r="Z1247" s="64"/>
      <c r="AA1247" s="64"/>
      <c r="AB1247" s="27"/>
      <c r="AC1247" s="27"/>
    </row>
    <row r="1248" spans="1:29" s="25" customFormat="1" x14ac:dyDescent="0.3">
      <c r="A1248" s="24">
        <v>616</v>
      </c>
      <c r="B1248" s="24" t="s">
        <v>2272</v>
      </c>
      <c r="C1248" s="26"/>
      <c r="D1248" s="25" t="s">
        <v>6594</v>
      </c>
      <c r="E1248" s="19" t="s">
        <v>6595</v>
      </c>
      <c r="F1248" s="19"/>
      <c r="G1248" s="24"/>
      <c r="H1248" s="19"/>
      <c r="I1248" s="26" t="s">
        <v>49</v>
      </c>
      <c r="J1248" s="26"/>
      <c r="K1248" s="24" t="s">
        <v>49</v>
      </c>
      <c r="L1248" s="24"/>
      <c r="M1248" s="24" t="s">
        <v>6691</v>
      </c>
      <c r="N1248" s="24" t="s">
        <v>6692</v>
      </c>
      <c r="O1248" s="26" t="s">
        <v>6693</v>
      </c>
      <c r="P1248" s="24" t="s">
        <v>6596</v>
      </c>
      <c r="Q1248" s="24"/>
      <c r="R1248" s="26"/>
      <c r="S1248" s="26"/>
      <c r="T1248" s="26"/>
      <c r="U1248" s="24"/>
      <c r="V1248" s="24"/>
      <c r="W1248" s="24"/>
      <c r="X1248" s="63"/>
      <c r="Y1248" s="63"/>
      <c r="Z1248" s="63"/>
      <c r="AA1248" s="63"/>
      <c r="AB1248" s="24"/>
      <c r="AC1248" s="24"/>
    </row>
    <row r="1249" spans="1:29" s="25" customFormat="1" x14ac:dyDescent="0.3">
      <c r="A1249" s="24">
        <v>617</v>
      </c>
      <c r="B1249" s="24" t="s">
        <v>2272</v>
      </c>
      <c r="C1249" s="26">
        <v>317</v>
      </c>
      <c r="D1249" s="25" t="s">
        <v>1356</v>
      </c>
      <c r="E1249" s="19" t="s">
        <v>1357</v>
      </c>
      <c r="F1249" s="19"/>
      <c r="G1249" s="24"/>
      <c r="H1249" s="19"/>
      <c r="I1249" s="26" t="s">
        <v>49</v>
      </c>
      <c r="J1249" s="26" t="s">
        <v>5121</v>
      </c>
      <c r="K1249" s="24" t="s">
        <v>49</v>
      </c>
      <c r="L1249" s="24" t="s">
        <v>3799</v>
      </c>
      <c r="M1249" s="24" t="s">
        <v>5663</v>
      </c>
      <c r="N1249" s="24" t="s">
        <v>2183</v>
      </c>
      <c r="O1249" s="26" t="s">
        <v>2184</v>
      </c>
      <c r="P1249" s="24" t="s">
        <v>6597</v>
      </c>
      <c r="Q1249" s="24"/>
      <c r="R1249" s="26"/>
      <c r="S1249" s="26"/>
      <c r="T1249" s="26"/>
      <c r="U1249" s="24"/>
      <c r="V1249" s="24"/>
      <c r="W1249" s="24"/>
      <c r="X1249" s="63"/>
      <c r="Y1249" s="63"/>
      <c r="Z1249" s="63"/>
      <c r="AA1249" s="63"/>
      <c r="AB1249" s="24"/>
      <c r="AC1249" s="24"/>
    </row>
    <row r="1250" spans="1:29" s="25" customFormat="1" x14ac:dyDescent="0.3">
      <c r="A1250" s="24">
        <v>618</v>
      </c>
      <c r="B1250" s="24" t="s">
        <v>2272</v>
      </c>
      <c r="C1250" s="26">
        <v>317</v>
      </c>
      <c r="D1250" s="25" t="s">
        <v>1354</v>
      </c>
      <c r="E1250" s="19" t="s">
        <v>1355</v>
      </c>
      <c r="F1250" s="19"/>
      <c r="G1250" s="24"/>
      <c r="H1250" s="19"/>
      <c r="I1250" s="26" t="s">
        <v>49</v>
      </c>
      <c r="J1250" s="26" t="s">
        <v>5121</v>
      </c>
      <c r="K1250" s="24" t="s">
        <v>49</v>
      </c>
      <c r="L1250" s="24" t="s">
        <v>3078</v>
      </c>
      <c r="M1250" s="24" t="s">
        <v>5665</v>
      </c>
      <c r="N1250" s="24" t="s">
        <v>2181</v>
      </c>
      <c r="O1250" s="26" t="s">
        <v>2182</v>
      </c>
      <c r="P1250" s="24" t="s">
        <v>6598</v>
      </c>
      <c r="Q1250" s="24"/>
      <c r="R1250" s="26"/>
      <c r="S1250" s="26"/>
      <c r="T1250" s="26"/>
      <c r="U1250" s="24"/>
      <c r="V1250" s="24"/>
      <c r="W1250" s="24"/>
      <c r="X1250" s="63"/>
      <c r="Y1250" s="63"/>
      <c r="Z1250" s="63"/>
      <c r="AA1250" s="63"/>
      <c r="AB1250" s="24"/>
      <c r="AC1250" s="24"/>
    </row>
    <row r="1251" spans="1:29" s="25" customFormat="1" x14ac:dyDescent="0.3">
      <c r="A1251" s="24">
        <v>619</v>
      </c>
      <c r="B1251" s="24" t="s">
        <v>2272</v>
      </c>
      <c r="C1251" s="26">
        <v>319</v>
      </c>
      <c r="D1251" s="25" t="s">
        <v>1359</v>
      </c>
      <c r="E1251" s="19" t="s">
        <v>1360</v>
      </c>
      <c r="F1251" s="19"/>
      <c r="G1251" s="24"/>
      <c r="H1251" s="19"/>
      <c r="I1251" s="26" t="s">
        <v>57</v>
      </c>
      <c r="J1251" s="26" t="s">
        <v>57</v>
      </c>
      <c r="K1251" s="24"/>
      <c r="L1251" s="24" t="s">
        <v>4087</v>
      </c>
      <c r="M1251" s="24" t="s">
        <v>5229</v>
      </c>
      <c r="N1251" s="24"/>
      <c r="O1251" s="26" t="s">
        <v>2185</v>
      </c>
      <c r="P1251" s="24"/>
      <c r="Q1251" s="24"/>
      <c r="R1251" s="26"/>
      <c r="S1251" s="26"/>
      <c r="T1251" s="26"/>
      <c r="U1251" s="24"/>
      <c r="V1251" s="24"/>
      <c r="W1251" s="24"/>
      <c r="X1251" s="63"/>
      <c r="Y1251" s="63"/>
      <c r="Z1251" s="63"/>
      <c r="AA1251" s="63"/>
      <c r="AB1251" s="24"/>
      <c r="AC1251" s="24"/>
    </row>
    <row r="1252" spans="1:29" s="25" customFormat="1" x14ac:dyDescent="0.3">
      <c r="A1252" s="24">
        <v>620</v>
      </c>
      <c r="B1252" s="24" t="s">
        <v>2272</v>
      </c>
      <c r="C1252" s="26">
        <v>319</v>
      </c>
      <c r="D1252" s="25" t="s">
        <v>1361</v>
      </c>
      <c r="E1252" s="19" t="s">
        <v>1362</v>
      </c>
      <c r="F1252" s="19"/>
      <c r="G1252" s="24"/>
      <c r="H1252" s="19" t="s">
        <v>2187</v>
      </c>
      <c r="I1252" s="26" t="s">
        <v>57</v>
      </c>
      <c r="J1252" s="26" t="s">
        <v>57</v>
      </c>
      <c r="K1252" s="24"/>
      <c r="L1252" s="24" t="s">
        <v>3195</v>
      </c>
      <c r="M1252" s="24" t="s">
        <v>809</v>
      </c>
      <c r="N1252" s="24"/>
      <c r="O1252" s="26"/>
      <c r="P1252" s="24"/>
      <c r="Q1252" s="24"/>
      <c r="R1252" s="26"/>
      <c r="S1252" s="26"/>
      <c r="T1252" s="26"/>
      <c r="U1252" s="24"/>
      <c r="V1252" s="24"/>
      <c r="W1252" s="24"/>
      <c r="X1252" s="63"/>
      <c r="Y1252" s="63"/>
      <c r="Z1252" s="63"/>
      <c r="AA1252" s="63"/>
      <c r="AB1252" s="24"/>
      <c r="AC1252" s="24"/>
    </row>
    <row r="1253" spans="1:29" s="28" customFormat="1" x14ac:dyDescent="0.3">
      <c r="A1253" s="27" t="s">
        <v>6343</v>
      </c>
      <c r="B1253" s="27" t="s">
        <v>2273</v>
      </c>
      <c r="C1253" s="29"/>
      <c r="D1253" s="28" t="s">
        <v>5064</v>
      </c>
      <c r="E1253" s="20" t="s">
        <v>1362</v>
      </c>
      <c r="F1253" s="20" t="s">
        <v>2550</v>
      </c>
      <c r="G1253" s="27"/>
      <c r="H1253" s="20"/>
      <c r="I1253" s="29"/>
      <c r="J1253" s="29"/>
      <c r="K1253" s="27"/>
      <c r="L1253" s="27"/>
      <c r="M1253" s="27" t="s">
        <v>6779</v>
      </c>
      <c r="N1253" s="27"/>
      <c r="O1253" s="29" t="s">
        <v>7331</v>
      </c>
      <c r="P1253" s="27"/>
      <c r="Q1253" s="27"/>
      <c r="R1253" s="29"/>
      <c r="S1253" s="29"/>
      <c r="T1253" s="29"/>
      <c r="U1253" s="27"/>
      <c r="V1253" s="27"/>
      <c r="W1253" s="27"/>
      <c r="X1253" s="64"/>
      <c r="Y1253" s="64"/>
      <c r="Z1253" s="64"/>
      <c r="AA1253" s="64"/>
      <c r="AB1253" s="27"/>
      <c r="AC1253" s="27"/>
    </row>
    <row r="1254" spans="1:29" s="28" customFormat="1" x14ac:dyDescent="0.3">
      <c r="A1254" s="27" t="s">
        <v>8181</v>
      </c>
      <c r="B1254" s="27" t="s">
        <v>2273</v>
      </c>
      <c r="C1254" s="29"/>
      <c r="D1254" s="28" t="s">
        <v>5064</v>
      </c>
      <c r="E1254" s="20" t="s">
        <v>1362</v>
      </c>
      <c r="F1254" s="20" t="s">
        <v>2810</v>
      </c>
      <c r="G1254" s="27"/>
      <c r="H1254" s="20"/>
      <c r="I1254" s="29"/>
      <c r="J1254" s="29"/>
      <c r="K1254" s="27"/>
      <c r="L1254" s="27"/>
      <c r="M1254" s="27" t="s">
        <v>7255</v>
      </c>
      <c r="N1254" s="27"/>
      <c r="O1254" s="29" t="s">
        <v>8182</v>
      </c>
      <c r="P1254" s="27"/>
      <c r="Q1254" s="27"/>
      <c r="R1254" s="29"/>
      <c r="S1254" s="29"/>
      <c r="T1254" s="29"/>
      <c r="U1254" s="27"/>
      <c r="V1254" s="27"/>
      <c r="W1254" s="27"/>
      <c r="X1254" s="64"/>
      <c r="Y1254" s="64"/>
      <c r="Z1254" s="64"/>
      <c r="AA1254" s="64"/>
      <c r="AB1254" s="27"/>
      <c r="AC1254" s="27"/>
    </row>
    <row r="1255" spans="1:29" s="28" customFormat="1" x14ac:dyDescent="0.3">
      <c r="A1255" s="27" t="s">
        <v>8183</v>
      </c>
      <c r="B1255" s="27" t="s">
        <v>2273</v>
      </c>
      <c r="C1255" s="29"/>
      <c r="D1255" s="28" t="s">
        <v>5064</v>
      </c>
      <c r="E1255" s="20" t="s">
        <v>1362</v>
      </c>
      <c r="F1255" s="20" t="s">
        <v>2811</v>
      </c>
      <c r="G1255" s="27"/>
      <c r="H1255" s="20"/>
      <c r="I1255" s="29"/>
      <c r="J1255" s="29"/>
      <c r="K1255" s="27"/>
      <c r="L1255" s="27"/>
      <c r="M1255" s="27" t="s">
        <v>7643</v>
      </c>
      <c r="N1255" s="27"/>
      <c r="O1255" s="29" t="s">
        <v>8184</v>
      </c>
      <c r="P1255" s="27"/>
      <c r="Q1255" s="27"/>
      <c r="R1255" s="29"/>
      <c r="S1255" s="29"/>
      <c r="T1255" s="29"/>
      <c r="U1255" s="27"/>
      <c r="V1255" s="27"/>
      <c r="W1255" s="27"/>
      <c r="X1255" s="64"/>
      <c r="Y1255" s="64"/>
      <c r="Z1255" s="64"/>
      <c r="AA1255" s="64"/>
      <c r="AB1255" s="27"/>
      <c r="AC1255" s="27"/>
    </row>
    <row r="1256" spans="1:29" s="25" customFormat="1" x14ac:dyDescent="0.3">
      <c r="A1256" s="24">
        <v>621</v>
      </c>
      <c r="B1256" s="24" t="s">
        <v>2272</v>
      </c>
      <c r="C1256" s="26">
        <v>319</v>
      </c>
      <c r="D1256" s="25" t="s">
        <v>2812</v>
      </c>
      <c r="E1256" s="19" t="s">
        <v>5179</v>
      </c>
      <c r="F1256" s="19"/>
      <c r="G1256" s="24"/>
      <c r="H1256" s="19" t="s">
        <v>2813</v>
      </c>
      <c r="I1256" s="26" t="s">
        <v>57</v>
      </c>
      <c r="J1256" s="26" t="s">
        <v>57</v>
      </c>
      <c r="K1256" s="24"/>
      <c r="L1256" s="24" t="s">
        <v>4089</v>
      </c>
      <c r="M1256" s="24" t="s">
        <v>5666</v>
      </c>
      <c r="N1256" s="24"/>
      <c r="O1256" s="26" t="s">
        <v>5667</v>
      </c>
      <c r="P1256" s="24"/>
      <c r="Q1256" s="24"/>
      <c r="R1256" s="26"/>
      <c r="S1256" s="26"/>
      <c r="T1256" s="26"/>
      <c r="U1256" s="24"/>
      <c r="V1256" s="24"/>
      <c r="W1256" s="24"/>
      <c r="X1256" s="63"/>
      <c r="Y1256" s="63"/>
      <c r="Z1256" s="63"/>
      <c r="AA1256" s="63"/>
      <c r="AB1256" s="24"/>
      <c r="AC1256" s="24"/>
    </row>
    <row r="1257" spans="1:29" s="25" customFormat="1" x14ac:dyDescent="0.3">
      <c r="A1257" s="24">
        <v>622</v>
      </c>
      <c r="B1257" s="24" t="s">
        <v>2272</v>
      </c>
      <c r="C1257" s="26">
        <v>319</v>
      </c>
      <c r="D1257" s="25" t="s">
        <v>1363</v>
      </c>
      <c r="E1257" s="19" t="s">
        <v>1364</v>
      </c>
      <c r="F1257" s="19"/>
      <c r="G1257" s="24"/>
      <c r="H1257" s="19" t="s">
        <v>2189</v>
      </c>
      <c r="I1257" s="26" t="s">
        <v>57</v>
      </c>
      <c r="J1257" s="26" t="s">
        <v>57</v>
      </c>
      <c r="K1257" s="24"/>
      <c r="L1257" s="24" t="s">
        <v>4091</v>
      </c>
      <c r="M1257" s="24" t="s">
        <v>5480</v>
      </c>
      <c r="N1257" s="24"/>
      <c r="O1257" s="26" t="s">
        <v>2188</v>
      </c>
      <c r="P1257" s="24"/>
      <c r="Q1257" s="24"/>
      <c r="R1257" s="26"/>
      <c r="S1257" s="26"/>
      <c r="T1257" s="26"/>
      <c r="U1257" s="24"/>
      <c r="V1257" s="24"/>
      <c r="W1257" s="24"/>
      <c r="X1257" s="63"/>
      <c r="Y1257" s="63"/>
      <c r="Z1257" s="63"/>
      <c r="AA1257" s="63"/>
      <c r="AB1257" s="24"/>
      <c r="AC1257" s="24"/>
    </row>
    <row r="1258" spans="1:29" s="25" customFormat="1" x14ac:dyDescent="0.3">
      <c r="A1258" s="24">
        <v>623</v>
      </c>
      <c r="B1258" s="24" t="s">
        <v>2272</v>
      </c>
      <c r="C1258" s="26">
        <v>319</v>
      </c>
      <c r="D1258" s="25" t="s">
        <v>1365</v>
      </c>
      <c r="E1258" s="19" t="s">
        <v>1366</v>
      </c>
      <c r="F1258" s="19"/>
      <c r="G1258" s="24"/>
      <c r="H1258" s="19" t="s">
        <v>2191</v>
      </c>
      <c r="I1258" s="26" t="s">
        <v>57</v>
      </c>
      <c r="J1258" s="26" t="s">
        <v>57</v>
      </c>
      <c r="K1258" s="24"/>
      <c r="L1258" s="24" t="s">
        <v>4093</v>
      </c>
      <c r="M1258" s="24" t="s">
        <v>5670</v>
      </c>
      <c r="N1258" s="24"/>
      <c r="O1258" s="26" t="s">
        <v>2190</v>
      </c>
      <c r="P1258" s="24"/>
      <c r="Q1258" s="24"/>
      <c r="R1258" s="26"/>
      <c r="S1258" s="26"/>
      <c r="T1258" s="26"/>
      <c r="U1258" s="24"/>
      <c r="V1258" s="24"/>
      <c r="W1258" s="24"/>
      <c r="X1258" s="63"/>
      <c r="Y1258" s="63"/>
      <c r="Z1258" s="63"/>
      <c r="AA1258" s="63"/>
      <c r="AB1258" s="24"/>
      <c r="AC1258" s="24"/>
    </row>
    <row r="1259" spans="1:29" s="25" customFormat="1" x14ac:dyDescent="0.3">
      <c r="A1259" s="24">
        <v>624</v>
      </c>
      <c r="B1259" s="24" t="s">
        <v>2272</v>
      </c>
      <c r="C1259" s="26">
        <v>321</v>
      </c>
      <c r="D1259" s="25" t="s">
        <v>1367</v>
      </c>
      <c r="E1259" s="19" t="s">
        <v>1368</v>
      </c>
      <c r="F1259" s="19"/>
      <c r="G1259" s="24"/>
      <c r="H1259" s="19"/>
      <c r="I1259" s="26" t="s">
        <v>89</v>
      </c>
      <c r="J1259" s="26" t="s">
        <v>37</v>
      </c>
      <c r="K1259" s="24"/>
      <c r="L1259" s="24" t="s">
        <v>3388</v>
      </c>
      <c r="M1259" s="24" t="s">
        <v>5655</v>
      </c>
      <c r="N1259" s="24" t="s">
        <v>5671</v>
      </c>
      <c r="O1259" s="26" t="s">
        <v>2192</v>
      </c>
      <c r="P1259" s="24"/>
      <c r="Q1259" s="24"/>
      <c r="R1259" s="26"/>
      <c r="S1259" s="26"/>
      <c r="T1259" s="26"/>
      <c r="U1259" s="24"/>
      <c r="V1259" s="24"/>
      <c r="W1259" s="24"/>
      <c r="X1259" s="63"/>
      <c r="Y1259" s="63"/>
      <c r="Z1259" s="63"/>
      <c r="AA1259" s="63"/>
      <c r="AB1259" s="24"/>
      <c r="AC1259" s="24"/>
    </row>
    <row r="1260" spans="1:29" s="25" customFormat="1" x14ac:dyDescent="0.3">
      <c r="A1260" s="24">
        <v>625</v>
      </c>
      <c r="B1260" s="24" t="s">
        <v>2272</v>
      </c>
      <c r="C1260" s="26">
        <v>321</v>
      </c>
      <c r="D1260" s="25" t="s">
        <v>1369</v>
      </c>
      <c r="E1260" s="19" t="s">
        <v>1370</v>
      </c>
      <c r="F1260" s="19"/>
      <c r="G1260" s="24"/>
      <c r="H1260" s="19"/>
      <c r="I1260" s="26" t="s">
        <v>89</v>
      </c>
      <c r="J1260" s="26" t="s">
        <v>37</v>
      </c>
      <c r="K1260" s="24"/>
      <c r="L1260" s="24" t="s">
        <v>3519</v>
      </c>
      <c r="M1260" s="24" t="s">
        <v>5672</v>
      </c>
      <c r="N1260" s="24"/>
      <c r="O1260" s="26"/>
      <c r="P1260" s="24" t="s">
        <v>6456</v>
      </c>
      <c r="Q1260" s="24"/>
      <c r="R1260" s="26"/>
      <c r="S1260" s="26"/>
      <c r="T1260" s="26"/>
      <c r="U1260" s="24"/>
      <c r="V1260" s="24"/>
      <c r="W1260" s="24"/>
      <c r="X1260" s="63"/>
      <c r="Y1260" s="63"/>
      <c r="Z1260" s="63"/>
      <c r="AA1260" s="63"/>
      <c r="AB1260" s="24"/>
      <c r="AC1260" s="24"/>
    </row>
    <row r="1261" spans="1:29" s="28" customFormat="1" x14ac:dyDescent="0.3">
      <c r="A1261" s="27" t="s">
        <v>8185</v>
      </c>
      <c r="B1261" s="27" t="s">
        <v>2273</v>
      </c>
      <c r="C1261" s="29">
        <v>321</v>
      </c>
      <c r="D1261" s="28" t="s">
        <v>5065</v>
      </c>
      <c r="E1261" s="20" t="s">
        <v>1370</v>
      </c>
      <c r="F1261" s="20" t="s">
        <v>2465</v>
      </c>
      <c r="G1261" s="27" t="s">
        <v>4695</v>
      </c>
      <c r="H1261" s="20" t="s">
        <v>4696</v>
      </c>
      <c r="I1261" s="29"/>
      <c r="J1261" s="29" t="s">
        <v>37</v>
      </c>
      <c r="K1261" s="27"/>
      <c r="L1261" s="27" t="s">
        <v>3519</v>
      </c>
      <c r="M1261" s="27" t="s">
        <v>8186</v>
      </c>
      <c r="N1261" s="27" t="s">
        <v>8187</v>
      </c>
      <c r="O1261" s="29" t="s">
        <v>8188</v>
      </c>
      <c r="P1261" s="27"/>
      <c r="Q1261" s="27"/>
      <c r="R1261" s="29"/>
      <c r="S1261" s="29"/>
      <c r="T1261" s="29"/>
      <c r="U1261" s="27"/>
      <c r="V1261" s="27"/>
      <c r="W1261" s="27"/>
      <c r="X1261" s="64"/>
      <c r="Y1261" s="64"/>
      <c r="Z1261" s="64"/>
      <c r="AA1261" s="64"/>
      <c r="AB1261" s="27"/>
      <c r="AC1261" s="27"/>
    </row>
    <row r="1262" spans="1:29" s="25" customFormat="1" x14ac:dyDescent="0.3">
      <c r="A1262" s="24">
        <v>626</v>
      </c>
      <c r="B1262" s="24" t="s">
        <v>2272</v>
      </c>
      <c r="C1262" s="26">
        <v>321</v>
      </c>
      <c r="D1262" s="25" t="s">
        <v>1375</v>
      </c>
      <c r="E1262" s="19" t="s">
        <v>1376</v>
      </c>
      <c r="F1262" s="19"/>
      <c r="G1262" s="24"/>
      <c r="H1262" s="19"/>
      <c r="I1262" s="26" t="s">
        <v>89</v>
      </c>
      <c r="J1262" s="26" t="s">
        <v>37</v>
      </c>
      <c r="K1262" s="24"/>
      <c r="L1262" s="24" t="s">
        <v>4101</v>
      </c>
      <c r="M1262" s="24" t="s">
        <v>4492</v>
      </c>
      <c r="N1262" s="24" t="s">
        <v>5676</v>
      </c>
      <c r="O1262" s="26" t="s">
        <v>2195</v>
      </c>
      <c r="P1262" s="24"/>
      <c r="Q1262" s="24"/>
      <c r="R1262" s="26"/>
      <c r="S1262" s="26"/>
      <c r="T1262" s="26"/>
      <c r="U1262" s="24"/>
      <c r="V1262" s="24"/>
      <c r="W1262" s="24"/>
      <c r="X1262" s="63"/>
      <c r="Y1262" s="63"/>
      <c r="Z1262" s="63"/>
      <c r="AA1262" s="63"/>
      <c r="AB1262" s="24"/>
      <c r="AC1262" s="24"/>
    </row>
    <row r="1263" spans="1:29" s="25" customFormat="1" x14ac:dyDescent="0.3">
      <c r="A1263" s="24">
        <v>627</v>
      </c>
      <c r="B1263" s="24" t="s">
        <v>2272</v>
      </c>
      <c r="C1263" s="26">
        <v>323</v>
      </c>
      <c r="D1263" s="25" t="s">
        <v>1373</v>
      </c>
      <c r="E1263" s="19" t="s">
        <v>1374</v>
      </c>
      <c r="F1263" s="19"/>
      <c r="G1263" s="24"/>
      <c r="H1263" s="19"/>
      <c r="I1263" s="26" t="s">
        <v>57</v>
      </c>
      <c r="J1263" s="26" t="s">
        <v>57</v>
      </c>
      <c r="K1263" s="24"/>
      <c r="L1263" s="24" t="s">
        <v>4099</v>
      </c>
      <c r="M1263" s="24" t="s">
        <v>5675</v>
      </c>
      <c r="N1263" s="24"/>
      <c r="O1263" s="26" t="s">
        <v>2194</v>
      </c>
      <c r="P1263" s="24"/>
      <c r="Q1263" s="24"/>
      <c r="R1263" s="26"/>
      <c r="S1263" s="26"/>
      <c r="T1263" s="26"/>
      <c r="U1263" s="24"/>
      <c r="V1263" s="24"/>
      <c r="W1263" s="24"/>
      <c r="X1263" s="63"/>
      <c r="Y1263" s="63"/>
      <c r="Z1263" s="63"/>
      <c r="AA1263" s="63"/>
      <c r="AB1263" s="24"/>
      <c r="AC1263" s="24"/>
    </row>
    <row r="1264" spans="1:29" s="25" customFormat="1" x14ac:dyDescent="0.3">
      <c r="A1264" s="24">
        <v>628</v>
      </c>
      <c r="B1264" s="24" t="s">
        <v>2272</v>
      </c>
      <c r="C1264" s="26">
        <v>321</v>
      </c>
      <c r="D1264" s="25" t="s">
        <v>1371</v>
      </c>
      <c r="E1264" s="19" t="s">
        <v>1372</v>
      </c>
      <c r="F1264" s="19"/>
      <c r="G1264" s="24"/>
      <c r="H1264" s="19" t="s">
        <v>4491</v>
      </c>
      <c r="I1264" s="26" t="s">
        <v>89</v>
      </c>
      <c r="J1264" s="26" t="s">
        <v>37</v>
      </c>
      <c r="K1264" s="24"/>
      <c r="L1264" s="24" t="s">
        <v>4097</v>
      </c>
      <c r="M1264" s="24" t="s">
        <v>5673</v>
      </c>
      <c r="N1264" s="24"/>
      <c r="O1264" s="26"/>
      <c r="P1264" s="24"/>
      <c r="Q1264" s="24"/>
      <c r="R1264" s="26"/>
      <c r="S1264" s="26"/>
      <c r="T1264" s="26"/>
      <c r="U1264" s="24"/>
      <c r="V1264" s="24"/>
      <c r="W1264" s="24"/>
      <c r="X1264" s="63"/>
      <c r="Y1264" s="63"/>
      <c r="Z1264" s="63"/>
      <c r="AA1264" s="63"/>
      <c r="AB1264" s="24"/>
      <c r="AC1264" s="24"/>
    </row>
    <row r="1265" spans="1:29" s="28" customFormat="1" x14ac:dyDescent="0.3">
      <c r="A1265" s="27" t="s">
        <v>8189</v>
      </c>
      <c r="B1265" s="27" t="s">
        <v>2273</v>
      </c>
      <c r="C1265" s="29"/>
      <c r="D1265" s="28" t="s">
        <v>5066</v>
      </c>
      <c r="E1265" s="20" t="s">
        <v>1372</v>
      </c>
      <c r="F1265" s="20" t="s">
        <v>2281</v>
      </c>
      <c r="G1265" s="27"/>
      <c r="H1265" s="20"/>
      <c r="I1265" s="29"/>
      <c r="J1265" s="29"/>
      <c r="K1265" s="27"/>
      <c r="L1265" s="27"/>
      <c r="M1265" s="27" t="s">
        <v>8190</v>
      </c>
      <c r="N1265" s="27" t="s">
        <v>5315</v>
      </c>
      <c r="O1265" s="29" t="s">
        <v>8191</v>
      </c>
      <c r="P1265" s="27"/>
      <c r="Q1265" s="27"/>
      <c r="R1265" s="29"/>
      <c r="S1265" s="29"/>
      <c r="T1265" s="29"/>
      <c r="U1265" s="27"/>
      <c r="V1265" s="27"/>
      <c r="W1265" s="27"/>
      <c r="X1265" s="64"/>
      <c r="Y1265" s="64"/>
      <c r="Z1265" s="64"/>
      <c r="AA1265" s="64"/>
      <c r="AB1265" s="27"/>
      <c r="AC1265" s="27"/>
    </row>
    <row r="1266" spans="1:29" s="25" customFormat="1" x14ac:dyDescent="0.3">
      <c r="A1266" s="24">
        <v>629</v>
      </c>
      <c r="B1266" s="24" t="s">
        <v>2272</v>
      </c>
      <c r="C1266" s="26"/>
      <c r="D1266" s="25" t="s">
        <v>5181</v>
      </c>
      <c r="E1266" s="19" t="s">
        <v>5182</v>
      </c>
      <c r="F1266" s="19"/>
      <c r="G1266" s="24"/>
      <c r="H1266" s="19"/>
      <c r="I1266" s="26" t="s">
        <v>49</v>
      </c>
      <c r="J1266" s="26"/>
      <c r="K1266" s="24" t="s">
        <v>49</v>
      </c>
      <c r="L1266" s="24"/>
      <c r="M1266" s="24" t="s">
        <v>5340</v>
      </c>
      <c r="N1266" s="24" t="s">
        <v>1642</v>
      </c>
      <c r="O1266" s="26"/>
      <c r="P1266" s="24" t="s">
        <v>6455</v>
      </c>
      <c r="Q1266" s="24"/>
      <c r="R1266" s="26"/>
      <c r="S1266" s="26"/>
      <c r="T1266" s="26"/>
      <c r="U1266" s="24"/>
      <c r="V1266" s="24"/>
      <c r="W1266" s="24"/>
      <c r="X1266" s="63"/>
      <c r="Y1266" s="63"/>
      <c r="Z1266" s="63"/>
      <c r="AA1266" s="63"/>
      <c r="AB1266" s="24"/>
      <c r="AC1266" s="24"/>
    </row>
    <row r="1267" spans="1:29" s="25" customFormat="1" x14ac:dyDescent="0.3">
      <c r="A1267" s="24">
        <v>630</v>
      </c>
      <c r="B1267" s="24" t="s">
        <v>2272</v>
      </c>
      <c r="C1267" s="26">
        <v>323</v>
      </c>
      <c r="D1267" s="25" t="s">
        <v>1384</v>
      </c>
      <c r="E1267" s="19" t="s">
        <v>1385</v>
      </c>
      <c r="F1267" s="19"/>
      <c r="G1267" s="24"/>
      <c r="H1267" s="19"/>
      <c r="I1267" s="26" t="s">
        <v>89</v>
      </c>
      <c r="J1267" s="26" t="s">
        <v>37</v>
      </c>
      <c r="K1267" s="24"/>
      <c r="L1267" s="24" t="s">
        <v>4080</v>
      </c>
      <c r="M1267" s="24" t="s">
        <v>5680</v>
      </c>
      <c r="N1267" s="24" t="s">
        <v>5681</v>
      </c>
      <c r="O1267" s="26"/>
      <c r="P1267" s="24"/>
      <c r="Q1267" s="24"/>
      <c r="R1267" s="26"/>
      <c r="S1267" s="26"/>
      <c r="T1267" s="26"/>
      <c r="U1267" s="24"/>
      <c r="V1267" s="24"/>
      <c r="W1267" s="24"/>
      <c r="X1267" s="63"/>
      <c r="Y1267" s="63"/>
      <c r="Z1267" s="63"/>
      <c r="AA1267" s="63"/>
      <c r="AB1267" s="24"/>
      <c r="AC1267" s="24"/>
    </row>
    <row r="1268" spans="1:29" s="28" customFormat="1" x14ac:dyDescent="0.3">
      <c r="A1268" s="27" t="s">
        <v>6344</v>
      </c>
      <c r="B1268" s="27" t="s">
        <v>2273</v>
      </c>
      <c r="C1268" s="29"/>
      <c r="D1268" s="28" t="s">
        <v>5068</v>
      </c>
      <c r="E1268" s="20" t="s">
        <v>1385</v>
      </c>
      <c r="F1268" s="20" t="s">
        <v>2365</v>
      </c>
      <c r="G1268" s="27"/>
      <c r="H1268" s="20"/>
      <c r="I1268" s="29"/>
      <c r="J1268" s="29"/>
      <c r="K1268" s="27"/>
      <c r="L1268" s="27"/>
      <c r="M1268" s="27" t="s">
        <v>8192</v>
      </c>
      <c r="N1268" s="27" t="s">
        <v>6872</v>
      </c>
      <c r="O1268" s="29" t="s">
        <v>8193</v>
      </c>
      <c r="P1268" s="27"/>
      <c r="Q1268" s="27"/>
      <c r="R1268" s="29"/>
      <c r="S1268" s="29"/>
      <c r="T1268" s="29"/>
      <c r="U1268" s="27"/>
      <c r="V1268" s="27"/>
      <c r="W1268" s="27"/>
      <c r="X1268" s="64"/>
      <c r="Y1268" s="64"/>
      <c r="Z1268" s="64"/>
      <c r="AA1268" s="64"/>
      <c r="AB1268" s="27"/>
      <c r="AC1268" s="27"/>
    </row>
    <row r="1269" spans="1:29" s="28" customFormat="1" x14ac:dyDescent="0.3">
      <c r="A1269" s="27" t="s">
        <v>6345</v>
      </c>
      <c r="B1269" s="27" t="s">
        <v>2273</v>
      </c>
      <c r="C1269" s="29"/>
      <c r="D1269" s="28" t="s">
        <v>5068</v>
      </c>
      <c r="E1269" s="20" t="s">
        <v>1385</v>
      </c>
      <c r="F1269" s="20" t="s">
        <v>2818</v>
      </c>
      <c r="G1269" s="27"/>
      <c r="H1269" s="20"/>
      <c r="I1269" s="29"/>
      <c r="J1269" s="29"/>
      <c r="K1269" s="27"/>
      <c r="L1269" s="27"/>
      <c r="M1269" s="27" t="s">
        <v>8194</v>
      </c>
      <c r="N1269" s="27" t="s">
        <v>8195</v>
      </c>
      <c r="O1269" s="29" t="s">
        <v>8196</v>
      </c>
      <c r="P1269" s="27"/>
      <c r="Q1269" s="27"/>
      <c r="R1269" s="29"/>
      <c r="S1269" s="29"/>
      <c r="T1269" s="29"/>
      <c r="U1269" s="27"/>
      <c r="V1269" s="27"/>
      <c r="W1269" s="27"/>
      <c r="X1269" s="64"/>
      <c r="Y1269" s="64"/>
      <c r="Z1269" s="64"/>
      <c r="AA1269" s="64"/>
      <c r="AB1269" s="27"/>
      <c r="AC1269" s="27"/>
    </row>
    <row r="1270" spans="1:29" s="25" customFormat="1" x14ac:dyDescent="0.3">
      <c r="A1270" s="24">
        <v>631</v>
      </c>
      <c r="B1270" s="24" t="s">
        <v>2272</v>
      </c>
      <c r="C1270" s="26">
        <v>323</v>
      </c>
      <c r="D1270" s="25" t="s">
        <v>3007</v>
      </c>
      <c r="E1270" s="19" t="s">
        <v>3008</v>
      </c>
      <c r="F1270" s="19"/>
      <c r="G1270" s="24"/>
      <c r="H1270" s="19"/>
      <c r="I1270" s="26" t="s">
        <v>49</v>
      </c>
      <c r="J1270" s="26" t="s">
        <v>5121</v>
      </c>
      <c r="K1270" s="24" t="s">
        <v>49</v>
      </c>
      <c r="L1270" s="24" t="s">
        <v>3078</v>
      </c>
      <c r="M1270" s="24" t="s">
        <v>5682</v>
      </c>
      <c r="N1270" s="24"/>
      <c r="O1270" s="26"/>
      <c r="P1270" s="24" t="s">
        <v>6457</v>
      </c>
      <c r="Q1270" s="24"/>
      <c r="R1270" s="26"/>
      <c r="S1270" s="26"/>
      <c r="T1270" s="26"/>
      <c r="U1270" s="24"/>
      <c r="V1270" s="24"/>
      <c r="W1270" s="24"/>
      <c r="X1270" s="63"/>
      <c r="Y1270" s="63"/>
      <c r="Z1270" s="63"/>
      <c r="AA1270" s="63"/>
      <c r="AB1270" s="24"/>
      <c r="AC1270" s="24"/>
    </row>
    <row r="1271" spans="1:29" s="28" customFormat="1" x14ac:dyDescent="0.3">
      <c r="A1271" s="27" t="s">
        <v>5776</v>
      </c>
      <c r="B1271" s="27" t="s">
        <v>2273</v>
      </c>
      <c r="C1271" s="29"/>
      <c r="D1271" s="28" t="s">
        <v>5069</v>
      </c>
      <c r="E1271" s="20" t="s">
        <v>3008</v>
      </c>
      <c r="F1271" s="20" t="s">
        <v>2478</v>
      </c>
      <c r="G1271" s="27"/>
      <c r="H1271" s="20"/>
      <c r="I1271" s="29"/>
      <c r="J1271" s="29"/>
      <c r="K1271" s="27"/>
      <c r="L1271" s="27"/>
      <c r="M1271" s="27" t="s">
        <v>8197</v>
      </c>
      <c r="N1271" s="27"/>
      <c r="O1271" s="29" t="s">
        <v>8198</v>
      </c>
      <c r="P1271" s="27"/>
      <c r="Q1271" s="27"/>
      <c r="R1271" s="29"/>
      <c r="S1271" s="29"/>
      <c r="T1271" s="29"/>
      <c r="U1271" s="27"/>
      <c r="V1271" s="27"/>
      <c r="W1271" s="27"/>
      <c r="X1271" s="64"/>
      <c r="Y1271" s="64"/>
      <c r="Z1271" s="64"/>
      <c r="AA1271" s="64"/>
      <c r="AB1271" s="27"/>
      <c r="AC1271" s="27"/>
    </row>
    <row r="1272" spans="1:29" s="25" customFormat="1" x14ac:dyDescent="0.3">
      <c r="A1272" s="24">
        <v>632</v>
      </c>
      <c r="B1272" s="24" t="s">
        <v>2272</v>
      </c>
      <c r="C1272" s="26">
        <v>323</v>
      </c>
      <c r="D1272" s="25" t="s">
        <v>1386</v>
      </c>
      <c r="E1272" s="19" t="s">
        <v>1387</v>
      </c>
      <c r="F1272" s="19"/>
      <c r="G1272" s="24"/>
      <c r="H1272" s="19"/>
      <c r="I1272" s="26" t="s">
        <v>37</v>
      </c>
      <c r="J1272" s="26" t="s">
        <v>37</v>
      </c>
      <c r="K1272" s="24"/>
      <c r="L1272" s="24" t="s">
        <v>4110</v>
      </c>
      <c r="M1272" s="24" t="s">
        <v>5683</v>
      </c>
      <c r="N1272" s="24"/>
      <c r="O1272" s="26"/>
      <c r="P1272" s="24"/>
      <c r="Q1272" s="24"/>
      <c r="R1272" s="26"/>
      <c r="S1272" s="26"/>
      <c r="T1272" s="26"/>
      <c r="U1272" s="24"/>
      <c r="V1272" s="24"/>
      <c r="W1272" s="24"/>
      <c r="X1272" s="63"/>
      <c r="Y1272" s="63"/>
      <c r="Z1272" s="63"/>
      <c r="AA1272" s="63"/>
      <c r="AB1272" s="24"/>
      <c r="AC1272" s="24"/>
    </row>
    <row r="1273" spans="1:29" s="28" customFormat="1" x14ac:dyDescent="0.3">
      <c r="A1273" s="27" t="s">
        <v>5777</v>
      </c>
      <c r="B1273" s="27" t="s">
        <v>2273</v>
      </c>
      <c r="C1273" s="29"/>
      <c r="D1273" s="28" t="s">
        <v>5070</v>
      </c>
      <c r="E1273" s="20" t="s">
        <v>1387</v>
      </c>
      <c r="F1273" s="20" t="s">
        <v>2819</v>
      </c>
      <c r="G1273" s="27"/>
      <c r="H1273" s="20"/>
      <c r="I1273" s="29"/>
      <c r="J1273" s="29"/>
      <c r="K1273" s="27"/>
      <c r="L1273" s="27"/>
      <c r="M1273" s="27" t="s">
        <v>8199</v>
      </c>
      <c r="N1273" s="27"/>
      <c r="O1273" s="29" t="s">
        <v>8200</v>
      </c>
      <c r="P1273" s="27"/>
      <c r="Q1273" s="27"/>
      <c r="R1273" s="29"/>
      <c r="S1273" s="29"/>
      <c r="T1273" s="29"/>
      <c r="U1273" s="27"/>
      <c r="V1273" s="27"/>
      <c r="W1273" s="27"/>
      <c r="X1273" s="64"/>
      <c r="Y1273" s="64"/>
      <c r="Z1273" s="64"/>
      <c r="AA1273" s="64"/>
      <c r="AB1273" s="27"/>
      <c r="AC1273" s="27"/>
    </row>
    <row r="1274" spans="1:29" s="28" customFormat="1" x14ac:dyDescent="0.3">
      <c r="A1274" s="27" t="s">
        <v>6346</v>
      </c>
      <c r="B1274" s="27" t="s">
        <v>2273</v>
      </c>
      <c r="C1274" s="29"/>
      <c r="D1274" s="28" t="s">
        <v>5070</v>
      </c>
      <c r="E1274" s="20" t="s">
        <v>1387</v>
      </c>
      <c r="F1274" s="20" t="s">
        <v>2644</v>
      </c>
      <c r="G1274" s="27"/>
      <c r="H1274" s="20"/>
      <c r="I1274" s="29"/>
      <c r="J1274" s="29"/>
      <c r="K1274" s="27"/>
      <c r="L1274" s="27"/>
      <c r="M1274" s="27" t="s">
        <v>8201</v>
      </c>
      <c r="N1274" s="27"/>
      <c r="O1274" s="29" t="s">
        <v>8202</v>
      </c>
      <c r="P1274" s="27"/>
      <c r="Q1274" s="27"/>
      <c r="R1274" s="29"/>
      <c r="S1274" s="29"/>
      <c r="T1274" s="29"/>
      <c r="U1274" s="27"/>
      <c r="V1274" s="27"/>
      <c r="W1274" s="27"/>
      <c r="X1274" s="64"/>
      <c r="Y1274" s="64"/>
      <c r="Z1274" s="64"/>
      <c r="AA1274" s="64"/>
      <c r="AB1274" s="27"/>
      <c r="AC1274" s="27"/>
    </row>
    <row r="1275" spans="1:29" s="28" customFormat="1" x14ac:dyDescent="0.3">
      <c r="A1275" s="27" t="s">
        <v>6347</v>
      </c>
      <c r="B1275" s="27" t="s">
        <v>2273</v>
      </c>
      <c r="C1275" s="29"/>
      <c r="D1275" s="28" t="s">
        <v>5070</v>
      </c>
      <c r="E1275" s="20" t="s">
        <v>1387</v>
      </c>
      <c r="F1275" s="20" t="s">
        <v>2820</v>
      </c>
      <c r="G1275" s="27"/>
      <c r="H1275" s="20"/>
      <c r="I1275" s="29"/>
      <c r="J1275" s="29"/>
      <c r="K1275" s="27"/>
      <c r="L1275" s="27"/>
      <c r="M1275" s="27" t="s">
        <v>7784</v>
      </c>
      <c r="N1275" s="27"/>
      <c r="O1275" s="29" t="s">
        <v>2199</v>
      </c>
      <c r="P1275" s="27"/>
      <c r="Q1275" s="27"/>
      <c r="R1275" s="29"/>
      <c r="S1275" s="29"/>
      <c r="T1275" s="29"/>
      <c r="U1275" s="27"/>
      <c r="V1275" s="27"/>
      <c r="W1275" s="27"/>
      <c r="X1275" s="64"/>
      <c r="Y1275" s="64"/>
      <c r="Z1275" s="64"/>
      <c r="AA1275" s="64"/>
      <c r="AB1275" s="27"/>
      <c r="AC1275" s="27"/>
    </row>
    <row r="1276" spans="1:29" s="25" customFormat="1" x14ac:dyDescent="0.3">
      <c r="A1276" s="24">
        <v>633</v>
      </c>
      <c r="B1276" s="24" t="s">
        <v>2272</v>
      </c>
      <c r="C1276" s="26">
        <v>325</v>
      </c>
      <c r="D1276" s="25" t="s">
        <v>1379</v>
      </c>
      <c r="E1276" s="19" t="s">
        <v>1380</v>
      </c>
      <c r="F1276" s="19"/>
      <c r="G1276" s="24"/>
      <c r="H1276" s="19"/>
      <c r="I1276" s="26" t="s">
        <v>57</v>
      </c>
      <c r="J1276" s="26" t="s">
        <v>57</v>
      </c>
      <c r="K1276" s="24"/>
      <c r="L1276" s="24" t="s">
        <v>4104</v>
      </c>
      <c r="M1276" s="24" t="s">
        <v>5480</v>
      </c>
      <c r="N1276" s="24"/>
      <c r="O1276" s="26" t="s">
        <v>2197</v>
      </c>
      <c r="P1276" s="24" t="s">
        <v>9</v>
      </c>
      <c r="Q1276" s="24"/>
      <c r="R1276" s="26"/>
      <c r="S1276" s="26"/>
      <c r="T1276" s="26"/>
      <c r="U1276" s="24"/>
      <c r="V1276" s="24"/>
      <c r="W1276" s="24"/>
      <c r="X1276" s="63"/>
      <c r="Y1276" s="63"/>
      <c r="Z1276" s="63"/>
      <c r="AA1276" s="63"/>
      <c r="AB1276" s="24"/>
      <c r="AC1276" s="24"/>
    </row>
    <row r="1277" spans="1:29" s="25" customFormat="1" x14ac:dyDescent="0.3">
      <c r="A1277" s="24">
        <v>634</v>
      </c>
      <c r="B1277" s="24" t="s">
        <v>2272</v>
      </c>
      <c r="C1277" s="26">
        <v>325</v>
      </c>
      <c r="D1277" s="25" t="s">
        <v>1377</v>
      </c>
      <c r="E1277" s="19" t="s">
        <v>1378</v>
      </c>
      <c r="F1277" s="19"/>
      <c r="G1277" s="24"/>
      <c r="H1277" s="19"/>
      <c r="I1277" s="26" t="s">
        <v>57</v>
      </c>
      <c r="J1277" s="26" t="s">
        <v>57</v>
      </c>
      <c r="K1277" s="24"/>
      <c r="L1277" s="24" t="s">
        <v>4697</v>
      </c>
      <c r="M1277" s="24" t="s">
        <v>5539</v>
      </c>
      <c r="N1277" s="24"/>
      <c r="O1277" s="26" t="s">
        <v>6117</v>
      </c>
      <c r="P1277" s="24"/>
      <c r="Q1277" s="24"/>
      <c r="R1277" s="26"/>
      <c r="S1277" s="26"/>
      <c r="T1277" s="26"/>
      <c r="U1277" s="24"/>
      <c r="V1277" s="24"/>
      <c r="W1277" s="24"/>
      <c r="X1277" s="63"/>
      <c r="Y1277" s="63"/>
      <c r="Z1277" s="63"/>
      <c r="AA1277" s="63"/>
      <c r="AB1277" s="24"/>
      <c r="AC1277" s="24"/>
    </row>
    <row r="1278" spans="1:29" s="25" customFormat="1" x14ac:dyDescent="0.3">
      <c r="A1278" s="24">
        <v>635</v>
      </c>
      <c r="B1278" s="24" t="s">
        <v>2272</v>
      </c>
      <c r="C1278" s="26">
        <v>325</v>
      </c>
      <c r="D1278" s="25" t="s">
        <v>5850</v>
      </c>
      <c r="E1278" s="19" t="s">
        <v>2814</v>
      </c>
      <c r="F1278" s="19"/>
      <c r="G1278" s="24"/>
      <c r="H1278" s="19"/>
      <c r="I1278" s="26" t="s">
        <v>57</v>
      </c>
      <c r="J1278" s="26" t="s">
        <v>57</v>
      </c>
      <c r="K1278" s="24"/>
      <c r="L1278" s="24" t="s">
        <v>4698</v>
      </c>
      <c r="M1278" s="24" t="s">
        <v>6118</v>
      </c>
      <c r="N1278" s="24"/>
      <c r="O1278" s="26" t="s">
        <v>6119</v>
      </c>
      <c r="P1278" s="24"/>
      <c r="Q1278" s="24"/>
      <c r="R1278" s="26"/>
      <c r="S1278" s="26"/>
      <c r="T1278" s="26"/>
      <c r="U1278" s="24"/>
      <c r="V1278" s="24"/>
      <c r="W1278" s="24"/>
      <c r="X1278" s="63"/>
      <c r="Y1278" s="63"/>
      <c r="Z1278" s="63"/>
      <c r="AA1278" s="63"/>
      <c r="AB1278" s="24"/>
      <c r="AC1278" s="24"/>
    </row>
    <row r="1279" spans="1:29" s="25" customFormat="1" x14ac:dyDescent="0.3">
      <c r="A1279" s="24">
        <v>636</v>
      </c>
      <c r="B1279" s="24" t="s">
        <v>2272</v>
      </c>
      <c r="C1279" s="26">
        <v>325</v>
      </c>
      <c r="D1279" s="25" t="s">
        <v>5186</v>
      </c>
      <c r="E1279" s="19" t="s">
        <v>1383</v>
      </c>
      <c r="F1279" s="19"/>
      <c r="G1279" s="24" t="s">
        <v>5187</v>
      </c>
      <c r="H1279" s="19"/>
      <c r="I1279" s="26" t="s">
        <v>57</v>
      </c>
      <c r="J1279" s="26" t="s">
        <v>57</v>
      </c>
      <c r="K1279" s="24"/>
      <c r="L1279" s="24" t="s">
        <v>4701</v>
      </c>
      <c r="M1279" s="24" t="s">
        <v>5615</v>
      </c>
      <c r="N1279" s="24"/>
      <c r="O1279" s="26"/>
      <c r="P1279" s="24"/>
      <c r="Q1279" s="24"/>
      <c r="R1279" s="26"/>
      <c r="S1279" s="26"/>
      <c r="T1279" s="26"/>
      <c r="U1279" s="24"/>
      <c r="V1279" s="24"/>
      <c r="W1279" s="24"/>
      <c r="X1279" s="63"/>
      <c r="Y1279" s="63"/>
      <c r="Z1279" s="63"/>
      <c r="AA1279" s="63"/>
      <c r="AB1279" s="24"/>
      <c r="AC1279" s="24"/>
    </row>
    <row r="1280" spans="1:29" s="28" customFormat="1" x14ac:dyDescent="0.3">
      <c r="A1280" s="27" t="s">
        <v>8203</v>
      </c>
      <c r="B1280" s="27" t="s">
        <v>2273</v>
      </c>
      <c r="C1280" s="29"/>
      <c r="D1280" s="28" t="s">
        <v>5775</v>
      </c>
      <c r="E1280" s="20" t="s">
        <v>1383</v>
      </c>
      <c r="F1280" s="20" t="s">
        <v>2816</v>
      </c>
      <c r="G1280" s="27"/>
      <c r="H1280" s="20"/>
      <c r="I1280" s="29"/>
      <c r="J1280" s="29"/>
      <c r="K1280" s="27"/>
      <c r="L1280" s="27"/>
      <c r="M1280" s="27" t="s">
        <v>7407</v>
      </c>
      <c r="N1280" s="27"/>
      <c r="O1280" s="29" t="s">
        <v>6903</v>
      </c>
      <c r="P1280" s="27"/>
      <c r="Q1280" s="27"/>
      <c r="R1280" s="29"/>
      <c r="S1280" s="29"/>
      <c r="T1280" s="29"/>
      <c r="U1280" s="27"/>
      <c r="V1280" s="27"/>
      <c r="W1280" s="27"/>
      <c r="X1280" s="64"/>
      <c r="Y1280" s="64"/>
      <c r="Z1280" s="64"/>
      <c r="AA1280" s="64"/>
      <c r="AB1280" s="27"/>
      <c r="AC1280" s="27"/>
    </row>
    <row r="1281" spans="1:29" s="28" customFormat="1" x14ac:dyDescent="0.3">
      <c r="A1281" s="27" t="s">
        <v>8204</v>
      </c>
      <c r="B1281" s="27" t="s">
        <v>2273</v>
      </c>
      <c r="C1281" s="29"/>
      <c r="D1281" s="28" t="s">
        <v>5775</v>
      </c>
      <c r="E1281" s="20" t="s">
        <v>1383</v>
      </c>
      <c r="F1281" s="20" t="s">
        <v>2787</v>
      </c>
      <c r="G1281" s="27"/>
      <c r="H1281" s="20"/>
      <c r="I1281" s="29"/>
      <c r="J1281" s="29"/>
      <c r="K1281" s="27"/>
      <c r="L1281" s="27"/>
      <c r="M1281" s="27" t="s">
        <v>8205</v>
      </c>
      <c r="N1281" s="27"/>
      <c r="O1281" s="29" t="s">
        <v>8206</v>
      </c>
      <c r="P1281" s="27"/>
      <c r="Q1281" s="27"/>
      <c r="R1281" s="29"/>
      <c r="S1281" s="29"/>
      <c r="T1281" s="29"/>
      <c r="U1281" s="27"/>
      <c r="V1281" s="27"/>
      <c r="W1281" s="27"/>
      <c r="X1281" s="64"/>
      <c r="Y1281" s="64"/>
      <c r="Z1281" s="64"/>
      <c r="AA1281" s="64"/>
      <c r="AB1281" s="27"/>
      <c r="AC1281" s="27"/>
    </row>
    <row r="1282" spans="1:29" s="28" customFormat="1" x14ac:dyDescent="0.3">
      <c r="A1282" s="27" t="s">
        <v>8207</v>
      </c>
      <c r="B1282" s="27" t="s">
        <v>2273</v>
      </c>
      <c r="C1282" s="29"/>
      <c r="D1282" s="28" t="s">
        <v>5775</v>
      </c>
      <c r="E1282" s="20" t="s">
        <v>1383</v>
      </c>
      <c r="F1282" s="20" t="s">
        <v>2647</v>
      </c>
      <c r="G1282" s="27"/>
      <c r="H1282" s="20"/>
      <c r="I1282" s="29"/>
      <c r="J1282" s="29"/>
      <c r="K1282" s="27"/>
      <c r="L1282" s="27"/>
      <c r="M1282" s="27" t="s">
        <v>8034</v>
      </c>
      <c r="N1282" s="27"/>
      <c r="O1282" s="29" t="s">
        <v>7682</v>
      </c>
      <c r="P1282" s="27"/>
      <c r="Q1282" s="27"/>
      <c r="R1282" s="29"/>
      <c r="S1282" s="29"/>
      <c r="T1282" s="29"/>
      <c r="U1282" s="27"/>
      <c r="V1282" s="27"/>
      <c r="W1282" s="27"/>
      <c r="X1282" s="64"/>
      <c r="Y1282" s="64"/>
      <c r="Z1282" s="64"/>
      <c r="AA1282" s="64"/>
      <c r="AB1282" s="27"/>
      <c r="AC1282" s="27"/>
    </row>
    <row r="1283" spans="1:29" s="28" customFormat="1" x14ac:dyDescent="0.3">
      <c r="A1283" s="27" t="s">
        <v>8208</v>
      </c>
      <c r="B1283" s="27" t="s">
        <v>2273</v>
      </c>
      <c r="C1283" s="29"/>
      <c r="D1283" s="28" t="s">
        <v>5775</v>
      </c>
      <c r="E1283" s="20" t="s">
        <v>1383</v>
      </c>
      <c r="F1283" s="20" t="s">
        <v>2578</v>
      </c>
      <c r="G1283" s="27"/>
      <c r="H1283" s="20"/>
      <c r="I1283" s="29"/>
      <c r="J1283" s="29"/>
      <c r="K1283" s="27"/>
      <c r="L1283" s="27"/>
      <c r="M1283" s="27" t="s">
        <v>8209</v>
      </c>
      <c r="N1283" s="27"/>
      <c r="O1283" s="29" t="s">
        <v>8210</v>
      </c>
      <c r="P1283" s="27"/>
      <c r="Q1283" s="27"/>
      <c r="R1283" s="29"/>
      <c r="S1283" s="29"/>
      <c r="T1283" s="29"/>
      <c r="U1283" s="27"/>
      <c r="V1283" s="27"/>
      <c r="W1283" s="27"/>
      <c r="X1283" s="64"/>
      <c r="Y1283" s="64"/>
      <c r="Z1283" s="64"/>
      <c r="AA1283" s="64"/>
      <c r="AB1283" s="27"/>
      <c r="AC1283" s="27"/>
    </row>
    <row r="1284" spans="1:29" s="25" customFormat="1" x14ac:dyDescent="0.3">
      <c r="A1284" s="24">
        <v>637</v>
      </c>
      <c r="B1284" s="24" t="s">
        <v>2272</v>
      </c>
      <c r="C1284" s="26">
        <v>325</v>
      </c>
      <c r="D1284" s="25" t="s">
        <v>5184</v>
      </c>
      <c r="E1284" s="19" t="s">
        <v>5185</v>
      </c>
      <c r="F1284" s="19"/>
      <c r="G1284" s="24"/>
      <c r="H1284" s="19" t="s">
        <v>4703</v>
      </c>
      <c r="I1284" s="26" t="s">
        <v>57</v>
      </c>
      <c r="J1284" s="26" t="s">
        <v>57</v>
      </c>
      <c r="K1284" s="24"/>
      <c r="L1284" s="24" t="s">
        <v>4702</v>
      </c>
      <c r="M1284" s="24" t="s">
        <v>5467</v>
      </c>
      <c r="N1284" s="24"/>
      <c r="O1284" s="26" t="s">
        <v>6121</v>
      </c>
      <c r="P1284" s="24"/>
      <c r="Q1284" s="24"/>
      <c r="R1284" s="26"/>
      <c r="S1284" s="26"/>
      <c r="T1284" s="26"/>
      <c r="U1284" s="24"/>
      <c r="V1284" s="24"/>
      <c r="W1284" s="24"/>
      <c r="X1284" s="63"/>
      <c r="Y1284" s="63"/>
      <c r="Z1284" s="63"/>
      <c r="AA1284" s="63"/>
      <c r="AB1284" s="24"/>
      <c r="AC1284" s="24"/>
    </row>
    <row r="1285" spans="1:29" s="25" customFormat="1" x14ac:dyDescent="0.3">
      <c r="A1285" s="24">
        <v>638</v>
      </c>
      <c r="B1285" s="24" t="s">
        <v>2272</v>
      </c>
      <c r="C1285" s="26">
        <v>327</v>
      </c>
      <c r="D1285" s="25" t="s">
        <v>1381</v>
      </c>
      <c r="E1285" s="19" t="s">
        <v>1382</v>
      </c>
      <c r="F1285" s="19"/>
      <c r="G1285" s="24"/>
      <c r="H1285" s="19"/>
      <c r="I1285" s="26" t="s">
        <v>37</v>
      </c>
      <c r="J1285" s="26" t="s">
        <v>57</v>
      </c>
      <c r="K1285" s="24"/>
      <c r="L1285" s="24" t="s">
        <v>3233</v>
      </c>
      <c r="M1285" s="24" t="s">
        <v>4414</v>
      </c>
      <c r="N1285" s="24"/>
      <c r="O1285" s="26"/>
      <c r="P1285" s="24"/>
      <c r="Q1285" s="24"/>
      <c r="R1285" s="26"/>
      <c r="S1285" s="26"/>
      <c r="T1285" s="26"/>
      <c r="U1285" s="24"/>
      <c r="V1285" s="24"/>
      <c r="W1285" s="24"/>
      <c r="X1285" s="63"/>
      <c r="Y1285" s="63"/>
      <c r="Z1285" s="63"/>
      <c r="AA1285" s="63"/>
      <c r="AB1285" s="24"/>
      <c r="AC1285" s="24"/>
    </row>
    <row r="1286" spans="1:29" s="28" customFormat="1" x14ac:dyDescent="0.3">
      <c r="A1286" s="27" t="s">
        <v>8211</v>
      </c>
      <c r="B1286" s="27" t="s">
        <v>2273</v>
      </c>
      <c r="C1286" s="29">
        <v>327</v>
      </c>
      <c r="D1286" s="28" t="s">
        <v>5067</v>
      </c>
      <c r="E1286" s="20" t="s">
        <v>1382</v>
      </c>
      <c r="F1286" s="20" t="s">
        <v>2634</v>
      </c>
      <c r="G1286" s="27" t="s">
        <v>4699</v>
      </c>
      <c r="H1286" s="20" t="s">
        <v>4700</v>
      </c>
      <c r="I1286" s="29"/>
      <c r="J1286" s="29" t="s">
        <v>57</v>
      </c>
      <c r="K1286" s="27"/>
      <c r="L1286" s="27" t="s">
        <v>3233</v>
      </c>
      <c r="M1286" s="27" t="s">
        <v>7557</v>
      </c>
      <c r="N1286" s="27"/>
      <c r="O1286" s="29"/>
      <c r="P1286" s="27"/>
      <c r="Q1286" s="27"/>
      <c r="R1286" s="29"/>
      <c r="S1286" s="29"/>
      <c r="T1286" s="29"/>
      <c r="U1286" s="27"/>
      <c r="V1286" s="27"/>
      <c r="W1286" s="27"/>
      <c r="X1286" s="64"/>
      <c r="Y1286" s="64"/>
      <c r="Z1286" s="64"/>
      <c r="AA1286" s="64"/>
      <c r="AB1286" s="27"/>
      <c r="AC1286" s="27"/>
    </row>
    <row r="1287" spans="1:29" s="28" customFormat="1" x14ac:dyDescent="0.3">
      <c r="A1287" s="27" t="s">
        <v>8212</v>
      </c>
      <c r="B1287" s="27" t="s">
        <v>2273</v>
      </c>
      <c r="C1287" s="29">
        <v>327</v>
      </c>
      <c r="D1287" s="28" t="s">
        <v>5067</v>
      </c>
      <c r="E1287" s="20" t="s">
        <v>1382</v>
      </c>
      <c r="F1287" s="20" t="s">
        <v>2815</v>
      </c>
      <c r="G1287" s="27" t="s">
        <v>4699</v>
      </c>
      <c r="H1287" s="20" t="s">
        <v>4700</v>
      </c>
      <c r="I1287" s="29"/>
      <c r="J1287" s="29" t="s">
        <v>57</v>
      </c>
      <c r="K1287" s="27"/>
      <c r="L1287" s="27" t="s">
        <v>3233</v>
      </c>
      <c r="M1287" s="27" t="s">
        <v>6914</v>
      </c>
      <c r="N1287" s="27"/>
      <c r="O1287" s="29" t="s">
        <v>8213</v>
      </c>
      <c r="P1287" s="27"/>
      <c r="Q1287" s="27"/>
      <c r="R1287" s="29"/>
      <c r="S1287" s="29"/>
      <c r="T1287" s="29"/>
      <c r="U1287" s="27"/>
      <c r="V1287" s="27"/>
      <c r="W1287" s="27"/>
      <c r="X1287" s="64"/>
      <c r="Y1287" s="64"/>
      <c r="Z1287" s="64"/>
      <c r="AA1287" s="64"/>
      <c r="AB1287" s="27"/>
      <c r="AC1287" s="27"/>
    </row>
    <row r="1288" spans="1:29" s="28" customFormat="1" x14ac:dyDescent="0.3">
      <c r="A1288" s="27" t="s">
        <v>8214</v>
      </c>
      <c r="B1288" s="27" t="s">
        <v>2273</v>
      </c>
      <c r="C1288" s="29">
        <v>327</v>
      </c>
      <c r="D1288" s="28" t="s">
        <v>5067</v>
      </c>
      <c r="E1288" s="20" t="s">
        <v>1382</v>
      </c>
      <c r="F1288" s="20" t="s">
        <v>2341</v>
      </c>
      <c r="G1288" s="27" t="s">
        <v>4699</v>
      </c>
      <c r="H1288" s="20" t="s">
        <v>4700</v>
      </c>
      <c r="I1288" s="29"/>
      <c r="J1288" s="29" t="s">
        <v>57</v>
      </c>
      <c r="K1288" s="27"/>
      <c r="L1288" s="27" t="s">
        <v>3233</v>
      </c>
      <c r="M1288" s="27" t="s">
        <v>8215</v>
      </c>
      <c r="N1288" s="27"/>
      <c r="O1288" s="29" t="s">
        <v>8216</v>
      </c>
      <c r="P1288" s="27"/>
      <c r="Q1288" s="27"/>
      <c r="R1288" s="29"/>
      <c r="S1288" s="29"/>
      <c r="T1288" s="29"/>
      <c r="U1288" s="27"/>
      <c r="V1288" s="27"/>
      <c r="W1288" s="27"/>
      <c r="X1288" s="64"/>
      <c r="Y1288" s="64"/>
      <c r="Z1288" s="64"/>
      <c r="AA1288" s="64"/>
      <c r="AB1288" s="27"/>
      <c r="AC1288" s="27"/>
    </row>
    <row r="1289" spans="1:29" s="28" customFormat="1" x14ac:dyDescent="0.3">
      <c r="A1289" s="27" t="s">
        <v>8217</v>
      </c>
      <c r="B1289" s="27" t="s">
        <v>2273</v>
      </c>
      <c r="C1289" s="29">
        <v>327</v>
      </c>
      <c r="D1289" s="28" t="s">
        <v>5067</v>
      </c>
      <c r="E1289" s="20" t="s">
        <v>1382</v>
      </c>
      <c r="F1289" s="20" t="s">
        <v>2337</v>
      </c>
      <c r="G1289" s="27" t="s">
        <v>4699</v>
      </c>
      <c r="H1289" s="20" t="s">
        <v>4700</v>
      </c>
      <c r="I1289" s="29"/>
      <c r="J1289" s="29" t="s">
        <v>57</v>
      </c>
      <c r="K1289" s="27"/>
      <c r="L1289" s="27" t="s">
        <v>3233</v>
      </c>
      <c r="M1289" s="27" t="s">
        <v>7662</v>
      </c>
      <c r="N1289" s="27"/>
      <c r="O1289" s="29" t="s">
        <v>1925</v>
      </c>
      <c r="P1289" s="27"/>
      <c r="Q1289" s="27"/>
      <c r="R1289" s="29"/>
      <c r="S1289" s="29"/>
      <c r="T1289" s="29"/>
      <c r="U1289" s="27"/>
      <c r="V1289" s="27"/>
      <c r="W1289" s="27"/>
      <c r="X1289" s="64"/>
      <c r="Y1289" s="64"/>
      <c r="Z1289" s="64"/>
      <c r="AA1289" s="64"/>
      <c r="AB1289" s="27"/>
      <c r="AC1289" s="27"/>
    </row>
    <row r="1290" spans="1:29" s="25" customFormat="1" x14ac:dyDescent="0.3">
      <c r="A1290" s="24">
        <v>639</v>
      </c>
      <c r="B1290" s="24" t="s">
        <v>2272</v>
      </c>
      <c r="C1290" s="26">
        <v>329</v>
      </c>
      <c r="D1290" s="25" t="s">
        <v>1399</v>
      </c>
      <c r="E1290" s="19" t="s">
        <v>1400</v>
      </c>
      <c r="F1290" s="19"/>
      <c r="G1290" s="24"/>
      <c r="H1290" s="19" t="s">
        <v>2208</v>
      </c>
      <c r="I1290" s="26" t="s">
        <v>49</v>
      </c>
      <c r="J1290" s="26" t="s">
        <v>5121</v>
      </c>
      <c r="K1290" s="24" t="s">
        <v>49</v>
      </c>
      <c r="L1290" s="24" t="s">
        <v>3439</v>
      </c>
      <c r="M1290" s="24" t="s">
        <v>5684</v>
      </c>
      <c r="N1290" s="24" t="s">
        <v>2207</v>
      </c>
      <c r="O1290" s="26"/>
      <c r="P1290" s="24" t="s">
        <v>6599</v>
      </c>
      <c r="Q1290" s="24"/>
      <c r="R1290" s="26"/>
      <c r="S1290" s="26"/>
      <c r="T1290" s="26"/>
      <c r="U1290" s="24"/>
      <c r="V1290" s="24"/>
      <c r="W1290" s="24"/>
      <c r="X1290" s="63"/>
      <c r="Y1290" s="63"/>
      <c r="Z1290" s="63"/>
      <c r="AA1290" s="63"/>
      <c r="AB1290" s="24"/>
      <c r="AC1290" s="24"/>
    </row>
    <row r="1291" spans="1:29" s="28" customFormat="1" x14ac:dyDescent="0.3">
      <c r="A1291" s="27" t="s">
        <v>6349</v>
      </c>
      <c r="B1291" s="27" t="s">
        <v>2273</v>
      </c>
      <c r="C1291" s="29">
        <v>329</v>
      </c>
      <c r="D1291" s="28" t="s">
        <v>5072</v>
      </c>
      <c r="E1291" s="20" t="s">
        <v>1400</v>
      </c>
      <c r="F1291" s="20" t="s">
        <v>2826</v>
      </c>
      <c r="G1291" s="27" t="s">
        <v>4705</v>
      </c>
      <c r="H1291" s="20" t="s">
        <v>4706</v>
      </c>
      <c r="I1291" s="29"/>
      <c r="J1291" s="29" t="s">
        <v>5121</v>
      </c>
      <c r="K1291" s="27"/>
      <c r="L1291" s="27" t="s">
        <v>3439</v>
      </c>
      <c r="M1291" s="27" t="s">
        <v>8218</v>
      </c>
      <c r="N1291" s="27" t="s">
        <v>8219</v>
      </c>
      <c r="O1291" s="29" t="s">
        <v>8220</v>
      </c>
      <c r="P1291" s="27"/>
      <c r="Q1291" s="27"/>
      <c r="R1291" s="29"/>
      <c r="S1291" s="29"/>
      <c r="T1291" s="29"/>
      <c r="U1291" s="27"/>
      <c r="V1291" s="27"/>
      <c r="W1291" s="27"/>
      <c r="X1291" s="64"/>
      <c r="Y1291" s="64"/>
      <c r="Z1291" s="64"/>
      <c r="AA1291" s="64"/>
      <c r="AB1291" s="27"/>
      <c r="AC1291" s="27"/>
    </row>
    <row r="1292" spans="1:29" s="25" customFormat="1" x14ac:dyDescent="0.3">
      <c r="A1292" s="24">
        <v>640</v>
      </c>
      <c r="B1292" s="24" t="s">
        <v>2272</v>
      </c>
      <c r="C1292" s="26">
        <v>331</v>
      </c>
      <c r="D1292" s="25" t="s">
        <v>1401</v>
      </c>
      <c r="E1292" s="19" t="s">
        <v>1402</v>
      </c>
      <c r="F1292" s="19"/>
      <c r="G1292" s="24"/>
      <c r="H1292" s="19"/>
      <c r="I1292" s="26" t="s">
        <v>89</v>
      </c>
      <c r="J1292" s="26" t="s">
        <v>37</v>
      </c>
      <c r="K1292" s="24"/>
      <c r="L1292" s="24" t="s">
        <v>4123</v>
      </c>
      <c r="M1292" s="24" t="s">
        <v>5452</v>
      </c>
      <c r="N1292" s="24" t="s">
        <v>1759</v>
      </c>
      <c r="O1292" s="26" t="s">
        <v>2209</v>
      </c>
      <c r="P1292" s="24" t="s">
        <v>9</v>
      </c>
      <c r="Q1292" s="24"/>
      <c r="R1292" s="26"/>
      <c r="S1292" s="26"/>
      <c r="T1292" s="26"/>
      <c r="U1292" s="24"/>
      <c r="V1292" s="24"/>
      <c r="W1292" s="24"/>
      <c r="X1292" s="63"/>
      <c r="Y1292" s="63"/>
      <c r="Z1292" s="63"/>
      <c r="AA1292" s="63"/>
      <c r="AB1292" s="24"/>
      <c r="AC1292" s="24"/>
    </row>
    <row r="1293" spans="1:29" s="28" customFormat="1" x14ac:dyDescent="0.3">
      <c r="A1293" s="27" t="s">
        <v>6350</v>
      </c>
      <c r="B1293" s="27" t="s">
        <v>2273</v>
      </c>
      <c r="C1293" s="29"/>
      <c r="D1293" s="28" t="s">
        <v>5073</v>
      </c>
      <c r="E1293" s="20" t="s">
        <v>1402</v>
      </c>
      <c r="F1293" s="20" t="s">
        <v>2827</v>
      </c>
      <c r="G1293" s="27"/>
      <c r="H1293" s="20"/>
      <c r="I1293" s="29"/>
      <c r="J1293" s="29"/>
      <c r="K1293" s="27"/>
      <c r="L1293" s="27"/>
      <c r="M1293" s="27" t="s">
        <v>8221</v>
      </c>
      <c r="N1293" s="27" t="s">
        <v>8222</v>
      </c>
      <c r="O1293" s="29"/>
      <c r="P1293" s="27"/>
      <c r="Q1293" s="27"/>
      <c r="R1293" s="29"/>
      <c r="S1293" s="29"/>
      <c r="T1293" s="29"/>
      <c r="U1293" s="27"/>
      <c r="V1293" s="27"/>
      <c r="W1293" s="27"/>
      <c r="X1293" s="64"/>
      <c r="Y1293" s="64"/>
      <c r="Z1293" s="64"/>
      <c r="AA1293" s="64"/>
      <c r="AB1293" s="27"/>
      <c r="AC1293" s="27"/>
    </row>
    <row r="1294" spans="1:29" s="25" customFormat="1" x14ac:dyDescent="0.3">
      <c r="A1294" s="24">
        <v>641</v>
      </c>
      <c r="B1294" s="24" t="s">
        <v>2272</v>
      </c>
      <c r="C1294" s="26">
        <v>327</v>
      </c>
      <c r="D1294" s="25" t="s">
        <v>1391</v>
      </c>
      <c r="E1294" s="19" t="s">
        <v>1392</v>
      </c>
      <c r="F1294" s="19"/>
      <c r="G1294" s="24"/>
      <c r="H1294" s="19"/>
      <c r="I1294" s="26" t="s">
        <v>57</v>
      </c>
      <c r="J1294" s="26" t="s">
        <v>57</v>
      </c>
      <c r="K1294" s="24" t="s">
        <v>4494</v>
      </c>
      <c r="L1294" s="24" t="s">
        <v>4114</v>
      </c>
      <c r="M1294" s="24" t="s">
        <v>5485</v>
      </c>
      <c r="N1294" s="24"/>
      <c r="O1294" s="26" t="s">
        <v>2203</v>
      </c>
      <c r="P1294" s="24"/>
      <c r="Q1294" s="24"/>
      <c r="R1294" s="26"/>
      <c r="S1294" s="26"/>
      <c r="T1294" s="26"/>
      <c r="U1294" s="24"/>
      <c r="V1294" s="24"/>
      <c r="W1294" s="24"/>
      <c r="X1294" s="63"/>
      <c r="Y1294" s="63"/>
      <c r="Z1294" s="63"/>
      <c r="AA1294" s="63"/>
      <c r="AB1294" s="24"/>
      <c r="AC1294" s="24"/>
    </row>
    <row r="1295" spans="1:29" s="25" customFormat="1" x14ac:dyDescent="0.3">
      <c r="A1295" s="24">
        <v>642</v>
      </c>
      <c r="B1295" s="24" t="s">
        <v>2272</v>
      </c>
      <c r="C1295" s="26">
        <v>327</v>
      </c>
      <c r="D1295" s="25" t="s">
        <v>1393</v>
      </c>
      <c r="E1295" s="19" t="s">
        <v>1394</v>
      </c>
      <c r="F1295" s="19"/>
      <c r="G1295" s="24"/>
      <c r="H1295" s="19"/>
      <c r="I1295" s="26" t="s">
        <v>57</v>
      </c>
      <c r="J1295" s="26" t="s">
        <v>57</v>
      </c>
      <c r="K1295" s="24"/>
      <c r="L1295" s="24" t="s">
        <v>4116</v>
      </c>
      <c r="M1295" s="24" t="s">
        <v>5510</v>
      </c>
      <c r="N1295" s="24"/>
      <c r="O1295" s="26" t="s">
        <v>2079</v>
      </c>
      <c r="P1295" s="24"/>
      <c r="Q1295" s="24"/>
      <c r="R1295" s="26"/>
      <c r="S1295" s="26"/>
      <c r="T1295" s="26"/>
      <c r="U1295" s="24"/>
      <c r="V1295" s="24"/>
      <c r="W1295" s="24"/>
      <c r="X1295" s="63"/>
      <c r="Y1295" s="63"/>
      <c r="Z1295" s="63"/>
      <c r="AA1295" s="63"/>
      <c r="AB1295" s="24"/>
      <c r="AC1295" s="24"/>
    </row>
    <row r="1296" spans="1:29" s="25" customFormat="1" x14ac:dyDescent="0.3">
      <c r="A1296" s="24">
        <v>643</v>
      </c>
      <c r="B1296" s="24" t="s">
        <v>2272</v>
      </c>
      <c r="C1296" s="26">
        <v>327</v>
      </c>
      <c r="D1296" s="25" t="s">
        <v>1395</v>
      </c>
      <c r="E1296" s="19" t="s">
        <v>1396</v>
      </c>
      <c r="F1296" s="19"/>
      <c r="G1296" s="24"/>
      <c r="H1296" s="19"/>
      <c r="I1296" s="26" t="s">
        <v>57</v>
      </c>
      <c r="J1296" s="26" t="s">
        <v>57</v>
      </c>
      <c r="K1296" s="24"/>
      <c r="L1296" s="24" t="s">
        <v>4118</v>
      </c>
      <c r="M1296" s="24" t="s">
        <v>5470</v>
      </c>
      <c r="N1296" s="24"/>
      <c r="O1296" s="26" t="s">
        <v>2205</v>
      </c>
      <c r="P1296" s="24"/>
      <c r="Q1296" s="24"/>
      <c r="R1296" s="26"/>
      <c r="S1296" s="26"/>
      <c r="T1296" s="26"/>
      <c r="U1296" s="24"/>
      <c r="V1296" s="24"/>
      <c r="W1296" s="24"/>
      <c r="X1296" s="63"/>
      <c r="Y1296" s="63"/>
      <c r="Z1296" s="63"/>
      <c r="AA1296" s="63"/>
      <c r="AB1296" s="24"/>
      <c r="AC1296" s="24"/>
    </row>
    <row r="1297" spans="1:29" s="25" customFormat="1" x14ac:dyDescent="0.3">
      <c r="A1297" s="24">
        <v>644</v>
      </c>
      <c r="B1297" s="24" t="s">
        <v>2272</v>
      </c>
      <c r="C1297" s="26">
        <v>305</v>
      </c>
      <c r="D1297" s="25" t="s">
        <v>1388</v>
      </c>
      <c r="E1297" s="19" t="s">
        <v>1389</v>
      </c>
      <c r="F1297" s="19"/>
      <c r="G1297" s="24"/>
      <c r="H1297" s="19"/>
      <c r="I1297" s="26" t="s">
        <v>57</v>
      </c>
      <c r="J1297" s="26" t="s">
        <v>57</v>
      </c>
      <c r="K1297" s="24"/>
      <c r="L1297" s="24" t="s">
        <v>4112</v>
      </c>
      <c r="M1297" s="24" t="s">
        <v>5470</v>
      </c>
      <c r="N1297" s="24"/>
      <c r="O1297" s="26" t="s">
        <v>2199</v>
      </c>
      <c r="P1297" s="24" t="s">
        <v>9</v>
      </c>
      <c r="Q1297" s="24"/>
      <c r="R1297" s="26"/>
      <c r="S1297" s="26"/>
      <c r="T1297" s="26"/>
      <c r="U1297" s="24"/>
      <c r="V1297" s="24"/>
      <c r="W1297" s="24"/>
      <c r="X1297" s="63"/>
      <c r="Y1297" s="63"/>
      <c r="Z1297" s="63"/>
      <c r="AA1297" s="63"/>
      <c r="AB1297" s="24"/>
      <c r="AC1297" s="24"/>
    </row>
    <row r="1298" spans="1:29" s="25" customFormat="1" x14ac:dyDescent="0.3">
      <c r="A1298" s="24">
        <v>645</v>
      </c>
      <c r="B1298" s="24" t="s">
        <v>2272</v>
      </c>
      <c r="C1298" s="26">
        <v>329</v>
      </c>
      <c r="D1298" s="25" t="s">
        <v>2202</v>
      </c>
      <c r="E1298" s="19" t="s">
        <v>5852</v>
      </c>
      <c r="F1298" s="19"/>
      <c r="G1298" s="24"/>
      <c r="H1298" s="19"/>
      <c r="I1298" s="26" t="s">
        <v>57</v>
      </c>
      <c r="J1298" s="26" t="s">
        <v>57</v>
      </c>
      <c r="K1298" s="24"/>
      <c r="L1298" s="24" t="s">
        <v>4704</v>
      </c>
      <c r="M1298" s="24" t="s">
        <v>59</v>
      </c>
      <c r="N1298" s="24"/>
      <c r="O1298" s="26"/>
      <c r="P1298" s="24"/>
      <c r="Q1298" s="24"/>
      <c r="R1298" s="26"/>
      <c r="S1298" s="26"/>
      <c r="T1298" s="26"/>
      <c r="U1298" s="24"/>
      <c r="V1298" s="24"/>
      <c r="W1298" s="24"/>
      <c r="X1298" s="63"/>
      <c r="Y1298" s="63"/>
      <c r="Z1298" s="63"/>
      <c r="AA1298" s="63"/>
      <c r="AB1298" s="24"/>
      <c r="AC1298" s="24"/>
    </row>
    <row r="1299" spans="1:29" s="28" customFormat="1" x14ac:dyDescent="0.3">
      <c r="A1299" s="27" t="s">
        <v>8223</v>
      </c>
      <c r="B1299" s="27" t="s">
        <v>2273</v>
      </c>
      <c r="C1299" s="29"/>
      <c r="D1299" s="28" t="s">
        <v>6348</v>
      </c>
      <c r="E1299" s="20" t="s">
        <v>5852</v>
      </c>
      <c r="F1299" s="20" t="s">
        <v>2822</v>
      </c>
      <c r="G1299" s="27"/>
      <c r="H1299" s="20"/>
      <c r="I1299" s="29"/>
      <c r="J1299" s="29"/>
      <c r="K1299" s="27"/>
      <c r="L1299" s="27"/>
      <c r="M1299" s="27" t="s">
        <v>7780</v>
      </c>
      <c r="N1299" s="27"/>
      <c r="O1299" s="29" t="s">
        <v>2015</v>
      </c>
      <c r="P1299" s="27"/>
      <c r="Q1299" s="27"/>
      <c r="R1299" s="29"/>
      <c r="S1299" s="29"/>
      <c r="T1299" s="29"/>
      <c r="U1299" s="27"/>
      <c r="V1299" s="27"/>
      <c r="W1299" s="27"/>
      <c r="X1299" s="64"/>
      <c r="Y1299" s="64"/>
      <c r="Z1299" s="64"/>
      <c r="AA1299" s="64"/>
      <c r="AB1299" s="27"/>
      <c r="AC1299" s="27"/>
    </row>
    <row r="1300" spans="1:29" s="28" customFormat="1" x14ac:dyDescent="0.3">
      <c r="A1300" s="27" t="s">
        <v>8224</v>
      </c>
      <c r="B1300" s="27" t="s">
        <v>2273</v>
      </c>
      <c r="C1300" s="29"/>
      <c r="D1300" s="28" t="s">
        <v>6348</v>
      </c>
      <c r="E1300" s="20" t="s">
        <v>5852</v>
      </c>
      <c r="F1300" s="20" t="s">
        <v>2823</v>
      </c>
      <c r="G1300" s="27"/>
      <c r="H1300" s="20"/>
      <c r="I1300" s="29"/>
      <c r="J1300" s="29"/>
      <c r="K1300" s="27"/>
      <c r="L1300" s="27"/>
      <c r="M1300" s="27" t="s">
        <v>8037</v>
      </c>
      <c r="N1300" s="27"/>
      <c r="O1300" s="29" t="s">
        <v>8169</v>
      </c>
      <c r="P1300" s="27"/>
      <c r="Q1300" s="27"/>
      <c r="R1300" s="29"/>
      <c r="S1300" s="29"/>
      <c r="T1300" s="29"/>
      <c r="U1300" s="27"/>
      <c r="V1300" s="27"/>
      <c r="W1300" s="27"/>
      <c r="X1300" s="64"/>
      <c r="Y1300" s="64"/>
      <c r="Z1300" s="64"/>
      <c r="AA1300" s="64"/>
      <c r="AB1300" s="27"/>
      <c r="AC1300" s="27"/>
    </row>
    <row r="1301" spans="1:29" s="28" customFormat="1" x14ac:dyDescent="0.3">
      <c r="A1301" s="27" t="s">
        <v>8225</v>
      </c>
      <c r="B1301" s="27" t="s">
        <v>2273</v>
      </c>
      <c r="C1301" s="29"/>
      <c r="D1301" s="28" t="s">
        <v>6348</v>
      </c>
      <c r="E1301" s="20" t="s">
        <v>5852</v>
      </c>
      <c r="F1301" s="20" t="s">
        <v>2337</v>
      </c>
      <c r="G1301" s="27"/>
      <c r="H1301" s="20"/>
      <c r="I1301" s="29"/>
      <c r="J1301" s="29"/>
      <c r="K1301" s="27"/>
      <c r="L1301" s="27"/>
      <c r="M1301" s="27" t="s">
        <v>8078</v>
      </c>
      <c r="N1301" s="27"/>
      <c r="O1301" s="29" t="s">
        <v>8226</v>
      </c>
      <c r="P1301" s="27"/>
      <c r="Q1301" s="27"/>
      <c r="R1301" s="29"/>
      <c r="S1301" s="29"/>
      <c r="T1301" s="29"/>
      <c r="U1301" s="27"/>
      <c r="V1301" s="27"/>
      <c r="W1301" s="27"/>
      <c r="X1301" s="64"/>
      <c r="Y1301" s="64"/>
      <c r="Z1301" s="64"/>
      <c r="AA1301" s="64"/>
      <c r="AB1301" s="27"/>
      <c r="AC1301" s="27"/>
    </row>
    <row r="1302" spans="1:29" s="28" customFormat="1" x14ac:dyDescent="0.3">
      <c r="A1302" s="27" t="s">
        <v>6351</v>
      </c>
      <c r="B1302" s="27" t="s">
        <v>2273</v>
      </c>
      <c r="C1302" s="29"/>
      <c r="D1302" s="28" t="s">
        <v>6348</v>
      </c>
      <c r="E1302" s="20" t="s">
        <v>5852</v>
      </c>
      <c r="F1302" s="20" t="s">
        <v>2821</v>
      </c>
      <c r="G1302" s="27"/>
      <c r="H1302" s="20"/>
      <c r="I1302" s="29"/>
      <c r="J1302" s="29"/>
      <c r="K1302" s="27"/>
      <c r="L1302" s="27"/>
      <c r="M1302" s="27" t="s">
        <v>7920</v>
      </c>
      <c r="N1302" s="27"/>
      <c r="O1302" s="29" t="s">
        <v>8227</v>
      </c>
      <c r="P1302" s="27"/>
      <c r="Q1302" s="27"/>
      <c r="R1302" s="29"/>
      <c r="S1302" s="29"/>
      <c r="T1302" s="29"/>
      <c r="U1302" s="27"/>
      <c r="V1302" s="27"/>
      <c r="W1302" s="27"/>
      <c r="X1302" s="64"/>
      <c r="Y1302" s="64"/>
      <c r="Z1302" s="64"/>
      <c r="AA1302" s="64"/>
      <c r="AB1302" s="27"/>
      <c r="AC1302" s="27"/>
    </row>
    <row r="1303" spans="1:29" s="28" customFormat="1" x14ac:dyDescent="0.3">
      <c r="A1303" s="27" t="s">
        <v>6352</v>
      </c>
      <c r="B1303" s="27" t="s">
        <v>2273</v>
      </c>
      <c r="C1303" s="29"/>
      <c r="D1303" s="28" t="s">
        <v>6348</v>
      </c>
      <c r="E1303" s="20" t="s">
        <v>5852</v>
      </c>
      <c r="F1303" s="20" t="s">
        <v>2824</v>
      </c>
      <c r="G1303" s="27"/>
      <c r="H1303" s="20"/>
      <c r="I1303" s="29"/>
      <c r="J1303" s="29"/>
      <c r="K1303" s="27"/>
      <c r="L1303" s="27"/>
      <c r="M1303" s="27" t="s">
        <v>8228</v>
      </c>
      <c r="N1303" s="27"/>
      <c r="O1303" s="29" t="s">
        <v>8173</v>
      </c>
      <c r="P1303" s="27"/>
      <c r="Q1303" s="27"/>
      <c r="R1303" s="29"/>
      <c r="S1303" s="29"/>
      <c r="T1303" s="29"/>
      <c r="U1303" s="27"/>
      <c r="V1303" s="27"/>
      <c r="W1303" s="27"/>
      <c r="X1303" s="64"/>
      <c r="Y1303" s="64"/>
      <c r="Z1303" s="64"/>
      <c r="AA1303" s="64"/>
      <c r="AB1303" s="27"/>
      <c r="AC1303" s="27"/>
    </row>
    <row r="1304" spans="1:29" s="28" customFormat="1" x14ac:dyDescent="0.3">
      <c r="A1304" s="27" t="s">
        <v>6353</v>
      </c>
      <c r="B1304" s="27" t="s">
        <v>2273</v>
      </c>
      <c r="C1304" s="29"/>
      <c r="D1304" s="28" t="s">
        <v>6348</v>
      </c>
      <c r="E1304" s="20" t="s">
        <v>5852</v>
      </c>
      <c r="F1304" s="20" t="s">
        <v>2608</v>
      </c>
      <c r="G1304" s="27"/>
      <c r="H1304" s="20"/>
      <c r="I1304" s="29"/>
      <c r="J1304" s="29"/>
      <c r="K1304" s="27"/>
      <c r="L1304" s="27"/>
      <c r="M1304" s="27" t="s">
        <v>8229</v>
      </c>
      <c r="N1304" s="27"/>
      <c r="O1304" s="29" t="s">
        <v>8176</v>
      </c>
      <c r="P1304" s="27"/>
      <c r="Q1304" s="27"/>
      <c r="R1304" s="29"/>
      <c r="S1304" s="29"/>
      <c r="T1304" s="29"/>
      <c r="U1304" s="27"/>
      <c r="V1304" s="27"/>
      <c r="W1304" s="27"/>
      <c r="X1304" s="64"/>
      <c r="Y1304" s="64"/>
      <c r="Z1304" s="64"/>
      <c r="AA1304" s="64"/>
      <c r="AB1304" s="27"/>
      <c r="AC1304" s="27"/>
    </row>
    <row r="1305" spans="1:29" s="28" customFormat="1" x14ac:dyDescent="0.3">
      <c r="A1305" s="27" t="s">
        <v>8230</v>
      </c>
      <c r="B1305" s="27" t="s">
        <v>2273</v>
      </c>
      <c r="C1305" s="29"/>
      <c r="D1305" s="28" t="s">
        <v>6348</v>
      </c>
      <c r="E1305" s="20" t="s">
        <v>5852</v>
      </c>
      <c r="F1305" s="20" t="s">
        <v>2304</v>
      </c>
      <c r="G1305" s="27"/>
      <c r="H1305" s="20"/>
      <c r="I1305" s="29"/>
      <c r="J1305" s="29"/>
      <c r="K1305" s="27"/>
      <c r="L1305" s="27"/>
      <c r="M1305" s="27" t="s">
        <v>8231</v>
      </c>
      <c r="N1305" s="27"/>
      <c r="O1305" s="29" t="s">
        <v>8232</v>
      </c>
      <c r="P1305" s="27"/>
      <c r="Q1305" s="27"/>
      <c r="R1305" s="29"/>
      <c r="S1305" s="29"/>
      <c r="T1305" s="29"/>
      <c r="U1305" s="27"/>
      <c r="V1305" s="27"/>
      <c r="W1305" s="27"/>
      <c r="X1305" s="64"/>
      <c r="Y1305" s="64"/>
      <c r="Z1305" s="64"/>
      <c r="AA1305" s="64"/>
      <c r="AB1305" s="27"/>
      <c r="AC1305" s="27"/>
    </row>
    <row r="1306" spans="1:29" s="25" customFormat="1" x14ac:dyDescent="0.3">
      <c r="A1306" s="24">
        <v>646</v>
      </c>
      <c r="B1306" s="24" t="s">
        <v>2272</v>
      </c>
      <c r="C1306" s="26">
        <v>329</v>
      </c>
      <c r="D1306" s="25" t="s">
        <v>1397</v>
      </c>
      <c r="E1306" s="19" t="s">
        <v>1398</v>
      </c>
      <c r="F1306" s="19"/>
      <c r="G1306" s="24"/>
      <c r="H1306" s="19"/>
      <c r="I1306" s="26" t="s">
        <v>49</v>
      </c>
      <c r="J1306" s="26" t="s">
        <v>5121</v>
      </c>
      <c r="K1306" s="24" t="s">
        <v>49</v>
      </c>
      <c r="L1306" s="24" t="s">
        <v>4120</v>
      </c>
      <c r="M1306" s="24" t="s">
        <v>5607</v>
      </c>
      <c r="N1306" s="24" t="s">
        <v>1633</v>
      </c>
      <c r="O1306" s="26"/>
      <c r="P1306" s="24" t="s">
        <v>6458</v>
      </c>
      <c r="Q1306" s="24"/>
      <c r="R1306" s="26"/>
      <c r="S1306" s="26"/>
      <c r="T1306" s="26"/>
      <c r="U1306" s="24"/>
      <c r="V1306" s="24"/>
      <c r="W1306" s="24"/>
      <c r="X1306" s="63"/>
      <c r="Y1306" s="63"/>
      <c r="Z1306" s="63"/>
      <c r="AA1306" s="63"/>
      <c r="AB1306" s="24"/>
      <c r="AC1306" s="24"/>
    </row>
    <row r="1307" spans="1:29" s="28" customFormat="1" x14ac:dyDescent="0.3">
      <c r="A1307" s="27" t="s">
        <v>8233</v>
      </c>
      <c r="B1307" s="27" t="s">
        <v>2273</v>
      </c>
      <c r="C1307" s="29"/>
      <c r="D1307" s="28" t="s">
        <v>5071</v>
      </c>
      <c r="E1307" s="20" t="s">
        <v>1398</v>
      </c>
      <c r="F1307" s="20" t="s">
        <v>2825</v>
      </c>
      <c r="G1307" s="27"/>
      <c r="H1307" s="20"/>
      <c r="I1307" s="29"/>
      <c r="J1307" s="29"/>
      <c r="K1307" s="27"/>
      <c r="L1307" s="27"/>
      <c r="M1307" s="27" t="s">
        <v>8234</v>
      </c>
      <c r="N1307" s="27" t="s">
        <v>6684</v>
      </c>
      <c r="O1307" s="29" t="s">
        <v>8235</v>
      </c>
      <c r="P1307" s="27"/>
      <c r="Q1307" s="27"/>
      <c r="R1307" s="29"/>
      <c r="S1307" s="29"/>
      <c r="T1307" s="29"/>
      <c r="U1307" s="27"/>
      <c r="V1307" s="27"/>
      <c r="W1307" s="27"/>
      <c r="X1307" s="64"/>
      <c r="Y1307" s="64"/>
      <c r="Z1307" s="64"/>
      <c r="AA1307" s="64"/>
      <c r="AB1307" s="27"/>
      <c r="AC1307" s="27"/>
    </row>
    <row r="1308" spans="1:29" s="25" customFormat="1" x14ac:dyDescent="0.3">
      <c r="A1308" s="24">
        <v>647</v>
      </c>
      <c r="B1308" s="24" t="s">
        <v>2272</v>
      </c>
      <c r="C1308" s="26">
        <v>331</v>
      </c>
      <c r="D1308" s="25" t="s">
        <v>1405</v>
      </c>
      <c r="E1308" s="19" t="s">
        <v>1406</v>
      </c>
      <c r="F1308" s="19"/>
      <c r="G1308" s="24"/>
      <c r="H1308" s="19"/>
      <c r="I1308" s="26" t="s">
        <v>49</v>
      </c>
      <c r="J1308" s="26" t="s">
        <v>5121</v>
      </c>
      <c r="K1308" s="24" t="s">
        <v>49</v>
      </c>
      <c r="L1308" s="24" t="s">
        <v>3164</v>
      </c>
      <c r="M1308" s="24" t="s">
        <v>5686</v>
      </c>
      <c r="N1308" s="24" t="s">
        <v>5687</v>
      </c>
      <c r="O1308" s="26" t="s">
        <v>2212</v>
      </c>
      <c r="P1308" s="24" t="s">
        <v>6459</v>
      </c>
      <c r="Q1308" s="24"/>
      <c r="R1308" s="26"/>
      <c r="S1308" s="26"/>
      <c r="T1308" s="26"/>
      <c r="U1308" s="24"/>
      <c r="V1308" s="24"/>
      <c r="W1308" s="24"/>
      <c r="X1308" s="63"/>
      <c r="Y1308" s="63"/>
      <c r="Z1308" s="63"/>
      <c r="AA1308" s="63"/>
      <c r="AB1308" s="24"/>
      <c r="AC1308" s="24"/>
    </row>
    <row r="1309" spans="1:29" s="25" customFormat="1" x14ac:dyDescent="0.3">
      <c r="A1309" s="24">
        <v>648</v>
      </c>
      <c r="B1309" s="24" t="s">
        <v>2272</v>
      </c>
      <c r="C1309" s="26">
        <v>331</v>
      </c>
      <c r="D1309" s="25" t="s">
        <v>1407</v>
      </c>
      <c r="E1309" s="19" t="s">
        <v>1408</v>
      </c>
      <c r="F1309" s="19"/>
      <c r="G1309" s="24"/>
      <c r="H1309" s="19"/>
      <c r="I1309" s="26" t="s">
        <v>89</v>
      </c>
      <c r="J1309" s="26" t="s">
        <v>37</v>
      </c>
      <c r="K1309" s="24"/>
      <c r="L1309" s="24" t="s">
        <v>4080</v>
      </c>
      <c r="M1309" s="24" t="s">
        <v>5688</v>
      </c>
      <c r="N1309" s="24" t="s">
        <v>5689</v>
      </c>
      <c r="O1309" s="26" t="s">
        <v>5690</v>
      </c>
      <c r="P1309" s="24"/>
      <c r="Q1309" s="24"/>
      <c r="R1309" s="26"/>
      <c r="S1309" s="26"/>
      <c r="T1309" s="26"/>
      <c r="U1309" s="24"/>
      <c r="V1309" s="24"/>
      <c r="W1309" s="24"/>
      <c r="X1309" s="63"/>
      <c r="Y1309" s="63"/>
      <c r="Z1309" s="63"/>
      <c r="AA1309" s="63"/>
      <c r="AB1309" s="24"/>
      <c r="AC1309" s="24"/>
    </row>
    <row r="1310" spans="1:29" s="25" customFormat="1" x14ac:dyDescent="0.3">
      <c r="A1310" s="24">
        <v>649</v>
      </c>
      <c r="B1310" s="24" t="s">
        <v>2272</v>
      </c>
      <c r="C1310" s="26">
        <v>331</v>
      </c>
      <c r="D1310" s="25" t="s">
        <v>1409</v>
      </c>
      <c r="E1310" s="19" t="s">
        <v>1410</v>
      </c>
      <c r="F1310" s="19"/>
      <c r="G1310" s="24"/>
      <c r="H1310" s="19"/>
      <c r="I1310" s="26" t="s">
        <v>89</v>
      </c>
      <c r="J1310" s="26" t="s">
        <v>37</v>
      </c>
      <c r="K1310" s="24"/>
      <c r="L1310" s="24" t="s">
        <v>3217</v>
      </c>
      <c r="M1310" s="24" t="s">
        <v>5691</v>
      </c>
      <c r="N1310" s="24" t="s">
        <v>5692</v>
      </c>
      <c r="O1310" s="26" t="s">
        <v>2213</v>
      </c>
      <c r="P1310" s="24"/>
      <c r="Q1310" s="24"/>
      <c r="R1310" s="26"/>
      <c r="S1310" s="26"/>
      <c r="T1310" s="26"/>
      <c r="U1310" s="24"/>
      <c r="V1310" s="24"/>
      <c r="W1310" s="24"/>
      <c r="X1310" s="63"/>
      <c r="Y1310" s="63"/>
      <c r="Z1310" s="63"/>
      <c r="AA1310" s="63"/>
      <c r="AB1310" s="24"/>
      <c r="AC1310" s="24"/>
    </row>
    <row r="1311" spans="1:29" s="25" customFormat="1" x14ac:dyDescent="0.3">
      <c r="A1311" s="24">
        <v>650</v>
      </c>
      <c r="B1311" s="24" t="s">
        <v>2272</v>
      </c>
      <c r="C1311" s="26">
        <v>333</v>
      </c>
      <c r="D1311" s="25" t="s">
        <v>1423</v>
      </c>
      <c r="E1311" s="19" t="s">
        <v>1424</v>
      </c>
      <c r="F1311" s="19"/>
      <c r="G1311" s="24"/>
      <c r="H1311" s="19"/>
      <c r="I1311" s="26" t="s">
        <v>37</v>
      </c>
      <c r="J1311" s="26" t="s">
        <v>37</v>
      </c>
      <c r="K1311" s="24"/>
      <c r="L1311" s="24" t="s">
        <v>4130</v>
      </c>
      <c r="M1311" s="24" t="s">
        <v>5693</v>
      </c>
      <c r="N1311" s="24"/>
      <c r="O1311" s="26"/>
      <c r="P1311" s="24"/>
      <c r="Q1311" s="24"/>
      <c r="R1311" s="26"/>
      <c r="S1311" s="26"/>
      <c r="T1311" s="26"/>
      <c r="U1311" s="24"/>
      <c r="V1311" s="24"/>
      <c r="W1311" s="24"/>
      <c r="X1311" s="63"/>
      <c r="Y1311" s="63"/>
      <c r="Z1311" s="63"/>
      <c r="AA1311" s="63"/>
      <c r="AB1311" s="24"/>
      <c r="AC1311" s="24"/>
    </row>
    <row r="1312" spans="1:29" s="28" customFormat="1" x14ac:dyDescent="0.3">
      <c r="A1312" s="27" t="s">
        <v>8236</v>
      </c>
      <c r="B1312" s="27" t="s">
        <v>2273</v>
      </c>
      <c r="C1312" s="29"/>
      <c r="D1312" s="28" t="s">
        <v>5074</v>
      </c>
      <c r="E1312" s="20" t="s">
        <v>1424</v>
      </c>
      <c r="F1312" s="20" t="s">
        <v>2832</v>
      </c>
      <c r="G1312" s="27"/>
      <c r="H1312" s="20"/>
      <c r="I1312" s="29"/>
      <c r="J1312" s="29"/>
      <c r="K1312" s="27"/>
      <c r="L1312" s="27"/>
      <c r="M1312" s="27" t="s">
        <v>8237</v>
      </c>
      <c r="N1312" s="27"/>
      <c r="O1312" s="29" t="s">
        <v>8238</v>
      </c>
      <c r="P1312" s="27"/>
      <c r="Q1312" s="27"/>
      <c r="R1312" s="29"/>
      <c r="S1312" s="29"/>
      <c r="T1312" s="29"/>
      <c r="U1312" s="27"/>
      <c r="V1312" s="27"/>
      <c r="W1312" s="27"/>
      <c r="X1312" s="64"/>
      <c r="Y1312" s="64"/>
      <c r="Z1312" s="64"/>
      <c r="AA1312" s="64"/>
      <c r="AB1312" s="27"/>
      <c r="AC1312" s="27"/>
    </row>
    <row r="1313" spans="1:29" s="28" customFormat="1" x14ac:dyDescent="0.3">
      <c r="A1313" s="27" t="s">
        <v>8239</v>
      </c>
      <c r="B1313" s="27" t="s">
        <v>2273</v>
      </c>
      <c r="C1313" s="29"/>
      <c r="D1313" s="28" t="s">
        <v>5074</v>
      </c>
      <c r="E1313" s="20" t="s">
        <v>1424</v>
      </c>
      <c r="F1313" s="20" t="s">
        <v>2695</v>
      </c>
      <c r="G1313" s="27"/>
      <c r="H1313" s="20"/>
      <c r="I1313" s="29"/>
      <c r="J1313" s="29"/>
      <c r="K1313" s="27"/>
      <c r="L1313" s="27"/>
      <c r="M1313" s="27" t="s">
        <v>8240</v>
      </c>
      <c r="N1313" s="27"/>
      <c r="O1313" s="29" t="s">
        <v>8241</v>
      </c>
      <c r="P1313" s="27"/>
      <c r="Q1313" s="27"/>
      <c r="R1313" s="29"/>
      <c r="S1313" s="29"/>
      <c r="T1313" s="29"/>
      <c r="U1313" s="27"/>
      <c r="V1313" s="27"/>
      <c r="W1313" s="27"/>
      <c r="X1313" s="64"/>
      <c r="Y1313" s="64"/>
      <c r="Z1313" s="64"/>
      <c r="AA1313" s="64"/>
      <c r="AB1313" s="27"/>
      <c r="AC1313" s="27"/>
    </row>
    <row r="1314" spans="1:29" s="28" customFormat="1" x14ac:dyDescent="0.3">
      <c r="A1314" s="27" t="s">
        <v>8242</v>
      </c>
      <c r="B1314" s="27" t="s">
        <v>2273</v>
      </c>
      <c r="C1314" s="29"/>
      <c r="D1314" s="28" t="s">
        <v>5074</v>
      </c>
      <c r="E1314" s="20" t="s">
        <v>1424</v>
      </c>
      <c r="F1314" s="20" t="s">
        <v>2319</v>
      </c>
      <c r="G1314" s="27"/>
      <c r="H1314" s="20"/>
      <c r="I1314" s="29"/>
      <c r="J1314" s="29"/>
      <c r="K1314" s="27"/>
      <c r="L1314" s="27"/>
      <c r="M1314" s="27" t="s">
        <v>7920</v>
      </c>
      <c r="N1314" s="27"/>
      <c r="O1314" s="29" t="s">
        <v>8243</v>
      </c>
      <c r="P1314" s="27"/>
      <c r="Q1314" s="27"/>
      <c r="R1314" s="29"/>
      <c r="S1314" s="29"/>
      <c r="T1314" s="29"/>
      <c r="U1314" s="27"/>
      <c r="V1314" s="27"/>
      <c r="W1314" s="27"/>
      <c r="X1314" s="64"/>
      <c r="Y1314" s="64"/>
      <c r="Z1314" s="64"/>
      <c r="AA1314" s="64"/>
      <c r="AB1314" s="27"/>
      <c r="AC1314" s="27"/>
    </row>
    <row r="1315" spans="1:29" s="25" customFormat="1" x14ac:dyDescent="0.3">
      <c r="A1315" s="24">
        <v>651</v>
      </c>
      <c r="B1315" s="24" t="s">
        <v>2272</v>
      </c>
      <c r="C1315" s="26"/>
      <c r="D1315" s="25" t="s">
        <v>2215</v>
      </c>
      <c r="E1315" s="19" t="s">
        <v>6601</v>
      </c>
      <c r="F1315" s="19"/>
      <c r="G1315" s="24"/>
      <c r="H1315" s="19"/>
      <c r="I1315" s="26" t="s">
        <v>49</v>
      </c>
      <c r="J1315" s="26"/>
      <c r="K1315" s="24" t="s">
        <v>49</v>
      </c>
      <c r="L1315" s="24"/>
      <c r="M1315" s="24" t="s">
        <v>6702</v>
      </c>
      <c r="N1315" s="24" t="s">
        <v>6703</v>
      </c>
      <c r="O1315" s="26" t="s">
        <v>6704</v>
      </c>
      <c r="P1315" s="24" t="s">
        <v>6602</v>
      </c>
      <c r="Q1315" s="24"/>
      <c r="R1315" s="26"/>
      <c r="S1315" s="26"/>
      <c r="T1315" s="26"/>
      <c r="U1315" s="24"/>
      <c r="V1315" s="24"/>
      <c r="W1315" s="24"/>
      <c r="X1315" s="63"/>
      <c r="Y1315" s="63"/>
      <c r="Z1315" s="63"/>
      <c r="AA1315" s="63"/>
      <c r="AB1315" s="24"/>
      <c r="AC1315" s="24"/>
    </row>
    <row r="1316" spans="1:29" s="25" customFormat="1" x14ac:dyDescent="0.3">
      <c r="A1316" s="24">
        <v>652</v>
      </c>
      <c r="B1316" s="24" t="s">
        <v>2272</v>
      </c>
      <c r="C1316" s="26">
        <v>333</v>
      </c>
      <c r="D1316" s="25" t="s">
        <v>1411</v>
      </c>
      <c r="E1316" s="19" t="s">
        <v>1412</v>
      </c>
      <c r="F1316" s="19"/>
      <c r="G1316" s="24" t="s">
        <v>2216</v>
      </c>
      <c r="H1316" s="19"/>
      <c r="I1316" s="26" t="s">
        <v>49</v>
      </c>
      <c r="J1316" s="26" t="s">
        <v>5121</v>
      </c>
      <c r="K1316" s="24" t="s">
        <v>49</v>
      </c>
      <c r="L1316" s="24" t="s">
        <v>3164</v>
      </c>
      <c r="M1316" s="24" t="s">
        <v>5694</v>
      </c>
      <c r="N1316" s="24" t="s">
        <v>4496</v>
      </c>
      <c r="O1316" s="26" t="s">
        <v>2214</v>
      </c>
      <c r="P1316" s="24" t="s">
        <v>6460</v>
      </c>
      <c r="Q1316" s="24"/>
      <c r="R1316" s="26"/>
      <c r="S1316" s="26"/>
      <c r="T1316" s="26"/>
      <c r="U1316" s="24"/>
      <c r="V1316" s="24"/>
      <c r="W1316" s="24"/>
      <c r="X1316" s="63"/>
      <c r="Y1316" s="63"/>
      <c r="Z1316" s="63"/>
      <c r="AA1316" s="63"/>
      <c r="AB1316" s="24"/>
      <c r="AC1316" s="24"/>
    </row>
    <row r="1317" spans="1:29" s="25" customFormat="1" x14ac:dyDescent="0.3">
      <c r="A1317" s="24">
        <v>653</v>
      </c>
      <c r="B1317" s="24" t="s">
        <v>2272</v>
      </c>
      <c r="C1317" s="26">
        <v>335</v>
      </c>
      <c r="D1317" s="25" t="s">
        <v>1421</v>
      </c>
      <c r="E1317" s="19" t="s">
        <v>1422</v>
      </c>
      <c r="F1317" s="19"/>
      <c r="G1317" s="24"/>
      <c r="H1317" s="19"/>
      <c r="I1317" s="26" t="s">
        <v>57</v>
      </c>
      <c r="J1317" s="26" t="s">
        <v>57</v>
      </c>
      <c r="K1317" s="24"/>
      <c r="L1317" s="24" t="s">
        <v>4003</v>
      </c>
      <c r="M1317" s="24" t="s">
        <v>4377</v>
      </c>
      <c r="N1317" s="24"/>
      <c r="O1317" s="26" t="s">
        <v>2221</v>
      </c>
      <c r="P1317" s="24" t="s">
        <v>9</v>
      </c>
      <c r="Q1317" s="24"/>
      <c r="R1317" s="26"/>
      <c r="S1317" s="26"/>
      <c r="T1317" s="26"/>
      <c r="U1317" s="24"/>
      <c r="V1317" s="24"/>
      <c r="W1317" s="24"/>
      <c r="X1317" s="63"/>
      <c r="Y1317" s="63"/>
      <c r="Z1317" s="63"/>
      <c r="AA1317" s="63"/>
      <c r="AB1317" s="24"/>
      <c r="AC1317" s="24"/>
    </row>
    <row r="1318" spans="1:29" s="25" customFormat="1" x14ac:dyDescent="0.3">
      <c r="A1318" s="24">
        <v>654</v>
      </c>
      <c r="B1318" s="24" t="s">
        <v>2272</v>
      </c>
      <c r="C1318" s="26">
        <v>335</v>
      </c>
      <c r="D1318" s="25" t="s">
        <v>1415</v>
      </c>
      <c r="E1318" s="19" t="s">
        <v>1416</v>
      </c>
      <c r="F1318" s="19"/>
      <c r="G1318" s="24"/>
      <c r="H1318" s="19"/>
      <c r="I1318" s="26" t="s">
        <v>57</v>
      </c>
      <c r="J1318" s="26" t="s">
        <v>57</v>
      </c>
      <c r="K1318" s="24"/>
      <c r="L1318" s="24" t="s">
        <v>4134</v>
      </c>
      <c r="M1318" s="24" t="s">
        <v>5223</v>
      </c>
      <c r="N1318" s="24"/>
      <c r="O1318" s="26" t="s">
        <v>2217</v>
      </c>
      <c r="P1318" s="24"/>
      <c r="Q1318" s="24"/>
      <c r="R1318" s="26"/>
      <c r="S1318" s="26"/>
      <c r="T1318" s="26"/>
      <c r="U1318" s="24"/>
      <c r="V1318" s="24"/>
      <c r="W1318" s="24"/>
      <c r="X1318" s="63"/>
      <c r="Y1318" s="63"/>
      <c r="Z1318" s="63"/>
      <c r="AA1318" s="63"/>
      <c r="AB1318" s="24"/>
      <c r="AC1318" s="24"/>
    </row>
    <row r="1319" spans="1:29" s="25" customFormat="1" x14ac:dyDescent="0.3">
      <c r="A1319" s="24">
        <v>655</v>
      </c>
      <c r="B1319" s="24" t="s">
        <v>2272</v>
      </c>
      <c r="C1319" s="26">
        <v>333</v>
      </c>
      <c r="D1319" s="25" t="s">
        <v>1413</v>
      </c>
      <c r="E1319" s="19" t="s">
        <v>1414</v>
      </c>
      <c r="F1319" s="19"/>
      <c r="G1319" s="24"/>
      <c r="H1319" s="19"/>
      <c r="I1319" s="26" t="s">
        <v>57</v>
      </c>
      <c r="J1319" s="26" t="s">
        <v>57</v>
      </c>
      <c r="K1319" s="24"/>
      <c r="L1319" s="24" t="s">
        <v>4136</v>
      </c>
      <c r="M1319" s="24" t="s">
        <v>5615</v>
      </c>
      <c r="N1319" s="24"/>
      <c r="O1319" s="26"/>
      <c r="P1319" s="24"/>
      <c r="Q1319" s="24"/>
      <c r="R1319" s="26"/>
      <c r="S1319" s="26"/>
      <c r="T1319" s="26"/>
      <c r="U1319" s="24"/>
      <c r="V1319" s="24"/>
      <c r="W1319" s="24"/>
      <c r="X1319" s="63"/>
      <c r="Y1319" s="63"/>
      <c r="Z1319" s="63"/>
      <c r="AA1319" s="63"/>
      <c r="AB1319" s="24"/>
      <c r="AC1319" s="24"/>
    </row>
    <row r="1320" spans="1:29" s="28" customFormat="1" x14ac:dyDescent="0.3">
      <c r="A1320" s="27" t="s">
        <v>8244</v>
      </c>
      <c r="B1320" s="27" t="s">
        <v>2273</v>
      </c>
      <c r="C1320" s="29"/>
      <c r="D1320" s="28" t="s">
        <v>5075</v>
      </c>
      <c r="E1320" s="20" t="s">
        <v>1414</v>
      </c>
      <c r="F1320" s="20" t="s">
        <v>2578</v>
      </c>
      <c r="G1320" s="27"/>
      <c r="H1320" s="20"/>
      <c r="I1320" s="29"/>
      <c r="J1320" s="29"/>
      <c r="K1320" s="27"/>
      <c r="L1320" s="27"/>
      <c r="M1320" s="27" t="s">
        <v>7629</v>
      </c>
      <c r="N1320" s="27"/>
      <c r="O1320" s="29" t="s">
        <v>8245</v>
      </c>
      <c r="P1320" s="27"/>
      <c r="Q1320" s="27"/>
      <c r="R1320" s="29"/>
      <c r="S1320" s="29"/>
      <c r="T1320" s="29"/>
      <c r="U1320" s="27"/>
      <c r="V1320" s="27"/>
      <c r="W1320" s="27"/>
      <c r="X1320" s="64"/>
      <c r="Y1320" s="64"/>
      <c r="Z1320" s="64"/>
      <c r="AA1320" s="64"/>
      <c r="AB1320" s="27"/>
      <c r="AC1320" s="27"/>
    </row>
    <row r="1321" spans="1:29" s="28" customFormat="1" x14ac:dyDescent="0.3">
      <c r="A1321" s="27" t="s">
        <v>8246</v>
      </c>
      <c r="B1321" s="27" t="s">
        <v>2273</v>
      </c>
      <c r="C1321" s="29"/>
      <c r="D1321" s="28" t="s">
        <v>5075</v>
      </c>
      <c r="E1321" s="20" t="s">
        <v>1414</v>
      </c>
      <c r="F1321" s="20" t="s">
        <v>2668</v>
      </c>
      <c r="G1321" s="27"/>
      <c r="H1321" s="20"/>
      <c r="I1321" s="29"/>
      <c r="J1321" s="29"/>
      <c r="K1321" s="27"/>
      <c r="L1321" s="27"/>
      <c r="M1321" s="27" t="s">
        <v>7358</v>
      </c>
      <c r="N1321" s="27"/>
      <c r="O1321" s="29" t="s">
        <v>1968</v>
      </c>
      <c r="P1321" s="27"/>
      <c r="Q1321" s="27"/>
      <c r="R1321" s="29"/>
      <c r="S1321" s="29"/>
      <c r="T1321" s="29"/>
      <c r="U1321" s="27"/>
      <c r="V1321" s="27"/>
      <c r="W1321" s="27"/>
      <c r="X1321" s="64"/>
      <c r="Y1321" s="64"/>
      <c r="Z1321" s="64"/>
      <c r="AA1321" s="64"/>
      <c r="AB1321" s="27"/>
      <c r="AC1321" s="27"/>
    </row>
    <row r="1322" spans="1:29" s="25" customFormat="1" x14ac:dyDescent="0.3">
      <c r="A1322" s="24">
        <v>656</v>
      </c>
      <c r="B1322" s="24" t="s">
        <v>2272</v>
      </c>
      <c r="C1322" s="26">
        <v>333</v>
      </c>
      <c r="D1322" s="25" t="s">
        <v>1419</v>
      </c>
      <c r="E1322" s="19" t="s">
        <v>1420</v>
      </c>
      <c r="F1322" s="19"/>
      <c r="G1322" s="24" t="s">
        <v>2220</v>
      </c>
      <c r="H1322" s="19"/>
      <c r="I1322" s="26" t="s">
        <v>57</v>
      </c>
      <c r="J1322" s="26" t="s">
        <v>57</v>
      </c>
      <c r="K1322" s="24"/>
      <c r="L1322" s="24" t="s">
        <v>4139</v>
      </c>
      <c r="M1322" s="24" t="s">
        <v>5696</v>
      </c>
      <c r="N1322" s="24"/>
      <c r="O1322" s="26"/>
      <c r="P1322" s="24"/>
      <c r="Q1322" s="24"/>
      <c r="R1322" s="26"/>
      <c r="S1322" s="26"/>
      <c r="T1322" s="26"/>
      <c r="U1322" s="24"/>
      <c r="V1322" s="24"/>
      <c r="W1322" s="24"/>
      <c r="X1322" s="63"/>
      <c r="Y1322" s="63"/>
      <c r="Z1322" s="63"/>
      <c r="AA1322" s="63"/>
      <c r="AB1322" s="24"/>
      <c r="AC1322" s="24"/>
    </row>
    <row r="1323" spans="1:29" s="28" customFormat="1" x14ac:dyDescent="0.3">
      <c r="A1323" s="27" t="s">
        <v>8247</v>
      </c>
      <c r="B1323" s="27" t="s">
        <v>2273</v>
      </c>
      <c r="C1323" s="29"/>
      <c r="D1323" s="28" t="s">
        <v>5076</v>
      </c>
      <c r="E1323" s="20" t="s">
        <v>1420</v>
      </c>
      <c r="F1323" s="20" t="s">
        <v>2828</v>
      </c>
      <c r="G1323" s="27"/>
      <c r="H1323" s="20"/>
      <c r="I1323" s="29"/>
      <c r="J1323" s="29"/>
      <c r="K1323" s="27"/>
      <c r="L1323" s="27"/>
      <c r="M1323" s="27" t="s">
        <v>7920</v>
      </c>
      <c r="N1323" s="27"/>
      <c r="O1323" s="29" t="s">
        <v>1906</v>
      </c>
      <c r="P1323" s="27"/>
      <c r="Q1323" s="27"/>
      <c r="R1323" s="29"/>
      <c r="S1323" s="29"/>
      <c r="T1323" s="29"/>
      <c r="U1323" s="27"/>
      <c r="V1323" s="27"/>
      <c r="W1323" s="27"/>
      <c r="X1323" s="64"/>
      <c r="Y1323" s="64"/>
      <c r="Z1323" s="64"/>
      <c r="AA1323" s="64"/>
      <c r="AB1323" s="27"/>
      <c r="AC1323" s="27"/>
    </row>
    <row r="1324" spans="1:29" s="28" customFormat="1" x14ac:dyDescent="0.3">
      <c r="A1324" s="27" t="s">
        <v>8248</v>
      </c>
      <c r="B1324" s="27" t="s">
        <v>2273</v>
      </c>
      <c r="C1324" s="29"/>
      <c r="D1324" s="28" t="s">
        <v>5076</v>
      </c>
      <c r="E1324" s="20" t="s">
        <v>1420</v>
      </c>
      <c r="F1324" s="20" t="s">
        <v>2540</v>
      </c>
      <c r="G1324" s="27"/>
      <c r="H1324" s="20"/>
      <c r="I1324" s="29"/>
      <c r="J1324" s="29"/>
      <c r="K1324" s="27"/>
      <c r="L1324" s="27"/>
      <c r="M1324" s="27" t="s">
        <v>6885</v>
      </c>
      <c r="N1324" s="27"/>
      <c r="O1324" s="29" t="s">
        <v>8249</v>
      </c>
      <c r="P1324" s="27"/>
      <c r="Q1324" s="27"/>
      <c r="R1324" s="29"/>
      <c r="S1324" s="29"/>
      <c r="T1324" s="29"/>
      <c r="U1324" s="27"/>
      <c r="V1324" s="27"/>
      <c r="W1324" s="27"/>
      <c r="X1324" s="64"/>
      <c r="Y1324" s="64"/>
      <c r="Z1324" s="64"/>
      <c r="AA1324" s="64"/>
      <c r="AB1324" s="27"/>
      <c r="AC1324" s="27"/>
    </row>
    <row r="1325" spans="1:29" s="28" customFormat="1" x14ac:dyDescent="0.3">
      <c r="A1325" s="27" t="s">
        <v>8250</v>
      </c>
      <c r="B1325" s="27" t="s">
        <v>2273</v>
      </c>
      <c r="C1325" s="29"/>
      <c r="D1325" s="28" t="s">
        <v>5076</v>
      </c>
      <c r="E1325" s="20" t="s">
        <v>1420</v>
      </c>
      <c r="F1325" s="20" t="s">
        <v>2550</v>
      </c>
      <c r="G1325" s="27"/>
      <c r="H1325" s="20"/>
      <c r="I1325" s="29"/>
      <c r="J1325" s="29"/>
      <c r="K1325" s="27"/>
      <c r="L1325" s="27"/>
      <c r="M1325" s="27" t="s">
        <v>8251</v>
      </c>
      <c r="N1325" s="27"/>
      <c r="O1325" s="29" t="s">
        <v>8252</v>
      </c>
      <c r="P1325" s="27"/>
      <c r="Q1325" s="27"/>
      <c r="R1325" s="29"/>
      <c r="S1325" s="29"/>
      <c r="T1325" s="29"/>
      <c r="U1325" s="27"/>
      <c r="V1325" s="27"/>
      <c r="W1325" s="27"/>
      <c r="X1325" s="64"/>
      <c r="Y1325" s="64"/>
      <c r="Z1325" s="64"/>
      <c r="AA1325" s="64"/>
      <c r="AB1325" s="27"/>
      <c r="AC1325" s="27"/>
    </row>
    <row r="1326" spans="1:29" s="28" customFormat="1" x14ac:dyDescent="0.3">
      <c r="A1326" s="27" t="s">
        <v>8253</v>
      </c>
      <c r="B1326" s="27" t="s">
        <v>2273</v>
      </c>
      <c r="C1326" s="29"/>
      <c r="D1326" s="28" t="s">
        <v>5076</v>
      </c>
      <c r="E1326" s="20" t="s">
        <v>1420</v>
      </c>
      <c r="F1326" s="20" t="s">
        <v>2385</v>
      </c>
      <c r="G1326" s="27"/>
      <c r="H1326" s="20"/>
      <c r="I1326" s="29"/>
      <c r="J1326" s="29"/>
      <c r="K1326" s="27"/>
      <c r="L1326" s="27"/>
      <c r="M1326" s="27" t="s">
        <v>8075</v>
      </c>
      <c r="N1326" s="27"/>
      <c r="O1326" s="29" t="s">
        <v>8254</v>
      </c>
      <c r="P1326" s="27"/>
      <c r="Q1326" s="27"/>
      <c r="R1326" s="29"/>
      <c r="S1326" s="29"/>
      <c r="T1326" s="29"/>
      <c r="U1326" s="27"/>
      <c r="V1326" s="27"/>
      <c r="W1326" s="27"/>
      <c r="X1326" s="64"/>
      <c r="Y1326" s="64"/>
      <c r="Z1326" s="64"/>
      <c r="AA1326" s="64"/>
      <c r="AB1326" s="27"/>
      <c r="AC1326" s="27"/>
    </row>
    <row r="1327" spans="1:29" s="28" customFormat="1" x14ac:dyDescent="0.3">
      <c r="A1327" s="27" t="s">
        <v>8255</v>
      </c>
      <c r="B1327" s="27" t="s">
        <v>2273</v>
      </c>
      <c r="C1327" s="29"/>
      <c r="D1327" s="28" t="s">
        <v>5076</v>
      </c>
      <c r="E1327" s="20" t="s">
        <v>1420</v>
      </c>
      <c r="F1327" s="20" t="s">
        <v>2829</v>
      </c>
      <c r="G1327" s="27"/>
      <c r="H1327" s="20"/>
      <c r="I1327" s="29"/>
      <c r="J1327" s="29"/>
      <c r="K1327" s="27"/>
      <c r="L1327" s="27"/>
      <c r="M1327" s="27" t="s">
        <v>8256</v>
      </c>
      <c r="N1327" s="27"/>
      <c r="O1327" s="29" t="s">
        <v>8257</v>
      </c>
      <c r="P1327" s="27"/>
      <c r="Q1327" s="27"/>
      <c r="R1327" s="29"/>
      <c r="S1327" s="29"/>
      <c r="T1327" s="29"/>
      <c r="U1327" s="27"/>
      <c r="V1327" s="27"/>
      <c r="W1327" s="27"/>
      <c r="X1327" s="64"/>
      <c r="Y1327" s="64"/>
      <c r="Z1327" s="64"/>
      <c r="AA1327" s="64"/>
      <c r="AB1327" s="27"/>
      <c r="AC1327" s="27"/>
    </row>
    <row r="1328" spans="1:29" s="28" customFormat="1" x14ac:dyDescent="0.3">
      <c r="A1328" s="27" t="s">
        <v>6354</v>
      </c>
      <c r="B1328" s="27" t="s">
        <v>2273</v>
      </c>
      <c r="C1328" s="29"/>
      <c r="D1328" s="28" t="s">
        <v>5076</v>
      </c>
      <c r="E1328" s="20" t="s">
        <v>1420</v>
      </c>
      <c r="F1328" s="20" t="s">
        <v>2830</v>
      </c>
      <c r="G1328" s="27"/>
      <c r="H1328" s="20"/>
      <c r="I1328" s="29"/>
      <c r="J1328" s="29"/>
      <c r="K1328" s="27"/>
      <c r="L1328" s="27"/>
      <c r="M1328" s="27" t="s">
        <v>8258</v>
      </c>
      <c r="N1328" s="27"/>
      <c r="O1328" s="29" t="s">
        <v>8259</v>
      </c>
      <c r="P1328" s="27"/>
      <c r="Q1328" s="27"/>
      <c r="R1328" s="29"/>
      <c r="S1328" s="29"/>
      <c r="T1328" s="29"/>
      <c r="U1328" s="27"/>
      <c r="V1328" s="27"/>
      <c r="W1328" s="27"/>
      <c r="X1328" s="64"/>
      <c r="Y1328" s="64"/>
      <c r="Z1328" s="64"/>
      <c r="AA1328" s="64"/>
      <c r="AB1328" s="27"/>
      <c r="AC1328" s="27"/>
    </row>
    <row r="1329" spans="1:29" s="28" customFormat="1" x14ac:dyDescent="0.3">
      <c r="A1329" s="27" t="s">
        <v>6355</v>
      </c>
      <c r="B1329" s="27" t="s">
        <v>2273</v>
      </c>
      <c r="C1329" s="29"/>
      <c r="D1329" s="28" t="s">
        <v>5076</v>
      </c>
      <c r="E1329" s="20" t="s">
        <v>1420</v>
      </c>
      <c r="F1329" s="20" t="s">
        <v>2831</v>
      </c>
      <c r="G1329" s="27"/>
      <c r="H1329" s="20"/>
      <c r="I1329" s="29"/>
      <c r="J1329" s="29"/>
      <c r="K1329" s="27"/>
      <c r="L1329" s="27"/>
      <c r="M1329" s="27" t="s">
        <v>8260</v>
      </c>
      <c r="N1329" s="27"/>
      <c r="O1329" s="29" t="s">
        <v>8261</v>
      </c>
      <c r="P1329" s="27"/>
      <c r="Q1329" s="27"/>
      <c r="R1329" s="29"/>
      <c r="S1329" s="29"/>
      <c r="T1329" s="29"/>
      <c r="U1329" s="27"/>
      <c r="V1329" s="27"/>
      <c r="W1329" s="27"/>
      <c r="X1329" s="64"/>
      <c r="Y1329" s="64"/>
      <c r="Z1329" s="64"/>
      <c r="AA1329" s="64"/>
      <c r="AB1329" s="27"/>
      <c r="AC1329" s="27"/>
    </row>
    <row r="1330" spans="1:29" s="28" customFormat="1" x14ac:dyDescent="0.3">
      <c r="A1330" s="27" t="s">
        <v>6356</v>
      </c>
      <c r="B1330" s="27" t="s">
        <v>2273</v>
      </c>
      <c r="C1330" s="29"/>
      <c r="D1330" s="28" t="s">
        <v>5076</v>
      </c>
      <c r="E1330" s="20" t="s">
        <v>1420</v>
      </c>
      <c r="F1330" s="20" t="s">
        <v>2608</v>
      </c>
      <c r="G1330" s="27"/>
      <c r="H1330" s="20"/>
      <c r="I1330" s="29"/>
      <c r="J1330" s="29"/>
      <c r="K1330" s="27"/>
      <c r="L1330" s="27"/>
      <c r="M1330" s="27" t="s">
        <v>8262</v>
      </c>
      <c r="N1330" s="27"/>
      <c r="O1330" s="29" t="s">
        <v>8176</v>
      </c>
      <c r="P1330" s="27"/>
      <c r="Q1330" s="27"/>
      <c r="R1330" s="29"/>
      <c r="S1330" s="29"/>
      <c r="T1330" s="29"/>
      <c r="U1330" s="27"/>
      <c r="V1330" s="27"/>
      <c r="W1330" s="27"/>
      <c r="X1330" s="64"/>
      <c r="Y1330" s="64"/>
      <c r="Z1330" s="64"/>
      <c r="AA1330" s="64"/>
      <c r="AB1330" s="27"/>
      <c r="AC1330" s="27"/>
    </row>
    <row r="1331" spans="1:29" s="25" customFormat="1" x14ac:dyDescent="0.3">
      <c r="A1331" s="24">
        <v>657</v>
      </c>
      <c r="B1331" s="24" t="s">
        <v>2272</v>
      </c>
      <c r="C1331" s="26">
        <v>335</v>
      </c>
      <c r="D1331" s="25" t="s">
        <v>1417</v>
      </c>
      <c r="E1331" s="19" t="s">
        <v>1418</v>
      </c>
      <c r="F1331" s="19"/>
      <c r="G1331" s="24"/>
      <c r="H1331" s="19"/>
      <c r="I1331" s="26" t="s">
        <v>57</v>
      </c>
      <c r="J1331" s="26" t="s">
        <v>57</v>
      </c>
      <c r="K1331" s="24"/>
      <c r="L1331" s="24" t="s">
        <v>4112</v>
      </c>
      <c r="M1331" s="24" t="s">
        <v>5695</v>
      </c>
      <c r="N1331" s="24"/>
      <c r="O1331" s="26" t="s">
        <v>2218</v>
      </c>
      <c r="P1331" s="24"/>
      <c r="Q1331" s="24"/>
      <c r="R1331" s="26"/>
      <c r="S1331" s="26"/>
      <c r="T1331" s="26"/>
      <c r="U1331" s="24"/>
      <c r="V1331" s="24"/>
      <c r="W1331" s="24"/>
      <c r="X1331" s="63"/>
      <c r="Y1331" s="63"/>
      <c r="Z1331" s="63"/>
      <c r="AA1331" s="63"/>
      <c r="AB1331" s="24"/>
      <c r="AC1331" s="24"/>
    </row>
    <row r="1332" spans="1:29" s="25" customFormat="1" x14ac:dyDescent="0.3">
      <c r="A1332" s="24">
        <v>658</v>
      </c>
      <c r="B1332" s="24" t="s">
        <v>2272</v>
      </c>
      <c r="C1332" s="26">
        <v>331</v>
      </c>
      <c r="D1332" s="25" t="s">
        <v>1403</v>
      </c>
      <c r="E1332" s="19" t="s">
        <v>1404</v>
      </c>
      <c r="F1332" s="19"/>
      <c r="G1332" s="24" t="s">
        <v>2211</v>
      </c>
      <c r="H1332" s="19"/>
      <c r="I1332" s="26" t="s">
        <v>49</v>
      </c>
      <c r="J1332" s="26" t="s">
        <v>5121</v>
      </c>
      <c r="K1332" s="24" t="s">
        <v>49</v>
      </c>
      <c r="L1332" s="24" t="s">
        <v>4125</v>
      </c>
      <c r="M1332" s="24" t="s">
        <v>5685</v>
      </c>
      <c r="N1332" s="24" t="s">
        <v>2210</v>
      </c>
      <c r="O1332" s="26"/>
      <c r="P1332" s="24" t="s">
        <v>6603</v>
      </c>
      <c r="Q1332" s="24"/>
      <c r="R1332" s="26"/>
      <c r="S1332" s="26"/>
      <c r="T1332" s="26"/>
      <c r="U1332" s="24"/>
      <c r="V1332" s="24"/>
      <c r="W1332" s="24"/>
      <c r="X1332" s="63"/>
      <c r="Y1332" s="63"/>
      <c r="Z1332" s="63"/>
      <c r="AA1332" s="63"/>
      <c r="AB1332" s="24"/>
      <c r="AC1332" s="24"/>
    </row>
    <row r="1333" spans="1:29" s="25" customFormat="1" x14ac:dyDescent="0.3">
      <c r="A1333" s="24">
        <v>659</v>
      </c>
      <c r="B1333" s="24" t="s">
        <v>2272</v>
      </c>
      <c r="C1333" s="26">
        <v>335</v>
      </c>
      <c r="D1333" s="25" t="s">
        <v>1427</v>
      </c>
      <c r="E1333" s="19" t="s">
        <v>1428</v>
      </c>
      <c r="F1333" s="19"/>
      <c r="G1333" s="24"/>
      <c r="H1333" s="19"/>
      <c r="I1333" s="26" t="s">
        <v>57</v>
      </c>
      <c r="J1333" s="26" t="s">
        <v>57</v>
      </c>
      <c r="K1333" s="24"/>
      <c r="L1333" s="24" t="s">
        <v>4142</v>
      </c>
      <c r="M1333" s="24" t="s">
        <v>5697</v>
      </c>
      <c r="N1333" s="24"/>
      <c r="O1333" s="26" t="s">
        <v>2222</v>
      </c>
      <c r="P1333" s="24"/>
      <c r="Q1333" s="24"/>
      <c r="R1333" s="26"/>
      <c r="S1333" s="26"/>
      <c r="T1333" s="26"/>
      <c r="U1333" s="24"/>
      <c r="V1333" s="24"/>
      <c r="W1333" s="24"/>
      <c r="X1333" s="63"/>
      <c r="Y1333" s="63"/>
      <c r="Z1333" s="63"/>
      <c r="AA1333" s="63"/>
      <c r="AB1333" s="24"/>
      <c r="AC1333" s="24"/>
    </row>
    <row r="1334" spans="1:29" s="25" customFormat="1" x14ac:dyDescent="0.3">
      <c r="A1334" s="24">
        <v>660</v>
      </c>
      <c r="B1334" s="24" t="s">
        <v>2272</v>
      </c>
      <c r="C1334" s="26">
        <v>335</v>
      </c>
      <c r="D1334" s="25" t="s">
        <v>1425</v>
      </c>
      <c r="E1334" s="19" t="s">
        <v>1426</v>
      </c>
      <c r="F1334" s="19"/>
      <c r="G1334" s="24"/>
      <c r="H1334" s="19"/>
      <c r="I1334" s="26" t="s">
        <v>89</v>
      </c>
      <c r="J1334" s="26" t="s">
        <v>5121</v>
      </c>
      <c r="K1334" s="24"/>
      <c r="L1334" s="24" t="s">
        <v>3959</v>
      </c>
      <c r="M1334" s="24" t="s">
        <v>5452</v>
      </c>
      <c r="N1334" s="24" t="s">
        <v>4498</v>
      </c>
      <c r="O1334" s="26"/>
      <c r="P1334" s="24" t="s">
        <v>6461</v>
      </c>
      <c r="Q1334" s="24"/>
      <c r="R1334" s="26"/>
      <c r="S1334" s="26"/>
      <c r="T1334" s="26"/>
      <c r="U1334" s="24"/>
      <c r="V1334" s="24"/>
      <c r="W1334" s="24"/>
      <c r="X1334" s="63"/>
      <c r="Y1334" s="63"/>
      <c r="Z1334" s="63"/>
      <c r="AA1334" s="63"/>
      <c r="AB1334" s="24"/>
      <c r="AC1334" s="24"/>
    </row>
    <row r="1335" spans="1:29" s="28" customFormat="1" x14ac:dyDescent="0.3">
      <c r="A1335" s="27" t="s">
        <v>2963</v>
      </c>
      <c r="B1335" s="27" t="s">
        <v>2273</v>
      </c>
      <c r="C1335" s="29"/>
      <c r="D1335" s="28" t="s">
        <v>5077</v>
      </c>
      <c r="E1335" s="20" t="s">
        <v>1426</v>
      </c>
      <c r="F1335" s="20" t="s">
        <v>2833</v>
      </c>
      <c r="G1335" s="27"/>
      <c r="H1335" s="20"/>
      <c r="I1335" s="29"/>
      <c r="J1335" s="29"/>
      <c r="K1335" s="27"/>
      <c r="L1335" s="27"/>
      <c r="M1335" s="27" t="s">
        <v>8263</v>
      </c>
      <c r="N1335" s="27" t="s">
        <v>8264</v>
      </c>
      <c r="O1335" s="29" t="s">
        <v>8265</v>
      </c>
      <c r="P1335" s="27"/>
      <c r="Q1335" s="27"/>
      <c r="R1335" s="29"/>
      <c r="S1335" s="29"/>
      <c r="T1335" s="29"/>
      <c r="U1335" s="27"/>
      <c r="V1335" s="27"/>
      <c r="W1335" s="27"/>
      <c r="X1335" s="64"/>
      <c r="Y1335" s="64"/>
      <c r="Z1335" s="64"/>
      <c r="AA1335" s="64"/>
      <c r="AB1335" s="27"/>
      <c r="AC1335" s="27"/>
    </row>
    <row r="1336" spans="1:29" s="25" customFormat="1" x14ac:dyDescent="0.3">
      <c r="A1336" s="24">
        <v>661</v>
      </c>
      <c r="B1336" s="24" t="s">
        <v>2272</v>
      </c>
      <c r="C1336" s="26">
        <v>337</v>
      </c>
      <c r="D1336" s="25" t="s">
        <v>1429</v>
      </c>
      <c r="E1336" s="19" t="s">
        <v>1430</v>
      </c>
      <c r="F1336" s="19"/>
      <c r="G1336" s="24"/>
      <c r="H1336" s="19"/>
      <c r="I1336" s="26" t="s">
        <v>346</v>
      </c>
      <c r="J1336" s="26" t="s">
        <v>37</v>
      </c>
      <c r="K1336" s="24"/>
      <c r="L1336" s="24" t="s">
        <v>4144</v>
      </c>
      <c r="M1336" s="24" t="s">
        <v>5698</v>
      </c>
      <c r="N1336" s="24"/>
      <c r="O1336" s="26"/>
      <c r="P1336" s="24"/>
      <c r="Q1336" s="24"/>
      <c r="R1336" s="26"/>
      <c r="S1336" s="26"/>
      <c r="T1336" s="26"/>
      <c r="U1336" s="24"/>
      <c r="V1336" s="24"/>
      <c r="W1336" s="24"/>
      <c r="X1336" s="63"/>
      <c r="Y1336" s="63"/>
      <c r="Z1336" s="63"/>
      <c r="AA1336" s="63"/>
      <c r="AB1336" s="24"/>
      <c r="AC1336" s="24"/>
    </row>
    <row r="1337" spans="1:29" s="28" customFormat="1" x14ac:dyDescent="0.3">
      <c r="A1337" s="27" t="s">
        <v>8266</v>
      </c>
      <c r="B1337" s="27" t="s">
        <v>2273</v>
      </c>
      <c r="C1337" s="29">
        <v>337</v>
      </c>
      <c r="D1337" s="28" t="s">
        <v>5078</v>
      </c>
      <c r="E1337" s="20" t="s">
        <v>1430</v>
      </c>
      <c r="F1337" s="20" t="s">
        <v>2834</v>
      </c>
      <c r="G1337" s="27" t="s">
        <v>4707</v>
      </c>
      <c r="H1337" s="20" t="s">
        <v>4708</v>
      </c>
      <c r="I1337" s="29"/>
      <c r="J1337" s="29" t="s">
        <v>37</v>
      </c>
      <c r="K1337" s="27"/>
      <c r="L1337" s="27" t="s">
        <v>4144</v>
      </c>
      <c r="M1337" s="27" t="s">
        <v>8267</v>
      </c>
      <c r="N1337" s="27" t="s">
        <v>7914</v>
      </c>
      <c r="O1337" s="29" t="s">
        <v>8268</v>
      </c>
      <c r="P1337" s="27"/>
      <c r="Q1337" s="27"/>
      <c r="R1337" s="29"/>
      <c r="S1337" s="29"/>
      <c r="T1337" s="29"/>
      <c r="U1337" s="27"/>
      <c r="V1337" s="27"/>
      <c r="W1337" s="27"/>
      <c r="X1337" s="64"/>
      <c r="Y1337" s="64"/>
      <c r="Z1337" s="64"/>
      <c r="AA1337" s="64"/>
      <c r="AB1337" s="27"/>
      <c r="AC1337" s="27"/>
    </row>
    <row r="1338" spans="1:29" s="28" customFormat="1" x14ac:dyDescent="0.3">
      <c r="A1338" s="27" t="s">
        <v>8269</v>
      </c>
      <c r="B1338" s="27" t="s">
        <v>2273</v>
      </c>
      <c r="C1338" s="29">
        <v>337</v>
      </c>
      <c r="D1338" s="28" t="s">
        <v>5078</v>
      </c>
      <c r="E1338" s="20" t="s">
        <v>1430</v>
      </c>
      <c r="F1338" s="20" t="s">
        <v>2423</v>
      </c>
      <c r="G1338" s="27" t="s">
        <v>4707</v>
      </c>
      <c r="H1338" s="20" t="s">
        <v>4708</v>
      </c>
      <c r="I1338" s="29"/>
      <c r="J1338" s="29" t="s">
        <v>37</v>
      </c>
      <c r="K1338" s="27"/>
      <c r="L1338" s="27" t="s">
        <v>4144</v>
      </c>
      <c r="M1338" s="27" t="s">
        <v>8270</v>
      </c>
      <c r="N1338" s="27" t="s">
        <v>8271</v>
      </c>
      <c r="O1338" s="29" t="s">
        <v>8272</v>
      </c>
      <c r="P1338" s="27"/>
      <c r="Q1338" s="27"/>
      <c r="R1338" s="29"/>
      <c r="S1338" s="29"/>
      <c r="T1338" s="29"/>
      <c r="U1338" s="27"/>
      <c r="V1338" s="27"/>
      <c r="W1338" s="27"/>
      <c r="X1338" s="64"/>
      <c r="Y1338" s="64"/>
      <c r="Z1338" s="64"/>
      <c r="AA1338" s="64"/>
      <c r="AB1338" s="27"/>
      <c r="AC1338" s="27"/>
    </row>
    <row r="1339" spans="1:29" s="25" customFormat="1" x14ac:dyDescent="0.3">
      <c r="A1339" s="24">
        <v>662</v>
      </c>
      <c r="B1339" s="24" t="s">
        <v>2272</v>
      </c>
      <c r="C1339" s="26">
        <v>337</v>
      </c>
      <c r="D1339" s="25" t="s">
        <v>1432</v>
      </c>
      <c r="E1339" s="19" t="s">
        <v>1433</v>
      </c>
      <c r="F1339" s="19"/>
      <c r="G1339" s="24"/>
      <c r="H1339" s="19"/>
      <c r="I1339" s="26" t="s">
        <v>37</v>
      </c>
      <c r="J1339" s="26" t="s">
        <v>37</v>
      </c>
      <c r="K1339" s="24"/>
      <c r="L1339" s="24" t="s">
        <v>4148</v>
      </c>
      <c r="M1339" s="24" t="s">
        <v>5703</v>
      </c>
      <c r="N1339" s="24"/>
      <c r="O1339" s="26"/>
      <c r="P1339" s="24"/>
      <c r="Q1339" s="24"/>
      <c r="R1339" s="26"/>
      <c r="S1339" s="26"/>
      <c r="T1339" s="26"/>
      <c r="U1339" s="24"/>
      <c r="V1339" s="24"/>
      <c r="W1339" s="24"/>
      <c r="X1339" s="63"/>
      <c r="Y1339" s="63"/>
      <c r="Z1339" s="63"/>
      <c r="AA1339" s="63"/>
      <c r="AB1339" s="24"/>
      <c r="AC1339" s="24"/>
    </row>
    <row r="1340" spans="1:29" s="28" customFormat="1" x14ac:dyDescent="0.3">
      <c r="A1340" s="27" t="s">
        <v>8273</v>
      </c>
      <c r="B1340" s="27" t="s">
        <v>2273</v>
      </c>
      <c r="C1340" s="29"/>
      <c r="D1340" s="28" t="s">
        <v>5079</v>
      </c>
      <c r="E1340" s="20" t="s">
        <v>1433</v>
      </c>
      <c r="F1340" s="20" t="s">
        <v>2836</v>
      </c>
      <c r="G1340" s="27"/>
      <c r="H1340" s="20"/>
      <c r="I1340" s="29"/>
      <c r="J1340" s="29"/>
      <c r="K1340" s="27"/>
      <c r="L1340" s="27"/>
      <c r="M1340" s="27" t="s">
        <v>7444</v>
      </c>
      <c r="N1340" s="27"/>
      <c r="O1340" s="29" t="s">
        <v>8274</v>
      </c>
      <c r="P1340" s="27"/>
      <c r="Q1340" s="27"/>
      <c r="R1340" s="29"/>
      <c r="S1340" s="29"/>
      <c r="T1340" s="29"/>
      <c r="U1340" s="27"/>
      <c r="V1340" s="27"/>
      <c r="W1340" s="27"/>
      <c r="X1340" s="64"/>
      <c r="Y1340" s="64"/>
      <c r="Z1340" s="64"/>
      <c r="AA1340" s="64"/>
      <c r="AB1340" s="27"/>
      <c r="AC1340" s="27"/>
    </row>
    <row r="1341" spans="1:29" s="28" customFormat="1" x14ac:dyDescent="0.3">
      <c r="A1341" s="27" t="s">
        <v>8275</v>
      </c>
      <c r="B1341" s="27" t="s">
        <v>2273</v>
      </c>
      <c r="C1341" s="29"/>
      <c r="D1341" s="28" t="s">
        <v>5079</v>
      </c>
      <c r="E1341" s="20" t="s">
        <v>1433</v>
      </c>
      <c r="F1341" s="20" t="s">
        <v>2837</v>
      </c>
      <c r="G1341" s="27"/>
      <c r="H1341" s="20"/>
      <c r="I1341" s="29"/>
      <c r="J1341" s="29"/>
      <c r="K1341" s="27"/>
      <c r="L1341" s="27"/>
      <c r="M1341" s="27" t="s">
        <v>6907</v>
      </c>
      <c r="N1341" s="27"/>
      <c r="O1341" s="29" t="s">
        <v>8276</v>
      </c>
      <c r="P1341" s="27"/>
      <c r="Q1341" s="27"/>
      <c r="R1341" s="29"/>
      <c r="S1341" s="29"/>
      <c r="T1341" s="29"/>
      <c r="U1341" s="27"/>
      <c r="V1341" s="27"/>
      <c r="W1341" s="27"/>
      <c r="X1341" s="64"/>
      <c r="Y1341" s="64"/>
      <c r="Z1341" s="64"/>
      <c r="AA1341" s="64"/>
      <c r="AB1341" s="27"/>
      <c r="AC1341" s="27"/>
    </row>
    <row r="1342" spans="1:29" s="28" customFormat="1" x14ac:dyDescent="0.3">
      <c r="A1342" s="27" t="s">
        <v>8277</v>
      </c>
      <c r="B1342" s="27" t="s">
        <v>2273</v>
      </c>
      <c r="C1342" s="29"/>
      <c r="D1342" s="28" t="s">
        <v>5079</v>
      </c>
      <c r="E1342" s="20" t="s">
        <v>1433</v>
      </c>
      <c r="F1342" s="20" t="s">
        <v>2838</v>
      </c>
      <c r="G1342" s="27"/>
      <c r="H1342" s="20"/>
      <c r="I1342" s="29"/>
      <c r="J1342" s="29"/>
      <c r="K1342" s="27"/>
      <c r="L1342" s="27"/>
      <c r="M1342" s="27" t="s">
        <v>8278</v>
      </c>
      <c r="N1342" s="27"/>
      <c r="O1342" s="29" t="s">
        <v>8279</v>
      </c>
      <c r="P1342" s="27"/>
      <c r="Q1342" s="27"/>
      <c r="R1342" s="29"/>
      <c r="S1342" s="29"/>
      <c r="T1342" s="29"/>
      <c r="U1342" s="27"/>
      <c r="V1342" s="27"/>
      <c r="W1342" s="27"/>
      <c r="X1342" s="64"/>
      <c r="Y1342" s="64"/>
      <c r="Z1342" s="64"/>
      <c r="AA1342" s="64"/>
      <c r="AB1342" s="27"/>
      <c r="AC1342" s="27"/>
    </row>
    <row r="1343" spans="1:29" s="25" customFormat="1" x14ac:dyDescent="0.3">
      <c r="A1343" s="24">
        <v>663</v>
      </c>
      <c r="B1343" s="24" t="s">
        <v>2272</v>
      </c>
      <c r="C1343" s="26">
        <v>337</v>
      </c>
      <c r="D1343" s="25" t="s">
        <v>5188</v>
      </c>
      <c r="E1343" s="19" t="s">
        <v>1431</v>
      </c>
      <c r="F1343" s="19"/>
      <c r="G1343" s="24" t="s">
        <v>4146</v>
      </c>
      <c r="H1343" s="19" t="s">
        <v>4499</v>
      </c>
      <c r="I1343" s="26" t="s">
        <v>49</v>
      </c>
      <c r="J1343" s="26" t="s">
        <v>5121</v>
      </c>
      <c r="K1343" s="24" t="s">
        <v>49</v>
      </c>
      <c r="L1343" s="24" t="s">
        <v>3799</v>
      </c>
      <c r="M1343" s="24" t="s">
        <v>5699</v>
      </c>
      <c r="N1343" s="24" t="s">
        <v>1633</v>
      </c>
      <c r="O1343" s="26" t="s">
        <v>5700</v>
      </c>
      <c r="P1343" s="24" t="s">
        <v>6604</v>
      </c>
      <c r="Q1343" s="24"/>
      <c r="R1343" s="26"/>
      <c r="S1343" s="26"/>
      <c r="T1343" s="26"/>
      <c r="U1343" s="24"/>
      <c r="V1343" s="24"/>
      <c r="W1343" s="24"/>
      <c r="X1343" s="63"/>
      <c r="Y1343" s="63"/>
      <c r="Z1343" s="63"/>
      <c r="AA1343" s="63"/>
      <c r="AB1343" s="24"/>
      <c r="AC1343" s="24"/>
    </row>
    <row r="1344" spans="1:29" s="25" customFormat="1" x14ac:dyDescent="0.3">
      <c r="A1344" s="24">
        <v>664</v>
      </c>
      <c r="B1344" s="24" t="s">
        <v>2272</v>
      </c>
      <c r="C1344" s="26">
        <v>337</v>
      </c>
      <c r="D1344" s="25" t="s">
        <v>1434</v>
      </c>
      <c r="E1344" s="19" t="s">
        <v>1435</v>
      </c>
      <c r="F1344" s="19"/>
      <c r="G1344" s="24"/>
      <c r="H1344" s="19"/>
      <c r="I1344" s="26" t="s">
        <v>49</v>
      </c>
      <c r="J1344" s="26" t="s">
        <v>5121</v>
      </c>
      <c r="K1344" s="24" t="s">
        <v>49</v>
      </c>
      <c r="L1344" s="24" t="s">
        <v>4125</v>
      </c>
      <c r="M1344" s="24" t="s">
        <v>5704</v>
      </c>
      <c r="N1344" s="24" t="s">
        <v>1642</v>
      </c>
      <c r="O1344" s="26"/>
      <c r="P1344" s="24" t="s">
        <v>6462</v>
      </c>
      <c r="Q1344" s="24"/>
      <c r="R1344" s="26"/>
      <c r="S1344" s="26"/>
      <c r="T1344" s="26"/>
      <c r="U1344" s="24"/>
      <c r="V1344" s="24"/>
      <c r="W1344" s="24"/>
      <c r="X1344" s="63"/>
      <c r="Y1344" s="63"/>
      <c r="Z1344" s="63"/>
      <c r="AA1344" s="63"/>
      <c r="AB1344" s="24"/>
      <c r="AC1344" s="24"/>
    </row>
    <row r="1345" spans="1:29" s="28" customFormat="1" x14ac:dyDescent="0.3">
      <c r="A1345" s="27" t="s">
        <v>6357</v>
      </c>
      <c r="B1345" s="27" t="s">
        <v>2273</v>
      </c>
      <c r="C1345" s="29"/>
      <c r="D1345" s="28" t="s">
        <v>5080</v>
      </c>
      <c r="E1345" s="20" t="s">
        <v>1435</v>
      </c>
      <c r="F1345" s="20" t="s">
        <v>2839</v>
      </c>
      <c r="G1345" s="27"/>
      <c r="H1345" s="20"/>
      <c r="I1345" s="29"/>
      <c r="J1345" s="29"/>
      <c r="K1345" s="27"/>
      <c r="L1345" s="27"/>
      <c r="M1345" s="27" t="s">
        <v>8280</v>
      </c>
      <c r="N1345" s="27" t="s">
        <v>8281</v>
      </c>
      <c r="O1345" s="29" t="s">
        <v>8282</v>
      </c>
      <c r="P1345" s="27"/>
      <c r="Q1345" s="27"/>
      <c r="R1345" s="29"/>
      <c r="S1345" s="29"/>
      <c r="T1345" s="29"/>
      <c r="U1345" s="27"/>
      <c r="V1345" s="27"/>
      <c r="W1345" s="27"/>
      <c r="X1345" s="64"/>
      <c r="Y1345" s="64"/>
      <c r="Z1345" s="64"/>
      <c r="AA1345" s="64"/>
      <c r="AB1345" s="27"/>
      <c r="AC1345" s="27"/>
    </row>
    <row r="1346" spans="1:29" s="25" customFormat="1" x14ac:dyDescent="0.3">
      <c r="A1346" s="24">
        <v>665</v>
      </c>
      <c r="B1346" s="24" t="s">
        <v>2272</v>
      </c>
      <c r="C1346" s="26">
        <v>339</v>
      </c>
      <c r="D1346" s="25" t="s">
        <v>1438</v>
      </c>
      <c r="E1346" s="19" t="s">
        <v>1439</v>
      </c>
      <c r="F1346" s="19"/>
      <c r="G1346" s="24"/>
      <c r="H1346" s="19"/>
      <c r="I1346" s="26" t="s">
        <v>57</v>
      </c>
      <c r="J1346" s="26" t="s">
        <v>57</v>
      </c>
      <c r="K1346" s="24"/>
      <c r="L1346" s="24" t="s">
        <v>4151</v>
      </c>
      <c r="M1346" s="24" t="s">
        <v>5705</v>
      </c>
      <c r="N1346" s="24"/>
      <c r="O1346" s="26" t="s">
        <v>2224</v>
      </c>
      <c r="P1346" s="24"/>
      <c r="Q1346" s="24"/>
      <c r="R1346" s="26"/>
      <c r="S1346" s="26"/>
      <c r="T1346" s="26"/>
      <c r="U1346" s="24"/>
      <c r="V1346" s="24"/>
      <c r="W1346" s="24"/>
      <c r="X1346" s="63"/>
      <c r="Y1346" s="63"/>
      <c r="Z1346" s="63"/>
      <c r="AA1346" s="63"/>
      <c r="AB1346" s="24"/>
      <c r="AC1346" s="24"/>
    </row>
    <row r="1347" spans="1:29" s="25" customFormat="1" x14ac:dyDescent="0.3">
      <c r="A1347" s="24">
        <v>666</v>
      </c>
      <c r="B1347" s="24" t="s">
        <v>2272</v>
      </c>
      <c r="C1347" s="26">
        <v>339</v>
      </c>
      <c r="D1347" s="25" t="s">
        <v>1440</v>
      </c>
      <c r="E1347" s="19" t="s">
        <v>1441</v>
      </c>
      <c r="F1347" s="19"/>
      <c r="G1347" s="24"/>
      <c r="H1347" s="19"/>
      <c r="I1347" s="26" t="s">
        <v>57</v>
      </c>
      <c r="J1347" s="26" t="s">
        <v>57</v>
      </c>
      <c r="K1347" s="24"/>
      <c r="L1347" s="24" t="s">
        <v>4153</v>
      </c>
      <c r="M1347" s="24" t="s">
        <v>5480</v>
      </c>
      <c r="N1347" s="24"/>
      <c r="O1347" s="26" t="s">
        <v>2225</v>
      </c>
      <c r="P1347" s="24"/>
      <c r="Q1347" s="24"/>
      <c r="R1347" s="26"/>
      <c r="S1347" s="26"/>
      <c r="T1347" s="26"/>
      <c r="U1347" s="24"/>
      <c r="V1347" s="24"/>
      <c r="W1347" s="24"/>
      <c r="X1347" s="63"/>
      <c r="Y1347" s="63"/>
      <c r="Z1347" s="63"/>
      <c r="AA1347" s="63"/>
      <c r="AB1347" s="24"/>
      <c r="AC1347" s="24"/>
    </row>
    <row r="1348" spans="1:29" s="25" customFormat="1" x14ac:dyDescent="0.3">
      <c r="A1348" s="24">
        <v>667</v>
      </c>
      <c r="B1348" s="24" t="s">
        <v>2272</v>
      </c>
      <c r="C1348" s="26">
        <v>341</v>
      </c>
      <c r="D1348" s="25" t="s">
        <v>1444</v>
      </c>
      <c r="E1348" s="19" t="s">
        <v>1445</v>
      </c>
      <c r="F1348" s="19"/>
      <c r="G1348" s="24"/>
      <c r="H1348" s="19"/>
      <c r="I1348" s="26" t="s">
        <v>57</v>
      </c>
      <c r="J1348" s="26" t="s">
        <v>57</v>
      </c>
      <c r="K1348" s="24"/>
      <c r="L1348" s="24" t="s">
        <v>4155</v>
      </c>
      <c r="M1348" s="24" t="s">
        <v>5531</v>
      </c>
      <c r="N1348" s="24"/>
      <c r="O1348" s="26"/>
      <c r="P1348" s="24"/>
      <c r="Q1348" s="24"/>
      <c r="R1348" s="26"/>
      <c r="S1348" s="26"/>
      <c r="T1348" s="26"/>
      <c r="U1348" s="24"/>
      <c r="V1348" s="24"/>
      <c r="W1348" s="24"/>
      <c r="X1348" s="63"/>
      <c r="Y1348" s="63"/>
      <c r="Z1348" s="63"/>
      <c r="AA1348" s="63"/>
      <c r="AB1348" s="24"/>
      <c r="AC1348" s="24"/>
    </row>
    <row r="1349" spans="1:29" s="28" customFormat="1" x14ac:dyDescent="0.3">
      <c r="A1349" s="27" t="s">
        <v>5778</v>
      </c>
      <c r="B1349" s="27" t="s">
        <v>2273</v>
      </c>
      <c r="C1349" s="29"/>
      <c r="D1349" s="28" t="s">
        <v>5081</v>
      </c>
      <c r="E1349" s="20" t="s">
        <v>1445</v>
      </c>
      <c r="F1349" s="20" t="s">
        <v>2840</v>
      </c>
      <c r="G1349" s="27"/>
      <c r="H1349" s="20"/>
      <c r="I1349" s="29"/>
      <c r="J1349" s="29"/>
      <c r="K1349" s="27"/>
      <c r="L1349" s="27"/>
      <c r="M1349" s="27" t="s">
        <v>7557</v>
      </c>
      <c r="N1349" s="27"/>
      <c r="O1349" s="29" t="s">
        <v>8283</v>
      </c>
      <c r="P1349" s="27"/>
      <c r="Q1349" s="27"/>
      <c r="R1349" s="29"/>
      <c r="S1349" s="29"/>
      <c r="T1349" s="29"/>
      <c r="U1349" s="27"/>
      <c r="V1349" s="27"/>
      <c r="W1349" s="27"/>
      <c r="X1349" s="64"/>
      <c r="Y1349" s="64"/>
      <c r="Z1349" s="64"/>
      <c r="AA1349" s="64"/>
      <c r="AB1349" s="27"/>
      <c r="AC1349" s="27"/>
    </row>
    <row r="1350" spans="1:29" s="28" customFormat="1" x14ac:dyDescent="0.3">
      <c r="A1350" s="27" t="s">
        <v>5779</v>
      </c>
      <c r="B1350" s="27" t="s">
        <v>2273</v>
      </c>
      <c r="C1350" s="29"/>
      <c r="D1350" s="28" t="s">
        <v>5081</v>
      </c>
      <c r="E1350" s="20" t="s">
        <v>1445</v>
      </c>
      <c r="F1350" s="20" t="s">
        <v>2841</v>
      </c>
      <c r="G1350" s="27"/>
      <c r="H1350" s="20"/>
      <c r="I1350" s="29"/>
      <c r="J1350" s="29"/>
      <c r="K1350" s="27"/>
      <c r="L1350" s="27"/>
      <c r="M1350" s="27" t="s">
        <v>7358</v>
      </c>
      <c r="N1350" s="27"/>
      <c r="O1350" s="29" t="s">
        <v>1968</v>
      </c>
      <c r="P1350" s="27"/>
      <c r="Q1350" s="27"/>
      <c r="R1350" s="29"/>
      <c r="S1350" s="29"/>
      <c r="T1350" s="29"/>
      <c r="U1350" s="27"/>
      <c r="V1350" s="27"/>
      <c r="W1350" s="27"/>
      <c r="X1350" s="64"/>
      <c r="Y1350" s="64"/>
      <c r="Z1350" s="64"/>
      <c r="AA1350" s="64"/>
      <c r="AB1350" s="27"/>
      <c r="AC1350" s="27"/>
    </row>
    <row r="1351" spans="1:29" s="28" customFormat="1" x14ac:dyDescent="0.3">
      <c r="A1351" s="27" t="s">
        <v>5780</v>
      </c>
      <c r="B1351" s="27" t="s">
        <v>2273</v>
      </c>
      <c r="C1351" s="29"/>
      <c r="D1351" s="28" t="s">
        <v>5081</v>
      </c>
      <c r="E1351" s="20" t="s">
        <v>1445</v>
      </c>
      <c r="F1351" s="20" t="s">
        <v>2578</v>
      </c>
      <c r="G1351" s="27"/>
      <c r="H1351" s="20"/>
      <c r="I1351" s="29"/>
      <c r="J1351" s="29"/>
      <c r="K1351" s="27"/>
      <c r="L1351" s="27"/>
      <c r="M1351" s="27" t="s">
        <v>7629</v>
      </c>
      <c r="N1351" s="27"/>
      <c r="O1351" s="29" t="s">
        <v>8284</v>
      </c>
      <c r="P1351" s="27"/>
      <c r="Q1351" s="27"/>
      <c r="R1351" s="29"/>
      <c r="S1351" s="29"/>
      <c r="T1351" s="29"/>
      <c r="U1351" s="27"/>
      <c r="V1351" s="27"/>
      <c r="W1351" s="27"/>
      <c r="X1351" s="64"/>
      <c r="Y1351" s="64"/>
      <c r="Z1351" s="64"/>
      <c r="AA1351" s="64"/>
      <c r="AB1351" s="27"/>
      <c r="AC1351" s="27"/>
    </row>
    <row r="1352" spans="1:29" s="25" customFormat="1" x14ac:dyDescent="0.3">
      <c r="A1352" s="24">
        <v>668</v>
      </c>
      <c r="B1352" s="24" t="s">
        <v>2272</v>
      </c>
      <c r="C1352" s="26">
        <v>341</v>
      </c>
      <c r="D1352" s="25" t="s">
        <v>1446</v>
      </c>
      <c r="E1352" s="19" t="s">
        <v>1447</v>
      </c>
      <c r="F1352" s="19"/>
      <c r="G1352" s="24"/>
      <c r="H1352" s="19"/>
      <c r="I1352" s="26" t="s">
        <v>57</v>
      </c>
      <c r="J1352" s="26" t="s">
        <v>57</v>
      </c>
      <c r="K1352" s="24"/>
      <c r="L1352" s="24" t="s">
        <v>4157</v>
      </c>
      <c r="M1352" s="24" t="s">
        <v>5480</v>
      </c>
      <c r="N1352" s="24"/>
      <c r="O1352" s="26"/>
      <c r="P1352" s="24"/>
      <c r="Q1352" s="24"/>
      <c r="R1352" s="26"/>
      <c r="S1352" s="26"/>
      <c r="T1352" s="26"/>
      <c r="U1352" s="24"/>
      <c r="V1352" s="24"/>
      <c r="W1352" s="24"/>
      <c r="X1352" s="63"/>
      <c r="Y1352" s="63"/>
      <c r="Z1352" s="63"/>
      <c r="AA1352" s="63"/>
      <c r="AB1352" s="24"/>
      <c r="AC1352" s="24"/>
    </row>
    <row r="1353" spans="1:29" s="28" customFormat="1" x14ac:dyDescent="0.3">
      <c r="A1353" s="27" t="s">
        <v>8285</v>
      </c>
      <c r="B1353" s="27" t="s">
        <v>2273</v>
      </c>
      <c r="C1353" s="29"/>
      <c r="D1353" s="28" t="s">
        <v>5082</v>
      </c>
      <c r="E1353" s="20" t="s">
        <v>1447</v>
      </c>
      <c r="F1353" s="20" t="s">
        <v>2662</v>
      </c>
      <c r="G1353" s="27"/>
      <c r="H1353" s="20"/>
      <c r="I1353" s="29"/>
      <c r="J1353" s="29"/>
      <c r="K1353" s="27"/>
      <c r="L1353" s="27"/>
      <c r="M1353" s="27" t="s">
        <v>8286</v>
      </c>
      <c r="N1353" s="27"/>
      <c r="O1353" s="29" t="s">
        <v>2130</v>
      </c>
      <c r="P1353" s="27"/>
      <c r="Q1353" s="27"/>
      <c r="R1353" s="29"/>
      <c r="S1353" s="29"/>
      <c r="T1353" s="29"/>
      <c r="U1353" s="27"/>
      <c r="V1353" s="27"/>
      <c r="W1353" s="27"/>
      <c r="X1353" s="64"/>
      <c r="Y1353" s="64"/>
      <c r="Z1353" s="64"/>
      <c r="AA1353" s="64"/>
      <c r="AB1353" s="27"/>
      <c r="AC1353" s="27"/>
    </row>
    <row r="1354" spans="1:29" s="28" customFormat="1" x14ac:dyDescent="0.3">
      <c r="A1354" s="27" t="s">
        <v>8287</v>
      </c>
      <c r="B1354" s="27" t="s">
        <v>2273</v>
      </c>
      <c r="C1354" s="29"/>
      <c r="D1354" s="28" t="s">
        <v>5082</v>
      </c>
      <c r="E1354" s="20" t="s">
        <v>1447</v>
      </c>
      <c r="F1354" s="20" t="s">
        <v>2842</v>
      </c>
      <c r="G1354" s="27"/>
      <c r="H1354" s="20"/>
      <c r="I1354" s="29"/>
      <c r="J1354" s="29"/>
      <c r="K1354" s="27"/>
      <c r="L1354" s="27"/>
      <c r="M1354" s="27" t="s">
        <v>8288</v>
      </c>
      <c r="N1354" s="27"/>
      <c r="O1354" s="29" t="s">
        <v>8289</v>
      </c>
      <c r="P1354" s="27"/>
      <c r="Q1354" s="27"/>
      <c r="R1354" s="29"/>
      <c r="S1354" s="29"/>
      <c r="T1354" s="29"/>
      <c r="U1354" s="27"/>
      <c r="V1354" s="27"/>
      <c r="W1354" s="27"/>
      <c r="X1354" s="64"/>
      <c r="Y1354" s="64"/>
      <c r="Z1354" s="64"/>
      <c r="AA1354" s="64"/>
      <c r="AB1354" s="27"/>
      <c r="AC1354" s="27"/>
    </row>
    <row r="1355" spans="1:29" s="25" customFormat="1" x14ac:dyDescent="0.3">
      <c r="A1355" s="24">
        <v>669</v>
      </c>
      <c r="B1355" s="24" t="s">
        <v>2272</v>
      </c>
      <c r="C1355" s="26">
        <v>341</v>
      </c>
      <c r="D1355" s="25" t="s">
        <v>1448</v>
      </c>
      <c r="E1355" s="19" t="s">
        <v>1449</v>
      </c>
      <c r="F1355" s="19"/>
      <c r="G1355" s="24"/>
      <c r="H1355" s="19" t="s">
        <v>4500</v>
      </c>
      <c r="I1355" s="26" t="s">
        <v>57</v>
      </c>
      <c r="J1355" s="26" t="s">
        <v>57</v>
      </c>
      <c r="K1355" s="24"/>
      <c r="L1355" s="24" t="s">
        <v>4159</v>
      </c>
      <c r="M1355" s="24" t="s">
        <v>5706</v>
      </c>
      <c r="N1355" s="24"/>
      <c r="O1355" s="26"/>
      <c r="P1355" s="24" t="s">
        <v>9</v>
      </c>
      <c r="Q1355" s="24"/>
      <c r="R1355" s="26"/>
      <c r="S1355" s="26"/>
      <c r="T1355" s="26"/>
      <c r="U1355" s="24"/>
      <c r="V1355" s="24"/>
      <c r="W1355" s="24"/>
      <c r="X1355" s="63"/>
      <c r="Y1355" s="63"/>
      <c r="Z1355" s="63"/>
      <c r="AA1355" s="63"/>
      <c r="AB1355" s="24"/>
      <c r="AC1355" s="24"/>
    </row>
    <row r="1356" spans="1:29" s="28" customFormat="1" x14ac:dyDescent="0.3">
      <c r="A1356" s="27" t="s">
        <v>8290</v>
      </c>
      <c r="B1356" s="27" t="s">
        <v>2273</v>
      </c>
      <c r="C1356" s="29"/>
      <c r="D1356" s="28" t="s">
        <v>5083</v>
      </c>
      <c r="E1356" s="20" t="s">
        <v>1449</v>
      </c>
      <c r="F1356" s="20" t="s">
        <v>2843</v>
      </c>
      <c r="G1356" s="27"/>
      <c r="H1356" s="20"/>
      <c r="I1356" s="29"/>
      <c r="J1356" s="29"/>
      <c r="K1356" s="27"/>
      <c r="L1356" s="27"/>
      <c r="M1356" s="27" t="s">
        <v>7557</v>
      </c>
      <c r="N1356" s="27"/>
      <c r="O1356" s="29" t="s">
        <v>8291</v>
      </c>
      <c r="P1356" s="27"/>
      <c r="Q1356" s="27"/>
      <c r="R1356" s="29"/>
      <c r="S1356" s="29"/>
      <c r="T1356" s="29"/>
      <c r="U1356" s="27"/>
      <c r="V1356" s="27"/>
      <c r="W1356" s="27"/>
      <c r="X1356" s="64"/>
      <c r="Y1356" s="64"/>
      <c r="Z1356" s="64"/>
      <c r="AA1356" s="64"/>
      <c r="AB1356" s="27"/>
      <c r="AC1356" s="27"/>
    </row>
    <row r="1357" spans="1:29" s="28" customFormat="1" x14ac:dyDescent="0.3">
      <c r="A1357" s="27" t="s">
        <v>8292</v>
      </c>
      <c r="B1357" s="27" t="s">
        <v>2273</v>
      </c>
      <c r="C1357" s="29"/>
      <c r="D1357" s="28" t="s">
        <v>5083</v>
      </c>
      <c r="E1357" s="20" t="s">
        <v>1449</v>
      </c>
      <c r="F1357" s="20" t="s">
        <v>2844</v>
      </c>
      <c r="G1357" s="27"/>
      <c r="H1357" s="20"/>
      <c r="I1357" s="29"/>
      <c r="J1357" s="29"/>
      <c r="K1357" s="27"/>
      <c r="L1357" s="27"/>
      <c r="M1357" s="27" t="s">
        <v>8293</v>
      </c>
      <c r="N1357" s="27"/>
      <c r="O1357" s="29" t="s">
        <v>8294</v>
      </c>
      <c r="P1357" s="27"/>
      <c r="Q1357" s="27"/>
      <c r="R1357" s="29"/>
      <c r="S1357" s="29"/>
      <c r="T1357" s="29"/>
      <c r="U1357" s="27"/>
      <c r="V1357" s="27"/>
      <c r="W1357" s="27"/>
      <c r="X1357" s="64"/>
      <c r="Y1357" s="64"/>
      <c r="Z1357" s="64"/>
      <c r="AA1357" s="64"/>
      <c r="AB1357" s="27"/>
      <c r="AC1357" s="27"/>
    </row>
    <row r="1358" spans="1:29" s="28" customFormat="1" x14ac:dyDescent="0.3">
      <c r="A1358" s="27" t="s">
        <v>8295</v>
      </c>
      <c r="B1358" s="27" t="s">
        <v>2273</v>
      </c>
      <c r="C1358" s="29"/>
      <c r="D1358" s="28" t="s">
        <v>5083</v>
      </c>
      <c r="E1358" s="20" t="s">
        <v>1449</v>
      </c>
      <c r="F1358" s="20" t="s">
        <v>2845</v>
      </c>
      <c r="G1358" s="27"/>
      <c r="H1358" s="20"/>
      <c r="I1358" s="29"/>
      <c r="J1358" s="29"/>
      <c r="K1358" s="27"/>
      <c r="L1358" s="27"/>
      <c r="M1358" s="27" t="s">
        <v>1906</v>
      </c>
      <c r="N1358" s="27"/>
      <c r="O1358" s="29" t="s">
        <v>2248</v>
      </c>
      <c r="P1358" s="27"/>
      <c r="Q1358" s="27"/>
      <c r="R1358" s="29"/>
      <c r="S1358" s="29"/>
      <c r="T1358" s="29"/>
      <c r="U1358" s="27"/>
      <c r="V1358" s="27"/>
      <c r="W1358" s="27"/>
      <c r="X1358" s="64"/>
      <c r="Y1358" s="64"/>
      <c r="Z1358" s="64"/>
      <c r="AA1358" s="64"/>
      <c r="AB1358" s="27"/>
      <c r="AC1358" s="27"/>
    </row>
    <row r="1359" spans="1:29" s="25" customFormat="1" x14ac:dyDescent="0.3">
      <c r="A1359" s="24">
        <v>670</v>
      </c>
      <c r="B1359" s="24" t="s">
        <v>2272</v>
      </c>
      <c r="C1359" s="26">
        <v>343</v>
      </c>
      <c r="D1359" s="25" t="s">
        <v>1450</v>
      </c>
      <c r="E1359" s="19" t="s">
        <v>1451</v>
      </c>
      <c r="F1359" s="19"/>
      <c r="G1359" s="24"/>
      <c r="H1359" s="19"/>
      <c r="I1359" s="26" t="s">
        <v>57</v>
      </c>
      <c r="J1359" s="26" t="s">
        <v>57</v>
      </c>
      <c r="K1359" s="24"/>
      <c r="L1359" s="24" t="s">
        <v>4161</v>
      </c>
      <c r="M1359" s="24" t="s">
        <v>5470</v>
      </c>
      <c r="N1359" s="24"/>
      <c r="O1359" s="26" t="s">
        <v>2199</v>
      </c>
      <c r="P1359" s="24"/>
      <c r="Q1359" s="24"/>
      <c r="R1359" s="26"/>
      <c r="S1359" s="26"/>
      <c r="T1359" s="26"/>
      <c r="U1359" s="24"/>
      <c r="V1359" s="24"/>
      <c r="W1359" s="24"/>
      <c r="X1359" s="63"/>
      <c r="Y1359" s="63"/>
      <c r="Z1359" s="63"/>
      <c r="AA1359" s="63"/>
      <c r="AB1359" s="24"/>
      <c r="AC1359" s="24"/>
    </row>
    <row r="1360" spans="1:29" s="25" customFormat="1" x14ac:dyDescent="0.3">
      <c r="A1360" s="24">
        <v>671</v>
      </c>
      <c r="B1360" s="24" t="s">
        <v>2272</v>
      </c>
      <c r="C1360" s="26">
        <v>349</v>
      </c>
      <c r="D1360" s="25" t="s">
        <v>1452</v>
      </c>
      <c r="E1360" s="19" t="s">
        <v>1453</v>
      </c>
      <c r="F1360" s="19"/>
      <c r="G1360" s="24"/>
      <c r="H1360" s="19"/>
      <c r="I1360" s="26" t="s">
        <v>57</v>
      </c>
      <c r="J1360" s="26" t="s">
        <v>57</v>
      </c>
      <c r="K1360" s="24"/>
      <c r="L1360" s="24" t="s">
        <v>3788</v>
      </c>
      <c r="M1360" s="24" t="s">
        <v>5470</v>
      </c>
      <c r="N1360" s="24"/>
      <c r="O1360" s="26"/>
      <c r="P1360" s="24"/>
      <c r="Q1360" s="24"/>
      <c r="R1360" s="26"/>
      <c r="S1360" s="26"/>
      <c r="T1360" s="26"/>
      <c r="U1360" s="24"/>
      <c r="V1360" s="24"/>
      <c r="W1360" s="24"/>
      <c r="X1360" s="63"/>
      <c r="Y1360" s="63"/>
      <c r="Z1360" s="63"/>
      <c r="AA1360" s="63"/>
      <c r="AB1360" s="24"/>
      <c r="AC1360" s="24"/>
    </row>
    <row r="1361" spans="1:29" s="28" customFormat="1" x14ac:dyDescent="0.3">
      <c r="A1361" s="27" t="s">
        <v>8296</v>
      </c>
      <c r="B1361" s="27" t="s">
        <v>2273</v>
      </c>
      <c r="C1361" s="29"/>
      <c r="D1361" s="28" t="s">
        <v>5084</v>
      </c>
      <c r="E1361" s="20" t="s">
        <v>1453</v>
      </c>
      <c r="F1361" s="20" t="s">
        <v>2846</v>
      </c>
      <c r="G1361" s="27"/>
      <c r="H1361" s="20"/>
      <c r="I1361" s="29"/>
      <c r="J1361" s="29"/>
      <c r="K1361" s="27"/>
      <c r="L1361" s="27"/>
      <c r="M1361" s="27" t="s">
        <v>8297</v>
      </c>
      <c r="N1361" s="27"/>
      <c r="O1361" s="29" t="s">
        <v>2250</v>
      </c>
      <c r="P1361" s="27"/>
      <c r="Q1361" s="27"/>
      <c r="R1361" s="29"/>
      <c r="S1361" s="29"/>
      <c r="T1361" s="29"/>
      <c r="U1361" s="27"/>
      <c r="V1361" s="27"/>
      <c r="W1361" s="27"/>
      <c r="X1361" s="64"/>
      <c r="Y1361" s="64"/>
      <c r="Z1361" s="64"/>
      <c r="AA1361" s="64"/>
      <c r="AB1361" s="27"/>
      <c r="AC1361" s="27"/>
    </row>
    <row r="1362" spans="1:29" s="28" customFormat="1" x14ac:dyDescent="0.3">
      <c r="A1362" s="27" t="s">
        <v>8298</v>
      </c>
      <c r="B1362" s="27" t="s">
        <v>2273</v>
      </c>
      <c r="C1362" s="29"/>
      <c r="D1362" s="28" t="s">
        <v>5084</v>
      </c>
      <c r="E1362" s="20" t="s">
        <v>1453</v>
      </c>
      <c r="F1362" s="20" t="s">
        <v>2743</v>
      </c>
      <c r="G1362" s="27"/>
      <c r="H1362" s="20"/>
      <c r="I1362" s="29"/>
      <c r="J1362" s="29"/>
      <c r="K1362" s="27"/>
      <c r="L1362" s="27"/>
      <c r="M1362" s="27" t="s">
        <v>7954</v>
      </c>
      <c r="N1362" s="27"/>
      <c r="O1362" s="29" t="s">
        <v>8299</v>
      </c>
      <c r="P1362" s="27"/>
      <c r="Q1362" s="27"/>
      <c r="R1362" s="29"/>
      <c r="S1362" s="29"/>
      <c r="T1362" s="29"/>
      <c r="U1362" s="27"/>
      <c r="V1362" s="27"/>
      <c r="W1362" s="27"/>
      <c r="X1362" s="64"/>
      <c r="Y1362" s="64"/>
      <c r="Z1362" s="64"/>
      <c r="AA1362" s="64"/>
      <c r="AB1362" s="27"/>
      <c r="AC1362" s="27"/>
    </row>
    <row r="1363" spans="1:29" s="25" customFormat="1" x14ac:dyDescent="0.3">
      <c r="A1363" s="24">
        <v>672</v>
      </c>
      <c r="B1363" s="24" t="s">
        <v>2272</v>
      </c>
      <c r="C1363" s="26">
        <v>343</v>
      </c>
      <c r="D1363" s="25" t="s">
        <v>2226</v>
      </c>
      <c r="E1363" s="19" t="s">
        <v>1455</v>
      </c>
      <c r="F1363" s="19"/>
      <c r="G1363" s="24"/>
      <c r="H1363" s="19"/>
      <c r="I1363" s="26" t="s">
        <v>57</v>
      </c>
      <c r="J1363" s="26" t="s">
        <v>57</v>
      </c>
      <c r="K1363" s="24"/>
      <c r="L1363" s="24" t="s">
        <v>4709</v>
      </c>
      <c r="M1363" s="24" t="s">
        <v>5510</v>
      </c>
      <c r="N1363" s="24"/>
      <c r="O1363" s="26" t="s">
        <v>2037</v>
      </c>
      <c r="P1363" s="24"/>
      <c r="Q1363" s="24"/>
      <c r="R1363" s="26"/>
      <c r="S1363" s="26"/>
      <c r="T1363" s="26"/>
      <c r="U1363" s="24"/>
      <c r="V1363" s="24"/>
      <c r="W1363" s="24"/>
      <c r="X1363" s="63"/>
      <c r="Y1363" s="63"/>
      <c r="Z1363" s="63"/>
      <c r="AA1363" s="63"/>
      <c r="AB1363" s="24"/>
      <c r="AC1363" s="24"/>
    </row>
    <row r="1364" spans="1:29" s="25" customFormat="1" x14ac:dyDescent="0.3">
      <c r="A1364" s="24">
        <v>673</v>
      </c>
      <c r="B1364" s="24" t="s">
        <v>2272</v>
      </c>
      <c r="C1364" s="26">
        <v>343</v>
      </c>
      <c r="D1364" s="25" t="s">
        <v>1454</v>
      </c>
      <c r="E1364" s="19" t="s">
        <v>2849</v>
      </c>
      <c r="F1364" s="19"/>
      <c r="G1364" s="24"/>
      <c r="H1364" s="19"/>
      <c r="I1364" s="26" t="s">
        <v>57</v>
      </c>
      <c r="J1364" s="26" t="s">
        <v>57</v>
      </c>
      <c r="K1364" s="24"/>
      <c r="L1364" s="24" t="s">
        <v>4248</v>
      </c>
      <c r="M1364" s="24" t="s">
        <v>5470</v>
      </c>
      <c r="N1364" s="24"/>
      <c r="O1364" s="26"/>
      <c r="P1364" s="24"/>
      <c r="Q1364" s="24"/>
      <c r="R1364" s="26"/>
      <c r="S1364" s="26"/>
      <c r="T1364" s="26"/>
      <c r="U1364" s="24"/>
      <c r="V1364" s="24"/>
      <c r="W1364" s="24"/>
      <c r="X1364" s="63"/>
      <c r="Y1364" s="63"/>
      <c r="Z1364" s="63"/>
      <c r="AA1364" s="63"/>
      <c r="AB1364" s="24"/>
      <c r="AC1364" s="24"/>
    </row>
    <row r="1365" spans="1:29" s="28" customFormat="1" x14ac:dyDescent="0.3">
      <c r="A1365" s="27" t="s">
        <v>6358</v>
      </c>
      <c r="B1365" s="27" t="s">
        <v>2273</v>
      </c>
      <c r="C1365" s="29"/>
      <c r="D1365" s="28" t="s">
        <v>5085</v>
      </c>
      <c r="E1365" s="20" t="s">
        <v>2849</v>
      </c>
      <c r="F1365" s="20" t="s">
        <v>2847</v>
      </c>
      <c r="G1365" s="27"/>
      <c r="H1365" s="20"/>
      <c r="I1365" s="29"/>
      <c r="J1365" s="29"/>
      <c r="K1365" s="27"/>
      <c r="L1365" s="27"/>
      <c r="M1365" s="27" t="s">
        <v>8300</v>
      </c>
      <c r="N1365" s="27"/>
      <c r="O1365" s="29" t="s">
        <v>8301</v>
      </c>
      <c r="P1365" s="27"/>
      <c r="Q1365" s="27"/>
      <c r="R1365" s="29"/>
      <c r="S1365" s="29"/>
      <c r="T1365" s="29"/>
      <c r="U1365" s="27"/>
      <c r="V1365" s="27"/>
      <c r="W1365" s="27"/>
      <c r="X1365" s="64"/>
      <c r="Y1365" s="64"/>
      <c r="Z1365" s="64"/>
      <c r="AA1365" s="64"/>
      <c r="AB1365" s="27"/>
      <c r="AC1365" s="27"/>
    </row>
    <row r="1366" spans="1:29" s="28" customFormat="1" x14ac:dyDescent="0.3">
      <c r="A1366" s="27" t="s">
        <v>6359</v>
      </c>
      <c r="B1366" s="27" t="s">
        <v>2273</v>
      </c>
      <c r="C1366" s="29"/>
      <c r="D1366" s="28" t="s">
        <v>5085</v>
      </c>
      <c r="E1366" s="20" t="s">
        <v>2849</v>
      </c>
      <c r="F1366" s="20" t="s">
        <v>2848</v>
      </c>
      <c r="G1366" s="27"/>
      <c r="H1366" s="20"/>
      <c r="I1366" s="29"/>
      <c r="J1366" s="29"/>
      <c r="K1366" s="27"/>
      <c r="L1366" s="27"/>
      <c r="M1366" s="27" t="s">
        <v>8302</v>
      </c>
      <c r="N1366" s="27"/>
      <c r="O1366" s="29" t="s">
        <v>2199</v>
      </c>
      <c r="P1366" s="27"/>
      <c r="Q1366" s="27"/>
      <c r="R1366" s="29"/>
      <c r="S1366" s="29"/>
      <c r="T1366" s="29"/>
      <c r="U1366" s="27"/>
      <c r="V1366" s="27"/>
      <c r="W1366" s="27"/>
      <c r="X1366" s="64"/>
      <c r="Y1366" s="64"/>
      <c r="Z1366" s="64"/>
      <c r="AA1366" s="64"/>
      <c r="AB1366" s="27"/>
      <c r="AC1366" s="27"/>
    </row>
    <row r="1367" spans="1:29" s="25" customFormat="1" x14ac:dyDescent="0.3">
      <c r="A1367" s="24">
        <v>674</v>
      </c>
      <c r="B1367" s="24" t="s">
        <v>2272</v>
      </c>
      <c r="C1367" s="26">
        <v>343</v>
      </c>
      <c r="D1367" s="25" t="s">
        <v>1456</v>
      </c>
      <c r="E1367" s="19" t="s">
        <v>1457</v>
      </c>
      <c r="F1367" s="19"/>
      <c r="G1367" s="24" t="s">
        <v>2227</v>
      </c>
      <c r="H1367" s="19"/>
      <c r="I1367" s="26" t="s">
        <v>57</v>
      </c>
      <c r="J1367" s="26" t="s">
        <v>57</v>
      </c>
      <c r="K1367" s="24"/>
      <c r="L1367" s="24" t="s">
        <v>4165</v>
      </c>
      <c r="M1367" s="24" t="s">
        <v>5276</v>
      </c>
      <c r="N1367" s="24"/>
      <c r="O1367" s="26"/>
      <c r="P1367" s="24"/>
      <c r="Q1367" s="24"/>
      <c r="R1367" s="26"/>
      <c r="S1367" s="26"/>
      <c r="T1367" s="26"/>
      <c r="U1367" s="24"/>
      <c r="V1367" s="24"/>
      <c r="W1367" s="24"/>
      <c r="X1367" s="63"/>
      <c r="Y1367" s="63"/>
      <c r="Z1367" s="63"/>
      <c r="AA1367" s="63"/>
      <c r="AB1367" s="24"/>
      <c r="AC1367" s="24"/>
    </row>
    <row r="1368" spans="1:29" s="28" customFormat="1" x14ac:dyDescent="0.3">
      <c r="A1368" s="27" t="s">
        <v>5781</v>
      </c>
      <c r="B1368" s="27" t="s">
        <v>2273</v>
      </c>
      <c r="C1368" s="29"/>
      <c r="D1368" s="28" t="s">
        <v>5086</v>
      </c>
      <c r="E1368" s="20" t="s">
        <v>1457</v>
      </c>
      <c r="F1368" s="20" t="s">
        <v>2850</v>
      </c>
      <c r="G1368" s="27"/>
      <c r="H1368" s="20"/>
      <c r="I1368" s="29"/>
      <c r="J1368" s="29"/>
      <c r="K1368" s="27"/>
      <c r="L1368" s="27"/>
      <c r="M1368" s="27" t="s">
        <v>7458</v>
      </c>
      <c r="N1368" s="27"/>
      <c r="O1368" s="29" t="s">
        <v>8303</v>
      </c>
      <c r="P1368" s="27"/>
      <c r="Q1368" s="27"/>
      <c r="R1368" s="29"/>
      <c r="S1368" s="29"/>
      <c r="T1368" s="29"/>
      <c r="U1368" s="27"/>
      <c r="V1368" s="27"/>
      <c r="W1368" s="27"/>
      <c r="X1368" s="64"/>
      <c r="Y1368" s="64"/>
      <c r="Z1368" s="64"/>
      <c r="AA1368" s="64"/>
      <c r="AB1368" s="27"/>
      <c r="AC1368" s="27"/>
    </row>
    <row r="1369" spans="1:29" s="28" customFormat="1" x14ac:dyDescent="0.3">
      <c r="A1369" s="27" t="s">
        <v>5782</v>
      </c>
      <c r="B1369" s="27" t="s">
        <v>2273</v>
      </c>
      <c r="C1369" s="29"/>
      <c r="D1369" s="28" t="s">
        <v>5086</v>
      </c>
      <c r="E1369" s="20" t="s">
        <v>1457</v>
      </c>
      <c r="F1369" s="20" t="s">
        <v>2835</v>
      </c>
      <c r="G1369" s="27"/>
      <c r="H1369" s="20"/>
      <c r="I1369" s="29"/>
      <c r="J1369" s="29"/>
      <c r="K1369" s="27"/>
      <c r="L1369" s="27"/>
      <c r="M1369" s="27" t="s">
        <v>8304</v>
      </c>
      <c r="N1369" s="27"/>
      <c r="O1369" s="29" t="s">
        <v>8305</v>
      </c>
      <c r="P1369" s="27"/>
      <c r="Q1369" s="27"/>
      <c r="R1369" s="29"/>
      <c r="S1369" s="29"/>
      <c r="T1369" s="29"/>
      <c r="U1369" s="27"/>
      <c r="V1369" s="27"/>
      <c r="W1369" s="27"/>
      <c r="X1369" s="64"/>
      <c r="Y1369" s="64"/>
      <c r="Z1369" s="64"/>
      <c r="AA1369" s="64"/>
      <c r="AB1369" s="27"/>
      <c r="AC1369" s="27"/>
    </row>
    <row r="1370" spans="1:29" s="28" customFormat="1" x14ac:dyDescent="0.3">
      <c r="A1370" s="27" t="s">
        <v>6360</v>
      </c>
      <c r="B1370" s="27" t="s">
        <v>2273</v>
      </c>
      <c r="C1370" s="29"/>
      <c r="D1370" s="28" t="s">
        <v>5086</v>
      </c>
      <c r="E1370" s="20" t="s">
        <v>1457</v>
      </c>
      <c r="F1370" s="20" t="s">
        <v>2851</v>
      </c>
      <c r="G1370" s="27"/>
      <c r="H1370" s="20"/>
      <c r="I1370" s="29"/>
      <c r="J1370" s="29"/>
      <c r="K1370" s="27"/>
      <c r="L1370" s="27"/>
      <c r="M1370" s="27" t="s">
        <v>6907</v>
      </c>
      <c r="N1370" s="27"/>
      <c r="O1370" s="29" t="s">
        <v>8306</v>
      </c>
      <c r="P1370" s="27"/>
      <c r="Q1370" s="27"/>
      <c r="R1370" s="29"/>
      <c r="S1370" s="29"/>
      <c r="T1370" s="29"/>
      <c r="U1370" s="27"/>
      <c r="V1370" s="27"/>
      <c r="W1370" s="27"/>
      <c r="X1370" s="64"/>
      <c r="Y1370" s="64"/>
      <c r="Z1370" s="64"/>
      <c r="AA1370" s="64"/>
      <c r="AB1370" s="27"/>
      <c r="AC1370" s="27"/>
    </row>
    <row r="1371" spans="1:29" s="25" customFormat="1" x14ac:dyDescent="0.3">
      <c r="A1371" s="24">
        <v>675</v>
      </c>
      <c r="B1371" s="24" t="s">
        <v>2272</v>
      </c>
      <c r="C1371" s="26">
        <v>347</v>
      </c>
      <c r="D1371" s="25" t="s">
        <v>1458</v>
      </c>
      <c r="E1371" s="19" t="s">
        <v>1459</v>
      </c>
      <c r="F1371" s="19"/>
      <c r="G1371" s="24"/>
      <c r="H1371" s="19"/>
      <c r="I1371" s="26" t="s">
        <v>57</v>
      </c>
      <c r="J1371" s="26" t="s">
        <v>57</v>
      </c>
      <c r="K1371" s="24"/>
      <c r="L1371" s="24" t="s">
        <v>4167</v>
      </c>
      <c r="M1371" s="24" t="s">
        <v>5709</v>
      </c>
      <c r="N1371" s="24"/>
      <c r="O1371" s="26" t="s">
        <v>2228</v>
      </c>
      <c r="P1371" s="24"/>
      <c r="Q1371" s="24"/>
      <c r="R1371" s="26"/>
      <c r="S1371" s="26"/>
      <c r="T1371" s="26"/>
      <c r="U1371" s="24"/>
      <c r="V1371" s="24"/>
      <c r="W1371" s="24"/>
      <c r="X1371" s="63"/>
      <c r="Y1371" s="63"/>
      <c r="Z1371" s="63"/>
      <c r="AA1371" s="63"/>
      <c r="AB1371" s="24"/>
      <c r="AC1371" s="24"/>
    </row>
    <row r="1372" spans="1:29" s="25" customFormat="1" x14ac:dyDescent="0.3">
      <c r="A1372" s="24">
        <v>676</v>
      </c>
      <c r="B1372" s="24" t="s">
        <v>2272</v>
      </c>
      <c r="C1372" s="26">
        <v>347</v>
      </c>
      <c r="D1372" s="25" t="s">
        <v>1460</v>
      </c>
      <c r="E1372" s="19" t="s">
        <v>1461</v>
      </c>
      <c r="F1372" s="19"/>
      <c r="G1372" s="24"/>
      <c r="H1372" s="19"/>
      <c r="I1372" s="26" t="s">
        <v>57</v>
      </c>
      <c r="J1372" s="26" t="s">
        <v>57</v>
      </c>
      <c r="K1372" s="24"/>
      <c r="L1372" s="24" t="s">
        <v>4169</v>
      </c>
      <c r="M1372" s="24" t="s">
        <v>5485</v>
      </c>
      <c r="N1372" s="24"/>
      <c r="O1372" s="26" t="s">
        <v>2229</v>
      </c>
      <c r="P1372" s="24"/>
      <c r="Q1372" s="24"/>
      <c r="R1372" s="26"/>
      <c r="S1372" s="26"/>
      <c r="T1372" s="26"/>
      <c r="U1372" s="24"/>
      <c r="V1372" s="24"/>
      <c r="W1372" s="24"/>
      <c r="X1372" s="63"/>
      <c r="Y1372" s="63"/>
      <c r="Z1372" s="63"/>
      <c r="AA1372" s="63"/>
      <c r="AB1372" s="24"/>
      <c r="AC1372" s="24"/>
    </row>
    <row r="1373" spans="1:29" s="25" customFormat="1" x14ac:dyDescent="0.3">
      <c r="A1373" s="24">
        <v>677</v>
      </c>
      <c r="B1373" s="24" t="s">
        <v>2272</v>
      </c>
      <c r="C1373" s="26">
        <v>347</v>
      </c>
      <c r="D1373" s="25" t="s">
        <v>1462</v>
      </c>
      <c r="E1373" s="19" t="s">
        <v>1463</v>
      </c>
      <c r="F1373" s="19"/>
      <c r="G1373" s="24"/>
      <c r="H1373" s="19"/>
      <c r="I1373" s="26" t="s">
        <v>57</v>
      </c>
      <c r="J1373" s="26" t="s">
        <v>57</v>
      </c>
      <c r="K1373" s="24"/>
      <c r="L1373" s="24" t="s">
        <v>4171</v>
      </c>
      <c r="M1373" s="24" t="s">
        <v>5272</v>
      </c>
      <c r="N1373" s="24"/>
      <c r="O1373" s="26" t="s">
        <v>2230</v>
      </c>
      <c r="P1373" s="24"/>
      <c r="Q1373" s="24"/>
      <c r="R1373" s="26"/>
      <c r="S1373" s="26"/>
      <c r="T1373" s="26"/>
      <c r="U1373" s="24"/>
      <c r="V1373" s="24"/>
      <c r="W1373" s="24"/>
      <c r="X1373" s="63"/>
      <c r="Y1373" s="63"/>
      <c r="Z1373" s="63"/>
      <c r="AA1373" s="63"/>
      <c r="AB1373" s="24"/>
      <c r="AC1373" s="24"/>
    </row>
    <row r="1374" spans="1:29" s="25" customFormat="1" x14ac:dyDescent="0.3">
      <c r="A1374" s="24">
        <v>678</v>
      </c>
      <c r="B1374" s="24" t="s">
        <v>2272</v>
      </c>
      <c r="C1374" s="26">
        <v>347</v>
      </c>
      <c r="D1374" s="25" t="s">
        <v>1464</v>
      </c>
      <c r="E1374" s="19" t="s">
        <v>1465</v>
      </c>
      <c r="F1374" s="19"/>
      <c r="G1374" s="24"/>
      <c r="H1374" s="19"/>
      <c r="I1374" s="26" t="s">
        <v>57</v>
      </c>
      <c r="J1374" s="26" t="s">
        <v>57</v>
      </c>
      <c r="K1374" s="24" t="s">
        <v>3017</v>
      </c>
      <c r="L1374" s="24" t="s">
        <v>4173</v>
      </c>
      <c r="M1374" s="24" t="s">
        <v>5670</v>
      </c>
      <c r="N1374" s="24"/>
      <c r="O1374" s="26" t="s">
        <v>2231</v>
      </c>
      <c r="P1374" s="24"/>
      <c r="Q1374" s="24"/>
      <c r="R1374" s="26"/>
      <c r="S1374" s="26"/>
      <c r="T1374" s="26"/>
      <c r="U1374" s="24"/>
      <c r="V1374" s="24"/>
      <c r="W1374" s="24"/>
      <c r="X1374" s="63"/>
      <c r="Y1374" s="63"/>
      <c r="Z1374" s="63"/>
      <c r="AA1374" s="63"/>
      <c r="AB1374" s="24"/>
      <c r="AC1374" s="24"/>
    </row>
    <row r="1375" spans="1:29" s="25" customFormat="1" ht="71.400000000000006" x14ac:dyDescent="0.3">
      <c r="A1375" s="24">
        <v>679</v>
      </c>
      <c r="B1375" s="24" t="s">
        <v>2272</v>
      </c>
      <c r="C1375" s="26">
        <v>345</v>
      </c>
      <c r="D1375" s="25" t="s">
        <v>1466</v>
      </c>
      <c r="E1375" s="19" t="s">
        <v>1467</v>
      </c>
      <c r="F1375" s="19"/>
      <c r="G1375" s="24"/>
      <c r="H1375" s="19"/>
      <c r="I1375" s="26" t="s">
        <v>37</v>
      </c>
      <c r="J1375" s="26" t="s">
        <v>57</v>
      </c>
      <c r="K1375" s="24"/>
      <c r="L1375" s="103" t="s">
        <v>6605</v>
      </c>
      <c r="M1375" s="24" t="s">
        <v>1468</v>
      </c>
      <c r="N1375" s="24"/>
      <c r="O1375" s="26"/>
      <c r="P1375" s="24"/>
      <c r="Q1375" s="24"/>
      <c r="R1375" s="26"/>
      <c r="S1375" s="26"/>
      <c r="T1375" s="26"/>
      <c r="U1375" s="24"/>
      <c r="V1375" s="24"/>
      <c r="W1375" s="24"/>
      <c r="X1375" s="63"/>
      <c r="Y1375" s="63"/>
      <c r="Z1375" s="63"/>
      <c r="AA1375" s="63"/>
      <c r="AB1375" s="24"/>
      <c r="AC1375" s="24"/>
    </row>
    <row r="1376" spans="1:29" s="28" customFormat="1" x14ac:dyDescent="0.3">
      <c r="A1376" s="27" t="s">
        <v>8307</v>
      </c>
      <c r="B1376" s="27" t="s">
        <v>2273</v>
      </c>
      <c r="C1376" s="29">
        <v>345</v>
      </c>
      <c r="D1376" s="28" t="s">
        <v>5087</v>
      </c>
      <c r="E1376" s="20" t="s">
        <v>1467</v>
      </c>
      <c r="F1376" s="20" t="s">
        <v>2852</v>
      </c>
      <c r="G1376" s="27" t="s">
        <v>4711</v>
      </c>
      <c r="H1376" s="20" t="s">
        <v>4712</v>
      </c>
      <c r="I1376" s="29"/>
      <c r="J1376" s="29" t="s">
        <v>57</v>
      </c>
      <c r="K1376" s="27"/>
      <c r="L1376" s="27" t="s">
        <v>4710</v>
      </c>
      <c r="M1376" s="27" t="s">
        <v>7458</v>
      </c>
      <c r="N1376" s="27"/>
      <c r="O1376" s="29" t="s">
        <v>8308</v>
      </c>
      <c r="P1376" s="27"/>
      <c r="Q1376" s="27"/>
      <c r="R1376" s="29"/>
      <c r="S1376" s="29"/>
      <c r="T1376" s="29"/>
      <c r="U1376" s="27"/>
      <c r="V1376" s="27"/>
      <c r="W1376" s="27"/>
      <c r="X1376" s="64"/>
      <c r="Y1376" s="64"/>
      <c r="Z1376" s="64"/>
      <c r="AA1376" s="64"/>
      <c r="AB1376" s="27"/>
      <c r="AC1376" s="27"/>
    </row>
    <row r="1377" spans="1:29" s="28" customFormat="1" x14ac:dyDescent="0.3">
      <c r="A1377" s="27" t="s">
        <v>8309</v>
      </c>
      <c r="B1377" s="27" t="s">
        <v>2273</v>
      </c>
      <c r="C1377" s="29">
        <v>345</v>
      </c>
      <c r="D1377" s="28" t="s">
        <v>5087</v>
      </c>
      <c r="E1377" s="20" t="s">
        <v>1467</v>
      </c>
      <c r="F1377" s="20" t="s">
        <v>2853</v>
      </c>
      <c r="G1377" s="27" t="s">
        <v>4714</v>
      </c>
      <c r="H1377" s="20" t="s">
        <v>4715</v>
      </c>
      <c r="I1377" s="29"/>
      <c r="J1377" s="29" t="s">
        <v>57</v>
      </c>
      <c r="K1377" s="27"/>
      <c r="L1377" s="27" t="s">
        <v>4713</v>
      </c>
      <c r="M1377" s="27" t="s">
        <v>8310</v>
      </c>
      <c r="N1377" s="27"/>
      <c r="O1377" s="29" t="s">
        <v>8311</v>
      </c>
      <c r="P1377" s="27"/>
      <c r="Q1377" s="27"/>
      <c r="R1377" s="29"/>
      <c r="S1377" s="29"/>
      <c r="T1377" s="29"/>
      <c r="U1377" s="27"/>
      <c r="V1377" s="27"/>
      <c r="W1377" s="27"/>
      <c r="X1377" s="64"/>
      <c r="Y1377" s="64"/>
      <c r="Z1377" s="64"/>
      <c r="AA1377" s="64"/>
      <c r="AB1377" s="27"/>
      <c r="AC1377" s="27"/>
    </row>
    <row r="1378" spans="1:29" s="28" customFormat="1" x14ac:dyDescent="0.3">
      <c r="A1378" s="27" t="s">
        <v>8312</v>
      </c>
      <c r="B1378" s="27" t="s">
        <v>2273</v>
      </c>
      <c r="C1378" s="29">
        <v>345</v>
      </c>
      <c r="D1378" s="28" t="s">
        <v>5087</v>
      </c>
      <c r="E1378" s="20" t="s">
        <v>1467</v>
      </c>
      <c r="F1378" s="20" t="s">
        <v>2854</v>
      </c>
      <c r="G1378" s="27" t="s">
        <v>4714</v>
      </c>
      <c r="H1378" s="20" t="s">
        <v>4715</v>
      </c>
      <c r="I1378" s="29"/>
      <c r="J1378" s="29" t="s">
        <v>57</v>
      </c>
      <c r="K1378" s="27"/>
      <c r="L1378" s="27" t="s">
        <v>4713</v>
      </c>
      <c r="M1378" s="27" t="s">
        <v>8313</v>
      </c>
      <c r="N1378" s="27"/>
      <c r="O1378" s="29" t="s">
        <v>8314</v>
      </c>
      <c r="P1378" s="27"/>
      <c r="Q1378" s="27"/>
      <c r="R1378" s="29"/>
      <c r="S1378" s="29"/>
      <c r="T1378" s="29"/>
      <c r="U1378" s="27"/>
      <c r="V1378" s="27"/>
      <c r="W1378" s="27"/>
      <c r="X1378" s="64"/>
      <c r="Y1378" s="64"/>
      <c r="Z1378" s="64"/>
      <c r="AA1378" s="64"/>
      <c r="AB1378" s="27"/>
      <c r="AC1378" s="27"/>
    </row>
    <row r="1379" spans="1:29" s="28" customFormat="1" x14ac:dyDescent="0.3">
      <c r="A1379" s="27" t="s">
        <v>8315</v>
      </c>
      <c r="B1379" s="27" t="s">
        <v>2273</v>
      </c>
      <c r="C1379" s="29">
        <v>345</v>
      </c>
      <c r="D1379" s="28" t="s">
        <v>5087</v>
      </c>
      <c r="E1379" s="20" t="s">
        <v>1467</v>
      </c>
      <c r="F1379" s="20" t="s">
        <v>2855</v>
      </c>
      <c r="G1379" s="27" t="s">
        <v>4714</v>
      </c>
      <c r="H1379" s="20" t="s">
        <v>4715</v>
      </c>
      <c r="I1379" s="29"/>
      <c r="J1379" s="29" t="s">
        <v>57</v>
      </c>
      <c r="K1379" s="27"/>
      <c r="L1379" s="27" t="s">
        <v>4713</v>
      </c>
      <c r="M1379" s="27" t="s">
        <v>8316</v>
      </c>
      <c r="N1379" s="27"/>
      <c r="O1379" s="29" t="s">
        <v>8317</v>
      </c>
      <c r="P1379" s="27"/>
      <c r="Q1379" s="27"/>
      <c r="R1379" s="29"/>
      <c r="S1379" s="29"/>
      <c r="T1379" s="29"/>
      <c r="U1379" s="27"/>
      <c r="V1379" s="27"/>
      <c r="W1379" s="27"/>
      <c r="X1379" s="64"/>
      <c r="Y1379" s="64"/>
      <c r="Z1379" s="64"/>
      <c r="AA1379" s="64"/>
      <c r="AB1379" s="27"/>
      <c r="AC1379" s="27"/>
    </row>
    <row r="1380" spans="1:29" s="28" customFormat="1" x14ac:dyDescent="0.3">
      <c r="A1380" s="27" t="s">
        <v>8318</v>
      </c>
      <c r="B1380" s="27" t="s">
        <v>2273</v>
      </c>
      <c r="C1380" s="29">
        <v>345</v>
      </c>
      <c r="D1380" s="28" t="s">
        <v>5087</v>
      </c>
      <c r="E1380" s="20" t="s">
        <v>1467</v>
      </c>
      <c r="F1380" s="20" t="s">
        <v>2856</v>
      </c>
      <c r="G1380" s="27" t="s">
        <v>4711</v>
      </c>
      <c r="H1380" s="20" t="s">
        <v>4712</v>
      </c>
      <c r="I1380" s="29"/>
      <c r="J1380" s="29" t="s">
        <v>57</v>
      </c>
      <c r="K1380" s="27"/>
      <c r="L1380" s="27" t="s">
        <v>4710</v>
      </c>
      <c r="M1380" s="27" t="s">
        <v>6907</v>
      </c>
      <c r="N1380" s="27"/>
      <c r="O1380" s="29" t="s">
        <v>8319</v>
      </c>
      <c r="P1380" s="27"/>
      <c r="Q1380" s="27"/>
      <c r="R1380" s="29"/>
      <c r="S1380" s="29"/>
      <c r="T1380" s="29"/>
      <c r="U1380" s="27"/>
      <c r="V1380" s="27"/>
      <c r="W1380" s="27"/>
      <c r="X1380" s="64"/>
      <c r="Y1380" s="64"/>
      <c r="Z1380" s="64"/>
      <c r="AA1380" s="64"/>
      <c r="AB1380" s="27"/>
      <c r="AC1380" s="27"/>
    </row>
    <row r="1381" spans="1:29" s="28" customFormat="1" x14ac:dyDescent="0.3">
      <c r="A1381" s="27" t="s">
        <v>8320</v>
      </c>
      <c r="B1381" s="27" t="s">
        <v>2273</v>
      </c>
      <c r="C1381" s="29">
        <v>345</v>
      </c>
      <c r="D1381" s="28" t="s">
        <v>5087</v>
      </c>
      <c r="E1381" s="20" t="s">
        <v>1467</v>
      </c>
      <c r="F1381" s="20" t="s">
        <v>2857</v>
      </c>
      <c r="G1381" s="27" t="s">
        <v>4717</v>
      </c>
      <c r="H1381" s="20" t="s">
        <v>4718</v>
      </c>
      <c r="I1381" s="29"/>
      <c r="J1381" s="29" t="s">
        <v>57</v>
      </c>
      <c r="K1381" s="27"/>
      <c r="L1381" s="27" t="s">
        <v>4716</v>
      </c>
      <c r="M1381" s="27" t="s">
        <v>7856</v>
      </c>
      <c r="N1381" s="27"/>
      <c r="O1381" s="29" t="s">
        <v>8321</v>
      </c>
      <c r="P1381" s="27"/>
      <c r="Q1381" s="27"/>
      <c r="R1381" s="29"/>
      <c r="S1381" s="29"/>
      <c r="T1381" s="29"/>
      <c r="U1381" s="27"/>
      <c r="V1381" s="27"/>
      <c r="W1381" s="27"/>
      <c r="X1381" s="64"/>
      <c r="Y1381" s="64"/>
      <c r="Z1381" s="64"/>
      <c r="AA1381" s="64"/>
      <c r="AB1381" s="27"/>
      <c r="AC1381" s="27"/>
    </row>
    <row r="1382" spans="1:29" s="28" customFormat="1" x14ac:dyDescent="0.3">
      <c r="A1382" s="27" t="s">
        <v>8322</v>
      </c>
      <c r="B1382" s="27" t="s">
        <v>2273</v>
      </c>
      <c r="C1382" s="29">
        <v>345</v>
      </c>
      <c r="D1382" s="28" t="s">
        <v>5087</v>
      </c>
      <c r="E1382" s="20" t="s">
        <v>1467</v>
      </c>
      <c r="F1382" s="20" t="s">
        <v>2858</v>
      </c>
      <c r="G1382" s="27" t="s">
        <v>4717</v>
      </c>
      <c r="H1382" s="20" t="s">
        <v>4718</v>
      </c>
      <c r="I1382" s="29"/>
      <c r="J1382" s="29" t="s">
        <v>57</v>
      </c>
      <c r="K1382" s="27"/>
      <c r="L1382" s="27" t="s">
        <v>4716</v>
      </c>
      <c r="M1382" s="27" t="s">
        <v>6918</v>
      </c>
      <c r="N1382" s="27"/>
      <c r="O1382" s="29" t="s">
        <v>8323</v>
      </c>
      <c r="P1382" s="27"/>
      <c r="Q1382" s="27"/>
      <c r="R1382" s="29"/>
      <c r="S1382" s="29"/>
      <c r="T1382" s="29"/>
      <c r="U1382" s="27"/>
      <c r="V1382" s="27"/>
      <c r="W1382" s="27"/>
      <c r="X1382" s="64"/>
      <c r="Y1382" s="64"/>
      <c r="Z1382" s="64"/>
      <c r="AA1382" s="64"/>
      <c r="AB1382" s="27"/>
      <c r="AC1382" s="27"/>
    </row>
    <row r="1383" spans="1:29" s="28" customFormat="1" x14ac:dyDescent="0.3">
      <c r="A1383" s="27" t="s">
        <v>8324</v>
      </c>
      <c r="B1383" s="27" t="s">
        <v>2273</v>
      </c>
      <c r="C1383" s="29">
        <v>345</v>
      </c>
      <c r="D1383" s="28" t="s">
        <v>5087</v>
      </c>
      <c r="E1383" s="20" t="s">
        <v>1467</v>
      </c>
      <c r="F1383" s="20" t="s">
        <v>2859</v>
      </c>
      <c r="G1383" s="27" t="s">
        <v>4717</v>
      </c>
      <c r="H1383" s="20" t="s">
        <v>4718</v>
      </c>
      <c r="I1383" s="29"/>
      <c r="J1383" s="29" t="s">
        <v>57</v>
      </c>
      <c r="K1383" s="27"/>
      <c r="L1383" s="27" t="s">
        <v>4716</v>
      </c>
      <c r="M1383" s="27" t="s">
        <v>7461</v>
      </c>
      <c r="N1383" s="27"/>
      <c r="O1383" s="29" t="s">
        <v>8325</v>
      </c>
      <c r="P1383" s="27"/>
      <c r="Q1383" s="27"/>
      <c r="R1383" s="29"/>
      <c r="S1383" s="29"/>
      <c r="T1383" s="29"/>
      <c r="U1383" s="27"/>
      <c r="V1383" s="27"/>
      <c r="W1383" s="27"/>
      <c r="X1383" s="64"/>
      <c r="Y1383" s="64"/>
      <c r="Z1383" s="64"/>
      <c r="AA1383" s="64"/>
      <c r="AB1383" s="27"/>
      <c r="AC1383" s="27"/>
    </row>
    <row r="1384" spans="1:29" s="28" customFormat="1" x14ac:dyDescent="0.3">
      <c r="A1384" s="27" t="s">
        <v>8326</v>
      </c>
      <c r="B1384" s="27" t="s">
        <v>2273</v>
      </c>
      <c r="C1384" s="29">
        <v>345</v>
      </c>
      <c r="D1384" s="28" t="s">
        <v>5087</v>
      </c>
      <c r="E1384" s="20" t="s">
        <v>1467</v>
      </c>
      <c r="F1384" s="20" t="s">
        <v>2860</v>
      </c>
      <c r="G1384" s="27" t="s">
        <v>4717</v>
      </c>
      <c r="H1384" s="20" t="s">
        <v>4718</v>
      </c>
      <c r="I1384" s="29"/>
      <c r="J1384" s="29" t="s">
        <v>57</v>
      </c>
      <c r="K1384" s="27"/>
      <c r="L1384" s="27" t="s">
        <v>4716</v>
      </c>
      <c r="M1384" s="27" t="s">
        <v>8058</v>
      </c>
      <c r="N1384" s="27"/>
      <c r="O1384" s="29" t="s">
        <v>7759</v>
      </c>
      <c r="P1384" s="27"/>
      <c r="Q1384" s="27"/>
      <c r="R1384" s="29"/>
      <c r="S1384" s="29"/>
      <c r="T1384" s="29"/>
      <c r="U1384" s="27"/>
      <c r="V1384" s="27"/>
      <c r="W1384" s="27"/>
      <c r="X1384" s="64"/>
      <c r="Y1384" s="64"/>
      <c r="Z1384" s="64"/>
      <c r="AA1384" s="64"/>
      <c r="AB1384" s="27"/>
      <c r="AC1384" s="27"/>
    </row>
    <row r="1385" spans="1:29" s="28" customFormat="1" x14ac:dyDescent="0.3">
      <c r="A1385" s="27" t="s">
        <v>8327</v>
      </c>
      <c r="B1385" s="27" t="s">
        <v>2273</v>
      </c>
      <c r="C1385" s="29">
        <v>345</v>
      </c>
      <c r="D1385" s="28" t="s">
        <v>5087</v>
      </c>
      <c r="E1385" s="20" t="s">
        <v>1467</v>
      </c>
      <c r="F1385" s="20" t="s">
        <v>2861</v>
      </c>
      <c r="G1385" s="27" t="s">
        <v>4720</v>
      </c>
      <c r="H1385" s="20" t="s">
        <v>4721</v>
      </c>
      <c r="I1385" s="29"/>
      <c r="J1385" s="29" t="s">
        <v>57</v>
      </c>
      <c r="K1385" s="27"/>
      <c r="L1385" s="27" t="s">
        <v>4719</v>
      </c>
      <c r="M1385" s="27" t="s">
        <v>8328</v>
      </c>
      <c r="N1385" s="27"/>
      <c r="O1385" s="29" t="s">
        <v>8329</v>
      </c>
      <c r="P1385" s="27"/>
      <c r="Q1385" s="27"/>
      <c r="R1385" s="29"/>
      <c r="S1385" s="29"/>
      <c r="T1385" s="29"/>
      <c r="U1385" s="27"/>
      <c r="V1385" s="27"/>
      <c r="W1385" s="27"/>
      <c r="X1385" s="64"/>
      <c r="Y1385" s="64"/>
      <c r="Z1385" s="64"/>
      <c r="AA1385" s="64"/>
      <c r="AB1385" s="27"/>
      <c r="AC1385" s="27"/>
    </row>
    <row r="1386" spans="1:29" s="28" customFormat="1" x14ac:dyDescent="0.3">
      <c r="A1386" s="27" t="s">
        <v>8330</v>
      </c>
      <c r="B1386" s="27" t="s">
        <v>2273</v>
      </c>
      <c r="C1386" s="29">
        <v>345</v>
      </c>
      <c r="D1386" s="28" t="s">
        <v>5087</v>
      </c>
      <c r="E1386" s="20" t="s">
        <v>1467</v>
      </c>
      <c r="F1386" s="20" t="s">
        <v>2862</v>
      </c>
      <c r="G1386" s="27" t="s">
        <v>4720</v>
      </c>
      <c r="H1386" s="20" t="s">
        <v>4721</v>
      </c>
      <c r="I1386" s="29"/>
      <c r="J1386" s="29" t="s">
        <v>57</v>
      </c>
      <c r="K1386" s="27"/>
      <c r="L1386" s="27" t="s">
        <v>4719</v>
      </c>
      <c r="M1386" s="27" t="s">
        <v>8331</v>
      </c>
      <c r="N1386" s="27"/>
      <c r="O1386" s="29" t="s">
        <v>8332</v>
      </c>
      <c r="P1386" s="27"/>
      <c r="Q1386" s="27"/>
      <c r="R1386" s="29"/>
      <c r="S1386" s="29"/>
      <c r="T1386" s="29"/>
      <c r="U1386" s="27"/>
      <c r="V1386" s="27"/>
      <c r="W1386" s="27"/>
      <c r="X1386" s="64"/>
      <c r="Y1386" s="64"/>
      <c r="Z1386" s="64"/>
      <c r="AA1386" s="64"/>
      <c r="AB1386" s="27"/>
      <c r="AC1386" s="27"/>
    </row>
    <row r="1387" spans="1:29" s="25" customFormat="1" ht="30.6" x14ac:dyDescent="0.3">
      <c r="A1387" s="24">
        <v>680</v>
      </c>
      <c r="B1387" s="24" t="s">
        <v>2272</v>
      </c>
      <c r="C1387" s="26">
        <v>349</v>
      </c>
      <c r="D1387" s="25" t="s">
        <v>1469</v>
      </c>
      <c r="E1387" s="19" t="s">
        <v>1470</v>
      </c>
      <c r="F1387" s="19"/>
      <c r="G1387" s="24"/>
      <c r="H1387" s="19"/>
      <c r="I1387" s="26" t="s">
        <v>57</v>
      </c>
      <c r="J1387" s="26" t="s">
        <v>57</v>
      </c>
      <c r="K1387" s="24"/>
      <c r="L1387" s="103" t="s">
        <v>6606</v>
      </c>
      <c r="M1387" s="24" t="s">
        <v>5710</v>
      </c>
      <c r="N1387" s="24"/>
      <c r="O1387" s="26"/>
      <c r="P1387" s="24"/>
      <c r="Q1387" s="24"/>
      <c r="R1387" s="26"/>
      <c r="S1387" s="26"/>
      <c r="T1387" s="26"/>
      <c r="U1387" s="24"/>
      <c r="V1387" s="24"/>
      <c r="W1387" s="24"/>
      <c r="X1387" s="63"/>
      <c r="Y1387" s="63"/>
      <c r="Z1387" s="63"/>
      <c r="AA1387" s="63"/>
      <c r="AB1387" s="24"/>
      <c r="AC1387" s="24"/>
    </row>
    <row r="1388" spans="1:29" s="28" customFormat="1" x14ac:dyDescent="0.3">
      <c r="A1388" s="27" t="s">
        <v>8333</v>
      </c>
      <c r="B1388" s="27" t="s">
        <v>2273</v>
      </c>
      <c r="C1388" s="29">
        <v>349</v>
      </c>
      <c r="D1388" s="28" t="s">
        <v>5088</v>
      </c>
      <c r="E1388" s="20" t="s">
        <v>1470</v>
      </c>
      <c r="F1388" s="20" t="s">
        <v>2863</v>
      </c>
      <c r="G1388" s="27" t="s">
        <v>4723</v>
      </c>
      <c r="H1388" s="20" t="s">
        <v>4724</v>
      </c>
      <c r="I1388" s="29"/>
      <c r="J1388" s="29" t="s">
        <v>57</v>
      </c>
      <c r="K1388" s="27"/>
      <c r="L1388" s="27" t="s">
        <v>4722</v>
      </c>
      <c r="M1388" s="27" t="s">
        <v>7337</v>
      </c>
      <c r="N1388" s="27"/>
      <c r="O1388" s="29" t="s">
        <v>8334</v>
      </c>
      <c r="P1388" s="27"/>
      <c r="Q1388" s="27"/>
      <c r="R1388" s="29"/>
      <c r="S1388" s="29"/>
      <c r="T1388" s="29"/>
      <c r="U1388" s="27"/>
      <c r="V1388" s="27"/>
      <c r="W1388" s="27"/>
      <c r="X1388" s="64"/>
      <c r="Y1388" s="64"/>
      <c r="Z1388" s="64"/>
      <c r="AA1388" s="64"/>
      <c r="AB1388" s="27"/>
      <c r="AC1388" s="27"/>
    </row>
    <row r="1389" spans="1:29" s="28" customFormat="1" x14ac:dyDescent="0.3">
      <c r="A1389" s="27" t="s">
        <v>8335</v>
      </c>
      <c r="B1389" s="27" t="s">
        <v>2273</v>
      </c>
      <c r="C1389" s="29">
        <v>349</v>
      </c>
      <c r="D1389" s="28" t="s">
        <v>5088</v>
      </c>
      <c r="E1389" s="20" t="s">
        <v>1470</v>
      </c>
      <c r="F1389" s="20" t="s">
        <v>2864</v>
      </c>
      <c r="G1389" s="27" t="s">
        <v>4723</v>
      </c>
      <c r="H1389" s="20" t="s">
        <v>4724</v>
      </c>
      <c r="I1389" s="29"/>
      <c r="J1389" s="29" t="s">
        <v>57</v>
      </c>
      <c r="K1389" s="27"/>
      <c r="L1389" s="27" t="s">
        <v>4722</v>
      </c>
      <c r="M1389" s="27" t="s">
        <v>8336</v>
      </c>
      <c r="N1389" s="27"/>
      <c r="O1389" s="29" t="s">
        <v>8337</v>
      </c>
      <c r="P1389" s="27"/>
      <c r="Q1389" s="27"/>
      <c r="R1389" s="29"/>
      <c r="S1389" s="29"/>
      <c r="T1389" s="29"/>
      <c r="U1389" s="27"/>
      <c r="V1389" s="27"/>
      <c r="W1389" s="27"/>
      <c r="X1389" s="64"/>
      <c r="Y1389" s="64"/>
      <c r="Z1389" s="64"/>
      <c r="AA1389" s="64"/>
      <c r="AB1389" s="27"/>
      <c r="AC1389" s="27"/>
    </row>
    <row r="1390" spans="1:29" s="28" customFormat="1" x14ac:dyDescent="0.3">
      <c r="A1390" s="27" t="s">
        <v>8338</v>
      </c>
      <c r="B1390" s="27" t="s">
        <v>2273</v>
      </c>
      <c r="C1390" s="29">
        <v>349</v>
      </c>
      <c r="D1390" s="28" t="s">
        <v>5088</v>
      </c>
      <c r="E1390" s="20" t="s">
        <v>1470</v>
      </c>
      <c r="F1390" s="20" t="s">
        <v>2865</v>
      </c>
      <c r="G1390" s="27" t="s">
        <v>4726</v>
      </c>
      <c r="H1390" s="20" t="s">
        <v>4727</v>
      </c>
      <c r="I1390" s="29"/>
      <c r="J1390" s="29" t="s">
        <v>57</v>
      </c>
      <c r="K1390" s="27"/>
      <c r="L1390" s="27" t="s">
        <v>4725</v>
      </c>
      <c r="M1390" s="27" t="s">
        <v>8339</v>
      </c>
      <c r="N1390" s="27"/>
      <c r="O1390" s="29" t="s">
        <v>8340</v>
      </c>
      <c r="P1390" s="27"/>
      <c r="Q1390" s="27"/>
      <c r="R1390" s="29"/>
      <c r="S1390" s="29"/>
      <c r="T1390" s="29"/>
      <c r="U1390" s="27"/>
      <c r="V1390" s="27"/>
      <c r="W1390" s="27"/>
      <c r="X1390" s="64"/>
      <c r="Y1390" s="64"/>
      <c r="Z1390" s="64"/>
      <c r="AA1390" s="64"/>
      <c r="AB1390" s="27"/>
      <c r="AC1390" s="27"/>
    </row>
    <row r="1391" spans="1:29" s="28" customFormat="1" x14ac:dyDescent="0.3">
      <c r="A1391" s="27" t="s">
        <v>8341</v>
      </c>
      <c r="B1391" s="27" t="s">
        <v>2273</v>
      </c>
      <c r="C1391" s="29">
        <v>349</v>
      </c>
      <c r="D1391" s="28" t="s">
        <v>5088</v>
      </c>
      <c r="E1391" s="20" t="s">
        <v>1470</v>
      </c>
      <c r="F1391" s="20" t="s">
        <v>2656</v>
      </c>
      <c r="G1391" s="27" t="s">
        <v>4726</v>
      </c>
      <c r="H1391" s="20" t="s">
        <v>4727</v>
      </c>
      <c r="I1391" s="29"/>
      <c r="J1391" s="29" t="s">
        <v>57</v>
      </c>
      <c r="K1391" s="27"/>
      <c r="L1391" s="27" t="s">
        <v>4725</v>
      </c>
      <c r="M1391" s="27" t="s">
        <v>8342</v>
      </c>
      <c r="N1391" s="27"/>
      <c r="O1391" s="29" t="s">
        <v>8343</v>
      </c>
      <c r="P1391" s="27"/>
      <c r="Q1391" s="27"/>
      <c r="R1391" s="29"/>
      <c r="S1391" s="29"/>
      <c r="T1391" s="29"/>
      <c r="U1391" s="27"/>
      <c r="V1391" s="27"/>
      <c r="W1391" s="27"/>
      <c r="X1391" s="64"/>
      <c r="Y1391" s="64"/>
      <c r="Z1391" s="64"/>
      <c r="AA1391" s="64"/>
      <c r="AB1391" s="27"/>
      <c r="AC1391" s="27"/>
    </row>
    <row r="1392" spans="1:29" s="28" customFormat="1" x14ac:dyDescent="0.3">
      <c r="A1392" s="27" t="s">
        <v>8344</v>
      </c>
      <c r="B1392" s="27" t="s">
        <v>2273</v>
      </c>
      <c r="C1392" s="29">
        <v>349</v>
      </c>
      <c r="D1392" s="28" t="s">
        <v>5088</v>
      </c>
      <c r="E1392" s="20" t="s">
        <v>1470</v>
      </c>
      <c r="F1392" s="20" t="s">
        <v>2866</v>
      </c>
      <c r="G1392" s="27" t="s">
        <v>4726</v>
      </c>
      <c r="H1392" s="20" t="s">
        <v>4727</v>
      </c>
      <c r="I1392" s="29"/>
      <c r="J1392" s="29" t="s">
        <v>57</v>
      </c>
      <c r="K1392" s="27"/>
      <c r="L1392" s="27" t="s">
        <v>4725</v>
      </c>
      <c r="M1392" s="27" t="s">
        <v>6828</v>
      </c>
      <c r="N1392" s="27"/>
      <c r="O1392" s="29" t="s">
        <v>8345</v>
      </c>
      <c r="P1392" s="27"/>
      <c r="Q1392" s="27"/>
      <c r="R1392" s="29"/>
      <c r="S1392" s="29"/>
      <c r="T1392" s="29"/>
      <c r="U1392" s="27"/>
      <c r="V1392" s="27"/>
      <c r="W1392" s="27"/>
      <c r="X1392" s="64"/>
      <c r="Y1392" s="64"/>
      <c r="Z1392" s="64"/>
      <c r="AA1392" s="64"/>
      <c r="AB1392" s="27"/>
      <c r="AC1392" s="27"/>
    </row>
    <row r="1393" spans="1:29" s="25" customFormat="1" x14ac:dyDescent="0.3">
      <c r="A1393" s="24">
        <v>681</v>
      </c>
      <c r="B1393" s="24" t="s">
        <v>2272</v>
      </c>
      <c r="C1393" s="26">
        <v>351</v>
      </c>
      <c r="D1393" s="25" t="s">
        <v>1471</v>
      </c>
      <c r="E1393" s="19" t="s">
        <v>1472</v>
      </c>
      <c r="F1393" s="19"/>
      <c r="G1393" s="24"/>
      <c r="H1393" s="19"/>
      <c r="I1393" s="26" t="s">
        <v>57</v>
      </c>
      <c r="J1393" s="26" t="s">
        <v>57</v>
      </c>
      <c r="K1393" s="24"/>
      <c r="L1393" s="24" t="s">
        <v>4177</v>
      </c>
      <c r="M1393" s="24" t="s">
        <v>5213</v>
      </c>
      <c r="N1393" s="24"/>
      <c r="O1393" s="26"/>
      <c r="P1393" s="24"/>
      <c r="Q1393" s="24"/>
      <c r="R1393" s="26"/>
      <c r="S1393" s="26"/>
      <c r="T1393" s="26"/>
      <c r="U1393" s="24"/>
      <c r="V1393" s="24"/>
      <c r="W1393" s="24"/>
      <c r="X1393" s="63"/>
      <c r="Y1393" s="63"/>
      <c r="Z1393" s="63"/>
      <c r="AA1393" s="63"/>
      <c r="AB1393" s="24"/>
      <c r="AC1393" s="24"/>
    </row>
    <row r="1394" spans="1:29" s="28" customFormat="1" x14ac:dyDescent="0.3">
      <c r="A1394" s="27" t="s">
        <v>6361</v>
      </c>
      <c r="B1394" s="27" t="s">
        <v>2273</v>
      </c>
      <c r="C1394" s="29"/>
      <c r="D1394" s="28" t="s">
        <v>5089</v>
      </c>
      <c r="E1394" s="20" t="s">
        <v>1472</v>
      </c>
      <c r="F1394" s="20" t="s">
        <v>2867</v>
      </c>
      <c r="G1394" s="27"/>
      <c r="H1394" s="20"/>
      <c r="I1394" s="29"/>
      <c r="J1394" s="29"/>
      <c r="K1394" s="27"/>
      <c r="L1394" s="27"/>
      <c r="M1394" s="27" t="s">
        <v>6768</v>
      </c>
      <c r="N1394" s="27"/>
      <c r="O1394" s="29" t="s">
        <v>8346</v>
      </c>
      <c r="P1394" s="27"/>
      <c r="Q1394" s="27"/>
      <c r="R1394" s="29"/>
      <c r="S1394" s="29"/>
      <c r="T1394" s="29"/>
      <c r="U1394" s="27"/>
      <c r="V1394" s="27"/>
      <c r="W1394" s="27"/>
      <c r="X1394" s="64"/>
      <c r="Y1394" s="64"/>
      <c r="Z1394" s="64"/>
      <c r="AA1394" s="64"/>
      <c r="AB1394" s="27"/>
      <c r="AC1394" s="27"/>
    </row>
    <row r="1395" spans="1:29" s="28" customFormat="1" x14ac:dyDescent="0.3">
      <c r="A1395" s="27" t="s">
        <v>6362</v>
      </c>
      <c r="B1395" s="27" t="s">
        <v>2273</v>
      </c>
      <c r="C1395" s="29"/>
      <c r="D1395" s="28" t="s">
        <v>5089</v>
      </c>
      <c r="E1395" s="20" t="s">
        <v>1472</v>
      </c>
      <c r="F1395" s="20" t="s">
        <v>2868</v>
      </c>
      <c r="G1395" s="27"/>
      <c r="H1395" s="20"/>
      <c r="I1395" s="29"/>
      <c r="J1395" s="29"/>
      <c r="K1395" s="27"/>
      <c r="L1395" s="27"/>
      <c r="M1395" s="27" t="s">
        <v>8347</v>
      </c>
      <c r="N1395" s="27"/>
      <c r="O1395" s="29" t="s">
        <v>8348</v>
      </c>
      <c r="P1395" s="27"/>
      <c r="Q1395" s="27"/>
      <c r="R1395" s="29"/>
      <c r="S1395" s="29"/>
      <c r="T1395" s="29"/>
      <c r="U1395" s="27"/>
      <c r="V1395" s="27"/>
      <c r="W1395" s="27"/>
      <c r="X1395" s="64"/>
      <c r="Y1395" s="64"/>
      <c r="Z1395" s="64"/>
      <c r="AA1395" s="64"/>
      <c r="AB1395" s="27"/>
      <c r="AC1395" s="27"/>
    </row>
    <row r="1396" spans="1:29" s="28" customFormat="1" x14ac:dyDescent="0.3">
      <c r="A1396" s="27" t="s">
        <v>8349</v>
      </c>
      <c r="B1396" s="27" t="s">
        <v>2273</v>
      </c>
      <c r="C1396" s="29"/>
      <c r="D1396" s="28" t="s">
        <v>5089</v>
      </c>
      <c r="E1396" s="20" t="s">
        <v>1472</v>
      </c>
      <c r="F1396" s="20" t="s">
        <v>2869</v>
      </c>
      <c r="G1396" s="27"/>
      <c r="H1396" s="20"/>
      <c r="I1396" s="29"/>
      <c r="J1396" s="29"/>
      <c r="K1396" s="27"/>
      <c r="L1396" s="27"/>
      <c r="M1396" s="27" t="s">
        <v>7745</v>
      </c>
      <c r="N1396" s="27"/>
      <c r="O1396" s="29" t="s">
        <v>8350</v>
      </c>
      <c r="P1396" s="27"/>
      <c r="Q1396" s="27"/>
      <c r="R1396" s="29"/>
      <c r="S1396" s="29"/>
      <c r="T1396" s="29"/>
      <c r="U1396" s="27"/>
      <c r="V1396" s="27"/>
      <c r="W1396" s="27"/>
      <c r="X1396" s="64"/>
      <c r="Y1396" s="64"/>
      <c r="Z1396" s="64"/>
      <c r="AA1396" s="64"/>
      <c r="AB1396" s="27"/>
      <c r="AC1396" s="27"/>
    </row>
    <row r="1397" spans="1:29" s="28" customFormat="1" x14ac:dyDescent="0.3">
      <c r="A1397" s="27" t="s">
        <v>8351</v>
      </c>
      <c r="B1397" s="27" t="s">
        <v>2273</v>
      </c>
      <c r="C1397" s="29"/>
      <c r="D1397" s="28" t="s">
        <v>5089</v>
      </c>
      <c r="E1397" s="20" t="s">
        <v>1472</v>
      </c>
      <c r="F1397" s="20" t="s">
        <v>2870</v>
      </c>
      <c r="G1397" s="27"/>
      <c r="H1397" s="20"/>
      <c r="I1397" s="29"/>
      <c r="J1397" s="29"/>
      <c r="K1397" s="27"/>
      <c r="L1397" s="27"/>
      <c r="M1397" s="27" t="s">
        <v>8352</v>
      </c>
      <c r="N1397" s="27"/>
      <c r="O1397" s="29" t="s">
        <v>8353</v>
      </c>
      <c r="P1397" s="27"/>
      <c r="Q1397" s="27"/>
      <c r="R1397" s="29"/>
      <c r="S1397" s="29"/>
      <c r="T1397" s="29"/>
      <c r="U1397" s="27"/>
      <c r="V1397" s="27"/>
      <c r="W1397" s="27"/>
      <c r="X1397" s="64"/>
      <c r="Y1397" s="64"/>
      <c r="Z1397" s="64"/>
      <c r="AA1397" s="64"/>
      <c r="AB1397" s="27"/>
      <c r="AC1397" s="27"/>
    </row>
    <row r="1398" spans="1:29" s="28" customFormat="1" x14ac:dyDescent="0.3">
      <c r="A1398" s="27" t="s">
        <v>8354</v>
      </c>
      <c r="B1398" s="27" t="s">
        <v>2273</v>
      </c>
      <c r="C1398" s="29"/>
      <c r="D1398" s="28" t="s">
        <v>5089</v>
      </c>
      <c r="E1398" s="20" t="s">
        <v>1472</v>
      </c>
      <c r="F1398" s="20" t="s">
        <v>2871</v>
      </c>
      <c r="G1398" s="27"/>
      <c r="H1398" s="20"/>
      <c r="I1398" s="29"/>
      <c r="J1398" s="29"/>
      <c r="K1398" s="27"/>
      <c r="L1398" s="27"/>
      <c r="M1398" s="27" t="s">
        <v>6777</v>
      </c>
      <c r="N1398" s="27"/>
      <c r="O1398" s="29" t="s">
        <v>7985</v>
      </c>
      <c r="P1398" s="27"/>
      <c r="Q1398" s="27"/>
      <c r="R1398" s="29"/>
      <c r="S1398" s="29"/>
      <c r="T1398" s="29"/>
      <c r="U1398" s="27"/>
      <c r="V1398" s="27"/>
      <c r="W1398" s="27"/>
      <c r="X1398" s="64"/>
      <c r="Y1398" s="64"/>
      <c r="Z1398" s="64"/>
      <c r="AA1398" s="64"/>
      <c r="AB1398" s="27"/>
      <c r="AC1398" s="27"/>
    </row>
    <row r="1399" spans="1:29" s="25" customFormat="1" x14ac:dyDescent="0.3">
      <c r="A1399" s="24">
        <v>682</v>
      </c>
      <c r="B1399" s="24" t="s">
        <v>2272</v>
      </c>
      <c r="C1399" s="26"/>
      <c r="D1399" s="25" t="s">
        <v>2233</v>
      </c>
      <c r="E1399" s="19" t="s">
        <v>2234</v>
      </c>
      <c r="F1399" s="19"/>
      <c r="G1399" s="24"/>
      <c r="H1399" s="19"/>
      <c r="I1399" s="26" t="s">
        <v>57</v>
      </c>
      <c r="J1399" s="26"/>
      <c r="K1399" s="24"/>
      <c r="L1399" s="24" t="s">
        <v>4178</v>
      </c>
      <c r="M1399" s="24" t="s">
        <v>5544</v>
      </c>
      <c r="N1399" s="24"/>
      <c r="O1399" s="26"/>
      <c r="P1399" s="24"/>
      <c r="Q1399" s="24"/>
      <c r="R1399" s="26"/>
      <c r="S1399" s="26"/>
      <c r="T1399" s="26"/>
      <c r="U1399" s="24"/>
      <c r="V1399" s="24"/>
      <c r="W1399" s="24"/>
      <c r="X1399" s="63"/>
      <c r="Y1399" s="63"/>
      <c r="Z1399" s="63"/>
      <c r="AA1399" s="63"/>
      <c r="AB1399" s="24"/>
      <c r="AC1399" s="24"/>
    </row>
    <row r="1400" spans="1:29" s="28" customFormat="1" x14ac:dyDescent="0.3">
      <c r="A1400" s="27" t="s">
        <v>6363</v>
      </c>
      <c r="B1400" s="27" t="s">
        <v>2273</v>
      </c>
      <c r="C1400" s="29">
        <v>351</v>
      </c>
      <c r="D1400" s="28" t="s">
        <v>8355</v>
      </c>
      <c r="E1400" s="20" t="s">
        <v>2234</v>
      </c>
      <c r="F1400" s="20" t="s">
        <v>2872</v>
      </c>
      <c r="G1400" s="27"/>
      <c r="H1400" s="20" t="s">
        <v>2234</v>
      </c>
      <c r="I1400" s="29"/>
      <c r="J1400" s="29" t="s">
        <v>57</v>
      </c>
      <c r="K1400" s="27"/>
      <c r="L1400" s="27" t="s">
        <v>4178</v>
      </c>
      <c r="M1400" s="27" t="s">
        <v>7923</v>
      </c>
      <c r="N1400" s="27"/>
      <c r="O1400" s="29" t="s">
        <v>8356</v>
      </c>
      <c r="P1400" s="27"/>
      <c r="Q1400" s="27"/>
      <c r="R1400" s="29"/>
      <c r="S1400" s="29"/>
      <c r="T1400" s="29"/>
      <c r="U1400" s="27"/>
      <c r="V1400" s="27"/>
      <c r="W1400" s="27"/>
      <c r="X1400" s="64"/>
      <c r="Y1400" s="64"/>
      <c r="Z1400" s="64"/>
      <c r="AA1400" s="64"/>
      <c r="AB1400" s="27"/>
      <c r="AC1400" s="27"/>
    </row>
    <row r="1401" spans="1:29" s="28" customFormat="1" x14ac:dyDescent="0.3">
      <c r="A1401" s="27" t="s">
        <v>6364</v>
      </c>
      <c r="B1401" s="27" t="s">
        <v>2273</v>
      </c>
      <c r="C1401" s="29">
        <v>351</v>
      </c>
      <c r="D1401" s="28" t="s">
        <v>8355</v>
      </c>
      <c r="E1401" s="20" t="s">
        <v>2234</v>
      </c>
      <c r="F1401" s="20" t="s">
        <v>2873</v>
      </c>
      <c r="G1401" s="27"/>
      <c r="H1401" s="20" t="s">
        <v>2234</v>
      </c>
      <c r="I1401" s="29"/>
      <c r="J1401" s="29" t="s">
        <v>57</v>
      </c>
      <c r="K1401" s="27"/>
      <c r="L1401" s="27" t="s">
        <v>4178</v>
      </c>
      <c r="M1401" s="27" t="s">
        <v>8357</v>
      </c>
      <c r="N1401" s="27"/>
      <c r="O1401" s="29" t="s">
        <v>8358</v>
      </c>
      <c r="P1401" s="27"/>
      <c r="Q1401" s="27"/>
      <c r="R1401" s="29"/>
      <c r="S1401" s="29"/>
      <c r="T1401" s="29"/>
      <c r="U1401" s="27"/>
      <c r="V1401" s="27"/>
      <c r="W1401" s="27"/>
      <c r="X1401" s="64"/>
      <c r="Y1401" s="64"/>
      <c r="Z1401" s="64"/>
      <c r="AA1401" s="64"/>
      <c r="AB1401" s="27"/>
      <c r="AC1401" s="27"/>
    </row>
    <row r="1402" spans="1:29" s="28" customFormat="1" x14ac:dyDescent="0.3">
      <c r="A1402" s="27" t="s">
        <v>6365</v>
      </c>
      <c r="B1402" s="27" t="s">
        <v>2273</v>
      </c>
      <c r="C1402" s="29">
        <v>351</v>
      </c>
      <c r="D1402" s="28" t="s">
        <v>8355</v>
      </c>
      <c r="E1402" s="20" t="s">
        <v>2234</v>
      </c>
      <c r="F1402" s="20" t="s">
        <v>2685</v>
      </c>
      <c r="G1402" s="27"/>
      <c r="H1402" s="20" t="s">
        <v>2234</v>
      </c>
      <c r="I1402" s="29"/>
      <c r="J1402" s="29" t="s">
        <v>57</v>
      </c>
      <c r="K1402" s="27"/>
      <c r="L1402" s="27" t="s">
        <v>4178</v>
      </c>
      <c r="M1402" s="27" t="s">
        <v>8359</v>
      </c>
      <c r="N1402" s="27"/>
      <c r="O1402" s="29" t="s">
        <v>8360</v>
      </c>
      <c r="P1402" s="27"/>
      <c r="Q1402" s="27"/>
      <c r="R1402" s="29"/>
      <c r="S1402" s="29"/>
      <c r="T1402" s="29"/>
      <c r="U1402" s="27"/>
      <c r="V1402" s="27"/>
      <c r="W1402" s="27"/>
      <c r="X1402" s="64"/>
      <c r="Y1402" s="64"/>
      <c r="Z1402" s="64"/>
      <c r="AA1402" s="64"/>
      <c r="AB1402" s="27"/>
      <c r="AC1402" s="27"/>
    </row>
    <row r="1403" spans="1:29" s="25" customFormat="1" x14ac:dyDescent="0.3">
      <c r="A1403" s="24">
        <v>683</v>
      </c>
      <c r="B1403" s="24" t="s">
        <v>2272</v>
      </c>
      <c r="C1403" s="26">
        <v>353</v>
      </c>
      <c r="D1403" s="25" t="s">
        <v>1476</v>
      </c>
      <c r="E1403" s="19" t="s">
        <v>1477</v>
      </c>
      <c r="F1403" s="19"/>
      <c r="G1403" s="24"/>
      <c r="H1403" s="19"/>
      <c r="I1403" s="26" t="s">
        <v>37</v>
      </c>
      <c r="J1403" s="26" t="s">
        <v>37</v>
      </c>
      <c r="K1403" s="24"/>
      <c r="L1403" s="24" t="s">
        <v>4180</v>
      </c>
      <c r="M1403" s="24" t="s">
        <v>5711</v>
      </c>
      <c r="N1403" s="24"/>
      <c r="O1403" s="26"/>
      <c r="P1403" s="24"/>
      <c r="Q1403" s="24"/>
      <c r="R1403" s="26"/>
      <c r="S1403" s="26"/>
      <c r="T1403" s="26"/>
      <c r="U1403" s="24"/>
      <c r="V1403" s="24"/>
      <c r="W1403" s="24"/>
      <c r="X1403" s="63"/>
      <c r="Y1403" s="63"/>
      <c r="Z1403" s="63"/>
      <c r="AA1403" s="63"/>
      <c r="AB1403" s="24"/>
      <c r="AC1403" s="24"/>
    </row>
    <row r="1404" spans="1:29" s="28" customFormat="1" x14ac:dyDescent="0.3">
      <c r="A1404" s="27" t="s">
        <v>8361</v>
      </c>
      <c r="B1404" s="27" t="s">
        <v>2273</v>
      </c>
      <c r="C1404" s="29"/>
      <c r="D1404" s="28" t="s">
        <v>5090</v>
      </c>
      <c r="E1404" s="20" t="s">
        <v>1477</v>
      </c>
      <c r="F1404" s="20" t="s">
        <v>2874</v>
      </c>
      <c r="G1404" s="27"/>
      <c r="H1404" s="20"/>
      <c r="I1404" s="29"/>
      <c r="J1404" s="29"/>
      <c r="K1404" s="27"/>
      <c r="L1404" s="27"/>
      <c r="M1404" s="27" t="s">
        <v>6768</v>
      </c>
      <c r="N1404" s="27"/>
      <c r="O1404" s="29" t="s">
        <v>8362</v>
      </c>
      <c r="P1404" s="27"/>
      <c r="Q1404" s="27"/>
      <c r="R1404" s="29"/>
      <c r="S1404" s="29"/>
      <c r="T1404" s="29"/>
      <c r="U1404" s="27"/>
      <c r="V1404" s="27"/>
      <c r="W1404" s="27"/>
      <c r="X1404" s="64"/>
      <c r="Y1404" s="64"/>
      <c r="Z1404" s="64"/>
      <c r="AA1404" s="64"/>
      <c r="AB1404" s="27"/>
      <c r="AC1404" s="27"/>
    </row>
    <row r="1405" spans="1:29" s="28" customFormat="1" x14ac:dyDescent="0.3">
      <c r="A1405" s="27" t="s">
        <v>8363</v>
      </c>
      <c r="B1405" s="27" t="s">
        <v>2273</v>
      </c>
      <c r="C1405" s="29"/>
      <c r="D1405" s="28" t="s">
        <v>5090</v>
      </c>
      <c r="E1405" s="20" t="s">
        <v>1477</v>
      </c>
      <c r="F1405" s="20" t="s">
        <v>2875</v>
      </c>
      <c r="G1405" s="27"/>
      <c r="H1405" s="20"/>
      <c r="I1405" s="29"/>
      <c r="J1405" s="29"/>
      <c r="K1405" s="27"/>
      <c r="L1405" s="27"/>
      <c r="M1405" s="27" t="s">
        <v>8364</v>
      </c>
      <c r="N1405" s="27"/>
      <c r="O1405" s="29" t="s">
        <v>8365</v>
      </c>
      <c r="P1405" s="27"/>
      <c r="Q1405" s="27"/>
      <c r="R1405" s="29"/>
      <c r="S1405" s="29"/>
      <c r="T1405" s="29"/>
      <c r="U1405" s="27"/>
      <c r="V1405" s="27"/>
      <c r="W1405" s="27"/>
      <c r="X1405" s="64"/>
      <c r="Y1405" s="64"/>
      <c r="Z1405" s="64"/>
      <c r="AA1405" s="64"/>
      <c r="AB1405" s="27"/>
      <c r="AC1405" s="27"/>
    </row>
    <row r="1406" spans="1:29" s="28" customFormat="1" x14ac:dyDescent="0.3">
      <c r="A1406" s="27" t="s">
        <v>8366</v>
      </c>
      <c r="B1406" s="27" t="s">
        <v>2273</v>
      </c>
      <c r="C1406" s="29"/>
      <c r="D1406" s="28" t="s">
        <v>5090</v>
      </c>
      <c r="E1406" s="20" t="s">
        <v>1477</v>
      </c>
      <c r="F1406" s="20" t="s">
        <v>2876</v>
      </c>
      <c r="G1406" s="27"/>
      <c r="H1406" s="20"/>
      <c r="I1406" s="29"/>
      <c r="J1406" s="29"/>
      <c r="K1406" s="27"/>
      <c r="L1406" s="27"/>
      <c r="M1406" s="27" t="s">
        <v>8367</v>
      </c>
      <c r="N1406" s="27"/>
      <c r="O1406" s="29" t="s">
        <v>8368</v>
      </c>
      <c r="P1406" s="27"/>
      <c r="Q1406" s="27"/>
      <c r="R1406" s="29"/>
      <c r="S1406" s="29"/>
      <c r="T1406" s="29"/>
      <c r="U1406" s="27"/>
      <c r="V1406" s="27"/>
      <c r="W1406" s="27"/>
      <c r="X1406" s="64"/>
      <c r="Y1406" s="64"/>
      <c r="Z1406" s="64"/>
      <c r="AA1406" s="64"/>
      <c r="AB1406" s="27"/>
      <c r="AC1406" s="27"/>
    </row>
    <row r="1407" spans="1:29" s="28" customFormat="1" x14ac:dyDescent="0.3">
      <c r="A1407" s="27" t="s">
        <v>8369</v>
      </c>
      <c r="B1407" s="27" t="s">
        <v>2273</v>
      </c>
      <c r="C1407" s="29"/>
      <c r="D1407" s="28" t="s">
        <v>5090</v>
      </c>
      <c r="E1407" s="20" t="s">
        <v>1477</v>
      </c>
      <c r="F1407" s="20" t="s">
        <v>2877</v>
      </c>
      <c r="G1407" s="27"/>
      <c r="H1407" s="20"/>
      <c r="I1407" s="29"/>
      <c r="J1407" s="29"/>
      <c r="K1407" s="27"/>
      <c r="L1407" s="27"/>
      <c r="M1407" s="27" t="s">
        <v>8370</v>
      </c>
      <c r="N1407" s="27"/>
      <c r="O1407" s="29" t="s">
        <v>8371</v>
      </c>
      <c r="P1407" s="27"/>
      <c r="Q1407" s="27"/>
      <c r="R1407" s="29"/>
      <c r="S1407" s="29"/>
      <c r="T1407" s="29"/>
      <c r="U1407" s="27"/>
      <c r="V1407" s="27"/>
      <c r="W1407" s="27"/>
      <c r="X1407" s="64"/>
      <c r="Y1407" s="64"/>
      <c r="Z1407" s="64"/>
      <c r="AA1407" s="64"/>
      <c r="AB1407" s="27"/>
      <c r="AC1407" s="27"/>
    </row>
    <row r="1408" spans="1:29" s="28" customFormat="1" x14ac:dyDescent="0.3">
      <c r="A1408" s="27" t="s">
        <v>8372</v>
      </c>
      <c r="B1408" s="27" t="s">
        <v>2273</v>
      </c>
      <c r="C1408" s="29"/>
      <c r="D1408" s="28" t="s">
        <v>5090</v>
      </c>
      <c r="E1408" s="20" t="s">
        <v>1477</v>
      </c>
      <c r="F1408" s="20" t="s">
        <v>2878</v>
      </c>
      <c r="G1408" s="27"/>
      <c r="H1408" s="20"/>
      <c r="I1408" s="29"/>
      <c r="J1408" s="29"/>
      <c r="K1408" s="27"/>
      <c r="L1408" s="27"/>
      <c r="M1408" s="27" t="s">
        <v>6907</v>
      </c>
      <c r="N1408" s="27"/>
      <c r="O1408" s="29" t="s">
        <v>8373</v>
      </c>
      <c r="P1408" s="27"/>
      <c r="Q1408" s="27"/>
      <c r="R1408" s="29"/>
      <c r="S1408" s="29"/>
      <c r="T1408" s="29"/>
      <c r="U1408" s="27"/>
      <c r="V1408" s="27"/>
      <c r="W1408" s="27"/>
      <c r="X1408" s="64"/>
      <c r="Y1408" s="64"/>
      <c r="Z1408" s="64"/>
      <c r="AA1408" s="64"/>
      <c r="AB1408" s="27"/>
      <c r="AC1408" s="27"/>
    </row>
    <row r="1409" spans="1:29" s="28" customFormat="1" x14ac:dyDescent="0.3">
      <c r="A1409" s="27" t="s">
        <v>8374</v>
      </c>
      <c r="B1409" s="27" t="s">
        <v>2273</v>
      </c>
      <c r="C1409" s="29"/>
      <c r="D1409" s="28" t="s">
        <v>5090</v>
      </c>
      <c r="E1409" s="20" t="s">
        <v>1477</v>
      </c>
      <c r="F1409" s="20" t="s">
        <v>2345</v>
      </c>
      <c r="G1409" s="27"/>
      <c r="H1409" s="20"/>
      <c r="I1409" s="29"/>
      <c r="J1409" s="29"/>
      <c r="K1409" s="27"/>
      <c r="L1409" s="27"/>
      <c r="M1409" s="27" t="s">
        <v>8375</v>
      </c>
      <c r="N1409" s="27"/>
      <c r="O1409" s="29" t="s">
        <v>8014</v>
      </c>
      <c r="P1409" s="27"/>
      <c r="Q1409" s="27"/>
      <c r="R1409" s="29"/>
      <c r="S1409" s="29"/>
      <c r="T1409" s="29"/>
      <c r="U1409" s="27"/>
      <c r="V1409" s="27"/>
      <c r="W1409" s="27"/>
      <c r="X1409" s="64"/>
      <c r="Y1409" s="64"/>
      <c r="Z1409" s="64"/>
      <c r="AA1409" s="64"/>
      <c r="AB1409" s="27"/>
      <c r="AC1409" s="27"/>
    </row>
    <row r="1410" spans="1:29" s="25" customFormat="1" x14ac:dyDescent="0.3">
      <c r="A1410" s="24">
        <v>684</v>
      </c>
      <c r="B1410" s="24" t="s">
        <v>2272</v>
      </c>
      <c r="C1410" s="26">
        <v>355</v>
      </c>
      <c r="D1410" s="25" t="s">
        <v>1478</v>
      </c>
      <c r="E1410" s="19" t="s">
        <v>1479</v>
      </c>
      <c r="F1410" s="19"/>
      <c r="G1410" s="24"/>
      <c r="H1410" s="19"/>
      <c r="I1410" s="26" t="s">
        <v>57</v>
      </c>
      <c r="J1410" s="26" t="s">
        <v>57</v>
      </c>
      <c r="K1410" s="24"/>
      <c r="L1410" s="24" t="s">
        <v>4182</v>
      </c>
      <c r="M1410" s="24" t="s">
        <v>5712</v>
      </c>
      <c r="N1410" s="24"/>
      <c r="O1410" s="26"/>
      <c r="P1410" s="24"/>
      <c r="Q1410" s="24"/>
      <c r="R1410" s="26"/>
      <c r="S1410" s="26"/>
      <c r="T1410" s="26"/>
      <c r="U1410" s="24"/>
      <c r="V1410" s="24"/>
      <c r="W1410" s="24"/>
      <c r="X1410" s="63"/>
      <c r="Y1410" s="63"/>
      <c r="Z1410" s="63"/>
      <c r="AA1410" s="63"/>
      <c r="AB1410" s="24"/>
      <c r="AC1410" s="24"/>
    </row>
    <row r="1411" spans="1:29" s="28" customFormat="1" x14ac:dyDescent="0.3">
      <c r="A1411" s="27" t="s">
        <v>8376</v>
      </c>
      <c r="B1411" s="27" t="s">
        <v>2273</v>
      </c>
      <c r="C1411" s="29"/>
      <c r="D1411" s="28" t="s">
        <v>5091</v>
      </c>
      <c r="E1411" s="20" t="s">
        <v>1479</v>
      </c>
      <c r="F1411" s="20" t="s">
        <v>2879</v>
      </c>
      <c r="G1411" s="27"/>
      <c r="H1411" s="20"/>
      <c r="I1411" s="29"/>
      <c r="J1411" s="29"/>
      <c r="K1411" s="27"/>
      <c r="L1411" s="27"/>
      <c r="M1411" s="27" t="s">
        <v>7458</v>
      </c>
      <c r="N1411" s="27"/>
      <c r="O1411" s="29" t="s">
        <v>8303</v>
      </c>
      <c r="P1411" s="27"/>
      <c r="Q1411" s="27"/>
      <c r="R1411" s="29"/>
      <c r="S1411" s="29"/>
      <c r="T1411" s="29"/>
      <c r="U1411" s="27"/>
      <c r="V1411" s="27"/>
      <c r="W1411" s="27"/>
      <c r="X1411" s="64"/>
      <c r="Y1411" s="64"/>
      <c r="Z1411" s="64"/>
      <c r="AA1411" s="64"/>
      <c r="AB1411" s="27"/>
      <c r="AC1411" s="27"/>
    </row>
    <row r="1412" spans="1:29" s="28" customFormat="1" x14ac:dyDescent="0.3">
      <c r="A1412" s="27" t="s">
        <v>8377</v>
      </c>
      <c r="B1412" s="27" t="s">
        <v>2273</v>
      </c>
      <c r="C1412" s="29"/>
      <c r="D1412" s="28" t="s">
        <v>5091</v>
      </c>
      <c r="E1412" s="20" t="s">
        <v>1479</v>
      </c>
      <c r="F1412" s="20" t="s">
        <v>2880</v>
      </c>
      <c r="G1412" s="27"/>
      <c r="H1412" s="20"/>
      <c r="I1412" s="29"/>
      <c r="J1412" s="29"/>
      <c r="K1412" s="27"/>
      <c r="L1412" s="27"/>
      <c r="M1412" s="27" t="s">
        <v>8378</v>
      </c>
      <c r="N1412" s="27"/>
      <c r="O1412" s="29" t="s">
        <v>8379</v>
      </c>
      <c r="P1412" s="27"/>
      <c r="Q1412" s="27"/>
      <c r="R1412" s="29"/>
      <c r="S1412" s="29"/>
      <c r="T1412" s="29"/>
      <c r="U1412" s="27"/>
      <c r="V1412" s="27"/>
      <c r="W1412" s="27"/>
      <c r="X1412" s="64"/>
      <c r="Y1412" s="64"/>
      <c r="Z1412" s="64"/>
      <c r="AA1412" s="64"/>
      <c r="AB1412" s="27"/>
      <c r="AC1412" s="27"/>
    </row>
    <row r="1413" spans="1:29" s="25" customFormat="1" x14ac:dyDescent="0.3">
      <c r="A1413" s="24">
        <v>685</v>
      </c>
      <c r="B1413" s="24" t="s">
        <v>2272</v>
      </c>
      <c r="C1413" s="26">
        <v>355</v>
      </c>
      <c r="D1413" s="25" t="s">
        <v>1480</v>
      </c>
      <c r="E1413" s="19" t="s">
        <v>1481</v>
      </c>
      <c r="F1413" s="19"/>
      <c r="G1413" s="24"/>
      <c r="H1413" s="19"/>
      <c r="I1413" s="26" t="s">
        <v>57</v>
      </c>
      <c r="J1413" s="26" t="s">
        <v>253</v>
      </c>
      <c r="K1413" s="24"/>
      <c r="L1413" s="24" t="s">
        <v>4184</v>
      </c>
      <c r="M1413" s="24" t="s">
        <v>59</v>
      </c>
      <c r="N1413" s="24"/>
      <c r="O1413" s="26"/>
      <c r="P1413" s="24"/>
      <c r="Q1413" s="24"/>
      <c r="R1413" s="26"/>
      <c r="S1413" s="26"/>
      <c r="T1413" s="26"/>
      <c r="U1413" s="24"/>
      <c r="V1413" s="24"/>
      <c r="W1413" s="24"/>
      <c r="X1413" s="63"/>
      <c r="Y1413" s="63"/>
      <c r="Z1413" s="63"/>
      <c r="AA1413" s="63"/>
      <c r="AB1413" s="24"/>
      <c r="AC1413" s="24"/>
    </row>
    <row r="1414" spans="1:29" s="28" customFormat="1" x14ac:dyDescent="0.3">
      <c r="A1414" s="27" t="s">
        <v>5783</v>
      </c>
      <c r="B1414" s="27" t="s">
        <v>2273</v>
      </c>
      <c r="C1414" s="29"/>
      <c r="D1414" s="28" t="s">
        <v>5092</v>
      </c>
      <c r="E1414" s="20" t="s">
        <v>1481</v>
      </c>
      <c r="F1414" s="20" t="s">
        <v>2881</v>
      </c>
      <c r="G1414" s="27"/>
      <c r="H1414" s="20"/>
      <c r="I1414" s="29"/>
      <c r="J1414" s="29"/>
      <c r="K1414" s="27"/>
      <c r="L1414" s="27"/>
      <c r="M1414" s="27" t="s">
        <v>8380</v>
      </c>
      <c r="N1414" s="27"/>
      <c r="O1414" s="29" t="s">
        <v>8381</v>
      </c>
      <c r="P1414" s="27"/>
      <c r="Q1414" s="27"/>
      <c r="R1414" s="29"/>
      <c r="S1414" s="29"/>
      <c r="T1414" s="29"/>
      <c r="U1414" s="27"/>
      <c r="V1414" s="27"/>
      <c r="W1414" s="27"/>
      <c r="X1414" s="64"/>
      <c r="Y1414" s="64"/>
      <c r="Z1414" s="64"/>
      <c r="AA1414" s="64"/>
      <c r="AB1414" s="27"/>
      <c r="AC1414" s="27"/>
    </row>
    <row r="1415" spans="1:29" s="28" customFormat="1" x14ac:dyDescent="0.3">
      <c r="A1415" s="27" t="s">
        <v>3009</v>
      </c>
      <c r="B1415" s="27" t="s">
        <v>2273</v>
      </c>
      <c r="C1415" s="29"/>
      <c r="D1415" s="28" t="s">
        <v>5092</v>
      </c>
      <c r="E1415" s="20" t="s">
        <v>1481</v>
      </c>
      <c r="F1415" s="20" t="s">
        <v>2882</v>
      </c>
      <c r="G1415" s="27"/>
      <c r="H1415" s="20"/>
      <c r="I1415" s="29"/>
      <c r="J1415" s="29"/>
      <c r="K1415" s="27"/>
      <c r="L1415" s="27"/>
      <c r="M1415" s="27" t="s">
        <v>8382</v>
      </c>
      <c r="N1415" s="27"/>
      <c r="O1415" s="29" t="s">
        <v>8383</v>
      </c>
      <c r="P1415" s="27"/>
      <c r="Q1415" s="27"/>
      <c r="R1415" s="29"/>
      <c r="S1415" s="29"/>
      <c r="T1415" s="29"/>
      <c r="U1415" s="27"/>
      <c r="V1415" s="27"/>
      <c r="W1415" s="27"/>
      <c r="X1415" s="64"/>
      <c r="Y1415" s="64"/>
      <c r="Z1415" s="64"/>
      <c r="AA1415" s="64"/>
      <c r="AB1415" s="27"/>
      <c r="AC1415" s="27"/>
    </row>
    <row r="1416" spans="1:29" s="28" customFormat="1" x14ac:dyDescent="0.3">
      <c r="A1416" s="27" t="s">
        <v>8384</v>
      </c>
      <c r="B1416" s="27" t="s">
        <v>2273</v>
      </c>
      <c r="C1416" s="29"/>
      <c r="D1416" s="28" t="s">
        <v>5092</v>
      </c>
      <c r="E1416" s="20" t="s">
        <v>1481</v>
      </c>
      <c r="F1416" s="20" t="s">
        <v>2737</v>
      </c>
      <c r="G1416" s="27"/>
      <c r="H1416" s="20"/>
      <c r="I1416" s="29"/>
      <c r="J1416" s="29"/>
      <c r="K1416" s="27"/>
      <c r="L1416" s="27"/>
      <c r="M1416" s="27" t="s">
        <v>8385</v>
      </c>
      <c r="N1416" s="27"/>
      <c r="O1416" s="29" t="s">
        <v>8386</v>
      </c>
      <c r="P1416" s="27"/>
      <c r="Q1416" s="27"/>
      <c r="R1416" s="29"/>
      <c r="S1416" s="29"/>
      <c r="T1416" s="29"/>
      <c r="U1416" s="27"/>
      <c r="V1416" s="27"/>
      <c r="W1416" s="27"/>
      <c r="X1416" s="64"/>
      <c r="Y1416" s="64"/>
      <c r="Z1416" s="64"/>
      <c r="AA1416" s="64"/>
      <c r="AB1416" s="27"/>
      <c r="AC1416" s="27"/>
    </row>
    <row r="1417" spans="1:29" s="28" customFormat="1" x14ac:dyDescent="0.3">
      <c r="A1417" s="27" t="s">
        <v>8387</v>
      </c>
      <c r="B1417" s="27" t="s">
        <v>2273</v>
      </c>
      <c r="C1417" s="29">
        <v>355</v>
      </c>
      <c r="D1417" s="28" t="s">
        <v>5092</v>
      </c>
      <c r="E1417" s="20" t="s">
        <v>1481</v>
      </c>
      <c r="F1417" s="20" t="s">
        <v>2883</v>
      </c>
      <c r="G1417" s="27" t="s">
        <v>2884</v>
      </c>
      <c r="H1417" s="20" t="s">
        <v>2885</v>
      </c>
      <c r="I1417" s="29"/>
      <c r="J1417" s="29" t="s">
        <v>57</v>
      </c>
      <c r="K1417" s="27"/>
      <c r="L1417" s="27" t="s">
        <v>4184</v>
      </c>
      <c r="M1417" s="27" t="s">
        <v>8388</v>
      </c>
      <c r="N1417" s="27"/>
      <c r="O1417" s="29" t="s">
        <v>8389</v>
      </c>
      <c r="P1417" s="27"/>
      <c r="Q1417" s="27"/>
      <c r="R1417" s="29"/>
      <c r="S1417" s="29"/>
      <c r="T1417" s="29"/>
      <c r="U1417" s="27"/>
      <c r="V1417" s="27"/>
      <c r="W1417" s="27"/>
      <c r="X1417" s="64"/>
      <c r="Y1417" s="64"/>
      <c r="Z1417" s="64"/>
      <c r="AA1417" s="64"/>
      <c r="AB1417" s="27"/>
      <c r="AC1417" s="27"/>
    </row>
    <row r="1418" spans="1:29" s="25" customFormat="1" x14ac:dyDescent="0.3">
      <c r="A1418" s="24">
        <v>686</v>
      </c>
      <c r="B1418" s="24" t="s">
        <v>2272</v>
      </c>
      <c r="C1418" s="26">
        <v>355</v>
      </c>
      <c r="D1418" s="25" t="s">
        <v>1482</v>
      </c>
      <c r="E1418" s="19" t="s">
        <v>1483</v>
      </c>
      <c r="F1418" s="19"/>
      <c r="G1418" s="24"/>
      <c r="H1418" s="19"/>
      <c r="I1418" s="26" t="s">
        <v>37</v>
      </c>
      <c r="J1418" s="26" t="s">
        <v>37</v>
      </c>
      <c r="K1418" s="24"/>
      <c r="L1418" s="24" t="s">
        <v>4186</v>
      </c>
      <c r="M1418" s="24" t="s">
        <v>5713</v>
      </c>
      <c r="N1418" s="24"/>
      <c r="O1418" s="26" t="s">
        <v>2237</v>
      </c>
      <c r="P1418" s="24"/>
      <c r="Q1418" s="24"/>
      <c r="R1418" s="26"/>
      <c r="S1418" s="26"/>
      <c r="T1418" s="26"/>
      <c r="U1418" s="24"/>
      <c r="V1418" s="24"/>
      <c r="W1418" s="24"/>
      <c r="X1418" s="63"/>
      <c r="Y1418" s="63"/>
      <c r="Z1418" s="63"/>
      <c r="AA1418" s="63"/>
      <c r="AB1418" s="24"/>
      <c r="AC1418" s="24"/>
    </row>
    <row r="1419" spans="1:29" s="25" customFormat="1" x14ac:dyDescent="0.3">
      <c r="A1419" s="24">
        <v>687</v>
      </c>
      <c r="B1419" s="24" t="s">
        <v>2272</v>
      </c>
      <c r="C1419" s="26">
        <v>357</v>
      </c>
      <c r="D1419" s="25" t="s">
        <v>4728</v>
      </c>
      <c r="E1419" s="19" t="s">
        <v>1485</v>
      </c>
      <c r="F1419" s="19"/>
      <c r="G1419" s="24"/>
      <c r="H1419" s="19"/>
      <c r="I1419" s="26" t="s">
        <v>57</v>
      </c>
      <c r="J1419" s="26" t="s">
        <v>57</v>
      </c>
      <c r="K1419" s="24"/>
      <c r="L1419" s="24" t="s">
        <v>3233</v>
      </c>
      <c r="M1419" s="24" t="s">
        <v>5229</v>
      </c>
      <c r="N1419" s="24"/>
      <c r="O1419" s="26"/>
      <c r="P1419" s="24"/>
      <c r="Q1419" s="24"/>
      <c r="R1419" s="26"/>
      <c r="S1419" s="26"/>
      <c r="T1419" s="26"/>
      <c r="U1419" s="24"/>
      <c r="V1419" s="24"/>
      <c r="W1419" s="24"/>
      <c r="X1419" s="63"/>
      <c r="Y1419" s="63"/>
      <c r="Z1419" s="63"/>
      <c r="AA1419" s="63"/>
      <c r="AB1419" s="24"/>
      <c r="AC1419" s="24"/>
    </row>
    <row r="1420" spans="1:29" s="28" customFormat="1" x14ac:dyDescent="0.3">
      <c r="A1420" s="27" t="s">
        <v>8390</v>
      </c>
      <c r="B1420" s="27" t="s">
        <v>2273</v>
      </c>
      <c r="C1420" s="29"/>
      <c r="D1420" s="28" t="s">
        <v>8391</v>
      </c>
      <c r="E1420" s="20" t="s">
        <v>1485</v>
      </c>
      <c r="F1420" s="20" t="s">
        <v>2425</v>
      </c>
      <c r="G1420" s="27"/>
      <c r="H1420" s="20"/>
      <c r="I1420" s="29"/>
      <c r="J1420" s="29"/>
      <c r="K1420" s="27"/>
      <c r="L1420" s="27"/>
      <c r="M1420" s="27" t="s">
        <v>8392</v>
      </c>
      <c r="N1420" s="27"/>
      <c r="O1420" s="29" t="s">
        <v>8356</v>
      </c>
      <c r="P1420" s="27"/>
      <c r="Q1420" s="27"/>
      <c r="R1420" s="29"/>
      <c r="S1420" s="29"/>
      <c r="T1420" s="29"/>
      <c r="U1420" s="27"/>
      <c r="V1420" s="27"/>
      <c r="W1420" s="27"/>
      <c r="X1420" s="64"/>
      <c r="Y1420" s="64"/>
      <c r="Z1420" s="64"/>
      <c r="AA1420" s="64"/>
      <c r="AB1420" s="27"/>
      <c r="AC1420" s="27"/>
    </row>
    <row r="1421" spans="1:29" s="28" customFormat="1" x14ac:dyDescent="0.3">
      <c r="A1421" s="27" t="s">
        <v>8393</v>
      </c>
      <c r="B1421" s="27" t="s">
        <v>2273</v>
      </c>
      <c r="C1421" s="29"/>
      <c r="D1421" s="28" t="s">
        <v>8391</v>
      </c>
      <c r="E1421" s="20" t="s">
        <v>1485</v>
      </c>
      <c r="F1421" s="20" t="s">
        <v>2886</v>
      </c>
      <c r="G1421" s="27"/>
      <c r="H1421" s="20"/>
      <c r="I1421" s="29"/>
      <c r="J1421" s="29"/>
      <c r="K1421" s="27"/>
      <c r="L1421" s="27"/>
      <c r="M1421" s="27" t="s">
        <v>8394</v>
      </c>
      <c r="N1421" s="27"/>
      <c r="O1421" s="29" t="s">
        <v>8395</v>
      </c>
      <c r="P1421" s="27"/>
      <c r="Q1421" s="27"/>
      <c r="R1421" s="29"/>
      <c r="S1421" s="29"/>
      <c r="T1421" s="29"/>
      <c r="U1421" s="27"/>
      <c r="V1421" s="27"/>
      <c r="W1421" s="27"/>
      <c r="X1421" s="64"/>
      <c r="Y1421" s="64"/>
      <c r="Z1421" s="64"/>
      <c r="AA1421" s="64"/>
      <c r="AB1421" s="27"/>
      <c r="AC1421" s="27"/>
    </row>
    <row r="1422" spans="1:29" s="28" customFormat="1" x14ac:dyDescent="0.3">
      <c r="A1422" s="27" t="s">
        <v>8396</v>
      </c>
      <c r="B1422" s="27" t="s">
        <v>2273</v>
      </c>
      <c r="C1422" s="29"/>
      <c r="D1422" s="28" t="s">
        <v>8391</v>
      </c>
      <c r="E1422" s="20" t="s">
        <v>1485</v>
      </c>
      <c r="F1422" s="20" t="s">
        <v>2761</v>
      </c>
      <c r="G1422" s="27"/>
      <c r="H1422" s="20"/>
      <c r="I1422" s="29"/>
      <c r="J1422" s="29"/>
      <c r="K1422" s="27"/>
      <c r="L1422" s="27"/>
      <c r="M1422" s="27" t="s">
        <v>6867</v>
      </c>
      <c r="N1422" s="27"/>
      <c r="O1422" s="29" t="s">
        <v>8397</v>
      </c>
      <c r="P1422" s="27"/>
      <c r="Q1422" s="27"/>
      <c r="R1422" s="29"/>
      <c r="S1422" s="29"/>
      <c r="T1422" s="29"/>
      <c r="U1422" s="27"/>
      <c r="V1422" s="27"/>
      <c r="W1422" s="27"/>
      <c r="X1422" s="64"/>
      <c r="Y1422" s="64"/>
      <c r="Z1422" s="64"/>
      <c r="AA1422" s="64"/>
      <c r="AB1422" s="27"/>
      <c r="AC1422" s="27"/>
    </row>
    <row r="1423" spans="1:29" s="25" customFormat="1" x14ac:dyDescent="0.3">
      <c r="A1423" s="24">
        <v>688</v>
      </c>
      <c r="B1423" s="24" t="s">
        <v>2272</v>
      </c>
      <c r="C1423" s="26">
        <v>357</v>
      </c>
      <c r="D1423" s="25" t="s">
        <v>6609</v>
      </c>
      <c r="E1423" s="19" t="s">
        <v>6610</v>
      </c>
      <c r="F1423" s="19"/>
      <c r="G1423" s="24" t="s">
        <v>4728</v>
      </c>
      <c r="H1423" s="19" t="s">
        <v>6710</v>
      </c>
      <c r="I1423" s="26" t="s">
        <v>57</v>
      </c>
      <c r="J1423" s="26" t="s">
        <v>57</v>
      </c>
      <c r="K1423" s="24"/>
      <c r="L1423" s="24" t="s">
        <v>3233</v>
      </c>
      <c r="M1423" s="24" t="s">
        <v>5480</v>
      </c>
      <c r="N1423" s="24"/>
      <c r="O1423" s="26" t="s">
        <v>6708</v>
      </c>
      <c r="P1423" s="24"/>
      <c r="Q1423" s="24"/>
      <c r="R1423" s="26"/>
      <c r="S1423" s="26"/>
      <c r="T1423" s="26"/>
      <c r="U1423" s="24"/>
      <c r="V1423" s="24"/>
      <c r="W1423" s="24"/>
      <c r="X1423" s="63"/>
      <c r="Y1423" s="63"/>
      <c r="Z1423" s="63"/>
      <c r="AA1423" s="63"/>
      <c r="AB1423" s="24"/>
      <c r="AC1423" s="24"/>
    </row>
    <row r="1424" spans="1:29" s="25" customFormat="1" x14ac:dyDescent="0.3">
      <c r="A1424" s="24">
        <v>689</v>
      </c>
      <c r="B1424" s="24" t="s">
        <v>2272</v>
      </c>
      <c r="C1424" s="26">
        <v>361</v>
      </c>
      <c r="D1424" s="25" t="s">
        <v>1486</v>
      </c>
      <c r="E1424" s="19" t="s">
        <v>1487</v>
      </c>
      <c r="F1424" s="19"/>
      <c r="G1424" s="24"/>
      <c r="H1424" s="19"/>
      <c r="I1424" s="26" t="s">
        <v>57</v>
      </c>
      <c r="J1424" s="26" t="s">
        <v>57</v>
      </c>
      <c r="K1424" s="24"/>
      <c r="L1424" s="24" t="s">
        <v>3788</v>
      </c>
      <c r="M1424" s="24" t="s">
        <v>5470</v>
      </c>
      <c r="N1424" s="24"/>
      <c r="O1424" s="26"/>
      <c r="P1424" s="24"/>
      <c r="Q1424" s="24"/>
      <c r="R1424" s="26"/>
      <c r="S1424" s="26"/>
      <c r="T1424" s="26"/>
      <c r="U1424" s="24"/>
      <c r="V1424" s="24"/>
      <c r="W1424" s="24"/>
      <c r="X1424" s="63"/>
      <c r="Y1424" s="63"/>
      <c r="Z1424" s="63"/>
      <c r="AA1424" s="63"/>
      <c r="AB1424" s="24"/>
      <c r="AC1424" s="24"/>
    </row>
    <row r="1425" spans="1:29" s="28" customFormat="1" x14ac:dyDescent="0.3">
      <c r="A1425" s="27" t="s">
        <v>8398</v>
      </c>
      <c r="B1425" s="27" t="s">
        <v>2273</v>
      </c>
      <c r="C1425" s="29"/>
      <c r="D1425" s="28" t="s">
        <v>5093</v>
      </c>
      <c r="E1425" s="20" t="s">
        <v>1487</v>
      </c>
      <c r="F1425" s="20" t="s">
        <v>2743</v>
      </c>
      <c r="G1425" s="27"/>
      <c r="H1425" s="20"/>
      <c r="I1425" s="29"/>
      <c r="J1425" s="29"/>
      <c r="K1425" s="27"/>
      <c r="L1425" s="27"/>
      <c r="M1425" s="27" t="s">
        <v>7954</v>
      </c>
      <c r="N1425" s="27"/>
      <c r="O1425" s="29" t="s">
        <v>8399</v>
      </c>
      <c r="P1425" s="27"/>
      <c r="Q1425" s="27"/>
      <c r="R1425" s="29"/>
      <c r="S1425" s="29"/>
      <c r="T1425" s="29"/>
      <c r="U1425" s="27"/>
      <c r="V1425" s="27"/>
      <c r="W1425" s="27"/>
      <c r="X1425" s="64"/>
      <c r="Y1425" s="64"/>
      <c r="Z1425" s="64"/>
      <c r="AA1425" s="64"/>
      <c r="AB1425" s="27"/>
      <c r="AC1425" s="27"/>
    </row>
    <row r="1426" spans="1:29" s="28" customFormat="1" x14ac:dyDescent="0.3">
      <c r="A1426" s="27" t="s">
        <v>8400</v>
      </c>
      <c r="B1426" s="27" t="s">
        <v>2273</v>
      </c>
      <c r="C1426" s="29"/>
      <c r="D1426" s="28" t="s">
        <v>5093</v>
      </c>
      <c r="E1426" s="20" t="s">
        <v>1487</v>
      </c>
      <c r="F1426" s="20" t="s">
        <v>2887</v>
      </c>
      <c r="G1426" s="27"/>
      <c r="H1426" s="20"/>
      <c r="I1426" s="29"/>
      <c r="J1426" s="29"/>
      <c r="K1426" s="27"/>
      <c r="L1426" s="27"/>
      <c r="M1426" s="27" t="s">
        <v>8072</v>
      </c>
      <c r="N1426" s="27"/>
      <c r="O1426" s="29" t="s">
        <v>8401</v>
      </c>
      <c r="P1426" s="27"/>
      <c r="Q1426" s="27"/>
      <c r="R1426" s="29"/>
      <c r="S1426" s="29"/>
      <c r="T1426" s="29"/>
      <c r="U1426" s="27"/>
      <c r="V1426" s="27"/>
      <c r="W1426" s="27"/>
      <c r="X1426" s="64"/>
      <c r="Y1426" s="64"/>
      <c r="Z1426" s="64"/>
      <c r="AA1426" s="64"/>
      <c r="AB1426" s="27"/>
      <c r="AC1426" s="27"/>
    </row>
    <row r="1427" spans="1:29" s="25" customFormat="1" ht="20.399999999999999" x14ac:dyDescent="0.3">
      <c r="A1427" s="24">
        <v>690</v>
      </c>
      <c r="B1427" s="24" t="s">
        <v>2272</v>
      </c>
      <c r="C1427" s="26">
        <v>361</v>
      </c>
      <c r="D1427" s="25" t="s">
        <v>1488</v>
      </c>
      <c r="E1427" s="19" t="s">
        <v>1489</v>
      </c>
      <c r="F1427" s="19"/>
      <c r="G1427" s="24"/>
      <c r="H1427" s="19"/>
      <c r="I1427" s="26" t="s">
        <v>57</v>
      </c>
      <c r="J1427" s="26" t="s">
        <v>57</v>
      </c>
      <c r="K1427" s="24"/>
      <c r="L1427" s="103" t="s">
        <v>6611</v>
      </c>
      <c r="M1427" s="24" t="s">
        <v>5470</v>
      </c>
      <c r="N1427" s="24"/>
      <c r="O1427" s="26"/>
      <c r="P1427" s="24"/>
      <c r="Q1427" s="24"/>
      <c r="R1427" s="26"/>
      <c r="S1427" s="26"/>
      <c r="T1427" s="26"/>
      <c r="U1427" s="24"/>
      <c r="V1427" s="24"/>
      <c r="W1427" s="24"/>
      <c r="X1427" s="63"/>
      <c r="Y1427" s="63"/>
      <c r="Z1427" s="63"/>
      <c r="AA1427" s="63"/>
      <c r="AB1427" s="24"/>
      <c r="AC1427" s="24"/>
    </row>
    <row r="1428" spans="1:29" s="28" customFormat="1" x14ac:dyDescent="0.3">
      <c r="A1428" s="27" t="s">
        <v>6366</v>
      </c>
      <c r="B1428" s="27" t="s">
        <v>2273</v>
      </c>
      <c r="C1428" s="29">
        <v>361</v>
      </c>
      <c r="D1428" s="28" t="s">
        <v>5094</v>
      </c>
      <c r="E1428" s="20" t="s">
        <v>1489</v>
      </c>
      <c r="F1428" s="20" t="s">
        <v>2608</v>
      </c>
      <c r="G1428" s="27"/>
      <c r="H1428" s="20" t="s">
        <v>4729</v>
      </c>
      <c r="I1428" s="29"/>
      <c r="J1428" s="29" t="s">
        <v>57</v>
      </c>
      <c r="K1428" s="27"/>
      <c r="L1428" s="27" t="s">
        <v>3788</v>
      </c>
      <c r="M1428" s="27" t="s">
        <v>7528</v>
      </c>
      <c r="N1428" s="27"/>
      <c r="O1428" s="29" t="s">
        <v>8402</v>
      </c>
      <c r="P1428" s="27"/>
      <c r="Q1428" s="27"/>
      <c r="R1428" s="29"/>
      <c r="S1428" s="29"/>
      <c r="T1428" s="29"/>
      <c r="U1428" s="27"/>
      <c r="V1428" s="27"/>
      <c r="W1428" s="27"/>
      <c r="X1428" s="64"/>
      <c r="Y1428" s="64"/>
      <c r="Z1428" s="64"/>
      <c r="AA1428" s="64"/>
      <c r="AB1428" s="27"/>
      <c r="AC1428" s="27"/>
    </row>
    <row r="1429" spans="1:29" s="28" customFormat="1" x14ac:dyDescent="0.3">
      <c r="A1429" s="27" t="s">
        <v>6367</v>
      </c>
      <c r="B1429" s="27" t="s">
        <v>2273</v>
      </c>
      <c r="C1429" s="29">
        <v>361</v>
      </c>
      <c r="D1429" s="28" t="s">
        <v>5094</v>
      </c>
      <c r="E1429" s="20" t="s">
        <v>1489</v>
      </c>
      <c r="F1429" s="20" t="s">
        <v>2888</v>
      </c>
      <c r="G1429" s="27"/>
      <c r="H1429" s="20" t="s">
        <v>4729</v>
      </c>
      <c r="I1429" s="29"/>
      <c r="J1429" s="29" t="s">
        <v>57</v>
      </c>
      <c r="K1429" s="27"/>
      <c r="L1429" s="27" t="s">
        <v>3788</v>
      </c>
      <c r="M1429" s="27" t="s">
        <v>8403</v>
      </c>
      <c r="N1429" s="27"/>
      <c r="O1429" s="29" t="s">
        <v>2239</v>
      </c>
      <c r="P1429" s="27"/>
      <c r="Q1429" s="27"/>
      <c r="R1429" s="29"/>
      <c r="S1429" s="29"/>
      <c r="T1429" s="29"/>
      <c r="U1429" s="27"/>
      <c r="V1429" s="27"/>
      <c r="W1429" s="27"/>
      <c r="X1429" s="64"/>
      <c r="Y1429" s="64"/>
      <c r="Z1429" s="64"/>
      <c r="AA1429" s="64"/>
      <c r="AB1429" s="27"/>
      <c r="AC1429" s="27"/>
    </row>
    <row r="1430" spans="1:29" s="28" customFormat="1" x14ac:dyDescent="0.3">
      <c r="A1430" s="27" t="s">
        <v>6368</v>
      </c>
      <c r="B1430" s="27" t="s">
        <v>2273</v>
      </c>
      <c r="C1430" s="29">
        <v>361</v>
      </c>
      <c r="D1430" s="28" t="s">
        <v>5094</v>
      </c>
      <c r="E1430" s="20" t="s">
        <v>1489</v>
      </c>
      <c r="F1430" s="20" t="s">
        <v>2889</v>
      </c>
      <c r="G1430" s="27" t="s">
        <v>4731</v>
      </c>
      <c r="H1430" s="20" t="s">
        <v>4732</v>
      </c>
      <c r="I1430" s="29"/>
      <c r="J1430" s="29" t="s">
        <v>57</v>
      </c>
      <c r="K1430" s="27"/>
      <c r="L1430" s="27" t="s">
        <v>4730</v>
      </c>
      <c r="M1430" s="27" t="s">
        <v>8404</v>
      </c>
      <c r="N1430" s="27"/>
      <c r="O1430" s="29"/>
      <c r="P1430" s="27"/>
      <c r="Q1430" s="27"/>
      <c r="R1430" s="29"/>
      <c r="S1430" s="29"/>
      <c r="T1430" s="29"/>
      <c r="U1430" s="27"/>
      <c r="V1430" s="27"/>
      <c r="W1430" s="27"/>
      <c r="X1430" s="64"/>
      <c r="Y1430" s="64"/>
      <c r="Z1430" s="64"/>
      <c r="AA1430" s="64"/>
      <c r="AB1430" s="27"/>
      <c r="AC1430" s="27"/>
    </row>
    <row r="1431" spans="1:29" s="25" customFormat="1" x14ac:dyDescent="0.3">
      <c r="A1431" s="24">
        <v>691</v>
      </c>
      <c r="B1431" s="24" t="s">
        <v>2272</v>
      </c>
      <c r="C1431" s="26">
        <v>361</v>
      </c>
      <c r="D1431" s="25" t="s">
        <v>1490</v>
      </c>
      <c r="E1431" s="19" t="s">
        <v>1491</v>
      </c>
      <c r="F1431" s="19"/>
      <c r="G1431" s="24"/>
      <c r="H1431" s="19"/>
      <c r="I1431" s="26" t="s">
        <v>57</v>
      </c>
      <c r="J1431" s="26" t="s">
        <v>57</v>
      </c>
      <c r="K1431" s="24"/>
      <c r="L1431" s="24" t="s">
        <v>4191</v>
      </c>
      <c r="M1431" s="24" t="s">
        <v>5714</v>
      </c>
      <c r="N1431" s="24"/>
      <c r="O1431" s="26" t="s">
        <v>2239</v>
      </c>
      <c r="P1431" s="24"/>
      <c r="Q1431" s="24"/>
      <c r="R1431" s="26"/>
      <c r="S1431" s="26"/>
      <c r="T1431" s="26"/>
      <c r="U1431" s="24"/>
      <c r="V1431" s="24"/>
      <c r="W1431" s="24"/>
      <c r="X1431" s="63"/>
      <c r="Y1431" s="63"/>
      <c r="Z1431" s="63"/>
      <c r="AA1431" s="63"/>
      <c r="AB1431" s="24"/>
      <c r="AC1431" s="24"/>
    </row>
    <row r="1432" spans="1:29" s="25" customFormat="1" x14ac:dyDescent="0.3">
      <c r="A1432" s="24">
        <v>692</v>
      </c>
      <c r="B1432" s="24" t="s">
        <v>2272</v>
      </c>
      <c r="C1432" s="26">
        <v>359</v>
      </c>
      <c r="D1432" s="25" t="s">
        <v>1492</v>
      </c>
      <c r="E1432" s="19" t="s">
        <v>1493</v>
      </c>
      <c r="F1432" s="19"/>
      <c r="G1432" s="24"/>
      <c r="H1432" s="19"/>
      <c r="I1432" s="26" t="s">
        <v>57</v>
      </c>
      <c r="J1432" s="26" t="s">
        <v>57</v>
      </c>
      <c r="K1432" s="24"/>
      <c r="L1432" s="24" t="s">
        <v>4193</v>
      </c>
      <c r="M1432" s="24" t="s">
        <v>4502</v>
      </c>
      <c r="N1432" s="24"/>
      <c r="O1432" s="26" t="s">
        <v>6712</v>
      </c>
      <c r="P1432" s="24"/>
      <c r="Q1432" s="24"/>
      <c r="R1432" s="26"/>
      <c r="S1432" s="26"/>
      <c r="T1432" s="26"/>
      <c r="U1432" s="24"/>
      <c r="V1432" s="24"/>
      <c r="W1432" s="24"/>
      <c r="X1432" s="63"/>
      <c r="Y1432" s="63"/>
      <c r="Z1432" s="63"/>
      <c r="AA1432" s="63"/>
      <c r="AB1432" s="24"/>
      <c r="AC1432" s="24"/>
    </row>
    <row r="1433" spans="1:29" s="25" customFormat="1" x14ac:dyDescent="0.3">
      <c r="A1433" s="24">
        <v>693</v>
      </c>
      <c r="B1433" s="24" t="s">
        <v>2272</v>
      </c>
      <c r="C1433" s="26">
        <v>359</v>
      </c>
      <c r="D1433" s="25" t="s">
        <v>1494</v>
      </c>
      <c r="E1433" s="19" t="s">
        <v>1495</v>
      </c>
      <c r="F1433" s="19"/>
      <c r="G1433" s="24"/>
      <c r="H1433" s="19"/>
      <c r="I1433" s="26" t="s">
        <v>57</v>
      </c>
      <c r="J1433" s="26" t="s">
        <v>57</v>
      </c>
      <c r="K1433" s="24"/>
      <c r="L1433" s="24" t="s">
        <v>3843</v>
      </c>
      <c r="M1433" s="24" t="s">
        <v>5485</v>
      </c>
      <c r="N1433" s="24"/>
      <c r="O1433" s="26"/>
      <c r="P1433" s="24"/>
      <c r="Q1433" s="24"/>
      <c r="R1433" s="26"/>
      <c r="S1433" s="26"/>
      <c r="T1433" s="26"/>
      <c r="U1433" s="24"/>
      <c r="V1433" s="24"/>
      <c r="W1433" s="24"/>
      <c r="X1433" s="63"/>
      <c r="Y1433" s="63"/>
      <c r="Z1433" s="63"/>
      <c r="AA1433" s="63"/>
      <c r="AB1433" s="24"/>
      <c r="AC1433" s="24"/>
    </row>
    <row r="1434" spans="1:29" s="28" customFormat="1" x14ac:dyDescent="0.3">
      <c r="A1434" s="27" t="s">
        <v>8405</v>
      </c>
      <c r="B1434" s="27" t="s">
        <v>2273</v>
      </c>
      <c r="C1434" s="29"/>
      <c r="D1434" s="28" t="s">
        <v>5095</v>
      </c>
      <c r="E1434" s="20" t="s">
        <v>1495</v>
      </c>
      <c r="F1434" s="20" t="s">
        <v>2890</v>
      </c>
      <c r="G1434" s="27"/>
      <c r="H1434" s="20"/>
      <c r="I1434" s="29"/>
      <c r="J1434" s="29"/>
      <c r="K1434" s="27"/>
      <c r="L1434" s="27"/>
      <c r="M1434" s="27" t="s">
        <v>8406</v>
      </c>
      <c r="N1434" s="27"/>
      <c r="O1434" s="29" t="s">
        <v>8407</v>
      </c>
      <c r="P1434" s="27"/>
      <c r="Q1434" s="27"/>
      <c r="R1434" s="29"/>
      <c r="S1434" s="29"/>
      <c r="T1434" s="29"/>
      <c r="U1434" s="27"/>
      <c r="V1434" s="27"/>
      <c r="W1434" s="27"/>
      <c r="X1434" s="64"/>
      <c r="Y1434" s="64"/>
      <c r="Z1434" s="64"/>
      <c r="AA1434" s="64"/>
      <c r="AB1434" s="27"/>
      <c r="AC1434" s="27"/>
    </row>
    <row r="1435" spans="1:29" s="28" customFormat="1" x14ac:dyDescent="0.3">
      <c r="A1435" s="27" t="s">
        <v>8408</v>
      </c>
      <c r="B1435" s="27" t="s">
        <v>2273</v>
      </c>
      <c r="C1435" s="29"/>
      <c r="D1435" s="28" t="s">
        <v>5095</v>
      </c>
      <c r="E1435" s="20" t="s">
        <v>1495</v>
      </c>
      <c r="F1435" s="20" t="s">
        <v>2891</v>
      </c>
      <c r="G1435" s="27"/>
      <c r="H1435" s="20"/>
      <c r="I1435" s="29"/>
      <c r="J1435" s="29"/>
      <c r="K1435" s="27"/>
      <c r="L1435" s="27"/>
      <c r="M1435" s="27" t="s">
        <v>7001</v>
      </c>
      <c r="N1435" s="27"/>
      <c r="O1435" s="29" t="s">
        <v>5649</v>
      </c>
      <c r="P1435" s="27"/>
      <c r="Q1435" s="27"/>
      <c r="R1435" s="29"/>
      <c r="S1435" s="29"/>
      <c r="T1435" s="29"/>
      <c r="U1435" s="27"/>
      <c r="V1435" s="27"/>
      <c r="W1435" s="27"/>
      <c r="X1435" s="64"/>
      <c r="Y1435" s="64"/>
      <c r="Z1435" s="64"/>
      <c r="AA1435" s="64"/>
      <c r="AB1435" s="27"/>
      <c r="AC1435" s="27"/>
    </row>
    <row r="1436" spans="1:29" s="25" customFormat="1" ht="40.799999999999997" x14ac:dyDescent="0.3">
      <c r="A1436" s="24">
        <v>694</v>
      </c>
      <c r="B1436" s="24" t="s">
        <v>2272</v>
      </c>
      <c r="C1436" s="26">
        <v>359</v>
      </c>
      <c r="D1436" s="25" t="s">
        <v>1496</v>
      </c>
      <c r="E1436" s="19" t="s">
        <v>1497</v>
      </c>
      <c r="F1436" s="19"/>
      <c r="G1436" s="24"/>
      <c r="H1436" s="19"/>
      <c r="I1436" s="26" t="s">
        <v>57</v>
      </c>
      <c r="J1436" s="26" t="s">
        <v>57</v>
      </c>
      <c r="K1436" s="24"/>
      <c r="L1436" s="103" t="s">
        <v>6612</v>
      </c>
      <c r="M1436" s="24" t="s">
        <v>59</v>
      </c>
      <c r="N1436" s="24"/>
      <c r="O1436" s="26"/>
      <c r="P1436" s="24"/>
      <c r="Q1436" s="24"/>
      <c r="R1436" s="26"/>
      <c r="S1436" s="26"/>
      <c r="T1436" s="26"/>
      <c r="U1436" s="24"/>
      <c r="V1436" s="24"/>
      <c r="W1436" s="24"/>
      <c r="X1436" s="63"/>
      <c r="Y1436" s="63"/>
      <c r="Z1436" s="63"/>
      <c r="AA1436" s="63"/>
      <c r="AB1436" s="24"/>
      <c r="AC1436" s="24"/>
    </row>
    <row r="1437" spans="1:29" s="28" customFormat="1" x14ac:dyDescent="0.3">
      <c r="A1437" s="27" t="s">
        <v>6369</v>
      </c>
      <c r="B1437" s="27" t="s">
        <v>2273</v>
      </c>
      <c r="C1437" s="29">
        <v>359</v>
      </c>
      <c r="D1437" s="28" t="s">
        <v>8409</v>
      </c>
      <c r="E1437" s="20" t="s">
        <v>1497</v>
      </c>
      <c r="F1437" s="20" t="s">
        <v>8410</v>
      </c>
      <c r="G1437" s="27" t="s">
        <v>4196</v>
      </c>
      <c r="H1437" s="20" t="s">
        <v>4505</v>
      </c>
      <c r="I1437" s="29"/>
      <c r="J1437" s="29" t="s">
        <v>57</v>
      </c>
      <c r="K1437" s="27"/>
      <c r="L1437" s="27" t="s">
        <v>4197</v>
      </c>
      <c r="M1437" s="27" t="s">
        <v>8411</v>
      </c>
      <c r="N1437" s="27"/>
      <c r="O1437" s="29" t="s">
        <v>2240</v>
      </c>
      <c r="P1437" s="27"/>
      <c r="Q1437" s="27"/>
      <c r="R1437" s="29"/>
      <c r="S1437" s="29"/>
      <c r="T1437" s="29"/>
      <c r="U1437" s="27"/>
      <c r="V1437" s="27"/>
      <c r="W1437" s="27"/>
      <c r="X1437" s="64"/>
      <c r="Y1437" s="64"/>
      <c r="Z1437" s="64"/>
      <c r="AA1437" s="64"/>
      <c r="AB1437" s="27"/>
      <c r="AC1437" s="27"/>
    </row>
    <row r="1438" spans="1:29" s="28" customFormat="1" x14ac:dyDescent="0.3">
      <c r="A1438" s="27" t="s">
        <v>6370</v>
      </c>
      <c r="B1438" s="27" t="s">
        <v>2273</v>
      </c>
      <c r="C1438" s="29">
        <v>359</v>
      </c>
      <c r="D1438" s="28" t="s">
        <v>8409</v>
      </c>
      <c r="E1438" s="20" t="s">
        <v>1497</v>
      </c>
      <c r="F1438" s="20" t="s">
        <v>8412</v>
      </c>
      <c r="G1438" s="27" t="s">
        <v>1498</v>
      </c>
      <c r="H1438" s="20" t="s">
        <v>4506</v>
      </c>
      <c r="I1438" s="29"/>
      <c r="J1438" s="29" t="s">
        <v>57</v>
      </c>
      <c r="K1438" s="27"/>
      <c r="L1438" s="27" t="s">
        <v>3757</v>
      </c>
      <c r="M1438" s="27" t="s">
        <v>7923</v>
      </c>
      <c r="N1438" s="27"/>
      <c r="O1438" s="29" t="s">
        <v>2241</v>
      </c>
      <c r="P1438" s="27"/>
      <c r="Q1438" s="27"/>
      <c r="R1438" s="29"/>
      <c r="S1438" s="29"/>
      <c r="T1438" s="29"/>
      <c r="U1438" s="27"/>
      <c r="V1438" s="27"/>
      <c r="W1438" s="27"/>
      <c r="X1438" s="64"/>
      <c r="Y1438" s="64"/>
      <c r="Z1438" s="64"/>
      <c r="AA1438" s="64"/>
      <c r="AB1438" s="27"/>
      <c r="AC1438" s="27"/>
    </row>
    <row r="1439" spans="1:29" s="28" customFormat="1" x14ac:dyDescent="0.3">
      <c r="A1439" s="27" t="s">
        <v>6371</v>
      </c>
      <c r="B1439" s="27" t="s">
        <v>2273</v>
      </c>
      <c r="C1439" s="29">
        <v>359</v>
      </c>
      <c r="D1439" s="28" t="s">
        <v>8409</v>
      </c>
      <c r="E1439" s="20" t="s">
        <v>1497</v>
      </c>
      <c r="F1439" s="20" t="s">
        <v>8413</v>
      </c>
      <c r="G1439" s="27" t="s">
        <v>1499</v>
      </c>
      <c r="H1439" s="20" t="s">
        <v>4507</v>
      </c>
      <c r="I1439" s="29"/>
      <c r="J1439" s="29" t="s">
        <v>57</v>
      </c>
      <c r="K1439" s="27"/>
      <c r="L1439" s="27" t="s">
        <v>4198</v>
      </c>
      <c r="M1439" s="27" t="s">
        <v>7681</v>
      </c>
      <c r="N1439" s="27"/>
      <c r="O1439" s="29" t="s">
        <v>2242</v>
      </c>
      <c r="P1439" s="27"/>
      <c r="Q1439" s="27"/>
      <c r="R1439" s="29"/>
      <c r="S1439" s="29"/>
      <c r="T1439" s="29"/>
      <c r="U1439" s="27"/>
      <c r="V1439" s="27"/>
      <c r="W1439" s="27"/>
      <c r="X1439" s="64"/>
      <c r="Y1439" s="64"/>
      <c r="Z1439" s="64"/>
      <c r="AA1439" s="64"/>
      <c r="AB1439" s="27"/>
      <c r="AC1439" s="27"/>
    </row>
    <row r="1440" spans="1:29" s="25" customFormat="1" x14ac:dyDescent="0.3">
      <c r="A1440" s="24">
        <v>695</v>
      </c>
      <c r="B1440" s="24" t="s">
        <v>2272</v>
      </c>
      <c r="C1440" s="26">
        <v>357</v>
      </c>
      <c r="D1440" s="25" t="s">
        <v>1500</v>
      </c>
      <c r="E1440" s="19" t="s">
        <v>1501</v>
      </c>
      <c r="F1440" s="19"/>
      <c r="G1440" s="24"/>
      <c r="H1440" s="19"/>
      <c r="I1440" s="26" t="s">
        <v>57</v>
      </c>
      <c r="J1440" s="26" t="s">
        <v>57</v>
      </c>
      <c r="K1440" s="24"/>
      <c r="L1440" s="24" t="s">
        <v>4200</v>
      </c>
      <c r="M1440" s="24" t="s">
        <v>5480</v>
      </c>
      <c r="N1440" s="24"/>
      <c r="O1440" s="26" t="s">
        <v>2244</v>
      </c>
      <c r="P1440" s="24"/>
      <c r="Q1440" s="24"/>
      <c r="R1440" s="26"/>
      <c r="S1440" s="26"/>
      <c r="T1440" s="26"/>
      <c r="U1440" s="24"/>
      <c r="V1440" s="24"/>
      <c r="W1440" s="24"/>
      <c r="X1440" s="63"/>
      <c r="Y1440" s="63"/>
      <c r="Z1440" s="63"/>
      <c r="AA1440" s="63"/>
      <c r="AB1440" s="24"/>
      <c r="AC1440" s="24"/>
    </row>
    <row r="1441" spans="1:29" s="25" customFormat="1" x14ac:dyDescent="0.3">
      <c r="A1441" s="24">
        <v>696</v>
      </c>
      <c r="B1441" s="24" t="s">
        <v>2272</v>
      </c>
      <c r="C1441" s="26">
        <v>361</v>
      </c>
      <c r="D1441" s="25" t="s">
        <v>1502</v>
      </c>
      <c r="E1441" s="19" t="s">
        <v>1503</v>
      </c>
      <c r="F1441" s="19"/>
      <c r="G1441" s="24"/>
      <c r="H1441" s="19"/>
      <c r="I1441" s="26" t="s">
        <v>57</v>
      </c>
      <c r="J1441" s="26" t="s">
        <v>57</v>
      </c>
      <c r="K1441" s="24"/>
      <c r="L1441" s="24" t="s">
        <v>4202</v>
      </c>
      <c r="M1441" s="24" t="s">
        <v>5229</v>
      </c>
      <c r="N1441" s="24"/>
      <c r="O1441" s="26"/>
      <c r="P1441" s="24"/>
      <c r="Q1441" s="24"/>
      <c r="R1441" s="26"/>
      <c r="S1441" s="26"/>
      <c r="T1441" s="26"/>
      <c r="U1441" s="24"/>
      <c r="V1441" s="24"/>
      <c r="W1441" s="24"/>
      <c r="X1441" s="63"/>
      <c r="Y1441" s="63"/>
      <c r="Z1441" s="63"/>
      <c r="AA1441" s="63"/>
      <c r="AB1441" s="24"/>
      <c r="AC1441" s="24"/>
    </row>
    <row r="1442" spans="1:29" s="28" customFormat="1" x14ac:dyDescent="0.3">
      <c r="A1442" s="27" t="s">
        <v>8414</v>
      </c>
      <c r="B1442" s="27" t="s">
        <v>2273</v>
      </c>
      <c r="C1442" s="29"/>
      <c r="D1442" s="28" t="s">
        <v>5096</v>
      </c>
      <c r="E1442" s="20" t="s">
        <v>1503</v>
      </c>
      <c r="F1442" s="20" t="s">
        <v>2892</v>
      </c>
      <c r="G1442" s="27"/>
      <c r="H1442" s="20"/>
      <c r="I1442" s="29"/>
      <c r="J1442" s="29"/>
      <c r="K1442" s="27"/>
      <c r="L1442" s="27"/>
      <c r="M1442" s="27" t="s">
        <v>6793</v>
      </c>
      <c r="N1442" s="27"/>
      <c r="O1442" s="29" t="s">
        <v>2136</v>
      </c>
      <c r="P1442" s="27"/>
      <c r="Q1442" s="27"/>
      <c r="R1442" s="29"/>
      <c r="S1442" s="29"/>
      <c r="T1442" s="29"/>
      <c r="U1442" s="27"/>
      <c r="V1442" s="27"/>
      <c r="W1442" s="27"/>
      <c r="X1442" s="64"/>
      <c r="Y1442" s="64"/>
      <c r="Z1442" s="64"/>
      <c r="AA1442" s="64"/>
      <c r="AB1442" s="27"/>
      <c r="AC1442" s="27"/>
    </row>
    <row r="1443" spans="1:29" s="28" customFormat="1" x14ac:dyDescent="0.3">
      <c r="A1443" s="27" t="s">
        <v>8415</v>
      </c>
      <c r="B1443" s="27" t="s">
        <v>2273</v>
      </c>
      <c r="C1443" s="29"/>
      <c r="D1443" s="28" t="s">
        <v>5096</v>
      </c>
      <c r="E1443" s="20" t="s">
        <v>1503</v>
      </c>
      <c r="F1443" s="20" t="s">
        <v>2765</v>
      </c>
      <c r="G1443" s="27"/>
      <c r="H1443" s="20"/>
      <c r="I1443" s="29"/>
      <c r="J1443" s="29"/>
      <c r="K1443" s="27"/>
      <c r="L1443" s="27"/>
      <c r="M1443" s="27" t="s">
        <v>8416</v>
      </c>
      <c r="N1443" s="27"/>
      <c r="O1443" s="29" t="s">
        <v>8417</v>
      </c>
      <c r="P1443" s="27"/>
      <c r="Q1443" s="27"/>
      <c r="R1443" s="29"/>
      <c r="S1443" s="29"/>
      <c r="T1443" s="29"/>
      <c r="U1443" s="27"/>
      <c r="V1443" s="27"/>
      <c r="W1443" s="27"/>
      <c r="X1443" s="64"/>
      <c r="Y1443" s="64"/>
      <c r="Z1443" s="64"/>
      <c r="AA1443" s="64"/>
      <c r="AB1443" s="27"/>
      <c r="AC1443" s="27"/>
    </row>
    <row r="1444" spans="1:29" s="28" customFormat="1" x14ac:dyDescent="0.3">
      <c r="A1444" s="27" t="s">
        <v>8418</v>
      </c>
      <c r="B1444" s="27" t="s">
        <v>2273</v>
      </c>
      <c r="C1444" s="29"/>
      <c r="D1444" s="28" t="s">
        <v>5096</v>
      </c>
      <c r="E1444" s="20" t="s">
        <v>1503</v>
      </c>
      <c r="F1444" s="20" t="s">
        <v>2893</v>
      </c>
      <c r="G1444" s="27"/>
      <c r="H1444" s="20"/>
      <c r="I1444" s="29"/>
      <c r="J1444" s="29"/>
      <c r="K1444" s="27"/>
      <c r="L1444" s="27"/>
      <c r="M1444" s="27" t="s">
        <v>8419</v>
      </c>
      <c r="N1444" s="27"/>
      <c r="O1444" s="29" t="s">
        <v>8420</v>
      </c>
      <c r="P1444" s="27"/>
      <c r="Q1444" s="27"/>
      <c r="R1444" s="29"/>
      <c r="S1444" s="29"/>
      <c r="T1444" s="29"/>
      <c r="U1444" s="27"/>
      <c r="V1444" s="27"/>
      <c r="W1444" s="27"/>
      <c r="X1444" s="64"/>
      <c r="Y1444" s="64"/>
      <c r="Z1444" s="64"/>
      <c r="AA1444" s="64"/>
      <c r="AB1444" s="27"/>
      <c r="AC1444" s="27"/>
    </row>
    <row r="1445" spans="1:29" s="28" customFormat="1" x14ac:dyDescent="0.3">
      <c r="A1445" s="27" t="s">
        <v>8421</v>
      </c>
      <c r="B1445" s="27" t="s">
        <v>2273</v>
      </c>
      <c r="C1445" s="29"/>
      <c r="D1445" s="28" t="s">
        <v>5096</v>
      </c>
      <c r="E1445" s="20" t="s">
        <v>1503</v>
      </c>
      <c r="F1445" s="20" t="s">
        <v>2894</v>
      </c>
      <c r="G1445" s="27"/>
      <c r="H1445" s="20"/>
      <c r="I1445" s="29"/>
      <c r="J1445" s="29"/>
      <c r="K1445" s="27"/>
      <c r="L1445" s="27"/>
      <c r="M1445" s="27" t="s">
        <v>8095</v>
      </c>
      <c r="N1445" s="27"/>
      <c r="O1445" s="29" t="s">
        <v>8422</v>
      </c>
      <c r="P1445" s="27"/>
      <c r="Q1445" s="27"/>
      <c r="R1445" s="29"/>
      <c r="S1445" s="29"/>
      <c r="T1445" s="29"/>
      <c r="U1445" s="27"/>
      <c r="V1445" s="27"/>
      <c r="W1445" s="27"/>
      <c r="X1445" s="64"/>
      <c r="Y1445" s="64"/>
      <c r="Z1445" s="64"/>
      <c r="AA1445" s="64"/>
      <c r="AB1445" s="27"/>
      <c r="AC1445" s="27"/>
    </row>
    <row r="1446" spans="1:29" s="28" customFormat="1" x14ac:dyDescent="0.3">
      <c r="A1446" s="27" t="s">
        <v>8423</v>
      </c>
      <c r="B1446" s="27" t="s">
        <v>2273</v>
      </c>
      <c r="C1446" s="29"/>
      <c r="D1446" s="28" t="s">
        <v>5096</v>
      </c>
      <c r="E1446" s="20" t="s">
        <v>1503</v>
      </c>
      <c r="F1446" s="20" t="s">
        <v>2895</v>
      </c>
      <c r="G1446" s="27"/>
      <c r="H1446" s="20"/>
      <c r="I1446" s="29"/>
      <c r="J1446" s="29"/>
      <c r="K1446" s="27"/>
      <c r="L1446" s="27"/>
      <c r="M1446" s="27" t="s">
        <v>6907</v>
      </c>
      <c r="N1446" s="27"/>
      <c r="O1446" s="29" t="s">
        <v>8424</v>
      </c>
      <c r="P1446" s="27"/>
      <c r="Q1446" s="27"/>
      <c r="R1446" s="29"/>
      <c r="S1446" s="29"/>
      <c r="T1446" s="29"/>
      <c r="U1446" s="27"/>
      <c r="V1446" s="27"/>
      <c r="W1446" s="27"/>
      <c r="X1446" s="64"/>
      <c r="Y1446" s="64"/>
      <c r="Z1446" s="64"/>
      <c r="AA1446" s="64"/>
      <c r="AB1446" s="27"/>
      <c r="AC1446" s="27"/>
    </row>
    <row r="1447" spans="1:29" s="28" customFormat="1" x14ac:dyDescent="0.3">
      <c r="A1447" s="27" t="s">
        <v>8425</v>
      </c>
      <c r="B1447" s="27" t="s">
        <v>2273</v>
      </c>
      <c r="C1447" s="29"/>
      <c r="D1447" s="28" t="s">
        <v>5096</v>
      </c>
      <c r="E1447" s="20" t="s">
        <v>1503</v>
      </c>
      <c r="F1447" s="20" t="s">
        <v>2896</v>
      </c>
      <c r="G1447" s="27"/>
      <c r="H1447" s="20"/>
      <c r="I1447" s="29"/>
      <c r="J1447" s="29"/>
      <c r="K1447" s="27"/>
      <c r="L1447" s="27"/>
      <c r="M1447" s="27" t="s">
        <v>6867</v>
      </c>
      <c r="N1447" s="27"/>
      <c r="O1447" s="29" t="s">
        <v>7638</v>
      </c>
      <c r="P1447" s="27"/>
      <c r="Q1447" s="27"/>
      <c r="R1447" s="29"/>
      <c r="S1447" s="29"/>
      <c r="T1447" s="29"/>
      <c r="U1447" s="27"/>
      <c r="V1447" s="27"/>
      <c r="W1447" s="27"/>
      <c r="X1447" s="64"/>
      <c r="Y1447" s="64"/>
      <c r="Z1447" s="64"/>
      <c r="AA1447" s="64"/>
      <c r="AB1447" s="27"/>
      <c r="AC1447" s="27"/>
    </row>
    <row r="1448" spans="1:29" s="25" customFormat="1" x14ac:dyDescent="0.3">
      <c r="A1448" s="24">
        <v>697</v>
      </c>
      <c r="B1448" s="24" t="s">
        <v>2272</v>
      </c>
      <c r="C1448" s="26">
        <v>357</v>
      </c>
      <c r="D1448" s="25" t="s">
        <v>1504</v>
      </c>
      <c r="E1448" s="19" t="s">
        <v>1505</v>
      </c>
      <c r="F1448" s="19"/>
      <c r="G1448" s="24"/>
      <c r="H1448" s="19"/>
      <c r="I1448" s="26" t="s">
        <v>57</v>
      </c>
      <c r="J1448" s="26" t="s">
        <v>57</v>
      </c>
      <c r="K1448" s="24"/>
      <c r="L1448" s="24" t="s">
        <v>4204</v>
      </c>
      <c r="M1448" s="24" t="s">
        <v>5485</v>
      </c>
      <c r="N1448" s="24"/>
      <c r="O1448" s="26" t="s">
        <v>2245</v>
      </c>
      <c r="P1448" s="24"/>
      <c r="Q1448" s="24"/>
      <c r="R1448" s="26"/>
      <c r="S1448" s="26"/>
      <c r="T1448" s="26"/>
      <c r="U1448" s="24"/>
      <c r="V1448" s="24"/>
      <c r="W1448" s="24"/>
      <c r="X1448" s="63"/>
      <c r="Y1448" s="63"/>
      <c r="Z1448" s="63"/>
      <c r="AA1448" s="63"/>
      <c r="AB1448" s="24"/>
      <c r="AC1448" s="24"/>
    </row>
    <row r="1449" spans="1:29" s="25" customFormat="1" x14ac:dyDescent="0.3">
      <c r="A1449" s="24">
        <v>698</v>
      </c>
      <c r="B1449" s="24" t="s">
        <v>2272</v>
      </c>
      <c r="C1449" s="26">
        <v>353</v>
      </c>
      <c r="D1449" s="25" t="s">
        <v>1506</v>
      </c>
      <c r="E1449" s="19" t="s">
        <v>1507</v>
      </c>
      <c r="F1449" s="19"/>
      <c r="G1449" s="24"/>
      <c r="H1449" s="19"/>
      <c r="I1449" s="26" t="s">
        <v>57</v>
      </c>
      <c r="J1449" s="26" t="s">
        <v>57</v>
      </c>
      <c r="K1449" s="24"/>
      <c r="L1449" s="24" t="s">
        <v>3641</v>
      </c>
      <c r="M1449" s="24" t="s">
        <v>5615</v>
      </c>
      <c r="N1449" s="24"/>
      <c r="O1449" s="26"/>
      <c r="P1449" s="24"/>
      <c r="Q1449" s="24"/>
      <c r="R1449" s="26"/>
      <c r="S1449" s="26"/>
      <c r="T1449" s="26"/>
      <c r="U1449" s="24"/>
      <c r="V1449" s="24"/>
      <c r="W1449" s="24"/>
      <c r="X1449" s="63"/>
      <c r="Y1449" s="63"/>
      <c r="Z1449" s="63"/>
      <c r="AA1449" s="63"/>
      <c r="AB1449" s="24"/>
      <c r="AC1449" s="24"/>
    </row>
    <row r="1450" spans="1:29" s="28" customFormat="1" x14ac:dyDescent="0.3">
      <c r="A1450" s="27" t="s">
        <v>8426</v>
      </c>
      <c r="B1450" s="27" t="s">
        <v>2273</v>
      </c>
      <c r="C1450" s="29"/>
      <c r="D1450" s="28" t="s">
        <v>5097</v>
      </c>
      <c r="E1450" s="20" t="s">
        <v>1507</v>
      </c>
      <c r="F1450" s="20" t="s">
        <v>2897</v>
      </c>
      <c r="G1450" s="27"/>
      <c r="H1450" s="20"/>
      <c r="I1450" s="29"/>
      <c r="J1450" s="29"/>
      <c r="K1450" s="27"/>
      <c r="L1450" s="27"/>
      <c r="M1450" s="27" t="s">
        <v>8427</v>
      </c>
      <c r="N1450" s="27"/>
      <c r="O1450" s="29" t="s">
        <v>8428</v>
      </c>
      <c r="P1450" s="27"/>
      <c r="Q1450" s="27"/>
      <c r="R1450" s="29"/>
      <c r="S1450" s="29"/>
      <c r="T1450" s="29"/>
      <c r="U1450" s="27"/>
      <c r="V1450" s="27"/>
      <c r="W1450" s="27"/>
      <c r="X1450" s="64"/>
      <c r="Y1450" s="64"/>
      <c r="Z1450" s="64"/>
      <c r="AA1450" s="64"/>
      <c r="AB1450" s="27"/>
      <c r="AC1450" s="27"/>
    </row>
    <row r="1451" spans="1:29" s="28" customFormat="1" x14ac:dyDescent="0.3">
      <c r="A1451" s="27" t="s">
        <v>8429</v>
      </c>
      <c r="B1451" s="27" t="s">
        <v>2273</v>
      </c>
      <c r="C1451" s="29"/>
      <c r="D1451" s="28" t="s">
        <v>5097</v>
      </c>
      <c r="E1451" s="20" t="s">
        <v>1507</v>
      </c>
      <c r="F1451" s="20" t="s">
        <v>2837</v>
      </c>
      <c r="G1451" s="27"/>
      <c r="H1451" s="20"/>
      <c r="I1451" s="29"/>
      <c r="J1451" s="29"/>
      <c r="K1451" s="27"/>
      <c r="L1451" s="27"/>
      <c r="M1451" s="27" t="s">
        <v>7407</v>
      </c>
      <c r="N1451" s="27"/>
      <c r="O1451" s="29" t="s">
        <v>8430</v>
      </c>
      <c r="P1451" s="27"/>
      <c r="Q1451" s="27"/>
      <c r="R1451" s="29"/>
      <c r="S1451" s="29"/>
      <c r="T1451" s="29"/>
      <c r="U1451" s="27"/>
      <c r="V1451" s="27"/>
      <c r="W1451" s="27"/>
      <c r="X1451" s="64"/>
      <c r="Y1451" s="64"/>
      <c r="Z1451" s="64"/>
      <c r="AA1451" s="64"/>
      <c r="AB1451" s="27"/>
      <c r="AC1451" s="27"/>
    </row>
    <row r="1452" spans="1:29" s="25" customFormat="1" x14ac:dyDescent="0.3">
      <c r="A1452" s="24">
        <v>699</v>
      </c>
      <c r="B1452" s="24" t="s">
        <v>2272</v>
      </c>
      <c r="C1452" s="26">
        <v>353</v>
      </c>
      <c r="D1452" s="25" t="s">
        <v>1508</v>
      </c>
      <c r="E1452" s="19" t="s">
        <v>1509</v>
      </c>
      <c r="F1452" s="19"/>
      <c r="G1452" s="24" t="s">
        <v>2249</v>
      </c>
      <c r="H1452" s="19"/>
      <c r="I1452" s="26" t="s">
        <v>57</v>
      </c>
      <c r="J1452" s="26" t="s">
        <v>57</v>
      </c>
      <c r="K1452" s="24"/>
      <c r="L1452" s="24" t="s">
        <v>3134</v>
      </c>
      <c r="M1452" s="24" t="s">
        <v>5223</v>
      </c>
      <c r="N1452" s="24"/>
      <c r="O1452" s="26" t="s">
        <v>2248</v>
      </c>
      <c r="P1452" s="24"/>
      <c r="Q1452" s="24"/>
      <c r="R1452" s="26"/>
      <c r="S1452" s="26"/>
      <c r="T1452" s="26"/>
      <c r="U1452" s="24"/>
      <c r="V1452" s="24"/>
      <c r="W1452" s="24"/>
      <c r="X1452" s="63"/>
      <c r="Y1452" s="63"/>
      <c r="Z1452" s="63"/>
      <c r="AA1452" s="63"/>
      <c r="AB1452" s="24"/>
      <c r="AC1452" s="24"/>
    </row>
    <row r="1453" spans="1:29" s="25" customFormat="1" x14ac:dyDescent="0.3">
      <c r="A1453" s="24">
        <v>700</v>
      </c>
      <c r="B1453" s="24" t="s">
        <v>2272</v>
      </c>
      <c r="C1453" s="26">
        <v>353</v>
      </c>
      <c r="D1453" s="25" t="s">
        <v>1510</v>
      </c>
      <c r="E1453" s="19" t="s">
        <v>1511</v>
      </c>
      <c r="F1453" s="19"/>
      <c r="G1453" s="24"/>
      <c r="H1453" s="19"/>
      <c r="I1453" s="26" t="s">
        <v>57</v>
      </c>
      <c r="J1453" s="26" t="s">
        <v>57</v>
      </c>
      <c r="K1453" s="24"/>
      <c r="L1453" s="24" t="s">
        <v>4208</v>
      </c>
      <c r="M1453" s="24" t="s">
        <v>5715</v>
      </c>
      <c r="N1453" s="24"/>
      <c r="O1453" s="26"/>
      <c r="P1453" s="24"/>
      <c r="Q1453" s="24"/>
      <c r="R1453" s="26"/>
      <c r="S1453" s="26"/>
      <c r="T1453" s="26"/>
      <c r="U1453" s="24"/>
      <c r="V1453" s="24"/>
      <c r="W1453" s="24"/>
      <c r="X1453" s="63"/>
      <c r="Y1453" s="63"/>
      <c r="Z1453" s="63"/>
      <c r="AA1453" s="63"/>
      <c r="AB1453" s="24"/>
      <c r="AC1453" s="24"/>
    </row>
    <row r="1454" spans="1:29" s="28" customFormat="1" x14ac:dyDescent="0.3">
      <c r="A1454" s="27" t="s">
        <v>8431</v>
      </c>
      <c r="B1454" s="27" t="s">
        <v>2273</v>
      </c>
      <c r="C1454" s="29"/>
      <c r="D1454" s="28" t="s">
        <v>5098</v>
      </c>
      <c r="E1454" s="20" t="s">
        <v>1511</v>
      </c>
      <c r="F1454" s="20" t="s">
        <v>2739</v>
      </c>
      <c r="G1454" s="27"/>
      <c r="H1454" s="20"/>
      <c r="I1454" s="29"/>
      <c r="J1454" s="29"/>
      <c r="K1454" s="27"/>
      <c r="L1454" s="27"/>
      <c r="M1454" s="27" t="s">
        <v>6996</v>
      </c>
      <c r="N1454" s="27"/>
      <c r="O1454" s="29" t="s">
        <v>8432</v>
      </c>
      <c r="P1454" s="27"/>
      <c r="Q1454" s="27"/>
      <c r="R1454" s="29"/>
      <c r="S1454" s="29"/>
      <c r="T1454" s="29"/>
      <c r="U1454" s="27"/>
      <c r="V1454" s="27"/>
      <c r="W1454" s="27"/>
      <c r="X1454" s="64"/>
      <c r="Y1454" s="64"/>
      <c r="Z1454" s="64"/>
      <c r="AA1454" s="64"/>
      <c r="AB1454" s="27"/>
      <c r="AC1454" s="27"/>
    </row>
    <row r="1455" spans="1:29" s="28" customFormat="1" x14ac:dyDescent="0.3">
      <c r="A1455" s="27" t="s">
        <v>5784</v>
      </c>
      <c r="B1455" s="27" t="s">
        <v>2273</v>
      </c>
      <c r="C1455" s="29"/>
      <c r="D1455" s="28" t="s">
        <v>5098</v>
      </c>
      <c r="E1455" s="20" t="s">
        <v>1511</v>
      </c>
      <c r="F1455" s="20" t="s">
        <v>2341</v>
      </c>
      <c r="G1455" s="27"/>
      <c r="H1455" s="20"/>
      <c r="I1455" s="29"/>
      <c r="J1455" s="29"/>
      <c r="K1455" s="27"/>
      <c r="L1455" s="27"/>
      <c r="M1455" s="27" t="s">
        <v>8433</v>
      </c>
      <c r="N1455" s="27"/>
      <c r="O1455" s="29" t="s">
        <v>8122</v>
      </c>
      <c r="P1455" s="27"/>
      <c r="Q1455" s="27"/>
      <c r="R1455" s="29"/>
      <c r="S1455" s="29"/>
      <c r="T1455" s="29"/>
      <c r="U1455" s="27"/>
      <c r="V1455" s="27"/>
      <c r="W1455" s="27"/>
      <c r="X1455" s="64"/>
      <c r="Y1455" s="64"/>
      <c r="Z1455" s="64"/>
      <c r="AA1455" s="64"/>
      <c r="AB1455" s="27"/>
      <c r="AC1455" s="27"/>
    </row>
    <row r="1456" spans="1:29" s="28" customFormat="1" x14ac:dyDescent="0.3">
      <c r="A1456" s="27" t="s">
        <v>8434</v>
      </c>
      <c r="B1456" s="27" t="s">
        <v>2273</v>
      </c>
      <c r="C1456" s="29"/>
      <c r="D1456" s="28" t="s">
        <v>5098</v>
      </c>
      <c r="E1456" s="20" t="s">
        <v>1511</v>
      </c>
      <c r="F1456" s="20" t="s">
        <v>2898</v>
      </c>
      <c r="G1456" s="27"/>
      <c r="H1456" s="20"/>
      <c r="I1456" s="29"/>
      <c r="J1456" s="29"/>
      <c r="K1456" s="27"/>
      <c r="L1456" s="27"/>
      <c r="M1456" s="27" t="s">
        <v>6750</v>
      </c>
      <c r="N1456" s="27"/>
      <c r="O1456" s="29" t="s">
        <v>8435</v>
      </c>
      <c r="P1456" s="27"/>
      <c r="Q1456" s="27"/>
      <c r="R1456" s="29"/>
      <c r="S1456" s="29"/>
      <c r="T1456" s="29"/>
      <c r="U1456" s="27"/>
      <c r="V1456" s="27"/>
      <c r="W1456" s="27"/>
      <c r="X1456" s="64"/>
      <c r="Y1456" s="64"/>
      <c r="Z1456" s="64"/>
      <c r="AA1456" s="64"/>
      <c r="AB1456" s="27"/>
      <c r="AC1456" s="27"/>
    </row>
    <row r="1457" spans="1:29" s="28" customFormat="1" x14ac:dyDescent="0.3">
      <c r="A1457" s="27" t="s">
        <v>8436</v>
      </c>
      <c r="B1457" s="27" t="s">
        <v>2273</v>
      </c>
      <c r="C1457" s="29"/>
      <c r="D1457" s="28" t="s">
        <v>5098</v>
      </c>
      <c r="E1457" s="20" t="s">
        <v>1511</v>
      </c>
      <c r="F1457" s="20" t="s">
        <v>2608</v>
      </c>
      <c r="G1457" s="27"/>
      <c r="H1457" s="20"/>
      <c r="I1457" s="29"/>
      <c r="J1457" s="29"/>
      <c r="K1457" s="27"/>
      <c r="L1457" s="27"/>
      <c r="M1457" s="27" t="s">
        <v>8016</v>
      </c>
      <c r="N1457" s="27"/>
      <c r="O1457" s="29" t="s">
        <v>8437</v>
      </c>
      <c r="P1457" s="27"/>
      <c r="Q1457" s="27"/>
      <c r="R1457" s="29"/>
      <c r="S1457" s="29"/>
      <c r="T1457" s="29"/>
      <c r="U1457" s="27"/>
      <c r="V1457" s="27"/>
      <c r="W1457" s="27"/>
      <c r="X1457" s="64"/>
      <c r="Y1457" s="64"/>
      <c r="Z1457" s="64"/>
      <c r="AA1457" s="64"/>
      <c r="AB1457" s="27"/>
      <c r="AC1457" s="27"/>
    </row>
    <row r="1458" spans="1:29" s="25" customFormat="1" x14ac:dyDescent="0.3">
      <c r="A1458" s="24">
        <v>701</v>
      </c>
      <c r="B1458" s="24" t="s">
        <v>2272</v>
      </c>
      <c r="C1458" s="26">
        <v>365</v>
      </c>
      <c r="D1458" s="25" t="s">
        <v>1513</v>
      </c>
      <c r="E1458" s="19" t="s">
        <v>1514</v>
      </c>
      <c r="F1458" s="19"/>
      <c r="G1458" s="24"/>
      <c r="H1458" s="19"/>
      <c r="I1458" s="26" t="s">
        <v>57</v>
      </c>
      <c r="J1458" s="26" t="s">
        <v>57</v>
      </c>
      <c r="K1458" s="24"/>
      <c r="L1458" s="24" t="s">
        <v>3788</v>
      </c>
      <c r="M1458" s="24" t="s">
        <v>6132</v>
      </c>
      <c r="N1458" s="24"/>
      <c r="O1458" s="26" t="s">
        <v>2250</v>
      </c>
      <c r="P1458" s="24"/>
      <c r="Q1458" s="24"/>
      <c r="R1458" s="26"/>
      <c r="S1458" s="26"/>
      <c r="T1458" s="26"/>
      <c r="U1458" s="24"/>
      <c r="V1458" s="24"/>
      <c r="W1458" s="24"/>
      <c r="X1458" s="63"/>
      <c r="Y1458" s="63"/>
      <c r="Z1458" s="63"/>
      <c r="AA1458" s="63"/>
      <c r="AB1458" s="24"/>
      <c r="AC1458" s="24"/>
    </row>
    <row r="1459" spans="1:29" s="25" customFormat="1" x14ac:dyDescent="0.3">
      <c r="A1459" s="24">
        <v>702</v>
      </c>
      <c r="B1459" s="24" t="s">
        <v>2272</v>
      </c>
      <c r="C1459" s="26">
        <v>365</v>
      </c>
      <c r="D1459" s="25" t="s">
        <v>1515</v>
      </c>
      <c r="E1459" s="19" t="s">
        <v>1516</v>
      </c>
      <c r="F1459" s="19"/>
      <c r="G1459" s="24"/>
      <c r="H1459" s="19"/>
      <c r="I1459" s="26" t="s">
        <v>42</v>
      </c>
      <c r="J1459" s="26" t="s">
        <v>37</v>
      </c>
      <c r="K1459" s="24"/>
      <c r="L1459" s="24" t="s">
        <v>4211</v>
      </c>
      <c r="M1459" s="24" t="s">
        <v>6133</v>
      </c>
      <c r="N1459" s="24" t="s">
        <v>6134</v>
      </c>
      <c r="O1459" s="26"/>
      <c r="P1459" s="24"/>
      <c r="Q1459" s="24"/>
      <c r="R1459" s="26"/>
      <c r="S1459" s="26"/>
      <c r="T1459" s="26"/>
      <c r="U1459" s="24"/>
      <c r="V1459" s="24"/>
      <c r="W1459" s="24"/>
      <c r="X1459" s="63"/>
      <c r="Y1459" s="63"/>
      <c r="Z1459" s="63"/>
      <c r="AA1459" s="63"/>
      <c r="AB1459" s="24"/>
      <c r="AC1459" s="24"/>
    </row>
    <row r="1460" spans="1:29" s="28" customFormat="1" x14ac:dyDescent="0.3">
      <c r="A1460" s="27" t="s">
        <v>8438</v>
      </c>
      <c r="B1460" s="27" t="s">
        <v>2273</v>
      </c>
      <c r="C1460" s="29"/>
      <c r="D1460" s="28" t="s">
        <v>5099</v>
      </c>
      <c r="E1460" s="20" t="s">
        <v>1516</v>
      </c>
      <c r="F1460" s="20" t="s">
        <v>2899</v>
      </c>
      <c r="G1460" s="27"/>
      <c r="H1460" s="20"/>
      <c r="I1460" s="29"/>
      <c r="J1460" s="29"/>
      <c r="K1460" s="27"/>
      <c r="L1460" s="27"/>
      <c r="M1460" s="27" t="s">
        <v>8439</v>
      </c>
      <c r="N1460" s="27"/>
      <c r="O1460" s="29" t="s">
        <v>8440</v>
      </c>
      <c r="P1460" s="27"/>
      <c r="Q1460" s="27"/>
      <c r="R1460" s="29"/>
      <c r="S1460" s="29"/>
      <c r="T1460" s="29"/>
      <c r="U1460" s="27"/>
      <c r="V1460" s="27"/>
      <c r="W1460" s="27"/>
      <c r="X1460" s="64"/>
      <c r="Y1460" s="64"/>
      <c r="Z1460" s="64"/>
      <c r="AA1460" s="64"/>
      <c r="AB1460" s="27"/>
      <c r="AC1460" s="27"/>
    </row>
    <row r="1461" spans="1:29" s="28" customFormat="1" x14ac:dyDescent="0.3">
      <c r="A1461" s="27" t="s">
        <v>8441</v>
      </c>
      <c r="B1461" s="27" t="s">
        <v>2273</v>
      </c>
      <c r="C1461" s="29"/>
      <c r="D1461" s="28" t="s">
        <v>5099</v>
      </c>
      <c r="E1461" s="20" t="s">
        <v>1516</v>
      </c>
      <c r="F1461" s="20" t="s">
        <v>2566</v>
      </c>
      <c r="G1461" s="27"/>
      <c r="H1461" s="20"/>
      <c r="I1461" s="29"/>
      <c r="J1461" s="29"/>
      <c r="K1461" s="27"/>
      <c r="L1461" s="27"/>
      <c r="M1461" s="27" t="s">
        <v>8442</v>
      </c>
      <c r="N1461" s="27"/>
      <c r="O1461" s="29" t="s">
        <v>8443</v>
      </c>
      <c r="P1461" s="27"/>
      <c r="Q1461" s="27"/>
      <c r="R1461" s="29"/>
      <c r="S1461" s="29"/>
      <c r="T1461" s="29"/>
      <c r="U1461" s="27"/>
      <c r="V1461" s="27"/>
      <c r="W1461" s="27"/>
      <c r="X1461" s="64"/>
      <c r="Y1461" s="64"/>
      <c r="Z1461" s="64"/>
      <c r="AA1461" s="64"/>
      <c r="AB1461" s="27"/>
      <c r="AC1461" s="27"/>
    </row>
    <row r="1462" spans="1:29" s="25" customFormat="1" x14ac:dyDescent="0.3">
      <c r="A1462" s="24">
        <v>703</v>
      </c>
      <c r="B1462" s="24" t="s">
        <v>2272</v>
      </c>
      <c r="C1462" s="26"/>
      <c r="D1462" s="25" t="s">
        <v>6614</v>
      </c>
      <c r="E1462" s="19" t="s">
        <v>6615</v>
      </c>
      <c r="F1462" s="19"/>
      <c r="G1462" s="24"/>
      <c r="H1462" s="19"/>
      <c r="I1462" s="26" t="s">
        <v>49</v>
      </c>
      <c r="J1462" s="26"/>
      <c r="K1462" s="24" t="s">
        <v>49</v>
      </c>
      <c r="L1462" s="24"/>
      <c r="M1462" s="24" t="s">
        <v>6713</v>
      </c>
      <c r="N1462" s="24" t="s">
        <v>6714</v>
      </c>
      <c r="O1462" s="26"/>
      <c r="P1462" s="24" t="s">
        <v>6616</v>
      </c>
      <c r="Q1462" s="24"/>
      <c r="R1462" s="26"/>
      <c r="S1462" s="26"/>
      <c r="T1462" s="26"/>
      <c r="U1462" s="24"/>
      <c r="V1462" s="24"/>
      <c r="W1462" s="24"/>
      <c r="X1462" s="63"/>
      <c r="Y1462" s="63"/>
      <c r="Z1462" s="63"/>
      <c r="AA1462" s="63"/>
      <c r="AB1462" s="24"/>
      <c r="AC1462" s="24"/>
    </row>
    <row r="1463" spans="1:29" s="25" customFormat="1" x14ac:dyDescent="0.3">
      <c r="A1463" s="24">
        <v>704</v>
      </c>
      <c r="B1463" s="24" t="s">
        <v>2272</v>
      </c>
      <c r="C1463" s="26">
        <v>363</v>
      </c>
      <c r="D1463" s="25" t="s">
        <v>1534</v>
      </c>
      <c r="E1463" s="19" t="s">
        <v>5191</v>
      </c>
      <c r="F1463" s="19"/>
      <c r="G1463" s="24"/>
      <c r="H1463" s="19" t="s">
        <v>1535</v>
      </c>
      <c r="I1463" s="26" t="s">
        <v>42</v>
      </c>
      <c r="J1463" s="26" t="s">
        <v>42</v>
      </c>
      <c r="K1463" s="24"/>
      <c r="L1463" s="24" t="s">
        <v>4212</v>
      </c>
      <c r="M1463" s="24" t="s">
        <v>5716</v>
      </c>
      <c r="N1463" s="24"/>
      <c r="O1463" s="26" t="s">
        <v>2253</v>
      </c>
      <c r="P1463" s="24" t="s">
        <v>1536</v>
      </c>
      <c r="Q1463" s="24"/>
      <c r="R1463" s="26"/>
      <c r="S1463" s="26"/>
      <c r="T1463" s="26"/>
      <c r="U1463" s="24"/>
      <c r="V1463" s="24"/>
      <c r="W1463" s="24"/>
      <c r="X1463" s="63"/>
      <c r="Y1463" s="63"/>
      <c r="Z1463" s="63"/>
      <c r="AA1463" s="63"/>
      <c r="AB1463" s="24"/>
      <c r="AC1463" s="24"/>
    </row>
    <row r="1464" spans="1:29" s="25" customFormat="1" x14ac:dyDescent="0.3">
      <c r="A1464" s="24">
        <v>705</v>
      </c>
      <c r="B1464" s="24" t="s">
        <v>2272</v>
      </c>
      <c r="C1464" s="26">
        <v>363</v>
      </c>
      <c r="D1464" s="25" t="s">
        <v>1528</v>
      </c>
      <c r="E1464" s="19" t="s">
        <v>1529</v>
      </c>
      <c r="F1464" s="19"/>
      <c r="G1464" s="24"/>
      <c r="H1464" s="19"/>
      <c r="I1464" s="26" t="s">
        <v>37</v>
      </c>
      <c r="J1464" s="26" t="s">
        <v>37</v>
      </c>
      <c r="K1464" s="24"/>
      <c r="L1464" s="24" t="s">
        <v>3233</v>
      </c>
      <c r="M1464" s="24" t="s">
        <v>5718</v>
      </c>
      <c r="N1464" s="24"/>
      <c r="O1464" s="26"/>
      <c r="P1464" s="24"/>
      <c r="Q1464" s="24"/>
      <c r="R1464" s="26"/>
      <c r="S1464" s="26"/>
      <c r="T1464" s="26"/>
      <c r="U1464" s="24"/>
      <c r="V1464" s="24"/>
      <c r="W1464" s="24"/>
      <c r="X1464" s="63"/>
      <c r="Y1464" s="63"/>
      <c r="Z1464" s="63"/>
      <c r="AA1464" s="63"/>
      <c r="AB1464" s="24"/>
      <c r="AC1464" s="24"/>
    </row>
    <row r="1465" spans="1:29" s="28" customFormat="1" x14ac:dyDescent="0.3">
      <c r="A1465" s="27" t="s">
        <v>8444</v>
      </c>
      <c r="B1465" s="27" t="s">
        <v>2273</v>
      </c>
      <c r="C1465" s="29">
        <v>363</v>
      </c>
      <c r="D1465" s="28" t="s">
        <v>5100</v>
      </c>
      <c r="E1465" s="20" t="s">
        <v>1529</v>
      </c>
      <c r="F1465" s="20" t="s">
        <v>2903</v>
      </c>
      <c r="G1465" s="27"/>
      <c r="H1465" s="20" t="s">
        <v>4733</v>
      </c>
      <c r="I1465" s="29"/>
      <c r="J1465" s="29" t="s">
        <v>37</v>
      </c>
      <c r="K1465" s="27"/>
      <c r="L1465" s="27" t="s">
        <v>3233</v>
      </c>
      <c r="M1465" s="27" t="s">
        <v>8445</v>
      </c>
      <c r="N1465" s="27"/>
      <c r="O1465" s="29" t="s">
        <v>8446</v>
      </c>
      <c r="P1465" s="27"/>
      <c r="Q1465" s="27"/>
      <c r="R1465" s="29"/>
      <c r="S1465" s="29"/>
      <c r="T1465" s="29"/>
      <c r="U1465" s="27"/>
      <c r="V1465" s="27"/>
      <c r="W1465" s="27"/>
      <c r="X1465" s="64"/>
      <c r="Y1465" s="64"/>
      <c r="Z1465" s="64"/>
      <c r="AA1465" s="64"/>
      <c r="AB1465" s="27"/>
      <c r="AC1465" s="27"/>
    </row>
    <row r="1466" spans="1:29" s="28" customFormat="1" x14ac:dyDescent="0.3">
      <c r="A1466" s="27" t="s">
        <v>8447</v>
      </c>
      <c r="B1466" s="27" t="s">
        <v>2273</v>
      </c>
      <c r="C1466" s="29">
        <v>363</v>
      </c>
      <c r="D1466" s="28" t="s">
        <v>5100</v>
      </c>
      <c r="E1466" s="20" t="s">
        <v>1529</v>
      </c>
      <c r="F1466" s="20" t="s">
        <v>2904</v>
      </c>
      <c r="G1466" s="27"/>
      <c r="H1466" s="20" t="s">
        <v>4733</v>
      </c>
      <c r="I1466" s="29"/>
      <c r="J1466" s="29" t="s">
        <v>37</v>
      </c>
      <c r="K1466" s="27"/>
      <c r="L1466" s="27" t="s">
        <v>3233</v>
      </c>
      <c r="M1466" s="27" t="s">
        <v>7194</v>
      </c>
      <c r="N1466" s="27"/>
      <c r="O1466" s="29" t="s">
        <v>8448</v>
      </c>
      <c r="P1466" s="27"/>
      <c r="Q1466" s="27"/>
      <c r="R1466" s="29"/>
      <c r="S1466" s="29"/>
      <c r="T1466" s="29"/>
      <c r="U1466" s="27"/>
      <c r="V1466" s="27"/>
      <c r="W1466" s="27"/>
      <c r="X1466" s="64"/>
      <c r="Y1466" s="64"/>
      <c r="Z1466" s="64"/>
      <c r="AA1466" s="64"/>
      <c r="AB1466" s="27"/>
      <c r="AC1466" s="27"/>
    </row>
    <row r="1467" spans="1:29" s="28" customFormat="1" x14ac:dyDescent="0.3">
      <c r="A1467" s="27" t="s">
        <v>8449</v>
      </c>
      <c r="B1467" s="27" t="s">
        <v>2273</v>
      </c>
      <c r="C1467" s="29">
        <v>363</v>
      </c>
      <c r="D1467" s="28" t="s">
        <v>5100</v>
      </c>
      <c r="E1467" s="20" t="s">
        <v>1529</v>
      </c>
      <c r="F1467" s="20" t="s">
        <v>2905</v>
      </c>
      <c r="G1467" s="27"/>
      <c r="H1467" s="20" t="s">
        <v>4733</v>
      </c>
      <c r="I1467" s="29"/>
      <c r="J1467" s="29" t="s">
        <v>37</v>
      </c>
      <c r="K1467" s="27"/>
      <c r="L1467" s="27" t="s">
        <v>3233</v>
      </c>
      <c r="M1467" s="27" t="s">
        <v>8450</v>
      </c>
      <c r="N1467" s="27"/>
      <c r="O1467" s="29" t="s">
        <v>8451</v>
      </c>
      <c r="P1467" s="27"/>
      <c r="Q1467" s="27"/>
      <c r="R1467" s="29"/>
      <c r="S1467" s="29"/>
      <c r="T1467" s="29"/>
      <c r="U1467" s="27"/>
      <c r="V1467" s="27"/>
      <c r="W1467" s="27"/>
      <c r="X1467" s="64"/>
      <c r="Y1467" s="64"/>
      <c r="Z1467" s="64"/>
      <c r="AA1467" s="64"/>
      <c r="AB1467" s="27"/>
      <c r="AC1467" s="27"/>
    </row>
    <row r="1468" spans="1:29" s="25" customFormat="1" x14ac:dyDescent="0.3">
      <c r="A1468" s="24">
        <v>706</v>
      </c>
      <c r="B1468" s="24" t="s">
        <v>2272</v>
      </c>
      <c r="C1468" s="26">
        <v>363</v>
      </c>
      <c r="D1468" s="25" t="s">
        <v>1526</v>
      </c>
      <c r="E1468" s="19" t="s">
        <v>1527</v>
      </c>
      <c r="F1468" s="19"/>
      <c r="G1468" s="24"/>
      <c r="H1468" s="19"/>
      <c r="I1468" s="26" t="s">
        <v>37</v>
      </c>
      <c r="J1468" s="26" t="s">
        <v>37</v>
      </c>
      <c r="K1468" s="24"/>
      <c r="L1468" s="24" t="s">
        <v>4021</v>
      </c>
      <c r="M1468" s="24" t="s">
        <v>5719</v>
      </c>
      <c r="N1468" s="24"/>
      <c r="O1468" s="26" t="s">
        <v>2252</v>
      </c>
      <c r="P1468" s="24"/>
      <c r="Q1468" s="24"/>
      <c r="R1468" s="26"/>
      <c r="S1468" s="26"/>
      <c r="T1468" s="26"/>
      <c r="U1468" s="24"/>
      <c r="V1468" s="24"/>
      <c r="W1468" s="24"/>
      <c r="X1468" s="63"/>
      <c r="Y1468" s="63"/>
      <c r="Z1468" s="63"/>
      <c r="AA1468" s="63"/>
      <c r="AB1468" s="24"/>
      <c r="AC1468" s="24"/>
    </row>
    <row r="1469" spans="1:29" s="25" customFormat="1" x14ac:dyDescent="0.3">
      <c r="A1469" s="24">
        <v>707</v>
      </c>
      <c r="B1469" s="24" t="s">
        <v>2272</v>
      </c>
      <c r="C1469" s="26">
        <v>363</v>
      </c>
      <c r="D1469" s="25" t="s">
        <v>1530</v>
      </c>
      <c r="E1469" s="19" t="s">
        <v>1531</v>
      </c>
      <c r="F1469" s="19"/>
      <c r="G1469" s="24"/>
      <c r="H1469" s="19"/>
      <c r="I1469" s="26" t="s">
        <v>37</v>
      </c>
      <c r="J1469" s="26" t="s">
        <v>37</v>
      </c>
      <c r="K1469" s="24"/>
      <c r="L1469" s="24" t="s">
        <v>3233</v>
      </c>
      <c r="M1469" s="24" t="s">
        <v>5720</v>
      </c>
      <c r="N1469" s="24"/>
      <c r="O1469" s="26"/>
      <c r="P1469" s="24"/>
      <c r="Q1469" s="24"/>
      <c r="R1469" s="26"/>
      <c r="S1469" s="26"/>
      <c r="T1469" s="26"/>
      <c r="U1469" s="24"/>
      <c r="V1469" s="24"/>
      <c r="W1469" s="24"/>
      <c r="X1469" s="63"/>
      <c r="Y1469" s="63"/>
      <c r="Z1469" s="63"/>
      <c r="AA1469" s="63"/>
      <c r="AB1469" s="24"/>
      <c r="AC1469" s="24"/>
    </row>
    <row r="1470" spans="1:29" s="28" customFormat="1" x14ac:dyDescent="0.3">
      <c r="A1470" s="27" t="s">
        <v>5785</v>
      </c>
      <c r="B1470" s="27" t="s">
        <v>2273</v>
      </c>
      <c r="C1470" s="29"/>
      <c r="D1470" s="28" t="s">
        <v>5101</v>
      </c>
      <c r="E1470" s="20" t="s">
        <v>1531</v>
      </c>
      <c r="F1470" s="20" t="s">
        <v>2783</v>
      </c>
      <c r="G1470" s="27"/>
      <c r="H1470" s="20"/>
      <c r="I1470" s="29"/>
      <c r="J1470" s="29"/>
      <c r="K1470" s="27"/>
      <c r="L1470" s="27"/>
      <c r="M1470" s="27" t="s">
        <v>8452</v>
      </c>
      <c r="N1470" s="27"/>
      <c r="O1470" s="29" t="s">
        <v>8453</v>
      </c>
      <c r="P1470" s="27"/>
      <c r="Q1470" s="27"/>
      <c r="R1470" s="29"/>
      <c r="S1470" s="29"/>
      <c r="T1470" s="29"/>
      <c r="U1470" s="27"/>
      <c r="V1470" s="27"/>
      <c r="W1470" s="27"/>
      <c r="X1470" s="64"/>
      <c r="Y1470" s="64"/>
      <c r="Z1470" s="64"/>
      <c r="AA1470" s="64"/>
      <c r="AB1470" s="27"/>
      <c r="AC1470" s="27"/>
    </row>
    <row r="1471" spans="1:29" s="28" customFormat="1" x14ac:dyDescent="0.3">
      <c r="A1471" s="27" t="s">
        <v>8454</v>
      </c>
      <c r="B1471" s="27" t="s">
        <v>2273</v>
      </c>
      <c r="C1471" s="29"/>
      <c r="D1471" s="28" t="s">
        <v>5101</v>
      </c>
      <c r="E1471" s="20" t="s">
        <v>1531</v>
      </c>
      <c r="F1471" s="20" t="s">
        <v>2357</v>
      </c>
      <c r="G1471" s="27"/>
      <c r="H1471" s="20"/>
      <c r="I1471" s="29"/>
      <c r="J1471" s="29"/>
      <c r="K1471" s="27"/>
      <c r="L1471" s="27"/>
      <c r="M1471" s="27" t="s">
        <v>7458</v>
      </c>
      <c r="N1471" s="27"/>
      <c r="O1471" s="29" t="s">
        <v>8455</v>
      </c>
      <c r="P1471" s="27"/>
      <c r="Q1471" s="27"/>
      <c r="R1471" s="29"/>
      <c r="S1471" s="29"/>
      <c r="T1471" s="29"/>
      <c r="U1471" s="27"/>
      <c r="V1471" s="27"/>
      <c r="W1471" s="27"/>
      <c r="X1471" s="64"/>
      <c r="Y1471" s="64"/>
      <c r="Z1471" s="64"/>
      <c r="AA1471" s="64"/>
      <c r="AB1471" s="27"/>
      <c r="AC1471" s="27"/>
    </row>
    <row r="1472" spans="1:29" s="28" customFormat="1" x14ac:dyDescent="0.3">
      <c r="A1472" s="27" t="s">
        <v>8456</v>
      </c>
      <c r="B1472" s="27" t="s">
        <v>2273</v>
      </c>
      <c r="C1472" s="29"/>
      <c r="D1472" s="28" t="s">
        <v>5101</v>
      </c>
      <c r="E1472" s="20" t="s">
        <v>1531</v>
      </c>
      <c r="F1472" s="20" t="s">
        <v>2906</v>
      </c>
      <c r="G1472" s="27"/>
      <c r="H1472" s="20"/>
      <c r="I1472" s="29"/>
      <c r="J1472" s="29"/>
      <c r="K1472" s="27"/>
      <c r="L1472" s="27"/>
      <c r="M1472" s="27" t="s">
        <v>7545</v>
      </c>
      <c r="N1472" s="27"/>
      <c r="O1472" s="29" t="s">
        <v>2228</v>
      </c>
      <c r="P1472" s="27"/>
      <c r="Q1472" s="27"/>
      <c r="R1472" s="29"/>
      <c r="S1472" s="29"/>
      <c r="T1472" s="29"/>
      <c r="U1472" s="27"/>
      <c r="V1472" s="27"/>
      <c r="W1472" s="27"/>
      <c r="X1472" s="64"/>
      <c r="Y1472" s="64"/>
      <c r="Z1472" s="64"/>
      <c r="AA1472" s="64"/>
      <c r="AB1472" s="27"/>
      <c r="AC1472" s="27"/>
    </row>
    <row r="1473" spans="1:29" s="25" customFormat="1" x14ac:dyDescent="0.3">
      <c r="A1473" s="24">
        <v>708</v>
      </c>
      <c r="B1473" s="24" t="s">
        <v>2272</v>
      </c>
      <c r="C1473" s="26">
        <v>363</v>
      </c>
      <c r="D1473" s="25" t="s">
        <v>1532</v>
      </c>
      <c r="E1473" s="19" t="s">
        <v>1533</v>
      </c>
      <c r="F1473" s="19"/>
      <c r="G1473" s="24"/>
      <c r="H1473" s="19"/>
      <c r="I1473" s="26" t="s">
        <v>37</v>
      </c>
      <c r="J1473" s="26" t="s">
        <v>37</v>
      </c>
      <c r="K1473" s="24"/>
      <c r="L1473" s="24" t="s">
        <v>3233</v>
      </c>
      <c r="M1473" s="24" t="s">
        <v>5721</v>
      </c>
      <c r="N1473" s="24"/>
      <c r="O1473" s="26"/>
      <c r="P1473" s="24"/>
      <c r="Q1473" s="24"/>
      <c r="R1473" s="26"/>
      <c r="S1473" s="26"/>
      <c r="T1473" s="26"/>
      <c r="U1473" s="24"/>
      <c r="V1473" s="24"/>
      <c r="W1473" s="24"/>
      <c r="X1473" s="63"/>
      <c r="Y1473" s="63"/>
      <c r="Z1473" s="63"/>
      <c r="AA1473" s="63"/>
      <c r="AB1473" s="24"/>
      <c r="AC1473" s="24"/>
    </row>
    <row r="1474" spans="1:29" s="28" customFormat="1" x14ac:dyDescent="0.3">
      <c r="A1474" s="27" t="s">
        <v>8457</v>
      </c>
      <c r="B1474" s="27" t="s">
        <v>2273</v>
      </c>
      <c r="C1474" s="29"/>
      <c r="D1474" s="28" t="s">
        <v>5102</v>
      </c>
      <c r="E1474" s="20" t="s">
        <v>1533</v>
      </c>
      <c r="F1474" s="20" t="s">
        <v>2421</v>
      </c>
      <c r="G1474" s="27"/>
      <c r="H1474" s="20"/>
      <c r="I1474" s="29"/>
      <c r="J1474" s="29"/>
      <c r="K1474" s="27"/>
      <c r="L1474" s="27"/>
      <c r="M1474" s="27" t="s">
        <v>8458</v>
      </c>
      <c r="N1474" s="27"/>
      <c r="O1474" s="29" t="s">
        <v>8459</v>
      </c>
      <c r="P1474" s="27"/>
      <c r="Q1474" s="27"/>
      <c r="R1474" s="29"/>
      <c r="S1474" s="29"/>
      <c r="T1474" s="29"/>
      <c r="U1474" s="27"/>
      <c r="V1474" s="27"/>
      <c r="W1474" s="27"/>
      <c r="X1474" s="64"/>
      <c r="Y1474" s="64"/>
      <c r="Z1474" s="64"/>
      <c r="AA1474" s="64"/>
      <c r="AB1474" s="27"/>
      <c r="AC1474" s="27"/>
    </row>
    <row r="1475" spans="1:29" s="28" customFormat="1" x14ac:dyDescent="0.3">
      <c r="A1475" s="27" t="s">
        <v>8460</v>
      </c>
      <c r="B1475" s="27" t="s">
        <v>2273</v>
      </c>
      <c r="C1475" s="29"/>
      <c r="D1475" s="28" t="s">
        <v>5102</v>
      </c>
      <c r="E1475" s="20" t="s">
        <v>1533</v>
      </c>
      <c r="F1475" s="20" t="s">
        <v>2907</v>
      </c>
      <c r="G1475" s="27"/>
      <c r="H1475" s="20"/>
      <c r="I1475" s="29"/>
      <c r="J1475" s="29"/>
      <c r="K1475" s="27"/>
      <c r="L1475" s="27"/>
      <c r="M1475" s="27" t="s">
        <v>8461</v>
      </c>
      <c r="N1475" s="27"/>
      <c r="O1475" s="29" t="s">
        <v>8462</v>
      </c>
      <c r="P1475" s="27"/>
      <c r="Q1475" s="27"/>
      <c r="R1475" s="29"/>
      <c r="S1475" s="29"/>
      <c r="T1475" s="29"/>
      <c r="U1475" s="27"/>
      <c r="V1475" s="27"/>
      <c r="W1475" s="27"/>
      <c r="X1475" s="64"/>
      <c r="Y1475" s="64"/>
      <c r="Z1475" s="64"/>
      <c r="AA1475" s="64"/>
      <c r="AB1475" s="27"/>
      <c r="AC1475" s="27"/>
    </row>
    <row r="1476" spans="1:29" s="25" customFormat="1" x14ac:dyDescent="0.3">
      <c r="A1476" s="24">
        <v>709</v>
      </c>
      <c r="B1476" s="24" t="s">
        <v>2272</v>
      </c>
      <c r="C1476" s="26">
        <v>365</v>
      </c>
      <c r="D1476" s="25" t="s">
        <v>1520</v>
      </c>
      <c r="E1476" s="19" t="s">
        <v>1521</v>
      </c>
      <c r="F1476" s="19"/>
      <c r="G1476" s="24"/>
      <c r="H1476" s="19"/>
      <c r="I1476" s="26" t="s">
        <v>49</v>
      </c>
      <c r="J1476" s="26" t="s">
        <v>37</v>
      </c>
      <c r="K1476" s="24" t="s">
        <v>49</v>
      </c>
      <c r="L1476" s="24" t="s">
        <v>4218</v>
      </c>
      <c r="M1476" s="24" t="s">
        <v>5722</v>
      </c>
      <c r="N1476" s="24"/>
      <c r="O1476" s="26"/>
      <c r="P1476" s="24" t="s">
        <v>6617</v>
      </c>
      <c r="Q1476" s="24"/>
      <c r="R1476" s="26"/>
      <c r="S1476" s="26"/>
      <c r="T1476" s="26"/>
      <c r="U1476" s="24"/>
      <c r="V1476" s="24"/>
      <c r="W1476" s="24"/>
      <c r="X1476" s="63"/>
      <c r="Y1476" s="63"/>
      <c r="Z1476" s="63"/>
      <c r="AA1476" s="63"/>
      <c r="AB1476" s="24"/>
      <c r="AC1476" s="24"/>
    </row>
    <row r="1477" spans="1:29" s="28" customFormat="1" x14ac:dyDescent="0.3">
      <c r="A1477" s="27" t="s">
        <v>8463</v>
      </c>
      <c r="B1477" s="27" t="s">
        <v>2273</v>
      </c>
      <c r="C1477" s="29"/>
      <c r="D1477" s="28" t="s">
        <v>5103</v>
      </c>
      <c r="E1477" s="20" t="s">
        <v>1521</v>
      </c>
      <c r="F1477" s="20" t="s">
        <v>2901</v>
      </c>
      <c r="G1477" s="27"/>
      <c r="H1477" s="20"/>
      <c r="I1477" s="29"/>
      <c r="J1477" s="29"/>
      <c r="K1477" s="27"/>
      <c r="L1477" s="27"/>
      <c r="M1477" s="27" t="s">
        <v>8464</v>
      </c>
      <c r="N1477" s="27"/>
      <c r="O1477" s="29" t="s">
        <v>8011</v>
      </c>
      <c r="P1477" s="27"/>
      <c r="Q1477" s="27"/>
      <c r="R1477" s="29"/>
      <c r="S1477" s="29"/>
      <c r="T1477" s="29"/>
      <c r="U1477" s="27"/>
      <c r="V1477" s="27"/>
      <c r="W1477" s="27"/>
      <c r="X1477" s="64"/>
      <c r="Y1477" s="64"/>
      <c r="Z1477" s="64"/>
      <c r="AA1477" s="64"/>
      <c r="AB1477" s="27"/>
      <c r="AC1477" s="27"/>
    </row>
    <row r="1478" spans="1:29" s="25" customFormat="1" x14ac:dyDescent="0.3">
      <c r="A1478" s="24">
        <v>710</v>
      </c>
      <c r="B1478" s="24" t="s">
        <v>2272</v>
      </c>
      <c r="C1478" s="26">
        <v>365</v>
      </c>
      <c r="D1478" s="25" t="s">
        <v>1522</v>
      </c>
      <c r="E1478" s="19" t="s">
        <v>1523</v>
      </c>
      <c r="F1478" s="19"/>
      <c r="G1478" s="24"/>
      <c r="H1478" s="19"/>
      <c r="I1478" s="26" t="s">
        <v>57</v>
      </c>
      <c r="J1478" s="26" t="s">
        <v>57</v>
      </c>
      <c r="K1478" s="24"/>
      <c r="L1478" s="24" t="s">
        <v>4220</v>
      </c>
      <c r="M1478" s="24" t="s">
        <v>5723</v>
      </c>
      <c r="N1478" s="24"/>
      <c r="O1478" s="26" t="s">
        <v>2194</v>
      </c>
      <c r="P1478" s="24"/>
      <c r="Q1478" s="24"/>
      <c r="R1478" s="26"/>
      <c r="S1478" s="26"/>
      <c r="T1478" s="26"/>
      <c r="U1478" s="24"/>
      <c r="V1478" s="24"/>
      <c r="W1478" s="24"/>
      <c r="X1478" s="63"/>
      <c r="Y1478" s="63"/>
      <c r="Z1478" s="63"/>
      <c r="AA1478" s="63"/>
      <c r="AB1478" s="24"/>
      <c r="AC1478" s="24"/>
    </row>
    <row r="1479" spans="1:29" s="25" customFormat="1" x14ac:dyDescent="0.3">
      <c r="A1479" s="24">
        <v>711</v>
      </c>
      <c r="B1479" s="24" t="s">
        <v>2272</v>
      </c>
      <c r="C1479" s="26">
        <v>365</v>
      </c>
      <c r="D1479" s="25" t="s">
        <v>1518</v>
      </c>
      <c r="E1479" s="19" t="s">
        <v>1519</v>
      </c>
      <c r="F1479" s="19"/>
      <c r="G1479" s="24"/>
      <c r="H1479" s="19"/>
      <c r="I1479" s="26" t="s">
        <v>37</v>
      </c>
      <c r="J1479" s="26" t="s">
        <v>37</v>
      </c>
      <c r="K1479" s="24"/>
      <c r="L1479" s="24" t="s">
        <v>4222</v>
      </c>
      <c r="M1479" s="24" t="s">
        <v>5724</v>
      </c>
      <c r="N1479" s="24"/>
      <c r="O1479" s="26"/>
      <c r="P1479" s="24"/>
      <c r="Q1479" s="24"/>
      <c r="R1479" s="26"/>
      <c r="S1479" s="26"/>
      <c r="T1479" s="26"/>
      <c r="U1479" s="24"/>
      <c r="V1479" s="24"/>
      <c r="W1479" s="24"/>
      <c r="X1479" s="63"/>
      <c r="Y1479" s="63"/>
      <c r="Z1479" s="63"/>
      <c r="AA1479" s="63"/>
      <c r="AB1479" s="24"/>
      <c r="AC1479" s="24"/>
    </row>
    <row r="1480" spans="1:29" s="28" customFormat="1" x14ac:dyDescent="0.3">
      <c r="A1480" s="27" t="s">
        <v>8465</v>
      </c>
      <c r="B1480" s="27" t="s">
        <v>2273</v>
      </c>
      <c r="C1480" s="29"/>
      <c r="D1480" s="28" t="s">
        <v>5104</v>
      </c>
      <c r="E1480" s="20" t="s">
        <v>1519</v>
      </c>
      <c r="F1480" s="20" t="s">
        <v>2900</v>
      </c>
      <c r="G1480" s="27"/>
      <c r="H1480" s="20"/>
      <c r="I1480" s="29"/>
      <c r="J1480" s="29"/>
      <c r="K1480" s="27"/>
      <c r="L1480" s="27"/>
      <c r="M1480" s="27" t="s">
        <v>8466</v>
      </c>
      <c r="N1480" s="27"/>
      <c r="O1480" s="29" t="s">
        <v>8467</v>
      </c>
      <c r="P1480" s="27"/>
      <c r="Q1480" s="27"/>
      <c r="R1480" s="29"/>
      <c r="S1480" s="29"/>
      <c r="T1480" s="29"/>
      <c r="U1480" s="27"/>
      <c r="V1480" s="27"/>
      <c r="W1480" s="27"/>
      <c r="X1480" s="64"/>
      <c r="Y1480" s="64"/>
      <c r="Z1480" s="64"/>
      <c r="AA1480" s="64"/>
      <c r="AB1480" s="27"/>
      <c r="AC1480" s="27"/>
    </row>
    <row r="1481" spans="1:29" s="25" customFormat="1" x14ac:dyDescent="0.3">
      <c r="A1481" s="24">
        <v>712</v>
      </c>
      <c r="B1481" s="24" t="s">
        <v>2272</v>
      </c>
      <c r="C1481" s="26">
        <v>365</v>
      </c>
      <c r="D1481" s="25" t="s">
        <v>1524</v>
      </c>
      <c r="E1481" s="19" t="s">
        <v>1525</v>
      </c>
      <c r="F1481" s="19"/>
      <c r="G1481" s="24"/>
      <c r="H1481" s="19"/>
      <c r="I1481" s="26" t="s">
        <v>57</v>
      </c>
      <c r="J1481" s="26" t="s">
        <v>57</v>
      </c>
      <c r="K1481" s="24"/>
      <c r="L1481" s="24" t="s">
        <v>3788</v>
      </c>
      <c r="M1481" s="24" t="s">
        <v>5470</v>
      </c>
      <c r="N1481" s="24"/>
      <c r="O1481" s="26" t="s">
        <v>2251</v>
      </c>
      <c r="P1481" s="24"/>
      <c r="Q1481" s="24"/>
      <c r="R1481" s="26"/>
      <c r="S1481" s="26"/>
      <c r="T1481" s="26"/>
      <c r="U1481" s="24"/>
      <c r="V1481" s="24"/>
      <c r="W1481" s="24"/>
      <c r="X1481" s="63"/>
      <c r="Y1481" s="63"/>
      <c r="Z1481" s="63"/>
      <c r="AA1481" s="63"/>
      <c r="AB1481" s="24"/>
      <c r="AC1481" s="24"/>
    </row>
    <row r="1482" spans="1:29" s="25" customFormat="1" x14ac:dyDescent="0.3">
      <c r="A1482" s="24">
        <v>713</v>
      </c>
      <c r="B1482" s="24" t="s">
        <v>2272</v>
      </c>
      <c r="C1482" s="26">
        <v>367</v>
      </c>
      <c r="D1482" s="25" t="s">
        <v>1538</v>
      </c>
      <c r="E1482" s="19" t="s">
        <v>1539</v>
      </c>
      <c r="F1482" s="19"/>
      <c r="G1482" s="24"/>
      <c r="H1482" s="19"/>
      <c r="I1482" s="26" t="s">
        <v>89</v>
      </c>
      <c r="J1482" s="26" t="s">
        <v>37</v>
      </c>
      <c r="K1482" s="24"/>
      <c r="L1482" s="24" t="s">
        <v>3217</v>
      </c>
      <c r="M1482" s="24" t="s">
        <v>5725</v>
      </c>
      <c r="N1482" s="24" t="s">
        <v>5726</v>
      </c>
      <c r="O1482" s="26" t="s">
        <v>2254</v>
      </c>
      <c r="P1482" s="24"/>
      <c r="Q1482" s="24"/>
      <c r="R1482" s="26"/>
      <c r="S1482" s="26"/>
      <c r="T1482" s="26"/>
      <c r="U1482" s="24"/>
      <c r="V1482" s="24"/>
      <c r="W1482" s="24"/>
      <c r="X1482" s="63"/>
      <c r="Y1482" s="63"/>
      <c r="Z1482" s="63"/>
      <c r="AA1482" s="63"/>
      <c r="AB1482" s="24"/>
      <c r="AC1482" s="24"/>
    </row>
    <row r="1483" spans="1:29" s="25" customFormat="1" x14ac:dyDescent="0.3">
      <c r="A1483" s="24">
        <v>714</v>
      </c>
      <c r="B1483" s="24" t="s">
        <v>2272</v>
      </c>
      <c r="C1483" s="26">
        <v>371</v>
      </c>
      <c r="D1483" s="25" t="s">
        <v>1540</v>
      </c>
      <c r="E1483" s="19" t="s">
        <v>1541</v>
      </c>
      <c r="F1483" s="19"/>
      <c r="G1483" s="24"/>
      <c r="H1483" s="19" t="s">
        <v>4513</v>
      </c>
      <c r="I1483" s="26" t="s">
        <v>89</v>
      </c>
      <c r="J1483" s="26" t="s">
        <v>37</v>
      </c>
      <c r="K1483" s="24"/>
      <c r="L1483" s="24" t="s">
        <v>3221</v>
      </c>
      <c r="M1483" s="24" t="s">
        <v>5727</v>
      </c>
      <c r="N1483" s="24"/>
      <c r="O1483" s="26"/>
      <c r="P1483" s="24"/>
      <c r="Q1483" s="24"/>
      <c r="R1483" s="26"/>
      <c r="S1483" s="26"/>
      <c r="T1483" s="26"/>
      <c r="U1483" s="24"/>
      <c r="V1483" s="24"/>
      <c r="W1483" s="24"/>
      <c r="X1483" s="63"/>
      <c r="Y1483" s="63"/>
      <c r="Z1483" s="63"/>
      <c r="AA1483" s="63"/>
      <c r="AB1483" s="24"/>
      <c r="AC1483" s="24"/>
    </row>
    <row r="1484" spans="1:29" s="28" customFormat="1" x14ac:dyDescent="0.3">
      <c r="A1484" s="27" t="s">
        <v>5786</v>
      </c>
      <c r="B1484" s="27" t="s">
        <v>2273</v>
      </c>
      <c r="C1484" s="29"/>
      <c r="D1484" s="28" t="s">
        <v>5105</v>
      </c>
      <c r="E1484" s="20" t="s">
        <v>1541</v>
      </c>
      <c r="F1484" s="20" t="s">
        <v>2908</v>
      </c>
      <c r="G1484" s="27"/>
      <c r="H1484" s="20"/>
      <c r="I1484" s="29"/>
      <c r="J1484" s="29"/>
      <c r="K1484" s="27"/>
      <c r="L1484" s="27"/>
      <c r="M1484" s="27" t="s">
        <v>8468</v>
      </c>
      <c r="N1484" s="27" t="s">
        <v>8469</v>
      </c>
      <c r="O1484" s="29" t="s">
        <v>8470</v>
      </c>
      <c r="P1484" s="27"/>
      <c r="Q1484" s="27"/>
      <c r="R1484" s="29"/>
      <c r="S1484" s="29"/>
      <c r="T1484" s="29"/>
      <c r="U1484" s="27"/>
      <c r="V1484" s="27"/>
      <c r="W1484" s="27"/>
      <c r="X1484" s="64"/>
      <c r="Y1484" s="64"/>
      <c r="Z1484" s="64"/>
      <c r="AA1484" s="64"/>
      <c r="AB1484" s="27"/>
      <c r="AC1484" s="27"/>
    </row>
    <row r="1485" spans="1:29" s="28" customFormat="1" x14ac:dyDescent="0.3">
      <c r="A1485" s="27" t="s">
        <v>8471</v>
      </c>
      <c r="B1485" s="27" t="s">
        <v>2273</v>
      </c>
      <c r="C1485" s="29"/>
      <c r="D1485" s="28" t="s">
        <v>5105</v>
      </c>
      <c r="E1485" s="20" t="s">
        <v>1541</v>
      </c>
      <c r="F1485" s="20" t="s">
        <v>2909</v>
      </c>
      <c r="G1485" s="27"/>
      <c r="H1485" s="20"/>
      <c r="I1485" s="29"/>
      <c r="J1485" s="29"/>
      <c r="K1485" s="27"/>
      <c r="L1485" s="27"/>
      <c r="M1485" s="27" t="s">
        <v>8472</v>
      </c>
      <c r="N1485" s="27" t="s">
        <v>8473</v>
      </c>
      <c r="O1485" s="29" t="s">
        <v>8474</v>
      </c>
      <c r="P1485" s="27"/>
      <c r="Q1485" s="27"/>
      <c r="R1485" s="29"/>
      <c r="S1485" s="29"/>
      <c r="T1485" s="29"/>
      <c r="U1485" s="27"/>
      <c r="V1485" s="27"/>
      <c r="W1485" s="27"/>
      <c r="X1485" s="64"/>
      <c r="Y1485" s="64"/>
      <c r="Z1485" s="64"/>
      <c r="AA1485" s="64"/>
      <c r="AB1485" s="27"/>
      <c r="AC1485" s="27"/>
    </row>
    <row r="1486" spans="1:29" s="28" customFormat="1" x14ac:dyDescent="0.3">
      <c r="A1486" s="27" t="s">
        <v>8475</v>
      </c>
      <c r="B1486" s="27" t="s">
        <v>2273</v>
      </c>
      <c r="C1486" s="29">
        <v>371</v>
      </c>
      <c r="D1486" s="28" t="s">
        <v>5105</v>
      </c>
      <c r="E1486" s="20" t="s">
        <v>1541</v>
      </c>
      <c r="F1486" s="20" t="s">
        <v>2910</v>
      </c>
      <c r="G1486" s="27" t="s">
        <v>4734</v>
      </c>
      <c r="H1486" s="20" t="s">
        <v>4735</v>
      </c>
      <c r="I1486" s="29"/>
      <c r="J1486" s="29" t="s">
        <v>37</v>
      </c>
      <c r="K1486" s="27"/>
      <c r="L1486" s="27" t="s">
        <v>3221</v>
      </c>
      <c r="M1486" s="27" t="s">
        <v>8476</v>
      </c>
      <c r="N1486" s="27" t="s">
        <v>8477</v>
      </c>
      <c r="O1486" s="29" t="s">
        <v>8478</v>
      </c>
      <c r="P1486" s="27"/>
      <c r="Q1486" s="27"/>
      <c r="R1486" s="29"/>
      <c r="S1486" s="29"/>
      <c r="T1486" s="29"/>
      <c r="U1486" s="27"/>
      <c r="V1486" s="27"/>
      <c r="W1486" s="27"/>
      <c r="X1486" s="64"/>
      <c r="Y1486" s="64"/>
      <c r="Z1486" s="64"/>
      <c r="AA1486" s="64"/>
      <c r="AB1486" s="27"/>
      <c r="AC1486" s="27"/>
    </row>
    <row r="1487" spans="1:29" s="25" customFormat="1" x14ac:dyDescent="0.3">
      <c r="A1487" s="24">
        <v>715</v>
      </c>
      <c r="B1487" s="24" t="s">
        <v>2272</v>
      </c>
      <c r="C1487" s="26">
        <v>369</v>
      </c>
      <c r="D1487" s="25" t="s">
        <v>1542</v>
      </c>
      <c r="E1487" s="19" t="s">
        <v>1543</v>
      </c>
      <c r="F1487" s="19"/>
      <c r="G1487" s="24"/>
      <c r="H1487" s="19"/>
      <c r="I1487" s="26" t="s">
        <v>49</v>
      </c>
      <c r="J1487" s="26" t="s">
        <v>5121</v>
      </c>
      <c r="K1487" s="24" t="s">
        <v>49</v>
      </c>
      <c r="L1487" s="24" t="s">
        <v>3083</v>
      </c>
      <c r="M1487" s="24" t="s">
        <v>5218</v>
      </c>
      <c r="N1487" s="24" t="s">
        <v>1759</v>
      </c>
      <c r="O1487" s="26"/>
      <c r="P1487" s="24" t="s">
        <v>6618</v>
      </c>
      <c r="Q1487" s="24"/>
      <c r="R1487" s="26"/>
      <c r="S1487" s="26"/>
      <c r="T1487" s="26"/>
      <c r="U1487" s="24"/>
      <c r="V1487" s="24"/>
      <c r="W1487" s="24"/>
      <c r="X1487" s="63"/>
      <c r="Y1487" s="63"/>
      <c r="Z1487" s="63"/>
      <c r="AA1487" s="63"/>
      <c r="AB1487" s="24"/>
      <c r="AC1487" s="24"/>
    </row>
    <row r="1488" spans="1:29" s="28" customFormat="1" x14ac:dyDescent="0.3">
      <c r="A1488" s="27" t="s">
        <v>8479</v>
      </c>
      <c r="B1488" s="27" t="s">
        <v>2273</v>
      </c>
      <c r="C1488" s="29">
        <v>369</v>
      </c>
      <c r="D1488" s="28" t="s">
        <v>5106</v>
      </c>
      <c r="E1488" s="20" t="s">
        <v>1543</v>
      </c>
      <c r="F1488" s="20" t="s">
        <v>2911</v>
      </c>
      <c r="G1488" s="27" t="s">
        <v>4736</v>
      </c>
      <c r="H1488" s="20" t="s">
        <v>4737</v>
      </c>
      <c r="I1488" s="29"/>
      <c r="J1488" s="29" t="s">
        <v>5121</v>
      </c>
      <c r="K1488" s="27"/>
      <c r="L1488" s="27" t="s">
        <v>3083</v>
      </c>
      <c r="M1488" s="27" t="s">
        <v>8480</v>
      </c>
      <c r="N1488" s="27" t="s">
        <v>8481</v>
      </c>
      <c r="O1488" s="29" t="s">
        <v>8482</v>
      </c>
      <c r="P1488" s="27"/>
      <c r="Q1488" s="27"/>
      <c r="R1488" s="29"/>
      <c r="S1488" s="29"/>
      <c r="T1488" s="29"/>
      <c r="U1488" s="27"/>
      <c r="V1488" s="27"/>
      <c r="W1488" s="27"/>
      <c r="X1488" s="64"/>
      <c r="Y1488" s="64"/>
      <c r="Z1488" s="64"/>
      <c r="AA1488" s="64"/>
      <c r="AB1488" s="27"/>
      <c r="AC1488" s="27"/>
    </row>
    <row r="1489" spans="1:29" s="25" customFormat="1" x14ac:dyDescent="0.3">
      <c r="A1489" s="24">
        <v>716</v>
      </c>
      <c r="B1489" s="24" t="s">
        <v>2272</v>
      </c>
      <c r="C1489" s="26">
        <v>369</v>
      </c>
      <c r="D1489" s="25" t="s">
        <v>1544</v>
      </c>
      <c r="E1489" s="19" t="s">
        <v>1545</v>
      </c>
      <c r="F1489" s="19"/>
      <c r="G1489" s="24"/>
      <c r="H1489" s="19"/>
      <c r="I1489" s="26" t="s">
        <v>89</v>
      </c>
      <c r="J1489" s="26" t="s">
        <v>37</v>
      </c>
      <c r="K1489" s="24"/>
      <c r="L1489" s="24" t="s">
        <v>3388</v>
      </c>
      <c r="M1489" s="24" t="s">
        <v>5728</v>
      </c>
      <c r="N1489" s="24" t="s">
        <v>5729</v>
      </c>
      <c r="O1489" s="26"/>
      <c r="P1489" s="24"/>
      <c r="Q1489" s="24"/>
      <c r="R1489" s="26"/>
      <c r="S1489" s="26"/>
      <c r="T1489" s="26"/>
      <c r="U1489" s="24"/>
      <c r="V1489" s="24"/>
      <c r="W1489" s="24"/>
      <c r="X1489" s="63"/>
      <c r="Y1489" s="63"/>
      <c r="Z1489" s="63"/>
      <c r="AA1489" s="63"/>
      <c r="AB1489" s="24"/>
      <c r="AC1489" s="24"/>
    </row>
    <row r="1490" spans="1:29" s="28" customFormat="1" x14ac:dyDescent="0.3">
      <c r="A1490" s="27" t="s">
        <v>8483</v>
      </c>
      <c r="B1490" s="27" t="s">
        <v>2273</v>
      </c>
      <c r="C1490" s="29"/>
      <c r="D1490" s="28" t="s">
        <v>5107</v>
      </c>
      <c r="E1490" s="20" t="s">
        <v>1545</v>
      </c>
      <c r="F1490" s="20" t="s">
        <v>2511</v>
      </c>
      <c r="G1490" s="27"/>
      <c r="H1490" s="20"/>
      <c r="I1490" s="29"/>
      <c r="J1490" s="29"/>
      <c r="K1490" s="27"/>
      <c r="L1490" s="27"/>
      <c r="M1490" s="27" t="s">
        <v>8484</v>
      </c>
      <c r="N1490" s="27" t="s">
        <v>8485</v>
      </c>
      <c r="O1490" s="29" t="s">
        <v>8486</v>
      </c>
      <c r="P1490" s="27"/>
      <c r="Q1490" s="27"/>
      <c r="R1490" s="29"/>
      <c r="S1490" s="29"/>
      <c r="T1490" s="29"/>
      <c r="U1490" s="27"/>
      <c r="V1490" s="27"/>
      <c r="W1490" s="27"/>
      <c r="X1490" s="64"/>
      <c r="Y1490" s="64"/>
      <c r="Z1490" s="64"/>
      <c r="AA1490" s="64"/>
      <c r="AB1490" s="27"/>
      <c r="AC1490" s="27"/>
    </row>
    <row r="1491" spans="1:29" s="25" customFormat="1" ht="51" x14ac:dyDescent="0.3">
      <c r="A1491" s="24">
        <v>717</v>
      </c>
      <c r="B1491" s="24" t="s">
        <v>2272</v>
      </c>
      <c r="C1491" s="26">
        <v>371</v>
      </c>
      <c r="D1491" s="25" t="s">
        <v>1546</v>
      </c>
      <c r="E1491" s="19" t="s">
        <v>1547</v>
      </c>
      <c r="F1491" s="19"/>
      <c r="G1491" s="24"/>
      <c r="H1491" s="19"/>
      <c r="I1491" s="26" t="s">
        <v>89</v>
      </c>
      <c r="J1491" s="26" t="s">
        <v>37</v>
      </c>
      <c r="K1491" s="24"/>
      <c r="L1491" s="103" t="s">
        <v>8574</v>
      </c>
      <c r="M1491" s="24" t="s">
        <v>5684</v>
      </c>
      <c r="N1491" s="24" t="s">
        <v>1787</v>
      </c>
      <c r="O1491" s="26"/>
      <c r="P1491" s="24"/>
      <c r="Q1491" s="24"/>
      <c r="R1491" s="26"/>
      <c r="S1491" s="26"/>
      <c r="T1491" s="26"/>
      <c r="U1491" s="24"/>
      <c r="V1491" s="24"/>
      <c r="W1491" s="24"/>
      <c r="X1491" s="63"/>
      <c r="Y1491" s="63"/>
      <c r="Z1491" s="63"/>
      <c r="AA1491" s="63"/>
      <c r="AB1491" s="24"/>
      <c r="AC1491" s="24"/>
    </row>
    <row r="1492" spans="1:29" s="28" customFormat="1" x14ac:dyDescent="0.3">
      <c r="A1492" s="27" t="s">
        <v>8586</v>
      </c>
      <c r="B1492" s="27" t="s">
        <v>2273</v>
      </c>
      <c r="C1492" s="29">
        <v>373</v>
      </c>
      <c r="D1492" s="28" t="s">
        <v>5108</v>
      </c>
      <c r="E1492" s="20" t="s">
        <v>1547</v>
      </c>
      <c r="F1492" s="20" t="s">
        <v>2497</v>
      </c>
      <c r="G1492" s="27" t="s">
        <v>8587</v>
      </c>
      <c r="H1492" s="20" t="s">
        <v>8588</v>
      </c>
      <c r="I1492" s="29"/>
      <c r="J1492" s="29" t="s">
        <v>5121</v>
      </c>
      <c r="K1492" s="27"/>
      <c r="L1492" s="27" t="s">
        <v>3078</v>
      </c>
      <c r="M1492" s="27" t="s">
        <v>8589</v>
      </c>
      <c r="N1492" s="27" t="s">
        <v>8590</v>
      </c>
      <c r="O1492" s="29" t="s">
        <v>8591</v>
      </c>
      <c r="P1492" s="27"/>
      <c r="Q1492" s="27"/>
      <c r="R1492" s="29"/>
      <c r="S1492" s="29"/>
      <c r="T1492" s="29"/>
      <c r="U1492" s="27"/>
      <c r="V1492" s="27"/>
      <c r="W1492" s="27"/>
      <c r="X1492" s="64"/>
      <c r="Y1492" s="64"/>
      <c r="Z1492" s="64"/>
      <c r="AA1492" s="64"/>
      <c r="AB1492" s="27"/>
      <c r="AC1492" s="27"/>
    </row>
    <row r="1493" spans="1:29" s="28" customFormat="1" x14ac:dyDescent="0.3">
      <c r="A1493" s="27" t="s">
        <v>8487</v>
      </c>
      <c r="B1493" s="27" t="s">
        <v>2273</v>
      </c>
      <c r="C1493" s="29">
        <v>371</v>
      </c>
      <c r="D1493" s="28" t="s">
        <v>5108</v>
      </c>
      <c r="E1493" s="20" t="s">
        <v>1547</v>
      </c>
      <c r="F1493" s="20" t="s">
        <v>2912</v>
      </c>
      <c r="G1493" s="27" t="s">
        <v>4738</v>
      </c>
      <c r="H1493" s="20" t="s">
        <v>4739</v>
      </c>
      <c r="I1493" s="29"/>
      <c r="J1493" s="29" t="s">
        <v>5121</v>
      </c>
      <c r="K1493" s="27"/>
      <c r="L1493" s="27" t="s">
        <v>3083</v>
      </c>
      <c r="M1493" s="27" t="s">
        <v>8488</v>
      </c>
      <c r="N1493" s="27" t="s">
        <v>8489</v>
      </c>
      <c r="O1493" s="29" t="s">
        <v>8490</v>
      </c>
      <c r="P1493" s="27"/>
      <c r="Q1493" s="27"/>
      <c r="R1493" s="29"/>
      <c r="S1493" s="29"/>
      <c r="T1493" s="29"/>
      <c r="U1493" s="27"/>
      <c r="V1493" s="27"/>
      <c r="W1493" s="27"/>
      <c r="X1493" s="64"/>
      <c r="Y1493" s="64"/>
      <c r="Z1493" s="64"/>
      <c r="AA1493" s="64"/>
      <c r="AB1493" s="27"/>
      <c r="AC1493" s="27"/>
    </row>
    <row r="1494" spans="1:29" s="28" customFormat="1" x14ac:dyDescent="0.3">
      <c r="A1494" s="27" t="s">
        <v>8491</v>
      </c>
      <c r="B1494" s="27" t="s">
        <v>2273</v>
      </c>
      <c r="C1494" s="29">
        <v>371</v>
      </c>
      <c r="D1494" s="28" t="s">
        <v>5108</v>
      </c>
      <c r="E1494" s="20" t="s">
        <v>1547</v>
      </c>
      <c r="F1494" s="20" t="s">
        <v>2817</v>
      </c>
      <c r="G1494" s="27" t="s">
        <v>4741</v>
      </c>
      <c r="H1494" s="20" t="s">
        <v>4742</v>
      </c>
      <c r="I1494" s="29"/>
      <c r="J1494" s="29" t="s">
        <v>37</v>
      </c>
      <c r="K1494" s="27"/>
      <c r="L1494" s="27" t="s">
        <v>4740</v>
      </c>
      <c r="M1494" s="27" t="s">
        <v>8492</v>
      </c>
      <c r="N1494" s="27" t="s">
        <v>8493</v>
      </c>
      <c r="O1494" s="29" t="s">
        <v>8494</v>
      </c>
      <c r="P1494" s="27"/>
      <c r="Q1494" s="27"/>
      <c r="R1494" s="29"/>
      <c r="S1494" s="29"/>
      <c r="T1494" s="29"/>
      <c r="U1494" s="27"/>
      <c r="V1494" s="27"/>
      <c r="W1494" s="27"/>
      <c r="X1494" s="64"/>
      <c r="Y1494" s="64"/>
      <c r="Z1494" s="64"/>
      <c r="AA1494" s="64"/>
      <c r="AB1494" s="27"/>
      <c r="AC1494" s="27"/>
    </row>
    <row r="1495" spans="1:29" s="28" customFormat="1" x14ac:dyDescent="0.3">
      <c r="A1495" s="27" t="s">
        <v>8495</v>
      </c>
      <c r="B1495" s="27" t="s">
        <v>2273</v>
      </c>
      <c r="C1495" s="29">
        <v>371</v>
      </c>
      <c r="D1495" s="28" t="s">
        <v>5108</v>
      </c>
      <c r="E1495" s="20" t="s">
        <v>1547</v>
      </c>
      <c r="F1495" s="20" t="s">
        <v>2913</v>
      </c>
      <c r="G1495" s="27" t="s">
        <v>4744</v>
      </c>
      <c r="H1495" s="20" t="s">
        <v>4745</v>
      </c>
      <c r="I1495" s="29"/>
      <c r="J1495" s="29" t="s">
        <v>37</v>
      </c>
      <c r="K1495" s="27"/>
      <c r="L1495" s="27" t="s">
        <v>4743</v>
      </c>
      <c r="M1495" s="27" t="s">
        <v>8496</v>
      </c>
      <c r="N1495" s="27" t="s">
        <v>8497</v>
      </c>
      <c r="O1495" s="29" t="s">
        <v>8498</v>
      </c>
      <c r="P1495" s="27"/>
      <c r="Q1495" s="27"/>
      <c r="R1495" s="29"/>
      <c r="S1495" s="29"/>
      <c r="T1495" s="29"/>
      <c r="U1495" s="27"/>
      <c r="V1495" s="27"/>
      <c r="W1495" s="27"/>
      <c r="X1495" s="64"/>
      <c r="Y1495" s="64"/>
      <c r="Z1495" s="64"/>
      <c r="AA1495" s="64"/>
      <c r="AB1495" s="27"/>
      <c r="AC1495" s="27"/>
    </row>
    <row r="1496" spans="1:29" s="28" customFormat="1" x14ac:dyDescent="0.3">
      <c r="A1496" s="27" t="s">
        <v>8499</v>
      </c>
      <c r="B1496" s="27" t="s">
        <v>2273</v>
      </c>
      <c r="C1496" s="29">
        <v>373</v>
      </c>
      <c r="D1496" s="28" t="s">
        <v>5108</v>
      </c>
      <c r="E1496" s="20" t="s">
        <v>1547</v>
      </c>
      <c r="F1496" s="20" t="s">
        <v>2914</v>
      </c>
      <c r="G1496" s="27" t="s">
        <v>4746</v>
      </c>
      <c r="H1496" s="20" t="s">
        <v>4747</v>
      </c>
      <c r="I1496" s="29"/>
      <c r="J1496" s="29" t="s">
        <v>5121</v>
      </c>
      <c r="K1496" s="27"/>
      <c r="L1496" s="27" t="s">
        <v>3799</v>
      </c>
      <c r="M1496" s="27" t="s">
        <v>8500</v>
      </c>
      <c r="N1496" s="27" t="s">
        <v>8501</v>
      </c>
      <c r="O1496" s="29" t="s">
        <v>8502</v>
      </c>
      <c r="P1496" s="27"/>
      <c r="Q1496" s="27"/>
      <c r="R1496" s="29"/>
      <c r="S1496" s="29"/>
      <c r="T1496" s="29"/>
      <c r="U1496" s="27"/>
      <c r="V1496" s="27"/>
      <c r="W1496" s="27"/>
      <c r="X1496" s="64"/>
      <c r="Y1496" s="64"/>
      <c r="Z1496" s="64"/>
      <c r="AA1496" s="64"/>
      <c r="AB1496" s="27"/>
      <c r="AC1496" s="27"/>
    </row>
    <row r="1497" spans="1:29" s="25" customFormat="1" x14ac:dyDescent="0.3">
      <c r="A1497" s="24">
        <v>718</v>
      </c>
      <c r="B1497" s="24" t="s">
        <v>2272</v>
      </c>
      <c r="C1497" s="26">
        <v>369</v>
      </c>
      <c r="D1497" s="25" t="s">
        <v>1548</v>
      </c>
      <c r="E1497" s="19" t="s">
        <v>1549</v>
      </c>
      <c r="F1497" s="19"/>
      <c r="G1497" s="24"/>
      <c r="H1497" s="19"/>
      <c r="I1497" s="26" t="s">
        <v>49</v>
      </c>
      <c r="J1497" s="26" t="s">
        <v>5121</v>
      </c>
      <c r="K1497" s="24" t="s">
        <v>49</v>
      </c>
      <c r="L1497" s="24" t="s">
        <v>3959</v>
      </c>
      <c r="M1497" s="24" t="s">
        <v>5730</v>
      </c>
      <c r="N1497" s="24" t="s">
        <v>1633</v>
      </c>
      <c r="O1497" s="26"/>
      <c r="P1497" s="24" t="s">
        <v>8575</v>
      </c>
      <c r="Q1497" s="24"/>
      <c r="R1497" s="26"/>
      <c r="S1497" s="26"/>
      <c r="T1497" s="26"/>
      <c r="U1497" s="24"/>
      <c r="V1497" s="24"/>
      <c r="W1497" s="24"/>
      <c r="X1497" s="63"/>
      <c r="Y1497" s="63"/>
      <c r="Z1497" s="63"/>
      <c r="AA1497" s="63"/>
      <c r="AB1497" s="24"/>
      <c r="AC1497" s="24"/>
    </row>
    <row r="1498" spans="1:29" s="25" customFormat="1" x14ac:dyDescent="0.3">
      <c r="A1498" s="24">
        <v>719</v>
      </c>
      <c r="B1498" s="24" t="s">
        <v>2272</v>
      </c>
      <c r="C1498" s="26">
        <v>369</v>
      </c>
      <c r="D1498" s="25" t="s">
        <v>1550</v>
      </c>
      <c r="E1498" s="19" t="s">
        <v>1551</v>
      </c>
      <c r="F1498" s="19"/>
      <c r="G1498" s="24"/>
      <c r="H1498" s="19"/>
      <c r="I1498" s="26" t="s">
        <v>37</v>
      </c>
      <c r="J1498" s="26" t="s">
        <v>37</v>
      </c>
      <c r="K1498" s="24"/>
      <c r="L1498" s="24" t="s">
        <v>4231</v>
      </c>
      <c r="M1498" s="24" t="s">
        <v>5731</v>
      </c>
      <c r="N1498" s="24"/>
      <c r="O1498" s="26"/>
      <c r="P1498" s="24"/>
      <c r="Q1498" s="24"/>
      <c r="R1498" s="26"/>
      <c r="S1498" s="26"/>
      <c r="T1498" s="26"/>
      <c r="U1498" s="24"/>
      <c r="V1498" s="24"/>
      <c r="W1498" s="24"/>
      <c r="X1498" s="63"/>
      <c r="Y1498" s="63"/>
      <c r="Z1498" s="63"/>
      <c r="AA1498" s="63"/>
      <c r="AB1498" s="24"/>
      <c r="AC1498" s="24"/>
    </row>
    <row r="1499" spans="1:29" s="28" customFormat="1" x14ac:dyDescent="0.3">
      <c r="A1499" s="27" t="s">
        <v>8503</v>
      </c>
      <c r="B1499" s="27" t="s">
        <v>2273</v>
      </c>
      <c r="C1499" s="29"/>
      <c r="D1499" s="28" t="s">
        <v>5109</v>
      </c>
      <c r="E1499" s="20" t="s">
        <v>1551</v>
      </c>
      <c r="F1499" s="20" t="s">
        <v>2362</v>
      </c>
      <c r="G1499" s="27"/>
      <c r="H1499" s="20"/>
      <c r="I1499" s="29"/>
      <c r="J1499" s="29"/>
      <c r="K1499" s="27"/>
      <c r="L1499" s="27"/>
      <c r="M1499" s="27" t="s">
        <v>1632</v>
      </c>
      <c r="N1499" s="27"/>
      <c r="O1499" s="29" t="s">
        <v>8504</v>
      </c>
      <c r="P1499" s="27"/>
      <c r="Q1499" s="27"/>
      <c r="R1499" s="29"/>
      <c r="S1499" s="29"/>
      <c r="T1499" s="29"/>
      <c r="U1499" s="27"/>
      <c r="V1499" s="27"/>
      <c r="W1499" s="27"/>
      <c r="X1499" s="64"/>
      <c r="Y1499" s="64"/>
      <c r="Z1499" s="64"/>
      <c r="AA1499" s="64"/>
      <c r="AB1499" s="27"/>
      <c r="AC1499" s="27"/>
    </row>
    <row r="1500" spans="1:29" s="25" customFormat="1" x14ac:dyDescent="0.3">
      <c r="A1500" s="24">
        <v>720</v>
      </c>
      <c r="B1500" s="24" t="s">
        <v>2272</v>
      </c>
      <c r="C1500" s="26">
        <v>367</v>
      </c>
      <c r="D1500" s="25" t="s">
        <v>1552</v>
      </c>
      <c r="E1500" s="19" t="s">
        <v>1553</v>
      </c>
      <c r="F1500" s="19"/>
      <c r="G1500" s="24"/>
      <c r="H1500" s="19"/>
      <c r="I1500" s="26" t="s">
        <v>89</v>
      </c>
      <c r="J1500" s="26" t="s">
        <v>37</v>
      </c>
      <c r="K1500" s="24"/>
      <c r="L1500" s="24" t="s">
        <v>4233</v>
      </c>
      <c r="M1500" s="24" t="s">
        <v>5732</v>
      </c>
      <c r="N1500" s="24" t="s">
        <v>5733</v>
      </c>
      <c r="O1500" s="26"/>
      <c r="P1500" s="24"/>
      <c r="Q1500" s="24"/>
      <c r="R1500" s="26"/>
      <c r="S1500" s="26"/>
      <c r="T1500" s="26"/>
      <c r="U1500" s="24"/>
      <c r="V1500" s="24"/>
      <c r="W1500" s="24"/>
      <c r="X1500" s="63"/>
      <c r="Y1500" s="63"/>
      <c r="Z1500" s="63"/>
      <c r="AA1500" s="63"/>
      <c r="AB1500" s="24"/>
      <c r="AC1500" s="24"/>
    </row>
    <row r="1501" spans="1:29" s="28" customFormat="1" x14ac:dyDescent="0.3">
      <c r="A1501" s="27" t="s">
        <v>8505</v>
      </c>
      <c r="B1501" s="27" t="s">
        <v>2273</v>
      </c>
      <c r="C1501" s="29"/>
      <c r="D1501" s="28" t="s">
        <v>5110</v>
      </c>
      <c r="E1501" s="20" t="s">
        <v>1553</v>
      </c>
      <c r="F1501" s="20" t="s">
        <v>2915</v>
      </c>
      <c r="G1501" s="27"/>
      <c r="H1501" s="20"/>
      <c r="I1501" s="29"/>
      <c r="J1501" s="29"/>
      <c r="K1501" s="27"/>
      <c r="L1501" s="27"/>
      <c r="M1501" s="27" t="s">
        <v>8506</v>
      </c>
      <c r="N1501" s="27" t="s">
        <v>8507</v>
      </c>
      <c r="O1501" s="29" t="s">
        <v>8508</v>
      </c>
      <c r="P1501" s="27"/>
      <c r="Q1501" s="27"/>
      <c r="R1501" s="29"/>
      <c r="S1501" s="29"/>
      <c r="T1501" s="29"/>
      <c r="U1501" s="27"/>
      <c r="V1501" s="27"/>
      <c r="W1501" s="27"/>
      <c r="X1501" s="64"/>
      <c r="Y1501" s="64"/>
      <c r="Z1501" s="64"/>
      <c r="AA1501" s="64"/>
      <c r="AB1501" s="27"/>
      <c r="AC1501" s="27"/>
    </row>
    <row r="1502" spans="1:29" s="28" customFormat="1" x14ac:dyDescent="0.3">
      <c r="A1502" s="27" t="s">
        <v>6372</v>
      </c>
      <c r="B1502" s="27" t="s">
        <v>2273</v>
      </c>
      <c r="C1502" s="29"/>
      <c r="D1502" s="28" t="s">
        <v>5110</v>
      </c>
      <c r="E1502" s="20" t="s">
        <v>1553</v>
      </c>
      <c r="F1502" s="20" t="s">
        <v>2902</v>
      </c>
      <c r="G1502" s="27"/>
      <c r="H1502" s="20"/>
      <c r="I1502" s="29"/>
      <c r="J1502" s="29"/>
      <c r="K1502" s="27"/>
      <c r="L1502" s="27"/>
      <c r="M1502" s="27" t="s">
        <v>8509</v>
      </c>
      <c r="N1502" s="27" t="s">
        <v>8510</v>
      </c>
      <c r="O1502" s="29" t="s">
        <v>8511</v>
      </c>
      <c r="P1502" s="27"/>
      <c r="Q1502" s="27"/>
      <c r="R1502" s="29"/>
      <c r="S1502" s="29"/>
      <c r="T1502" s="29"/>
      <c r="U1502" s="27"/>
      <c r="V1502" s="27"/>
      <c r="W1502" s="27"/>
      <c r="X1502" s="64"/>
      <c r="Y1502" s="64"/>
      <c r="Z1502" s="64"/>
      <c r="AA1502" s="64"/>
      <c r="AB1502" s="27"/>
      <c r="AC1502" s="27"/>
    </row>
    <row r="1503" spans="1:29" s="25" customFormat="1" ht="20.399999999999999" x14ac:dyDescent="0.3">
      <c r="A1503" s="24">
        <v>721</v>
      </c>
      <c r="B1503" s="24" t="s">
        <v>2272</v>
      </c>
      <c r="C1503" s="26">
        <v>367</v>
      </c>
      <c r="D1503" s="25" t="s">
        <v>1554</v>
      </c>
      <c r="E1503" s="19" t="s">
        <v>1555</v>
      </c>
      <c r="F1503" s="19"/>
      <c r="G1503" s="24"/>
      <c r="H1503" s="19"/>
      <c r="I1503" s="26" t="s">
        <v>89</v>
      </c>
      <c r="J1503" s="26" t="s">
        <v>37</v>
      </c>
      <c r="K1503" s="24"/>
      <c r="L1503" s="103" t="s">
        <v>4235</v>
      </c>
      <c r="M1503" s="24" t="s">
        <v>5735</v>
      </c>
      <c r="N1503" s="24" t="s">
        <v>2258</v>
      </c>
      <c r="O1503" s="26"/>
      <c r="P1503" s="24"/>
      <c r="Q1503" s="24"/>
      <c r="R1503" s="26"/>
      <c r="S1503" s="26"/>
      <c r="T1503" s="26"/>
      <c r="U1503" s="24"/>
      <c r="V1503" s="24"/>
      <c r="W1503" s="24"/>
      <c r="X1503" s="63"/>
      <c r="Y1503" s="63"/>
      <c r="Z1503" s="63"/>
      <c r="AA1503" s="63"/>
      <c r="AB1503" s="24"/>
      <c r="AC1503" s="24"/>
    </row>
    <row r="1504" spans="1:29" s="28" customFormat="1" x14ac:dyDescent="0.3">
      <c r="A1504" s="27" t="s">
        <v>6373</v>
      </c>
      <c r="B1504" s="27" t="s">
        <v>2273</v>
      </c>
      <c r="C1504" s="29">
        <v>367</v>
      </c>
      <c r="D1504" s="28" t="s">
        <v>5111</v>
      </c>
      <c r="E1504" s="20" t="s">
        <v>1555</v>
      </c>
      <c r="F1504" s="20" t="s">
        <v>2916</v>
      </c>
      <c r="G1504" s="27"/>
      <c r="H1504" s="20" t="s">
        <v>4748</v>
      </c>
      <c r="I1504" s="29"/>
      <c r="J1504" s="29" t="s">
        <v>37</v>
      </c>
      <c r="K1504" s="27"/>
      <c r="L1504" s="27" t="s">
        <v>4080</v>
      </c>
      <c r="M1504" s="27" t="s">
        <v>8512</v>
      </c>
      <c r="N1504" s="27" t="s">
        <v>8513</v>
      </c>
      <c r="O1504" s="29" t="s">
        <v>8514</v>
      </c>
      <c r="P1504" s="27"/>
      <c r="Q1504" s="27"/>
      <c r="R1504" s="29"/>
      <c r="S1504" s="29"/>
      <c r="T1504" s="29"/>
      <c r="U1504" s="27"/>
      <c r="V1504" s="27"/>
      <c r="W1504" s="27"/>
      <c r="X1504" s="64"/>
      <c r="Y1504" s="64"/>
      <c r="Z1504" s="64"/>
      <c r="AA1504" s="64"/>
      <c r="AB1504" s="27"/>
      <c r="AC1504" s="27"/>
    </row>
    <row r="1505" spans="1:29" s="28" customFormat="1" x14ac:dyDescent="0.3">
      <c r="A1505" s="27" t="s">
        <v>6374</v>
      </c>
      <c r="B1505" s="27" t="s">
        <v>2273</v>
      </c>
      <c r="C1505" s="29">
        <v>367</v>
      </c>
      <c r="D1505" s="28" t="s">
        <v>5111</v>
      </c>
      <c r="E1505" s="20" t="s">
        <v>1555</v>
      </c>
      <c r="F1505" s="20" t="s">
        <v>2460</v>
      </c>
      <c r="G1505" s="27" t="s">
        <v>4750</v>
      </c>
      <c r="H1505" s="20" t="s">
        <v>4751</v>
      </c>
      <c r="I1505" s="29"/>
      <c r="J1505" s="29" t="s">
        <v>5124</v>
      </c>
      <c r="K1505" s="27"/>
      <c r="L1505" s="27" t="s">
        <v>4749</v>
      </c>
      <c r="M1505" s="27" t="s">
        <v>8515</v>
      </c>
      <c r="N1505" s="27"/>
      <c r="O1505" s="29" t="s">
        <v>8516</v>
      </c>
      <c r="P1505" s="27"/>
      <c r="Q1505" s="27"/>
      <c r="R1505" s="29"/>
      <c r="S1505" s="29"/>
      <c r="T1505" s="29"/>
      <c r="U1505" s="27"/>
      <c r="V1505" s="27"/>
      <c r="W1505" s="27"/>
      <c r="X1505" s="64"/>
      <c r="Y1505" s="64"/>
      <c r="Z1505" s="64"/>
      <c r="AA1505" s="64"/>
      <c r="AB1505" s="27"/>
      <c r="AC1505" s="27"/>
    </row>
    <row r="1506" spans="1:29" s="25" customFormat="1" x14ac:dyDescent="0.3">
      <c r="A1506" s="24">
        <v>722</v>
      </c>
      <c r="B1506" s="24" t="s">
        <v>2272</v>
      </c>
      <c r="C1506" s="26">
        <v>367</v>
      </c>
      <c r="D1506" s="25" t="s">
        <v>1556</v>
      </c>
      <c r="E1506" s="19" t="s">
        <v>1557</v>
      </c>
      <c r="F1506" s="19"/>
      <c r="G1506" s="24"/>
      <c r="H1506" s="19"/>
      <c r="I1506" s="26" t="s">
        <v>89</v>
      </c>
      <c r="J1506" s="26" t="s">
        <v>37</v>
      </c>
      <c r="K1506" s="24"/>
      <c r="L1506" s="24" t="s">
        <v>4237</v>
      </c>
      <c r="M1506" s="24" t="s">
        <v>5736</v>
      </c>
      <c r="N1506" s="24" t="s">
        <v>6136</v>
      </c>
      <c r="O1506" s="26" t="s">
        <v>2259</v>
      </c>
      <c r="P1506" s="24"/>
      <c r="Q1506" s="24"/>
      <c r="R1506" s="26"/>
      <c r="S1506" s="26"/>
      <c r="T1506" s="26"/>
      <c r="U1506" s="24"/>
      <c r="V1506" s="24"/>
      <c r="W1506" s="24"/>
      <c r="X1506" s="63"/>
      <c r="Y1506" s="63"/>
      <c r="Z1506" s="63"/>
      <c r="AA1506" s="63"/>
      <c r="AB1506" s="24"/>
      <c r="AC1506" s="24"/>
    </row>
    <row r="1507" spans="1:29" s="25" customFormat="1" x14ac:dyDescent="0.3">
      <c r="A1507" s="24">
        <v>723</v>
      </c>
      <c r="B1507" s="24" t="s">
        <v>2272</v>
      </c>
      <c r="C1507" s="26">
        <v>369</v>
      </c>
      <c r="D1507" s="25" t="s">
        <v>1558</v>
      </c>
      <c r="E1507" s="19" t="s">
        <v>1559</v>
      </c>
      <c r="F1507" s="19"/>
      <c r="G1507" s="24"/>
      <c r="H1507" s="19"/>
      <c r="I1507" s="26" t="s">
        <v>49</v>
      </c>
      <c r="J1507" s="26" t="s">
        <v>5121</v>
      </c>
      <c r="K1507" s="24" t="s">
        <v>49</v>
      </c>
      <c r="L1507" s="24" t="s">
        <v>3078</v>
      </c>
      <c r="M1507" s="24" t="s">
        <v>5737</v>
      </c>
      <c r="N1507" s="24" t="s">
        <v>2260</v>
      </c>
      <c r="O1507" s="26"/>
      <c r="P1507" s="24" t="s">
        <v>6463</v>
      </c>
      <c r="Q1507" s="24"/>
      <c r="R1507" s="26"/>
      <c r="S1507" s="26"/>
      <c r="T1507" s="26"/>
      <c r="U1507" s="24"/>
      <c r="V1507" s="24"/>
      <c r="W1507" s="24"/>
      <c r="X1507" s="63"/>
      <c r="Y1507" s="63"/>
      <c r="Z1507" s="63"/>
      <c r="AA1507" s="63"/>
      <c r="AB1507" s="24"/>
      <c r="AC1507" s="24"/>
    </row>
    <row r="1508" spans="1:29" s="28" customFormat="1" x14ac:dyDescent="0.3">
      <c r="A1508" s="27" t="s">
        <v>8517</v>
      </c>
      <c r="B1508" s="27" t="s">
        <v>2273</v>
      </c>
      <c r="C1508" s="29">
        <v>369</v>
      </c>
      <c r="D1508" s="28" t="s">
        <v>5112</v>
      </c>
      <c r="E1508" s="20" t="s">
        <v>1559</v>
      </c>
      <c r="F1508" s="20" t="s">
        <v>2532</v>
      </c>
      <c r="G1508" s="27"/>
      <c r="H1508" s="20" t="s">
        <v>4752</v>
      </c>
      <c r="I1508" s="29"/>
      <c r="J1508" s="29" t="s">
        <v>5121</v>
      </c>
      <c r="K1508" s="27"/>
      <c r="L1508" s="27" t="s">
        <v>3078</v>
      </c>
      <c r="M1508" s="27" t="s">
        <v>8518</v>
      </c>
      <c r="N1508" s="27" t="s">
        <v>8519</v>
      </c>
      <c r="O1508" s="29" t="s">
        <v>8520</v>
      </c>
      <c r="P1508" s="27"/>
      <c r="Q1508" s="27"/>
      <c r="R1508" s="29"/>
      <c r="S1508" s="29"/>
      <c r="T1508" s="29"/>
      <c r="U1508" s="27"/>
      <c r="V1508" s="27"/>
      <c r="W1508" s="27"/>
      <c r="X1508" s="64"/>
      <c r="Y1508" s="64"/>
      <c r="Z1508" s="64"/>
      <c r="AA1508" s="64"/>
      <c r="AB1508" s="27"/>
      <c r="AC1508" s="27"/>
    </row>
    <row r="1509" spans="1:29" s="25" customFormat="1" x14ac:dyDescent="0.3">
      <c r="A1509" s="24">
        <v>724</v>
      </c>
      <c r="B1509" s="24" t="s">
        <v>2272</v>
      </c>
      <c r="C1509" s="26">
        <v>373</v>
      </c>
      <c r="D1509" s="25" t="s">
        <v>1561</v>
      </c>
      <c r="E1509" s="19" t="s">
        <v>1562</v>
      </c>
      <c r="F1509" s="19"/>
      <c r="G1509" s="24"/>
      <c r="H1509" s="19"/>
      <c r="I1509" s="26" t="s">
        <v>49</v>
      </c>
      <c r="J1509" s="26" t="s">
        <v>5121</v>
      </c>
      <c r="K1509" s="24" t="s">
        <v>49</v>
      </c>
      <c r="L1509" s="24" t="s">
        <v>4240</v>
      </c>
      <c r="M1509" s="24" t="s">
        <v>5738</v>
      </c>
      <c r="N1509" s="24" t="s">
        <v>5739</v>
      </c>
      <c r="O1509" s="26" t="s">
        <v>2262</v>
      </c>
      <c r="P1509" s="24" t="s">
        <v>6619</v>
      </c>
      <c r="Q1509" s="24"/>
      <c r="R1509" s="26"/>
      <c r="S1509" s="26"/>
      <c r="T1509" s="26"/>
      <c r="U1509" s="24"/>
      <c r="V1509" s="24"/>
      <c r="W1509" s="24"/>
      <c r="X1509" s="63"/>
      <c r="Y1509" s="63"/>
      <c r="Z1509" s="63"/>
      <c r="AA1509" s="63"/>
      <c r="AB1509" s="24"/>
      <c r="AC1509" s="24"/>
    </row>
    <row r="1510" spans="1:29" s="25" customFormat="1" x14ac:dyDescent="0.3">
      <c r="A1510" s="24">
        <v>725</v>
      </c>
      <c r="B1510" s="24" t="s">
        <v>2272</v>
      </c>
      <c r="C1510" s="26">
        <v>373</v>
      </c>
      <c r="D1510" s="25" t="s">
        <v>1563</v>
      </c>
      <c r="E1510" s="19" t="s">
        <v>1564</v>
      </c>
      <c r="F1510" s="19"/>
      <c r="G1510" s="24"/>
      <c r="H1510" s="19"/>
      <c r="I1510" s="26" t="s">
        <v>49</v>
      </c>
      <c r="J1510" s="26" t="s">
        <v>5121</v>
      </c>
      <c r="K1510" s="24" t="s">
        <v>49</v>
      </c>
      <c r="L1510" s="24" t="s">
        <v>3078</v>
      </c>
      <c r="M1510" s="24" t="s">
        <v>5740</v>
      </c>
      <c r="N1510" s="24" t="s">
        <v>5741</v>
      </c>
      <c r="O1510" s="26"/>
      <c r="P1510" s="24" t="s">
        <v>8576</v>
      </c>
      <c r="Q1510" s="24"/>
      <c r="R1510" s="26"/>
      <c r="S1510" s="26"/>
      <c r="T1510" s="26"/>
      <c r="U1510" s="24"/>
      <c r="V1510" s="24"/>
      <c r="W1510" s="24"/>
      <c r="X1510" s="63"/>
      <c r="Y1510" s="63"/>
      <c r="Z1510" s="63"/>
      <c r="AA1510" s="63"/>
      <c r="AB1510" s="24"/>
      <c r="AC1510" s="24"/>
    </row>
    <row r="1511" spans="1:29" s="28" customFormat="1" x14ac:dyDescent="0.3">
      <c r="A1511" s="27" t="s">
        <v>8521</v>
      </c>
      <c r="B1511" s="27" t="s">
        <v>2273</v>
      </c>
      <c r="C1511" s="29"/>
      <c r="D1511" s="28" t="s">
        <v>5113</v>
      </c>
      <c r="E1511" s="20" t="s">
        <v>1564</v>
      </c>
      <c r="F1511" s="20" t="s">
        <v>2532</v>
      </c>
      <c r="G1511" s="27"/>
      <c r="H1511" s="20"/>
      <c r="I1511" s="29"/>
      <c r="J1511" s="29"/>
      <c r="K1511" s="27"/>
      <c r="L1511" s="27"/>
      <c r="M1511" s="27" t="s">
        <v>8522</v>
      </c>
      <c r="N1511" s="27"/>
      <c r="O1511" s="29" t="s">
        <v>8523</v>
      </c>
      <c r="P1511" s="27"/>
      <c r="Q1511" s="27"/>
      <c r="R1511" s="29"/>
      <c r="S1511" s="29"/>
      <c r="T1511" s="29"/>
      <c r="U1511" s="27"/>
      <c r="V1511" s="27"/>
      <c r="W1511" s="27"/>
      <c r="X1511" s="64"/>
      <c r="Y1511" s="64"/>
      <c r="Z1511" s="64"/>
      <c r="AA1511" s="64"/>
      <c r="AB1511" s="27"/>
      <c r="AC1511" s="27"/>
    </row>
    <row r="1512" spans="1:29" s="25" customFormat="1" x14ac:dyDescent="0.3">
      <c r="A1512" s="24">
        <v>726</v>
      </c>
      <c r="B1512" s="24" t="s">
        <v>2272</v>
      </c>
      <c r="C1512" s="26">
        <v>373</v>
      </c>
      <c r="D1512" s="25" t="s">
        <v>1565</v>
      </c>
      <c r="E1512" s="19" t="s">
        <v>1566</v>
      </c>
      <c r="F1512" s="19"/>
      <c r="G1512" s="24"/>
      <c r="H1512" s="19"/>
      <c r="I1512" s="26" t="s">
        <v>49</v>
      </c>
      <c r="J1512" s="26" t="s">
        <v>5121</v>
      </c>
      <c r="K1512" s="24" t="s">
        <v>49</v>
      </c>
      <c r="L1512" s="24" t="s">
        <v>3078</v>
      </c>
      <c r="M1512" s="24" t="s">
        <v>5607</v>
      </c>
      <c r="N1512" s="24" t="s">
        <v>1633</v>
      </c>
      <c r="O1512" s="26"/>
      <c r="P1512" s="24" t="s">
        <v>6464</v>
      </c>
      <c r="Q1512" s="24"/>
      <c r="R1512" s="26"/>
      <c r="S1512" s="26"/>
      <c r="T1512" s="26"/>
      <c r="U1512" s="24"/>
      <c r="V1512" s="24"/>
      <c r="W1512" s="24"/>
      <c r="X1512" s="63"/>
      <c r="Y1512" s="63"/>
      <c r="Z1512" s="63"/>
      <c r="AA1512" s="63"/>
      <c r="AB1512" s="24"/>
      <c r="AC1512" s="24"/>
    </row>
    <row r="1513" spans="1:29" s="28" customFormat="1" x14ac:dyDescent="0.3">
      <c r="A1513" s="27" t="s">
        <v>8524</v>
      </c>
      <c r="B1513" s="27" t="s">
        <v>2273</v>
      </c>
      <c r="C1513" s="29"/>
      <c r="D1513" s="28" t="s">
        <v>5114</v>
      </c>
      <c r="E1513" s="20" t="s">
        <v>1566</v>
      </c>
      <c r="F1513" s="20" t="s">
        <v>2917</v>
      </c>
      <c r="G1513" s="27"/>
      <c r="H1513" s="20"/>
      <c r="I1513" s="29"/>
      <c r="J1513" s="29"/>
      <c r="K1513" s="27"/>
      <c r="L1513" s="27"/>
      <c r="M1513" s="27" t="s">
        <v>8525</v>
      </c>
      <c r="N1513" s="27" t="s">
        <v>1633</v>
      </c>
      <c r="O1513" s="29" t="s">
        <v>8526</v>
      </c>
      <c r="P1513" s="27"/>
      <c r="Q1513" s="27"/>
      <c r="R1513" s="29"/>
      <c r="S1513" s="29"/>
      <c r="T1513" s="29"/>
      <c r="U1513" s="27"/>
      <c r="V1513" s="27"/>
      <c r="W1513" s="27"/>
      <c r="X1513" s="64"/>
      <c r="Y1513" s="64"/>
      <c r="Z1513" s="64"/>
      <c r="AA1513" s="64"/>
      <c r="AB1513" s="27"/>
      <c r="AC1513" s="27"/>
    </row>
    <row r="1514" spans="1:29" s="25" customFormat="1" x14ac:dyDescent="0.3">
      <c r="A1514" s="24">
        <v>727</v>
      </c>
      <c r="B1514" s="24" t="s">
        <v>2272</v>
      </c>
      <c r="C1514" s="26">
        <v>373</v>
      </c>
      <c r="D1514" s="25" t="s">
        <v>1567</v>
      </c>
      <c r="E1514" s="19" t="s">
        <v>1568</v>
      </c>
      <c r="F1514" s="19"/>
      <c r="G1514" s="24"/>
      <c r="H1514" s="19"/>
      <c r="I1514" s="26" t="s">
        <v>49</v>
      </c>
      <c r="J1514" s="26" t="s">
        <v>5121</v>
      </c>
      <c r="K1514" s="24" t="s">
        <v>49</v>
      </c>
      <c r="L1514" s="24" t="s">
        <v>3078</v>
      </c>
      <c r="M1514" s="24" t="s">
        <v>5742</v>
      </c>
      <c r="N1514" s="24" t="s">
        <v>5743</v>
      </c>
      <c r="O1514" s="26"/>
      <c r="P1514" s="24" t="s">
        <v>8577</v>
      </c>
      <c r="Q1514" s="24"/>
      <c r="R1514" s="26"/>
      <c r="S1514" s="26"/>
      <c r="T1514" s="26"/>
      <c r="U1514" s="24"/>
      <c r="V1514" s="24"/>
      <c r="W1514" s="24"/>
      <c r="X1514" s="63"/>
      <c r="Y1514" s="63"/>
      <c r="Z1514" s="63"/>
      <c r="AA1514" s="63"/>
      <c r="AB1514" s="24"/>
      <c r="AC1514" s="24"/>
    </row>
    <row r="1515" spans="1:29" s="28" customFormat="1" x14ac:dyDescent="0.3">
      <c r="A1515" s="27" t="s">
        <v>8527</v>
      </c>
      <c r="B1515" s="27" t="s">
        <v>2273</v>
      </c>
      <c r="C1515" s="29"/>
      <c r="D1515" s="28" t="s">
        <v>5115</v>
      </c>
      <c r="E1515" s="20" t="s">
        <v>1568</v>
      </c>
      <c r="F1515" s="20" t="s">
        <v>2520</v>
      </c>
      <c r="G1515" s="27"/>
      <c r="H1515" s="20"/>
      <c r="I1515" s="29"/>
      <c r="J1515" s="29"/>
      <c r="K1515" s="27"/>
      <c r="L1515" s="27"/>
      <c r="M1515" s="27" t="s">
        <v>8528</v>
      </c>
      <c r="N1515" s="27" t="s">
        <v>8529</v>
      </c>
      <c r="O1515" s="29" t="s">
        <v>8530</v>
      </c>
      <c r="P1515" s="27"/>
      <c r="Q1515" s="27"/>
      <c r="R1515" s="29"/>
      <c r="S1515" s="29"/>
      <c r="T1515" s="29"/>
      <c r="U1515" s="27"/>
      <c r="V1515" s="27"/>
      <c r="W1515" s="27"/>
      <c r="X1515" s="64"/>
      <c r="Y1515" s="64"/>
      <c r="Z1515" s="64"/>
      <c r="AA1515" s="64"/>
      <c r="AB1515" s="27"/>
      <c r="AC1515" s="27"/>
    </row>
    <row r="1516" spans="1:29" s="25" customFormat="1" x14ac:dyDescent="0.3">
      <c r="A1516" s="24">
        <v>728</v>
      </c>
      <c r="B1516" s="24" t="s">
        <v>2272</v>
      </c>
      <c r="C1516" s="26">
        <v>375</v>
      </c>
      <c r="D1516" s="25" t="s">
        <v>1569</v>
      </c>
      <c r="E1516" s="19" t="s">
        <v>1570</v>
      </c>
      <c r="F1516" s="19"/>
      <c r="G1516" s="24"/>
      <c r="H1516" s="19"/>
      <c r="I1516" s="26" t="s">
        <v>57</v>
      </c>
      <c r="J1516" s="26" t="s">
        <v>57</v>
      </c>
      <c r="K1516" s="24"/>
      <c r="L1516" s="24" t="s">
        <v>4245</v>
      </c>
      <c r="M1516" s="24" t="s">
        <v>5744</v>
      </c>
      <c r="N1516" s="24"/>
      <c r="O1516" s="26"/>
      <c r="P1516" s="24"/>
      <c r="Q1516" s="24"/>
      <c r="R1516" s="26"/>
      <c r="S1516" s="26"/>
      <c r="T1516" s="26"/>
      <c r="U1516" s="24"/>
      <c r="V1516" s="24"/>
      <c r="W1516" s="24"/>
      <c r="X1516" s="63"/>
      <c r="Y1516" s="63"/>
      <c r="Z1516" s="63"/>
      <c r="AA1516" s="63"/>
      <c r="AB1516" s="24"/>
      <c r="AC1516" s="24"/>
    </row>
    <row r="1517" spans="1:29" s="28" customFormat="1" x14ac:dyDescent="0.3">
      <c r="A1517" s="27" t="s">
        <v>8531</v>
      </c>
      <c r="B1517" s="27" t="s">
        <v>2273</v>
      </c>
      <c r="C1517" s="29"/>
      <c r="D1517" s="28" t="s">
        <v>5116</v>
      </c>
      <c r="E1517" s="20" t="s">
        <v>1570</v>
      </c>
      <c r="F1517" s="20" t="s">
        <v>2676</v>
      </c>
      <c r="G1517" s="27"/>
      <c r="H1517" s="20"/>
      <c r="I1517" s="29"/>
      <c r="J1517" s="29"/>
      <c r="K1517" s="27"/>
      <c r="L1517" s="27"/>
      <c r="M1517" s="27" t="s">
        <v>7780</v>
      </c>
      <c r="N1517" s="27"/>
      <c r="O1517" s="29" t="s">
        <v>8532</v>
      </c>
      <c r="P1517" s="27"/>
      <c r="Q1517" s="27"/>
      <c r="R1517" s="29"/>
      <c r="S1517" s="29"/>
      <c r="T1517" s="29"/>
      <c r="U1517" s="27"/>
      <c r="V1517" s="27"/>
      <c r="W1517" s="27"/>
      <c r="X1517" s="64"/>
      <c r="Y1517" s="64"/>
      <c r="Z1517" s="64"/>
      <c r="AA1517" s="64"/>
      <c r="AB1517" s="27"/>
      <c r="AC1517" s="27"/>
    </row>
    <row r="1518" spans="1:29" s="28" customFormat="1" x14ac:dyDescent="0.3">
      <c r="A1518" s="27" t="s">
        <v>8533</v>
      </c>
      <c r="B1518" s="27" t="s">
        <v>2273</v>
      </c>
      <c r="C1518" s="29"/>
      <c r="D1518" s="28" t="s">
        <v>5116</v>
      </c>
      <c r="E1518" s="20" t="s">
        <v>1570</v>
      </c>
      <c r="F1518" s="20" t="s">
        <v>2519</v>
      </c>
      <c r="G1518" s="27"/>
      <c r="H1518" s="20"/>
      <c r="I1518" s="29"/>
      <c r="J1518" s="29"/>
      <c r="K1518" s="27"/>
      <c r="L1518" s="27"/>
      <c r="M1518" s="27" t="s">
        <v>8534</v>
      </c>
      <c r="N1518" s="27"/>
      <c r="O1518" s="29" t="s">
        <v>8535</v>
      </c>
      <c r="P1518" s="27"/>
      <c r="Q1518" s="27"/>
      <c r="R1518" s="29"/>
      <c r="S1518" s="29"/>
      <c r="T1518" s="29"/>
      <c r="U1518" s="27"/>
      <c r="V1518" s="27"/>
      <c r="W1518" s="27"/>
      <c r="X1518" s="64"/>
      <c r="Y1518" s="64"/>
      <c r="Z1518" s="64"/>
      <c r="AA1518" s="64"/>
      <c r="AB1518" s="27"/>
      <c r="AC1518" s="27"/>
    </row>
    <row r="1519" spans="1:29" s="25" customFormat="1" x14ac:dyDescent="0.3">
      <c r="A1519" s="24">
        <v>729</v>
      </c>
      <c r="B1519" s="24" t="s">
        <v>2272</v>
      </c>
      <c r="C1519" s="26">
        <v>373</v>
      </c>
      <c r="D1519" s="25" t="s">
        <v>1571</v>
      </c>
      <c r="E1519" s="19" t="s">
        <v>1572</v>
      </c>
      <c r="F1519" s="19"/>
      <c r="G1519" s="24"/>
      <c r="H1519" s="19"/>
      <c r="I1519" s="26" t="s">
        <v>49</v>
      </c>
      <c r="J1519" s="26" t="s">
        <v>5121</v>
      </c>
      <c r="K1519" s="24" t="s">
        <v>49</v>
      </c>
      <c r="L1519" s="24" t="s">
        <v>3728</v>
      </c>
      <c r="M1519" s="24" t="s">
        <v>6137</v>
      </c>
      <c r="N1519" s="24" t="s">
        <v>6138</v>
      </c>
      <c r="O1519" s="26"/>
      <c r="P1519" s="24" t="s">
        <v>6465</v>
      </c>
      <c r="Q1519" s="24"/>
      <c r="R1519" s="26"/>
      <c r="S1519" s="26"/>
      <c r="T1519" s="26"/>
      <c r="U1519" s="24"/>
      <c r="V1519" s="24"/>
      <c r="W1519" s="24"/>
      <c r="X1519" s="63"/>
      <c r="Y1519" s="63"/>
      <c r="Z1519" s="63"/>
      <c r="AA1519" s="63"/>
      <c r="AB1519" s="24"/>
      <c r="AC1519" s="24"/>
    </row>
    <row r="1520" spans="1:29" s="25" customFormat="1" x14ac:dyDescent="0.3">
      <c r="A1520" s="24">
        <v>730</v>
      </c>
      <c r="B1520" s="24" t="s">
        <v>2272</v>
      </c>
      <c r="C1520" s="26">
        <v>375</v>
      </c>
      <c r="D1520" s="25" t="s">
        <v>1573</v>
      </c>
      <c r="E1520" s="19" t="s">
        <v>1574</v>
      </c>
      <c r="F1520" s="19"/>
      <c r="G1520" s="24"/>
      <c r="H1520" s="19"/>
      <c r="I1520" s="26" t="s">
        <v>37</v>
      </c>
      <c r="J1520" s="26" t="s">
        <v>37</v>
      </c>
      <c r="K1520" s="24"/>
      <c r="L1520" s="24" t="s">
        <v>3262</v>
      </c>
      <c r="M1520" s="24" t="s">
        <v>6139</v>
      </c>
      <c r="N1520" s="24" t="s">
        <v>6140</v>
      </c>
      <c r="O1520" s="26"/>
      <c r="P1520" s="24"/>
      <c r="Q1520" s="24"/>
      <c r="R1520" s="26"/>
      <c r="S1520" s="26"/>
      <c r="T1520" s="26"/>
      <c r="U1520" s="24"/>
      <c r="V1520" s="24"/>
      <c r="W1520" s="24"/>
      <c r="X1520" s="63"/>
      <c r="Y1520" s="63"/>
      <c r="Z1520" s="63"/>
      <c r="AA1520" s="63"/>
      <c r="AB1520" s="24"/>
      <c r="AC1520" s="24"/>
    </row>
    <row r="1521" spans="1:29" s="28" customFormat="1" x14ac:dyDescent="0.3">
      <c r="A1521" s="27" t="s">
        <v>8536</v>
      </c>
      <c r="B1521" s="27" t="s">
        <v>2273</v>
      </c>
      <c r="C1521" s="29"/>
      <c r="D1521" s="28" t="s">
        <v>5117</v>
      </c>
      <c r="E1521" s="20" t="s">
        <v>1574</v>
      </c>
      <c r="F1521" s="20" t="s">
        <v>2550</v>
      </c>
      <c r="G1521" s="27"/>
      <c r="H1521" s="20"/>
      <c r="I1521" s="29"/>
      <c r="J1521" s="29"/>
      <c r="K1521" s="27"/>
      <c r="L1521" s="27"/>
      <c r="M1521" s="27" t="s">
        <v>7923</v>
      </c>
      <c r="N1521" s="27"/>
      <c r="O1521" s="29" t="s">
        <v>2038</v>
      </c>
      <c r="P1521" s="27"/>
      <c r="Q1521" s="27"/>
      <c r="R1521" s="29"/>
      <c r="S1521" s="29"/>
      <c r="T1521" s="29"/>
      <c r="U1521" s="27"/>
      <c r="V1521" s="27"/>
      <c r="W1521" s="27"/>
      <c r="X1521" s="64"/>
      <c r="Y1521" s="64"/>
      <c r="Z1521" s="64"/>
      <c r="AA1521" s="64"/>
      <c r="AB1521" s="27"/>
      <c r="AC1521" s="27"/>
    </row>
    <row r="1522" spans="1:29" s="25" customFormat="1" x14ac:dyDescent="0.3">
      <c r="A1522" s="24">
        <v>731</v>
      </c>
      <c r="B1522" s="24" t="s">
        <v>2272</v>
      </c>
      <c r="C1522" s="26">
        <v>375</v>
      </c>
      <c r="D1522" s="25" t="s">
        <v>2264</v>
      </c>
      <c r="E1522" s="19" t="s">
        <v>2265</v>
      </c>
      <c r="F1522" s="19"/>
      <c r="G1522" s="24"/>
      <c r="H1522" s="19"/>
      <c r="I1522" s="26" t="s">
        <v>57</v>
      </c>
      <c r="J1522" s="26" t="s">
        <v>57</v>
      </c>
      <c r="K1522" s="24" t="s">
        <v>4517</v>
      </c>
      <c r="L1522" s="24" t="s">
        <v>4248</v>
      </c>
      <c r="M1522" s="24" t="s">
        <v>5470</v>
      </c>
      <c r="N1522" s="24"/>
      <c r="O1522" s="26" t="s">
        <v>2251</v>
      </c>
      <c r="P1522" s="24"/>
      <c r="Q1522" s="24"/>
      <c r="R1522" s="26"/>
      <c r="S1522" s="26"/>
      <c r="T1522" s="26"/>
      <c r="U1522" s="24"/>
      <c r="V1522" s="24"/>
      <c r="W1522" s="24"/>
      <c r="X1522" s="63"/>
      <c r="Y1522" s="63"/>
      <c r="Z1522" s="63"/>
      <c r="AA1522" s="63"/>
      <c r="AB1522" s="24"/>
      <c r="AC1522" s="24"/>
    </row>
    <row r="1523" spans="1:29" s="25" customFormat="1" x14ac:dyDescent="0.3">
      <c r="A1523" s="24">
        <v>732</v>
      </c>
      <c r="B1523" s="24" t="s">
        <v>2272</v>
      </c>
      <c r="C1523" s="26">
        <v>375</v>
      </c>
      <c r="D1523" s="25" t="s">
        <v>1576</v>
      </c>
      <c r="E1523" s="19" t="s">
        <v>1577</v>
      </c>
      <c r="F1523" s="19"/>
      <c r="G1523" s="24"/>
      <c r="H1523" s="19"/>
      <c r="I1523" s="26" t="s">
        <v>49</v>
      </c>
      <c r="J1523" s="26" t="s">
        <v>5121</v>
      </c>
      <c r="K1523" s="24" t="s">
        <v>49</v>
      </c>
      <c r="L1523" s="24" t="s">
        <v>4240</v>
      </c>
      <c r="M1523" s="24" t="s">
        <v>6142</v>
      </c>
      <c r="N1523" s="24" t="s">
        <v>6143</v>
      </c>
      <c r="O1523" s="26" t="s">
        <v>2266</v>
      </c>
      <c r="P1523" s="24" t="s">
        <v>6466</v>
      </c>
      <c r="Q1523" s="24"/>
      <c r="R1523" s="26"/>
      <c r="S1523" s="26"/>
      <c r="T1523" s="26"/>
      <c r="U1523" s="24"/>
      <c r="V1523" s="24"/>
      <c r="W1523" s="24"/>
      <c r="X1523" s="63"/>
      <c r="Y1523" s="63"/>
      <c r="Z1523" s="63"/>
      <c r="AA1523" s="63"/>
      <c r="AB1523" s="24"/>
      <c r="AC1523" s="24"/>
    </row>
    <row r="1524" spans="1:29" s="25" customFormat="1" x14ac:dyDescent="0.3">
      <c r="A1524" s="24">
        <v>733</v>
      </c>
      <c r="B1524" s="24" t="s">
        <v>2272</v>
      </c>
      <c r="C1524" s="26"/>
      <c r="D1524" s="25" t="s">
        <v>5196</v>
      </c>
      <c r="E1524" s="19" t="s">
        <v>5197</v>
      </c>
      <c r="F1524" s="19"/>
      <c r="G1524" s="24"/>
      <c r="H1524" s="19"/>
      <c r="I1524" s="26" t="s">
        <v>49</v>
      </c>
      <c r="J1524" s="26"/>
      <c r="K1524" s="24" t="s">
        <v>49</v>
      </c>
      <c r="L1524" s="24"/>
      <c r="M1524" s="24" t="s">
        <v>5341</v>
      </c>
      <c r="N1524" s="24" t="s">
        <v>6145</v>
      </c>
      <c r="O1524" s="26"/>
      <c r="P1524" s="24" t="s">
        <v>6467</v>
      </c>
      <c r="Q1524" s="24"/>
      <c r="R1524" s="26"/>
      <c r="S1524" s="26"/>
      <c r="T1524" s="26"/>
      <c r="U1524" s="24"/>
      <c r="V1524" s="24"/>
      <c r="W1524" s="24"/>
      <c r="X1524" s="63"/>
      <c r="Y1524" s="63"/>
      <c r="Z1524" s="63"/>
      <c r="AA1524" s="63"/>
      <c r="AB1524" s="24"/>
      <c r="AC1524" s="24"/>
    </row>
    <row r="1525" spans="1:29" s="25" customFormat="1" x14ac:dyDescent="0.3">
      <c r="A1525" s="24">
        <v>734</v>
      </c>
      <c r="B1525" s="24" t="s">
        <v>2272</v>
      </c>
      <c r="C1525" s="26">
        <v>377</v>
      </c>
      <c r="D1525" s="25" t="s">
        <v>1580</v>
      </c>
      <c r="E1525" s="19" t="s">
        <v>1581</v>
      </c>
      <c r="F1525" s="19"/>
      <c r="G1525" s="24"/>
      <c r="H1525" s="19"/>
      <c r="I1525" s="26" t="s">
        <v>49</v>
      </c>
      <c r="J1525" s="26" t="s">
        <v>5121</v>
      </c>
      <c r="K1525" s="24" t="s">
        <v>49</v>
      </c>
      <c r="L1525" s="24" t="s">
        <v>3078</v>
      </c>
      <c r="M1525" s="24" t="s">
        <v>6146</v>
      </c>
      <c r="N1525" s="24" t="s">
        <v>6147</v>
      </c>
      <c r="O1525" s="26"/>
      <c r="P1525" s="24" t="s">
        <v>8578</v>
      </c>
      <c r="Q1525" s="24"/>
      <c r="R1525" s="26"/>
      <c r="S1525" s="26"/>
      <c r="T1525" s="26"/>
      <c r="U1525" s="24"/>
      <c r="V1525" s="24"/>
      <c r="W1525" s="24"/>
      <c r="X1525" s="63"/>
      <c r="Y1525" s="63"/>
      <c r="Z1525" s="63"/>
      <c r="AA1525" s="63"/>
      <c r="AB1525" s="24"/>
      <c r="AC1525" s="24"/>
    </row>
    <row r="1526" spans="1:29" s="25" customFormat="1" x14ac:dyDescent="0.3">
      <c r="A1526" s="24">
        <v>735</v>
      </c>
      <c r="B1526" s="24" t="s">
        <v>2272</v>
      </c>
      <c r="C1526" s="26">
        <v>377</v>
      </c>
      <c r="D1526" s="25" t="s">
        <v>1582</v>
      </c>
      <c r="E1526" s="19" t="s">
        <v>1583</v>
      </c>
      <c r="F1526" s="19"/>
      <c r="G1526" s="24"/>
      <c r="H1526" s="19"/>
      <c r="I1526" s="26" t="s">
        <v>49</v>
      </c>
      <c r="J1526" s="26" t="s">
        <v>5121</v>
      </c>
      <c r="K1526" s="24" t="s">
        <v>49</v>
      </c>
      <c r="L1526" s="24" t="s">
        <v>4252</v>
      </c>
      <c r="M1526" s="24" t="s">
        <v>6148</v>
      </c>
      <c r="N1526" s="24" t="s">
        <v>6149</v>
      </c>
      <c r="O1526" s="26" t="s">
        <v>2267</v>
      </c>
      <c r="P1526" s="24" t="s">
        <v>6620</v>
      </c>
      <c r="Q1526" s="24"/>
      <c r="R1526" s="26"/>
      <c r="S1526" s="26"/>
      <c r="T1526" s="26"/>
      <c r="U1526" s="24"/>
      <c r="V1526" s="24"/>
      <c r="W1526" s="24"/>
      <c r="X1526" s="63"/>
      <c r="Y1526" s="63"/>
      <c r="Z1526" s="63"/>
      <c r="AA1526" s="63"/>
      <c r="AB1526" s="24"/>
      <c r="AC1526" s="24"/>
    </row>
    <row r="1527" spans="1:29" s="25" customFormat="1" x14ac:dyDescent="0.3">
      <c r="A1527" s="24">
        <v>736</v>
      </c>
      <c r="B1527" s="24" t="s">
        <v>2272</v>
      </c>
      <c r="C1527" s="26"/>
      <c r="D1527" s="25" t="s">
        <v>5858</v>
      </c>
      <c r="E1527" s="19" t="s">
        <v>5859</v>
      </c>
      <c r="F1527" s="19"/>
      <c r="G1527" s="24"/>
      <c r="H1527" s="19"/>
      <c r="I1527" s="26" t="s">
        <v>49</v>
      </c>
      <c r="J1527" s="26"/>
      <c r="K1527" s="24" t="s">
        <v>49</v>
      </c>
      <c r="L1527" s="24"/>
      <c r="M1527" s="24" t="s">
        <v>6150</v>
      </c>
      <c r="N1527" s="24" t="s">
        <v>6151</v>
      </c>
      <c r="O1527" s="26" t="s">
        <v>6152</v>
      </c>
      <c r="P1527" s="24" t="s">
        <v>6621</v>
      </c>
      <c r="Q1527" s="24"/>
      <c r="R1527" s="26"/>
      <c r="S1527" s="26"/>
      <c r="T1527" s="26"/>
      <c r="U1527" s="24"/>
      <c r="V1527" s="24"/>
      <c r="W1527" s="24"/>
      <c r="X1527" s="63"/>
      <c r="Y1527" s="63"/>
      <c r="Z1527" s="63"/>
      <c r="AA1527" s="63"/>
      <c r="AB1527" s="24"/>
      <c r="AC1527" s="24"/>
    </row>
    <row r="1528" spans="1:29" s="25" customFormat="1" x14ac:dyDescent="0.3">
      <c r="A1528" s="24">
        <v>737</v>
      </c>
      <c r="B1528" s="24" t="s">
        <v>2272</v>
      </c>
      <c r="C1528" s="26"/>
      <c r="D1528" s="25" t="s">
        <v>6623</v>
      </c>
      <c r="E1528" s="19" t="s">
        <v>6624</v>
      </c>
      <c r="F1528" s="19"/>
      <c r="G1528" s="24"/>
      <c r="H1528" s="19"/>
      <c r="I1528" s="26" t="s">
        <v>49</v>
      </c>
      <c r="J1528" s="26"/>
      <c r="K1528" s="24" t="s">
        <v>49</v>
      </c>
      <c r="L1528" s="24"/>
      <c r="M1528" s="24" t="s">
        <v>6715</v>
      </c>
      <c r="N1528" s="24" t="s">
        <v>6716</v>
      </c>
      <c r="O1528" s="26"/>
      <c r="P1528" s="24" t="s">
        <v>6625</v>
      </c>
      <c r="Q1528" s="24"/>
      <c r="R1528" s="26"/>
      <c r="S1528" s="26"/>
      <c r="T1528" s="26"/>
      <c r="U1528" s="24"/>
      <c r="V1528" s="24"/>
      <c r="W1528" s="24"/>
      <c r="X1528" s="63"/>
      <c r="Y1528" s="63"/>
      <c r="Z1528" s="63"/>
      <c r="AA1528" s="63"/>
      <c r="AB1528" s="24"/>
      <c r="AC1528" s="24"/>
    </row>
    <row r="1529" spans="1:29" s="25" customFormat="1" x14ac:dyDescent="0.3">
      <c r="A1529" s="24">
        <v>738</v>
      </c>
      <c r="B1529" s="24" t="s">
        <v>2272</v>
      </c>
      <c r="C1529" s="26">
        <v>377</v>
      </c>
      <c r="D1529" s="25" t="s">
        <v>1584</v>
      </c>
      <c r="E1529" s="19" t="s">
        <v>1585</v>
      </c>
      <c r="F1529" s="19"/>
      <c r="G1529" s="24"/>
      <c r="H1529" s="19"/>
      <c r="I1529" s="26" t="s">
        <v>49</v>
      </c>
      <c r="J1529" s="26" t="s">
        <v>5121</v>
      </c>
      <c r="K1529" s="24" t="s">
        <v>49</v>
      </c>
      <c r="L1529" s="24" t="s">
        <v>4254</v>
      </c>
      <c r="M1529" s="24" t="s">
        <v>6153</v>
      </c>
      <c r="N1529" s="24" t="s">
        <v>6154</v>
      </c>
      <c r="O1529" s="26"/>
      <c r="P1529" s="24" t="s">
        <v>6626</v>
      </c>
      <c r="Q1529" s="24"/>
      <c r="R1529" s="26"/>
      <c r="S1529" s="26"/>
      <c r="T1529" s="26"/>
      <c r="U1529" s="24"/>
      <c r="V1529" s="24"/>
      <c r="W1529" s="24"/>
      <c r="X1529" s="63"/>
      <c r="Y1529" s="63"/>
      <c r="Z1529" s="63"/>
      <c r="AA1529" s="63"/>
      <c r="AB1529" s="24"/>
      <c r="AC1529" s="24"/>
    </row>
    <row r="1530" spans="1:29" s="28" customFormat="1" x14ac:dyDescent="0.3">
      <c r="A1530" s="27" t="s">
        <v>8537</v>
      </c>
      <c r="B1530" s="27" t="s">
        <v>2273</v>
      </c>
      <c r="C1530" s="29"/>
      <c r="D1530" s="28" t="s">
        <v>5118</v>
      </c>
      <c r="E1530" s="20" t="s">
        <v>1585</v>
      </c>
      <c r="F1530" s="20" t="s">
        <v>2918</v>
      </c>
      <c r="G1530" s="27"/>
      <c r="H1530" s="20"/>
      <c r="I1530" s="29"/>
      <c r="J1530" s="29"/>
      <c r="K1530" s="27"/>
      <c r="L1530" s="27"/>
      <c r="M1530" s="27" t="s">
        <v>8538</v>
      </c>
      <c r="N1530" s="27"/>
      <c r="O1530" s="29" t="s">
        <v>8539</v>
      </c>
      <c r="P1530" s="27"/>
      <c r="Q1530" s="27"/>
      <c r="R1530" s="29"/>
      <c r="S1530" s="29"/>
      <c r="T1530" s="29"/>
      <c r="U1530" s="27"/>
      <c r="V1530" s="27"/>
      <c r="W1530" s="27"/>
      <c r="X1530" s="64"/>
      <c r="Y1530" s="64"/>
      <c r="Z1530" s="64"/>
      <c r="AA1530" s="64"/>
      <c r="AB1530" s="27"/>
      <c r="AC1530" s="27"/>
    </row>
    <row r="1531" spans="1:29" s="25" customFormat="1" x14ac:dyDescent="0.3">
      <c r="A1531" s="24">
        <v>739</v>
      </c>
      <c r="B1531" s="24" t="s">
        <v>2272</v>
      </c>
      <c r="C1531" s="26"/>
      <c r="D1531" s="25" t="s">
        <v>5861</v>
      </c>
      <c r="E1531" s="19" t="s">
        <v>5862</v>
      </c>
      <c r="F1531" s="19"/>
      <c r="G1531" s="24"/>
      <c r="H1531" s="19"/>
      <c r="I1531" s="26" t="s">
        <v>49</v>
      </c>
      <c r="J1531" s="26"/>
      <c r="K1531" s="24" t="s">
        <v>49</v>
      </c>
      <c r="L1531" s="24"/>
      <c r="M1531" s="24" t="s">
        <v>6155</v>
      </c>
      <c r="N1531" s="24" t="s">
        <v>6156</v>
      </c>
      <c r="O1531" s="26" t="s">
        <v>6157</v>
      </c>
      <c r="P1531" s="24" t="s">
        <v>6468</v>
      </c>
      <c r="Q1531" s="24"/>
      <c r="R1531" s="26"/>
      <c r="S1531" s="26"/>
      <c r="T1531" s="26"/>
      <c r="U1531" s="24"/>
      <c r="V1531" s="24"/>
      <c r="W1531" s="24"/>
      <c r="X1531" s="63"/>
      <c r="Y1531" s="63"/>
      <c r="Z1531" s="63"/>
      <c r="AA1531" s="63"/>
      <c r="AB1531" s="24"/>
      <c r="AC1531" s="24"/>
    </row>
    <row r="1532" spans="1:29" s="25" customFormat="1" x14ac:dyDescent="0.3">
      <c r="A1532" s="24">
        <v>740</v>
      </c>
      <c r="B1532" s="24" t="s">
        <v>2272</v>
      </c>
      <c r="C1532" s="26">
        <v>375</v>
      </c>
      <c r="D1532" s="25" t="s">
        <v>1586</v>
      </c>
      <c r="E1532" s="19" t="s">
        <v>1587</v>
      </c>
      <c r="F1532" s="19"/>
      <c r="G1532" s="24"/>
      <c r="H1532" s="19"/>
      <c r="I1532" s="26" t="s">
        <v>49</v>
      </c>
      <c r="J1532" s="26" t="s">
        <v>5121</v>
      </c>
      <c r="K1532" s="24" t="s">
        <v>49</v>
      </c>
      <c r="L1532" s="24" t="s">
        <v>3799</v>
      </c>
      <c r="M1532" s="24" t="s">
        <v>6158</v>
      </c>
      <c r="N1532" s="24" t="s">
        <v>6159</v>
      </c>
      <c r="O1532" s="26" t="s">
        <v>2268</v>
      </c>
      <c r="P1532" s="24" t="s">
        <v>6469</v>
      </c>
      <c r="Q1532" s="24"/>
      <c r="R1532" s="26"/>
      <c r="S1532" s="26"/>
      <c r="T1532" s="26"/>
      <c r="U1532" s="24"/>
      <c r="V1532" s="24"/>
      <c r="W1532" s="24"/>
      <c r="X1532" s="63"/>
      <c r="Y1532" s="63"/>
      <c r="Z1532" s="63"/>
      <c r="AA1532" s="63"/>
      <c r="AB1532" s="24"/>
      <c r="AC1532" s="24"/>
    </row>
    <row r="1533" spans="1:29" s="25" customFormat="1" x14ac:dyDescent="0.3">
      <c r="A1533" s="24">
        <v>741</v>
      </c>
      <c r="B1533" s="24" t="s">
        <v>2272</v>
      </c>
      <c r="C1533" s="26">
        <v>377</v>
      </c>
      <c r="D1533" s="25" t="s">
        <v>1588</v>
      </c>
      <c r="E1533" s="19" t="s">
        <v>1589</v>
      </c>
      <c r="F1533" s="19"/>
      <c r="G1533" s="24"/>
      <c r="H1533" s="19"/>
      <c r="I1533" s="26" t="s">
        <v>89</v>
      </c>
      <c r="J1533" s="26" t="s">
        <v>37</v>
      </c>
      <c r="K1533" s="24"/>
      <c r="L1533" s="24" t="s">
        <v>4257</v>
      </c>
      <c r="M1533" s="24" t="s">
        <v>6160</v>
      </c>
      <c r="N1533" s="24" t="s">
        <v>6161</v>
      </c>
      <c r="O1533" s="26" t="s">
        <v>2269</v>
      </c>
      <c r="P1533" s="24"/>
      <c r="Q1533" s="24"/>
      <c r="R1533" s="26"/>
      <c r="S1533" s="26"/>
      <c r="T1533" s="26"/>
      <c r="U1533" s="24"/>
      <c r="V1533" s="24"/>
      <c r="W1533" s="24"/>
      <c r="X1533" s="63"/>
      <c r="Y1533" s="63"/>
      <c r="Z1533" s="63"/>
      <c r="AA1533" s="63"/>
      <c r="AB1533" s="24"/>
      <c r="AC1533" s="24"/>
    </row>
    <row r="1534" spans="1:29" s="25" customFormat="1" x14ac:dyDescent="0.3">
      <c r="A1534" s="24">
        <v>742</v>
      </c>
      <c r="B1534" s="24" t="s">
        <v>2272</v>
      </c>
      <c r="C1534" s="26">
        <v>377</v>
      </c>
      <c r="D1534" s="25" t="s">
        <v>1590</v>
      </c>
      <c r="E1534" s="19" t="s">
        <v>1591</v>
      </c>
      <c r="F1534" s="19"/>
      <c r="G1534" s="24"/>
      <c r="H1534" s="19"/>
      <c r="I1534" s="26" t="s">
        <v>49</v>
      </c>
      <c r="J1534" s="26" t="s">
        <v>5121</v>
      </c>
      <c r="K1534" s="24" t="s">
        <v>49</v>
      </c>
      <c r="L1534" s="24" t="s">
        <v>3078</v>
      </c>
      <c r="M1534" s="24" t="s">
        <v>6162</v>
      </c>
      <c r="N1534" s="24" t="s">
        <v>6163</v>
      </c>
      <c r="O1534" s="26"/>
      <c r="P1534" s="24" t="s">
        <v>6470</v>
      </c>
      <c r="Q1534" s="24"/>
      <c r="R1534" s="26"/>
      <c r="S1534" s="26"/>
      <c r="T1534" s="26"/>
      <c r="U1534" s="24"/>
      <c r="V1534" s="24"/>
      <c r="W1534" s="24"/>
      <c r="X1534" s="63"/>
      <c r="Y1534" s="63"/>
      <c r="Z1534" s="63"/>
      <c r="AA1534" s="63"/>
      <c r="AB1534" s="24"/>
      <c r="AC1534" s="24"/>
    </row>
    <row r="1535" spans="1:29" s="28" customFormat="1" x14ac:dyDescent="0.3">
      <c r="A1535" s="27" t="s">
        <v>8540</v>
      </c>
      <c r="B1535" s="27" t="s">
        <v>2273</v>
      </c>
      <c r="C1535" s="29"/>
      <c r="D1535" s="28" t="s">
        <v>5119</v>
      </c>
      <c r="E1535" s="20" t="s">
        <v>1591</v>
      </c>
      <c r="F1535" s="20" t="s">
        <v>2919</v>
      </c>
      <c r="G1535" s="27"/>
      <c r="H1535" s="20"/>
      <c r="I1535" s="29"/>
      <c r="J1535" s="29"/>
      <c r="K1535" s="27"/>
      <c r="L1535" s="27"/>
      <c r="M1535" s="27" t="s">
        <v>8541</v>
      </c>
      <c r="N1535" s="27" t="s">
        <v>8542</v>
      </c>
      <c r="O1535" s="29" t="s">
        <v>8543</v>
      </c>
      <c r="P1535" s="27"/>
      <c r="Q1535" s="27"/>
      <c r="R1535" s="29"/>
      <c r="S1535" s="29"/>
      <c r="T1535" s="29"/>
      <c r="U1535" s="27"/>
      <c r="V1535" s="27"/>
      <c r="W1535" s="27"/>
      <c r="X1535" s="64"/>
      <c r="Y1535" s="64"/>
      <c r="Z1535" s="64"/>
      <c r="AA1535" s="64"/>
      <c r="AB1535" s="27"/>
      <c r="AC1535" s="27"/>
    </row>
    <row r="1536" spans="1:29" s="25" customFormat="1" x14ac:dyDescent="0.3">
      <c r="A1536" s="24">
        <v>743</v>
      </c>
      <c r="B1536" s="24" t="s">
        <v>2272</v>
      </c>
      <c r="C1536" s="26"/>
      <c r="D1536" s="25" t="s">
        <v>5864</v>
      </c>
      <c r="E1536" s="19" t="s">
        <v>5865</v>
      </c>
      <c r="F1536" s="19"/>
      <c r="G1536" s="24"/>
      <c r="H1536" s="19"/>
      <c r="I1536" s="26" t="s">
        <v>49</v>
      </c>
      <c r="J1536" s="26"/>
      <c r="K1536" s="24" t="s">
        <v>49</v>
      </c>
      <c r="L1536" s="24"/>
      <c r="M1536" s="24" t="s">
        <v>6165</v>
      </c>
      <c r="N1536" s="24" t="s">
        <v>6166</v>
      </c>
      <c r="O1536" s="26"/>
      <c r="P1536" s="24" t="s">
        <v>6471</v>
      </c>
      <c r="Q1536" s="24"/>
      <c r="R1536" s="26"/>
      <c r="S1536" s="26"/>
      <c r="T1536" s="26"/>
      <c r="U1536" s="24"/>
      <c r="V1536" s="24"/>
      <c r="W1536" s="24"/>
      <c r="X1536" s="63"/>
      <c r="Y1536" s="63"/>
      <c r="Z1536" s="63"/>
      <c r="AA1536" s="63"/>
      <c r="AB1536" s="24"/>
      <c r="AC1536" s="24"/>
    </row>
  </sheetData>
  <autoFilter ref="A1:AC1536" xr:uid="{4A4FA09B-0B04-4314-8CD2-C97D003487C9}"/>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Front Page</vt:lpstr>
      <vt:lpstr>Basic List</vt:lpstr>
      <vt:lpstr>Expanded List</vt:lpstr>
      <vt:lpstr>SubSpecies List</vt:lpstr>
    </vt:vector>
  </TitlesOfParts>
  <Company>Stichting Deltares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JanJaap Brinkman</dc:creator>
  <cp:lastModifiedBy>JanJaap Brinkman</cp:lastModifiedBy>
  <dcterms:created xsi:type="dcterms:W3CDTF">2019-03-19T13:27:34Z</dcterms:created>
  <dcterms:modified xsi:type="dcterms:W3CDTF">2024-03-05T13:39:22Z</dcterms:modified>
</cp:coreProperties>
</file>